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omel\Desktop\deshboard andressa\"/>
    </mc:Choice>
  </mc:AlternateContent>
  <xr:revisionPtr revIDLastSave="0" documentId="13_ncr:1_{EDC9E5C1-30C9-4F63-B7B1-5BE437A7EAD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arâmetros" sheetId="18" r:id="rId1"/>
    <sheet name="Geral" sheetId="17" r:id="rId2"/>
    <sheet name="Faturamento" sheetId="25" r:id="rId3"/>
    <sheet name="Custos" sheetId="22" r:id="rId4"/>
    <sheet name="DRE" sheetId="24" r:id="rId5"/>
  </sheets>
  <externalReferences>
    <externalReference r:id="rId6"/>
  </externalReferences>
  <definedNames>
    <definedName name="_xlnm._FilterDatabase" localSheetId="1" hidden="1">Geral!$A$1:$S$20221</definedName>
    <definedName name="Categorias">Parâmetros!$C$2:$C$15</definedName>
    <definedName name="Despesas">#REF!</definedName>
    <definedName name="Entidade">#REF!</definedName>
    <definedName name="Entidades">Parâmetros!$B$2:$B$7</definedName>
    <definedName name="Rendimentos">#REF!</definedName>
    <definedName name="Result">INDEX([1]Velocímetro!$C$20:$C$21,MATCH([1]Velocímetro!$A$20,[1]Velocímetro!$B$20:$B$21,0))</definedName>
    <definedName name="Result1">INDEX([1]Velocímetro!$C$23:$C$24,MATCH([1]Velocímetro!$A$23,[1]Velocímetro!$B$23:$B$24,0))</definedName>
    <definedName name="Tipo">#REF!</definedName>
    <definedName name="Tipos">Parâmetros!$A$2:$A$4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5" l="1"/>
  <c r="N19998" i="17"/>
  <c r="N19997" i="17"/>
  <c r="N19996" i="17"/>
  <c r="N19995" i="17"/>
  <c r="N19994" i="17"/>
  <c r="N19993" i="17"/>
  <c r="N19992" i="17"/>
  <c r="N19991" i="17"/>
  <c r="N19990" i="17"/>
  <c r="N19989" i="17"/>
  <c r="N19988" i="17"/>
  <c r="N19987" i="17"/>
  <c r="N19986" i="17"/>
  <c r="N19985" i="17"/>
  <c r="N19984" i="17"/>
  <c r="N19983" i="17"/>
  <c r="N19982" i="17"/>
  <c r="N19981" i="17"/>
  <c r="N19980" i="17"/>
  <c r="N19979" i="17"/>
  <c r="N19978" i="17"/>
  <c r="N19977" i="17"/>
  <c r="N19976" i="17"/>
  <c r="N19975" i="17"/>
  <c r="N19974" i="17"/>
  <c r="N19973" i="17"/>
  <c r="N19972" i="17"/>
  <c r="N19971" i="17"/>
  <c r="N19970" i="17"/>
  <c r="N19969" i="17"/>
  <c r="N19968" i="17"/>
  <c r="N19967" i="17"/>
  <c r="N19966" i="17"/>
  <c r="N19965" i="17"/>
  <c r="N19964" i="17"/>
  <c r="N19963" i="17"/>
  <c r="N19962" i="17"/>
  <c r="N19961" i="17"/>
  <c r="N19960" i="17"/>
  <c r="N19959" i="17"/>
  <c r="N19958" i="17"/>
  <c r="N19957" i="17"/>
  <c r="N19956" i="17"/>
  <c r="N19955" i="17"/>
  <c r="N19954" i="17"/>
  <c r="N19953" i="17"/>
  <c r="N19952" i="17"/>
  <c r="N19951" i="17"/>
  <c r="N19950" i="17"/>
  <c r="N19949" i="17"/>
  <c r="N19948" i="17"/>
  <c r="N19947" i="17"/>
  <c r="N19946" i="17"/>
  <c r="N19945" i="17"/>
  <c r="N19944" i="17"/>
  <c r="N19943" i="17"/>
  <c r="N19942" i="17"/>
  <c r="N19941" i="17"/>
  <c r="N19940" i="17"/>
  <c r="N19939" i="17"/>
  <c r="N19938" i="17"/>
  <c r="N19937" i="17"/>
  <c r="N19936" i="17"/>
  <c r="N19935" i="17"/>
  <c r="N19934" i="17"/>
  <c r="N19933" i="17"/>
  <c r="N19932" i="17"/>
  <c r="N19931" i="17"/>
  <c r="N19930" i="17"/>
  <c r="N19929" i="17"/>
  <c r="N19928" i="17"/>
  <c r="N19927" i="17"/>
  <c r="N19926" i="17"/>
  <c r="N19925" i="17"/>
  <c r="N19924" i="17"/>
  <c r="N19923" i="17"/>
  <c r="N19922" i="17"/>
  <c r="N19921" i="17"/>
  <c r="N19920" i="17"/>
  <c r="N19919" i="17"/>
  <c r="N19918" i="17"/>
  <c r="N19917" i="17"/>
  <c r="N19916" i="17"/>
  <c r="N19915" i="17"/>
  <c r="N19914" i="17"/>
  <c r="N19913" i="17"/>
  <c r="N19912" i="17"/>
  <c r="N19911" i="17"/>
  <c r="N19910" i="17"/>
  <c r="N19909" i="17"/>
  <c r="N19908" i="17"/>
  <c r="N19907" i="17"/>
  <c r="N19906" i="17"/>
  <c r="N19905" i="17"/>
  <c r="N19904" i="17"/>
  <c r="N19903" i="17"/>
  <c r="N19902" i="17"/>
  <c r="N19901" i="17"/>
  <c r="N19900" i="17"/>
  <c r="N19899" i="17"/>
  <c r="N19898" i="17"/>
  <c r="N19897" i="17"/>
  <c r="N19896" i="17"/>
  <c r="N19895" i="17"/>
  <c r="N19894" i="17"/>
  <c r="N19893" i="17"/>
  <c r="N19892" i="17"/>
  <c r="N19891" i="17"/>
  <c r="N19890" i="17"/>
  <c r="N19889" i="17"/>
  <c r="N19888" i="17"/>
  <c r="N19887" i="17"/>
  <c r="N19886" i="17"/>
  <c r="N19885" i="17"/>
  <c r="N19884" i="17"/>
  <c r="N19883" i="17"/>
  <c r="N19882" i="17"/>
  <c r="N19881" i="17"/>
  <c r="N19880" i="17"/>
  <c r="N19879" i="17"/>
  <c r="N19878" i="17"/>
  <c r="N19877" i="17"/>
  <c r="N19876" i="17"/>
  <c r="N19875" i="17"/>
  <c r="N19874" i="17"/>
  <c r="N19873" i="17"/>
  <c r="N19872" i="17"/>
  <c r="N19871" i="17"/>
  <c r="N19870" i="17"/>
  <c r="N19869" i="17"/>
  <c r="N19868" i="17"/>
  <c r="N19867" i="17"/>
  <c r="N19866" i="17"/>
  <c r="N19865" i="17"/>
  <c r="N19864" i="17"/>
  <c r="N19863" i="17"/>
  <c r="N19862" i="17"/>
  <c r="N19861" i="17"/>
  <c r="N19860" i="17"/>
  <c r="N19859" i="17"/>
  <c r="N19858" i="17"/>
  <c r="N19857" i="17"/>
  <c r="N19856" i="17"/>
  <c r="N19855" i="17"/>
  <c r="N19854" i="17"/>
  <c r="N19853" i="17"/>
  <c r="N19852" i="17"/>
  <c r="N19851" i="17"/>
  <c r="N19850" i="17"/>
  <c r="N19849" i="17"/>
  <c r="N19848" i="17"/>
  <c r="N19847" i="17"/>
  <c r="N19846" i="17"/>
  <c r="N19845" i="17"/>
  <c r="N19844" i="17"/>
  <c r="N19843" i="17"/>
  <c r="N19842" i="17"/>
  <c r="N19841" i="17"/>
  <c r="N19840" i="17"/>
  <c r="N19839" i="17"/>
  <c r="N19838" i="17"/>
  <c r="N19837" i="17"/>
  <c r="N19836" i="17"/>
  <c r="N19835" i="17"/>
  <c r="N19834" i="17"/>
  <c r="N19833" i="17"/>
  <c r="N19832" i="17"/>
  <c r="N19831" i="17"/>
  <c r="N19830" i="17"/>
  <c r="N19829" i="17"/>
  <c r="N19828" i="17"/>
  <c r="N19827" i="17"/>
  <c r="N19826" i="17"/>
  <c r="N19825" i="17"/>
  <c r="N19824" i="17"/>
  <c r="N19823" i="17"/>
  <c r="N19822" i="17"/>
  <c r="N19821" i="17"/>
  <c r="N19820" i="17"/>
  <c r="N19819" i="17"/>
  <c r="N19818" i="17"/>
  <c r="N19817" i="17"/>
  <c r="N19816" i="17"/>
  <c r="N19815" i="17"/>
  <c r="N19814" i="17"/>
  <c r="N19813" i="17"/>
  <c r="N19812" i="17"/>
  <c r="N19811" i="17"/>
  <c r="N19810" i="17"/>
  <c r="N19809" i="17"/>
  <c r="N19808" i="17"/>
  <c r="N19807" i="17"/>
  <c r="N19806" i="17"/>
  <c r="N19805" i="17"/>
  <c r="N19804" i="17"/>
  <c r="N19803" i="17"/>
  <c r="N19802" i="17"/>
  <c r="N19801" i="17"/>
  <c r="N19800" i="17"/>
  <c r="N19799" i="17"/>
  <c r="N19798" i="17"/>
  <c r="N19797" i="17"/>
  <c r="N19796" i="17"/>
  <c r="N19795" i="17"/>
  <c r="N19794" i="17"/>
  <c r="N19793" i="17"/>
  <c r="N19792" i="17"/>
  <c r="N19791" i="17"/>
  <c r="N19790" i="17"/>
  <c r="N19789" i="17"/>
  <c r="N19788" i="17"/>
  <c r="N19787" i="17"/>
  <c r="N19786" i="17"/>
  <c r="N19785" i="17"/>
  <c r="N19784" i="17"/>
  <c r="N19783" i="17"/>
  <c r="N19782" i="17"/>
  <c r="N19781" i="17"/>
  <c r="N19780" i="17"/>
  <c r="N19779" i="17"/>
  <c r="N19778" i="17"/>
  <c r="N19777" i="17"/>
  <c r="N19776" i="17"/>
  <c r="N19775" i="17"/>
  <c r="N19774" i="17"/>
  <c r="N19773" i="17"/>
  <c r="N19772" i="17"/>
  <c r="N19771" i="17"/>
  <c r="N19770" i="17"/>
  <c r="N19769" i="17"/>
  <c r="N19768" i="17"/>
  <c r="N19767" i="17"/>
  <c r="N19766" i="17"/>
  <c r="N19765" i="17"/>
  <c r="N19764" i="17"/>
  <c r="N19763" i="17"/>
  <c r="N19762" i="17"/>
  <c r="N19761" i="17"/>
  <c r="N19760" i="17"/>
  <c r="N19759" i="17"/>
  <c r="N19758" i="17"/>
  <c r="N19757" i="17"/>
  <c r="N19756" i="17"/>
  <c r="N19755" i="17"/>
  <c r="N19754" i="17"/>
  <c r="N19753" i="17"/>
  <c r="N19752" i="17"/>
  <c r="N19751" i="17"/>
  <c r="N19750" i="17"/>
  <c r="N19749" i="17"/>
  <c r="N19748" i="17"/>
  <c r="N19747" i="17"/>
  <c r="N19746" i="17"/>
  <c r="N19745" i="17"/>
  <c r="N19744" i="17"/>
  <c r="N19743" i="17"/>
  <c r="N19742" i="17"/>
  <c r="N19741" i="17"/>
  <c r="N19740" i="17"/>
  <c r="N19739" i="17"/>
  <c r="N19738" i="17"/>
  <c r="N19737" i="17"/>
  <c r="N19736" i="17"/>
  <c r="N19735" i="17"/>
  <c r="N19734" i="17"/>
  <c r="N19733" i="17"/>
  <c r="N19732" i="17"/>
  <c r="N19731" i="17"/>
  <c r="N19730" i="17"/>
  <c r="N19729" i="17"/>
  <c r="N19728" i="17"/>
  <c r="N19727" i="17"/>
  <c r="N19726" i="17"/>
  <c r="N19725" i="17"/>
  <c r="N19724" i="17"/>
  <c r="N19723" i="17"/>
  <c r="N19722" i="17"/>
  <c r="N19721" i="17"/>
  <c r="N19720" i="17"/>
  <c r="N19719" i="17"/>
  <c r="N19718" i="17"/>
  <c r="N19717" i="17"/>
  <c r="N19716" i="17"/>
  <c r="N19715" i="17"/>
  <c r="N19714" i="17"/>
  <c r="N19713" i="17"/>
  <c r="N19712" i="17"/>
  <c r="N19711" i="17"/>
  <c r="N19710" i="17"/>
  <c r="N19709" i="17"/>
  <c r="N19708" i="17"/>
  <c r="N19707" i="17"/>
  <c r="N19706" i="17"/>
  <c r="N19705" i="17"/>
  <c r="N19704" i="17"/>
  <c r="N19703" i="17"/>
  <c r="N19702" i="17"/>
  <c r="N19701" i="17"/>
  <c r="N19700" i="17"/>
  <c r="N19699" i="17"/>
  <c r="N19698" i="17"/>
  <c r="N19697" i="17"/>
  <c r="N19696" i="17"/>
  <c r="N19695" i="17"/>
  <c r="N19694" i="17"/>
  <c r="N19693" i="17"/>
  <c r="N19692" i="17"/>
  <c r="N19691" i="17"/>
  <c r="N19690" i="17"/>
  <c r="N19689" i="17"/>
  <c r="N19688" i="17"/>
  <c r="N19687" i="17"/>
  <c r="N19686" i="17"/>
  <c r="N19685" i="17"/>
  <c r="N19684" i="17"/>
  <c r="N19683" i="17"/>
  <c r="N19682" i="17"/>
  <c r="N19681" i="17"/>
  <c r="N19680" i="17"/>
  <c r="N19679" i="17"/>
  <c r="N19678" i="17"/>
  <c r="N19677" i="17"/>
  <c r="N19676" i="17"/>
  <c r="N19675" i="17"/>
  <c r="N19674" i="17"/>
  <c r="N19673" i="17"/>
  <c r="N19672" i="17"/>
  <c r="N19671" i="17"/>
  <c r="N19670" i="17"/>
  <c r="N19669" i="17"/>
  <c r="N19668" i="17"/>
  <c r="N19667" i="17"/>
  <c r="N19666" i="17"/>
  <c r="N19665" i="17"/>
  <c r="N19664" i="17"/>
  <c r="N19663" i="17"/>
  <c r="N19662" i="17"/>
  <c r="N19661" i="17"/>
  <c r="N19660" i="17"/>
  <c r="N19659" i="17"/>
  <c r="N19658" i="17"/>
  <c r="N19657" i="17"/>
  <c r="N19656" i="17"/>
  <c r="N19655" i="17"/>
  <c r="N19654" i="17"/>
  <c r="N19653" i="17"/>
  <c r="N19652" i="17"/>
  <c r="N19651" i="17"/>
  <c r="N19650" i="17"/>
  <c r="N19649" i="17"/>
  <c r="N19648" i="17"/>
  <c r="N19647" i="17"/>
  <c r="N19646" i="17"/>
  <c r="N19645" i="17"/>
  <c r="N19644" i="17"/>
  <c r="N19643" i="17"/>
  <c r="N19642" i="17"/>
  <c r="N19641" i="17"/>
  <c r="N19640" i="17"/>
  <c r="N19639" i="17"/>
  <c r="N19638" i="17"/>
  <c r="N19637" i="17"/>
  <c r="N19636" i="17"/>
  <c r="N19635" i="17"/>
  <c r="N19634" i="17"/>
  <c r="N19633" i="17"/>
  <c r="N19632" i="17"/>
  <c r="N19631" i="17"/>
  <c r="N19630" i="17"/>
  <c r="N19629" i="17"/>
  <c r="N19628" i="17"/>
  <c r="N19627" i="17"/>
  <c r="N19626" i="17"/>
  <c r="N19625" i="17"/>
  <c r="N19624" i="17"/>
  <c r="N19623" i="17"/>
  <c r="N19622" i="17"/>
  <c r="N19621" i="17"/>
  <c r="N19620" i="17"/>
  <c r="N19619" i="17"/>
  <c r="N19618" i="17"/>
  <c r="N19617" i="17"/>
  <c r="N19616" i="17"/>
  <c r="N19615" i="17"/>
  <c r="N19614" i="17"/>
  <c r="N19613" i="17"/>
  <c r="N19612" i="17"/>
  <c r="N19611" i="17"/>
  <c r="N19610" i="17"/>
  <c r="N19609" i="17"/>
  <c r="N19608" i="17"/>
  <c r="N19607" i="17"/>
  <c r="N19606" i="17"/>
  <c r="N19605" i="17"/>
  <c r="N19604" i="17"/>
  <c r="N19603" i="17"/>
  <c r="N19602" i="17"/>
  <c r="N19601" i="17"/>
  <c r="N19600" i="17"/>
  <c r="N19599" i="17"/>
  <c r="N19598" i="17"/>
  <c r="N19597" i="17"/>
  <c r="N19596" i="17"/>
  <c r="N19595" i="17"/>
  <c r="N19594" i="17"/>
  <c r="N19593" i="17"/>
  <c r="N19592" i="17"/>
  <c r="N19591" i="17"/>
  <c r="N19590" i="17"/>
  <c r="N19589" i="17"/>
  <c r="N19588" i="17"/>
  <c r="N19587" i="17"/>
  <c r="N19586" i="17"/>
  <c r="N19585" i="17"/>
  <c r="N19584" i="17"/>
  <c r="N19583" i="17"/>
  <c r="N19582" i="17"/>
  <c r="N19581" i="17"/>
  <c r="N19580" i="17"/>
  <c r="N19579" i="17"/>
  <c r="N19578" i="17"/>
  <c r="N19577" i="17"/>
  <c r="N19576" i="17"/>
  <c r="N19575" i="17"/>
  <c r="N19574" i="17"/>
  <c r="N19573" i="17"/>
  <c r="N19572" i="17"/>
  <c r="N19571" i="17"/>
  <c r="N19570" i="17"/>
  <c r="N19569" i="17"/>
  <c r="N19568" i="17"/>
  <c r="N19567" i="17"/>
  <c r="N19566" i="17"/>
  <c r="N19565" i="17"/>
  <c r="N19564" i="17"/>
  <c r="N19563" i="17"/>
  <c r="N19562" i="17"/>
  <c r="N19561" i="17"/>
  <c r="N19560" i="17"/>
  <c r="N19559" i="17"/>
  <c r="N19558" i="17"/>
  <c r="N19557" i="17"/>
  <c r="N19556" i="17"/>
  <c r="N19555" i="17"/>
  <c r="N19554" i="17"/>
  <c r="N19553" i="17"/>
  <c r="N19552" i="17"/>
  <c r="N19551" i="17"/>
  <c r="N19550" i="17"/>
  <c r="N19549" i="17"/>
  <c r="N19548" i="17"/>
  <c r="N19547" i="17"/>
  <c r="N19546" i="17"/>
  <c r="N19545" i="17"/>
  <c r="N19544" i="17"/>
  <c r="N19543" i="17"/>
  <c r="N19542" i="17"/>
  <c r="N19541" i="17"/>
  <c r="N19540" i="17"/>
  <c r="N19539" i="17"/>
  <c r="N19538" i="17"/>
  <c r="N19537" i="17"/>
  <c r="N19536" i="17"/>
  <c r="N19535" i="17"/>
  <c r="N19534" i="17"/>
  <c r="N19533" i="17"/>
  <c r="N19532" i="17"/>
  <c r="N19531" i="17"/>
  <c r="N19530" i="17"/>
  <c r="N19529" i="17"/>
  <c r="N19528" i="17"/>
  <c r="N19527" i="17"/>
  <c r="N19526" i="17"/>
  <c r="N19525" i="17"/>
  <c r="N19524" i="17"/>
  <c r="N19523" i="17"/>
  <c r="N19522" i="17"/>
  <c r="N19521" i="17"/>
  <c r="N19520" i="17"/>
  <c r="N19519" i="17"/>
  <c r="N19518" i="17"/>
  <c r="N19517" i="17"/>
  <c r="N19516" i="17"/>
  <c r="N19515" i="17"/>
  <c r="N19514" i="17"/>
  <c r="N19513" i="17"/>
  <c r="N19512" i="17"/>
  <c r="N19511" i="17"/>
  <c r="N19510" i="17"/>
  <c r="N19509" i="17"/>
  <c r="N19508" i="17"/>
  <c r="N19507" i="17"/>
  <c r="N19506" i="17"/>
  <c r="N19505" i="17"/>
  <c r="N19504" i="17"/>
  <c r="N19503" i="17"/>
  <c r="N19502" i="17"/>
  <c r="N19501" i="17"/>
  <c r="N19500" i="17"/>
  <c r="N19499" i="17"/>
  <c r="N19498" i="17"/>
  <c r="N19497" i="17"/>
  <c r="N19496" i="17"/>
  <c r="N19495" i="17"/>
  <c r="N19494" i="17"/>
  <c r="N19493" i="17"/>
  <c r="N19492" i="17"/>
  <c r="N19491" i="17"/>
  <c r="N19490" i="17"/>
  <c r="N19489" i="17"/>
  <c r="N19488" i="17"/>
  <c r="N19487" i="17"/>
  <c r="N19486" i="17"/>
  <c r="N19485" i="17"/>
  <c r="N19484" i="17"/>
  <c r="N19483" i="17"/>
  <c r="N19482" i="17"/>
  <c r="N19481" i="17"/>
  <c r="N19480" i="17"/>
  <c r="N19479" i="17"/>
  <c r="N19478" i="17"/>
  <c r="N19477" i="17"/>
  <c r="N19476" i="17"/>
  <c r="N19475" i="17"/>
  <c r="N19474" i="17"/>
  <c r="N19473" i="17"/>
  <c r="N19472" i="17"/>
  <c r="N19471" i="17"/>
  <c r="N19470" i="17"/>
  <c r="N19469" i="17"/>
  <c r="N19468" i="17"/>
  <c r="N19467" i="17"/>
  <c r="N19466" i="17"/>
  <c r="N19465" i="17"/>
  <c r="N19464" i="17"/>
  <c r="N19463" i="17"/>
  <c r="N19462" i="17"/>
  <c r="N19461" i="17"/>
  <c r="N19460" i="17"/>
  <c r="N19459" i="17"/>
  <c r="N19458" i="17"/>
  <c r="N19457" i="17"/>
  <c r="N19456" i="17"/>
  <c r="N19455" i="17"/>
  <c r="N19454" i="17"/>
  <c r="N19453" i="17"/>
  <c r="N19452" i="17"/>
  <c r="N19451" i="17"/>
  <c r="N19450" i="17"/>
  <c r="N19449" i="17"/>
  <c r="N19448" i="17"/>
  <c r="N19447" i="17"/>
  <c r="N19446" i="17"/>
  <c r="N19445" i="17"/>
  <c r="N19444" i="17"/>
  <c r="N19443" i="17"/>
  <c r="N19442" i="17"/>
  <c r="N19441" i="17"/>
  <c r="N19440" i="17"/>
  <c r="N19439" i="17"/>
  <c r="N19438" i="17"/>
  <c r="N19437" i="17"/>
  <c r="N19436" i="17"/>
  <c r="N19435" i="17"/>
  <c r="N19434" i="17"/>
  <c r="N19433" i="17"/>
  <c r="N19432" i="17"/>
  <c r="N19431" i="17"/>
  <c r="N19430" i="17"/>
  <c r="N19429" i="17"/>
  <c r="N19428" i="17"/>
  <c r="N19427" i="17"/>
  <c r="N19426" i="17"/>
  <c r="N19425" i="17"/>
  <c r="N19424" i="17"/>
  <c r="N19423" i="17"/>
  <c r="N19422" i="17"/>
  <c r="N19421" i="17"/>
  <c r="N19420" i="17"/>
  <c r="N19419" i="17"/>
  <c r="N19418" i="17"/>
  <c r="N19417" i="17"/>
  <c r="N19416" i="17"/>
  <c r="N19415" i="17"/>
  <c r="N19414" i="17"/>
  <c r="N19413" i="17"/>
  <c r="N19412" i="17"/>
  <c r="N19411" i="17"/>
  <c r="N19410" i="17"/>
  <c r="N19409" i="17"/>
  <c r="N19408" i="17"/>
  <c r="N19407" i="17"/>
  <c r="N19406" i="17"/>
  <c r="N19405" i="17"/>
  <c r="N19404" i="17"/>
  <c r="N19403" i="17"/>
  <c r="N19402" i="17"/>
  <c r="N19401" i="17"/>
  <c r="N19400" i="17"/>
  <c r="N19399" i="17"/>
  <c r="N19398" i="17"/>
  <c r="N19397" i="17"/>
  <c r="N19396" i="17"/>
  <c r="N19395" i="17"/>
  <c r="N19394" i="17"/>
  <c r="N19393" i="17"/>
  <c r="N19392" i="17"/>
  <c r="N19391" i="17"/>
  <c r="N19390" i="17"/>
  <c r="N19389" i="17"/>
  <c r="N19388" i="17"/>
  <c r="N19387" i="17"/>
  <c r="N19386" i="17"/>
  <c r="N19385" i="17"/>
  <c r="N19384" i="17"/>
  <c r="N19383" i="17"/>
  <c r="N19382" i="17"/>
  <c r="N19381" i="17"/>
  <c r="N19380" i="17"/>
  <c r="N19379" i="17"/>
  <c r="N19378" i="17"/>
  <c r="N19377" i="17"/>
  <c r="N19376" i="17"/>
  <c r="N19375" i="17"/>
  <c r="N19374" i="17"/>
  <c r="N19373" i="17"/>
  <c r="N19372" i="17"/>
  <c r="N19371" i="17"/>
  <c r="N19370" i="17"/>
  <c r="N19369" i="17"/>
  <c r="N19368" i="17"/>
  <c r="N19367" i="17"/>
  <c r="N19366" i="17"/>
  <c r="N19365" i="17"/>
  <c r="N19364" i="17"/>
  <c r="N19363" i="17"/>
  <c r="N19362" i="17"/>
  <c r="N19361" i="17"/>
  <c r="N19360" i="17"/>
  <c r="N19359" i="17"/>
  <c r="N19358" i="17"/>
  <c r="N19357" i="17"/>
  <c r="N19356" i="17"/>
  <c r="N19355" i="17"/>
  <c r="N19354" i="17"/>
  <c r="N19353" i="17"/>
  <c r="N19352" i="17"/>
  <c r="N19351" i="17"/>
  <c r="N19350" i="17"/>
  <c r="N19349" i="17"/>
  <c r="N19348" i="17"/>
  <c r="N19347" i="17"/>
  <c r="N19346" i="17"/>
  <c r="N19345" i="17"/>
  <c r="N19344" i="17"/>
  <c r="N19343" i="17"/>
  <c r="N19342" i="17"/>
  <c r="N19341" i="17"/>
  <c r="N19340" i="17"/>
  <c r="N19339" i="17"/>
  <c r="N19338" i="17"/>
  <c r="N19337" i="17"/>
  <c r="N19336" i="17"/>
  <c r="N19335" i="17"/>
  <c r="N19334" i="17"/>
  <c r="N19333" i="17"/>
  <c r="N19332" i="17"/>
  <c r="N19331" i="17"/>
  <c r="N19330" i="17"/>
  <c r="N19329" i="17"/>
  <c r="N19328" i="17"/>
  <c r="N19327" i="17"/>
  <c r="N19326" i="17"/>
  <c r="N19325" i="17"/>
  <c r="N19324" i="17"/>
  <c r="N19323" i="17"/>
  <c r="N19322" i="17"/>
  <c r="N19321" i="17"/>
  <c r="N19320" i="17"/>
  <c r="N19319" i="17"/>
  <c r="N19318" i="17"/>
  <c r="N19317" i="17"/>
  <c r="N19316" i="17"/>
  <c r="N19315" i="17"/>
  <c r="N19314" i="17"/>
  <c r="N19313" i="17"/>
  <c r="N19312" i="17"/>
  <c r="N19311" i="17"/>
  <c r="N19310" i="17"/>
  <c r="N19309" i="17"/>
  <c r="N19308" i="17"/>
  <c r="N19307" i="17"/>
  <c r="N19306" i="17"/>
  <c r="N19305" i="17"/>
  <c r="N19304" i="17"/>
  <c r="N19303" i="17"/>
  <c r="N19302" i="17"/>
  <c r="N19301" i="17"/>
  <c r="N19300" i="17"/>
  <c r="N19299" i="17"/>
  <c r="N19298" i="17"/>
  <c r="N19297" i="17"/>
  <c r="N19296" i="17"/>
  <c r="N19295" i="17"/>
  <c r="N19294" i="17"/>
  <c r="N19293" i="17"/>
  <c r="N19292" i="17"/>
  <c r="N19291" i="17"/>
  <c r="N19290" i="17"/>
  <c r="N19289" i="17"/>
  <c r="N19288" i="17"/>
  <c r="N19287" i="17"/>
  <c r="N19286" i="17"/>
  <c r="N19285" i="17"/>
  <c r="N19284" i="17"/>
  <c r="N19283" i="17"/>
  <c r="N19282" i="17"/>
  <c r="N19281" i="17"/>
  <c r="N19280" i="17"/>
  <c r="N19279" i="17"/>
  <c r="N19278" i="17"/>
  <c r="N19277" i="17"/>
  <c r="N19276" i="17"/>
  <c r="N19275" i="17"/>
  <c r="N19274" i="17"/>
  <c r="N19273" i="17"/>
  <c r="N19272" i="17"/>
  <c r="N19271" i="17"/>
  <c r="N19270" i="17"/>
  <c r="N19269" i="17"/>
  <c r="N19268" i="17"/>
  <c r="N19267" i="17"/>
  <c r="N19266" i="17"/>
  <c r="N19265" i="17"/>
  <c r="N19264" i="17"/>
  <c r="N19263" i="17"/>
  <c r="N19262" i="17"/>
  <c r="N19261" i="17"/>
  <c r="N19260" i="17"/>
  <c r="N19259" i="17"/>
  <c r="N19258" i="17"/>
  <c r="N19257" i="17"/>
  <c r="N19256" i="17"/>
  <c r="N19255" i="17"/>
  <c r="N19254" i="17"/>
  <c r="N19253" i="17"/>
  <c r="N19252" i="17"/>
  <c r="N19251" i="17"/>
  <c r="N19250" i="17"/>
  <c r="N19249" i="17"/>
  <c r="N19248" i="17"/>
  <c r="N19247" i="17"/>
  <c r="N19246" i="17"/>
  <c r="N19245" i="17"/>
  <c r="N19244" i="17"/>
  <c r="N19243" i="17"/>
  <c r="N19242" i="17"/>
  <c r="N19241" i="17"/>
  <c r="N19240" i="17"/>
  <c r="N19239" i="17"/>
  <c r="N19238" i="17"/>
  <c r="N19237" i="17"/>
  <c r="N19236" i="17"/>
  <c r="N19235" i="17"/>
  <c r="N19234" i="17"/>
  <c r="N19233" i="17"/>
  <c r="N19232" i="17"/>
  <c r="N19231" i="17"/>
  <c r="N19230" i="17"/>
  <c r="N19229" i="17"/>
  <c r="N19228" i="17"/>
  <c r="N19227" i="17"/>
  <c r="N19226" i="17"/>
  <c r="N19225" i="17"/>
  <c r="N19224" i="17"/>
  <c r="N19223" i="17"/>
  <c r="N19222" i="17"/>
  <c r="N19221" i="17"/>
  <c r="N19220" i="17"/>
  <c r="N19219" i="17"/>
  <c r="N19218" i="17"/>
  <c r="N19217" i="17"/>
  <c r="N19216" i="17"/>
  <c r="N19215" i="17"/>
  <c r="N19214" i="17"/>
  <c r="N19213" i="17"/>
  <c r="N19212" i="17"/>
  <c r="N19211" i="17"/>
  <c r="N19210" i="17"/>
  <c r="N19209" i="17"/>
  <c r="N19208" i="17"/>
  <c r="N19207" i="17"/>
  <c r="N19206" i="17"/>
  <c r="N19205" i="17"/>
  <c r="N19204" i="17"/>
  <c r="N19203" i="17"/>
  <c r="N19202" i="17"/>
  <c r="N19201" i="17"/>
  <c r="N19200" i="17"/>
  <c r="N19199" i="17"/>
  <c r="N19198" i="17"/>
  <c r="N19197" i="17"/>
  <c r="N19196" i="17"/>
  <c r="N19195" i="17"/>
  <c r="N19194" i="17"/>
  <c r="N19193" i="17"/>
  <c r="N19192" i="17"/>
  <c r="N19191" i="17"/>
  <c r="N19190" i="17"/>
  <c r="N19189" i="17"/>
  <c r="N19188" i="17"/>
  <c r="N19187" i="17"/>
  <c r="N19186" i="17"/>
  <c r="N19185" i="17"/>
  <c r="N19184" i="17"/>
  <c r="N19183" i="17"/>
  <c r="N19182" i="17"/>
  <c r="N19181" i="17"/>
  <c r="N19180" i="17"/>
  <c r="N19179" i="17"/>
  <c r="N19178" i="17"/>
  <c r="N19177" i="17"/>
  <c r="N19176" i="17"/>
  <c r="N19175" i="17"/>
  <c r="N19174" i="17"/>
  <c r="N19173" i="17"/>
  <c r="N19172" i="17"/>
  <c r="N19171" i="17"/>
  <c r="N19170" i="17"/>
  <c r="N19169" i="17"/>
  <c r="N19168" i="17"/>
  <c r="N19167" i="17"/>
  <c r="N19166" i="17"/>
  <c r="N19165" i="17"/>
  <c r="N19164" i="17"/>
  <c r="N19163" i="17"/>
  <c r="N19162" i="17"/>
  <c r="N19161" i="17"/>
  <c r="N19160" i="17"/>
  <c r="N19159" i="17"/>
  <c r="N19158" i="17"/>
  <c r="N19157" i="17"/>
  <c r="N19156" i="17"/>
  <c r="N19155" i="17"/>
  <c r="N19154" i="17"/>
  <c r="N19153" i="17"/>
  <c r="N19152" i="17"/>
  <c r="N19151" i="17"/>
  <c r="N19150" i="17"/>
  <c r="N19149" i="17"/>
  <c r="N19148" i="17"/>
  <c r="N19147" i="17"/>
  <c r="N19146" i="17"/>
  <c r="N19145" i="17"/>
  <c r="N19144" i="17"/>
  <c r="N19143" i="17"/>
  <c r="N19142" i="17"/>
  <c r="N19141" i="17"/>
  <c r="N19140" i="17"/>
  <c r="N19139" i="17"/>
  <c r="N19138" i="17"/>
  <c r="N19137" i="17"/>
  <c r="N19136" i="17"/>
  <c r="N19135" i="17"/>
  <c r="N19134" i="17"/>
  <c r="N19133" i="17"/>
  <c r="N19132" i="17"/>
  <c r="N19131" i="17"/>
  <c r="N19130" i="17"/>
  <c r="N19129" i="17"/>
  <c r="N19128" i="17"/>
  <c r="N19127" i="17"/>
  <c r="N19126" i="17"/>
  <c r="N19125" i="17"/>
  <c r="N19124" i="17"/>
  <c r="N19123" i="17"/>
  <c r="N19122" i="17"/>
  <c r="N19121" i="17"/>
  <c r="N19120" i="17"/>
  <c r="N19119" i="17"/>
  <c r="N19118" i="17"/>
  <c r="N19117" i="17"/>
  <c r="N19116" i="17"/>
  <c r="N19115" i="17"/>
  <c r="N19114" i="17"/>
  <c r="N19113" i="17"/>
  <c r="N19112" i="17"/>
  <c r="N19111" i="17"/>
  <c r="N19110" i="17"/>
  <c r="N19109" i="17"/>
  <c r="N19108" i="17"/>
  <c r="N19107" i="17"/>
  <c r="N19106" i="17"/>
  <c r="N19105" i="17"/>
  <c r="N19104" i="17"/>
  <c r="N19103" i="17"/>
  <c r="N19102" i="17"/>
  <c r="N19101" i="17"/>
  <c r="N19100" i="17"/>
  <c r="N19099" i="17"/>
  <c r="N19098" i="17"/>
  <c r="N19097" i="17"/>
  <c r="N19096" i="17"/>
  <c r="N19095" i="17"/>
  <c r="N19094" i="17"/>
  <c r="N19093" i="17"/>
  <c r="N19092" i="17"/>
  <c r="N19091" i="17"/>
  <c r="N19090" i="17"/>
  <c r="N19089" i="17"/>
  <c r="N19088" i="17"/>
  <c r="N19087" i="17"/>
  <c r="N19086" i="17"/>
  <c r="N19085" i="17"/>
  <c r="N19084" i="17"/>
  <c r="N19083" i="17"/>
  <c r="N19082" i="17"/>
  <c r="N19081" i="17"/>
  <c r="N19080" i="17"/>
  <c r="N19079" i="17"/>
  <c r="N19078" i="17"/>
  <c r="N19077" i="17"/>
  <c r="N19076" i="17"/>
  <c r="N19075" i="17"/>
  <c r="N19074" i="17"/>
  <c r="N19073" i="17"/>
  <c r="N19072" i="17"/>
  <c r="N19071" i="17"/>
  <c r="N19070" i="17"/>
  <c r="N19069" i="17"/>
  <c r="N19068" i="17"/>
  <c r="N19067" i="17"/>
  <c r="N19066" i="17"/>
  <c r="N19065" i="17"/>
  <c r="N19064" i="17"/>
  <c r="N19063" i="17"/>
  <c r="N19062" i="17"/>
  <c r="N19061" i="17"/>
  <c r="N19060" i="17"/>
  <c r="N19059" i="17"/>
  <c r="N19058" i="17"/>
  <c r="N19057" i="17"/>
  <c r="N19056" i="17"/>
  <c r="N19055" i="17"/>
  <c r="N19054" i="17"/>
  <c r="N19053" i="17"/>
  <c r="N19052" i="17"/>
  <c r="N19051" i="17"/>
  <c r="N19050" i="17"/>
  <c r="N19049" i="17"/>
  <c r="N19048" i="17"/>
  <c r="N19047" i="17"/>
  <c r="N19046" i="17"/>
  <c r="N19045" i="17"/>
  <c r="N19044" i="17"/>
  <c r="N19043" i="17"/>
  <c r="N19042" i="17"/>
  <c r="N19041" i="17"/>
  <c r="N19040" i="17"/>
  <c r="N19039" i="17"/>
  <c r="N19038" i="17"/>
  <c r="N19037" i="17"/>
  <c r="N19036" i="17"/>
  <c r="N19035" i="17"/>
  <c r="N19034" i="17"/>
  <c r="N19033" i="17"/>
  <c r="N19032" i="17"/>
  <c r="N19031" i="17"/>
  <c r="N19030" i="17"/>
  <c r="N19029" i="17"/>
  <c r="N19028" i="17"/>
  <c r="N19027" i="17"/>
  <c r="N19026" i="17"/>
  <c r="N19025" i="17"/>
  <c r="N19024" i="17"/>
  <c r="N19023" i="17"/>
  <c r="N19022" i="17"/>
  <c r="N19021" i="17"/>
  <c r="N19020" i="17"/>
  <c r="N19019" i="17"/>
  <c r="N19018" i="17"/>
  <c r="N19017" i="17"/>
  <c r="N19016" i="17"/>
  <c r="N19015" i="17"/>
  <c r="N19014" i="17"/>
  <c r="N19013" i="17"/>
  <c r="N19012" i="17"/>
  <c r="N19011" i="17"/>
  <c r="N19010" i="17"/>
  <c r="N19009" i="17"/>
  <c r="N19008" i="17"/>
  <c r="N19007" i="17"/>
  <c r="N19006" i="17"/>
  <c r="N19005" i="17"/>
  <c r="N19004" i="17"/>
  <c r="N19003" i="17"/>
  <c r="N19002" i="17"/>
  <c r="N19001" i="17"/>
  <c r="N19000" i="17"/>
  <c r="N18999" i="17"/>
  <c r="N18998" i="17"/>
  <c r="N18997" i="17"/>
  <c r="N18996" i="17"/>
  <c r="N18995" i="17"/>
  <c r="N18994" i="17"/>
  <c r="N18993" i="17"/>
  <c r="N18992" i="17"/>
  <c r="N18991" i="17"/>
  <c r="N18990" i="17"/>
  <c r="N18989" i="17"/>
  <c r="N18988" i="17"/>
  <c r="N18987" i="17"/>
  <c r="N18986" i="17"/>
  <c r="N18985" i="17"/>
  <c r="N18984" i="17"/>
  <c r="N18983" i="17"/>
  <c r="N18982" i="17"/>
  <c r="N18981" i="17"/>
  <c r="N18980" i="17"/>
  <c r="N18979" i="17"/>
  <c r="N18978" i="17"/>
  <c r="N18977" i="17"/>
  <c r="N18976" i="17"/>
  <c r="N18975" i="17"/>
  <c r="N18974" i="17"/>
  <c r="N18973" i="17"/>
  <c r="N18972" i="17"/>
  <c r="N18971" i="17"/>
  <c r="N18970" i="17"/>
  <c r="N18969" i="17"/>
  <c r="N18968" i="17"/>
  <c r="N18967" i="17"/>
  <c r="N18966" i="17"/>
  <c r="N18965" i="17"/>
  <c r="N18964" i="17"/>
  <c r="N18963" i="17"/>
  <c r="N18962" i="17"/>
  <c r="N18961" i="17"/>
  <c r="N18960" i="17"/>
  <c r="N18959" i="17"/>
  <c r="N18958" i="17"/>
  <c r="N18957" i="17"/>
  <c r="N18956" i="17"/>
  <c r="N18955" i="17"/>
  <c r="N18954" i="17"/>
  <c r="N18953" i="17"/>
  <c r="N18952" i="17"/>
  <c r="N18951" i="17"/>
  <c r="N18950" i="17"/>
  <c r="N18949" i="17"/>
  <c r="N18948" i="17"/>
  <c r="N18947" i="17"/>
  <c r="N18946" i="17"/>
  <c r="N18945" i="17"/>
  <c r="N18944" i="17"/>
  <c r="N18943" i="17"/>
  <c r="N18942" i="17"/>
  <c r="N18941" i="17"/>
  <c r="N18940" i="17"/>
  <c r="N18939" i="17"/>
  <c r="N18938" i="17"/>
  <c r="N18937" i="17"/>
  <c r="N18936" i="17"/>
  <c r="N18935" i="17"/>
  <c r="N18934" i="17"/>
  <c r="N18933" i="17"/>
  <c r="N18932" i="17"/>
  <c r="N18931" i="17"/>
  <c r="N18930" i="17"/>
  <c r="N18929" i="17"/>
  <c r="N18928" i="17"/>
  <c r="N18927" i="17"/>
  <c r="N18926" i="17"/>
  <c r="N18925" i="17"/>
  <c r="N18924" i="17"/>
  <c r="N18923" i="17"/>
  <c r="N18922" i="17"/>
  <c r="N18921" i="17"/>
  <c r="N18920" i="17"/>
  <c r="N18919" i="17"/>
  <c r="N18918" i="17"/>
  <c r="N18917" i="17"/>
  <c r="N18916" i="17"/>
  <c r="N18915" i="17"/>
  <c r="N18914" i="17"/>
  <c r="N18913" i="17"/>
  <c r="N18912" i="17"/>
  <c r="N18911" i="17"/>
  <c r="N18910" i="17"/>
  <c r="N18909" i="17"/>
  <c r="N18908" i="17"/>
  <c r="N18907" i="17"/>
  <c r="N18906" i="17"/>
  <c r="N18905" i="17"/>
  <c r="N18904" i="17"/>
  <c r="N18903" i="17"/>
  <c r="N18902" i="17"/>
  <c r="N18901" i="17"/>
  <c r="N18900" i="17"/>
  <c r="N18899" i="17"/>
  <c r="N18898" i="17"/>
  <c r="N18897" i="17"/>
  <c r="N18896" i="17"/>
  <c r="N18895" i="17"/>
  <c r="N18894" i="17"/>
  <c r="N18893" i="17"/>
  <c r="N18892" i="17"/>
  <c r="N18891" i="17"/>
  <c r="N18890" i="17"/>
  <c r="N18889" i="17"/>
  <c r="N18888" i="17"/>
  <c r="N18887" i="17"/>
  <c r="N18886" i="17"/>
  <c r="N18885" i="17"/>
  <c r="N18884" i="17"/>
  <c r="N18883" i="17"/>
  <c r="N18882" i="17"/>
  <c r="N18881" i="17"/>
  <c r="N18880" i="17"/>
  <c r="N18879" i="17"/>
  <c r="N18878" i="17"/>
  <c r="N18877" i="17"/>
  <c r="N18876" i="17"/>
  <c r="N18875" i="17"/>
  <c r="N18874" i="17"/>
  <c r="N18873" i="17"/>
  <c r="N18872" i="17"/>
  <c r="N18871" i="17"/>
  <c r="N18870" i="17"/>
  <c r="N18869" i="17"/>
  <c r="N18868" i="17"/>
  <c r="N18867" i="17"/>
  <c r="N18866" i="17"/>
  <c r="N18865" i="17"/>
  <c r="N18864" i="17"/>
  <c r="N18863" i="17"/>
  <c r="N18862" i="17"/>
  <c r="N18861" i="17"/>
  <c r="N18860" i="17"/>
  <c r="N18859" i="17"/>
  <c r="N18858" i="17"/>
  <c r="N18857" i="17"/>
  <c r="N18856" i="17"/>
  <c r="N18855" i="17"/>
  <c r="N18854" i="17"/>
  <c r="N18853" i="17"/>
  <c r="N18852" i="17"/>
  <c r="N18851" i="17"/>
  <c r="N18850" i="17"/>
  <c r="N18849" i="17"/>
  <c r="N18848" i="17"/>
  <c r="N18847" i="17"/>
  <c r="N18846" i="17"/>
  <c r="N18845" i="17"/>
  <c r="N18844" i="17"/>
  <c r="N18843" i="17"/>
  <c r="N18842" i="17"/>
  <c r="N18841" i="17"/>
  <c r="N18840" i="17"/>
  <c r="N18839" i="17"/>
  <c r="N18838" i="17"/>
  <c r="N18837" i="17"/>
  <c r="N18836" i="17"/>
  <c r="N18835" i="17"/>
  <c r="N18834" i="17"/>
  <c r="N18833" i="17"/>
  <c r="N18832" i="17"/>
  <c r="N18831" i="17"/>
  <c r="N18830" i="17"/>
  <c r="N18829" i="17"/>
  <c r="N18828" i="17"/>
  <c r="N18827" i="17"/>
  <c r="N18826" i="17"/>
  <c r="N18825" i="17"/>
  <c r="N18824" i="17"/>
  <c r="N18823" i="17"/>
  <c r="N18822" i="17"/>
  <c r="N18821" i="17"/>
  <c r="N18820" i="17"/>
  <c r="N18819" i="17"/>
  <c r="N18818" i="17"/>
  <c r="N18817" i="17"/>
  <c r="N18816" i="17"/>
  <c r="N18815" i="17"/>
  <c r="N18814" i="17"/>
  <c r="N18813" i="17"/>
  <c r="N18812" i="17"/>
  <c r="N18811" i="17"/>
  <c r="N18810" i="17"/>
  <c r="N18809" i="17"/>
  <c r="N18808" i="17"/>
  <c r="N18807" i="17"/>
  <c r="N18806" i="17"/>
  <c r="N18805" i="17"/>
  <c r="N18804" i="17"/>
  <c r="N18803" i="17"/>
  <c r="N18802" i="17"/>
  <c r="N18801" i="17"/>
  <c r="N18800" i="17"/>
  <c r="N18799" i="17"/>
  <c r="N18798" i="17"/>
  <c r="N18797" i="17"/>
  <c r="N18796" i="17"/>
  <c r="N18795" i="17"/>
  <c r="N18794" i="17"/>
  <c r="N18793" i="17"/>
  <c r="N18792" i="17"/>
  <c r="N18791" i="17"/>
  <c r="N18790" i="17"/>
  <c r="N18789" i="17"/>
  <c r="N18788" i="17"/>
  <c r="N18787" i="17"/>
  <c r="N18786" i="17"/>
  <c r="N18785" i="17"/>
  <c r="N18784" i="17"/>
  <c r="N18783" i="17"/>
  <c r="N18782" i="17"/>
  <c r="N18781" i="17"/>
  <c r="N18780" i="17"/>
  <c r="N18779" i="17"/>
  <c r="N18778" i="17"/>
  <c r="N18777" i="17"/>
  <c r="N18776" i="17"/>
  <c r="N18775" i="17"/>
  <c r="N18774" i="17"/>
  <c r="N18773" i="17"/>
  <c r="N18772" i="17"/>
  <c r="N18771" i="17"/>
  <c r="N18770" i="17"/>
  <c r="N18769" i="17"/>
  <c r="N18768" i="17"/>
  <c r="N18767" i="17"/>
  <c r="N18766" i="17"/>
  <c r="N18765" i="17"/>
  <c r="N18764" i="17"/>
  <c r="N18763" i="17"/>
  <c r="N18762" i="17"/>
  <c r="N18761" i="17"/>
  <c r="N18760" i="17"/>
  <c r="N18759" i="17"/>
  <c r="N18758" i="17"/>
  <c r="N18757" i="17"/>
  <c r="N18756" i="17"/>
  <c r="N18755" i="17"/>
  <c r="N18754" i="17"/>
  <c r="N18753" i="17"/>
  <c r="N18752" i="17"/>
  <c r="N18751" i="17"/>
  <c r="N18750" i="17"/>
  <c r="N18749" i="17"/>
  <c r="N18748" i="17"/>
  <c r="N18747" i="17"/>
  <c r="N18746" i="17"/>
  <c r="N18745" i="17"/>
  <c r="N18744" i="17"/>
  <c r="N18743" i="17"/>
  <c r="N18742" i="17"/>
  <c r="N18741" i="17"/>
  <c r="N18740" i="17"/>
  <c r="N18739" i="17"/>
  <c r="N18738" i="17"/>
  <c r="N18737" i="17"/>
  <c r="N18736" i="17"/>
  <c r="N18735" i="17"/>
  <c r="N18734" i="17"/>
  <c r="N18733" i="17"/>
  <c r="N18732" i="17"/>
  <c r="N18731" i="17"/>
  <c r="N18730" i="17"/>
  <c r="N18729" i="17"/>
  <c r="N18728" i="17"/>
  <c r="N18727" i="17"/>
  <c r="N18726" i="17"/>
  <c r="N18725" i="17"/>
  <c r="N18724" i="17"/>
  <c r="N18723" i="17"/>
  <c r="N18722" i="17"/>
  <c r="N18721" i="17"/>
  <c r="N18720" i="17"/>
  <c r="N18719" i="17"/>
  <c r="N18718" i="17"/>
  <c r="N18717" i="17"/>
  <c r="N18716" i="17"/>
  <c r="N18715" i="17"/>
  <c r="N18714" i="17"/>
  <c r="N18713" i="17"/>
  <c r="N18712" i="17"/>
  <c r="N18711" i="17"/>
  <c r="N18710" i="17"/>
  <c r="N18709" i="17"/>
  <c r="N18708" i="17"/>
  <c r="N18707" i="17"/>
  <c r="N18706" i="17"/>
  <c r="N18705" i="17"/>
  <c r="N18704" i="17"/>
  <c r="N18703" i="17"/>
  <c r="N18702" i="17"/>
  <c r="N18701" i="17"/>
  <c r="N18700" i="17"/>
  <c r="N18699" i="17"/>
  <c r="N18698" i="17"/>
  <c r="N18697" i="17"/>
  <c r="N18696" i="17"/>
  <c r="N18695" i="17"/>
  <c r="N18694" i="17"/>
  <c r="N18693" i="17"/>
  <c r="N18692" i="17"/>
  <c r="N18691" i="17"/>
  <c r="N18690" i="17"/>
  <c r="N18689" i="17"/>
  <c r="N18688" i="17"/>
  <c r="N18687" i="17"/>
  <c r="N18686" i="17"/>
  <c r="N18685" i="17"/>
  <c r="N18684" i="17"/>
  <c r="N18683" i="17"/>
  <c r="N18682" i="17"/>
  <c r="N18681" i="17"/>
  <c r="N18680" i="17"/>
  <c r="N18679" i="17"/>
  <c r="N18678" i="17"/>
  <c r="N18677" i="17"/>
  <c r="N18676" i="17"/>
  <c r="N18675" i="17"/>
  <c r="N18674" i="17"/>
  <c r="N18673" i="17"/>
  <c r="N18672" i="17"/>
  <c r="N18671" i="17"/>
  <c r="N18670" i="17"/>
  <c r="N18669" i="17"/>
  <c r="N18668" i="17"/>
  <c r="N18667" i="17"/>
  <c r="N18666" i="17"/>
  <c r="N18665" i="17"/>
  <c r="N18664" i="17"/>
  <c r="N18663" i="17"/>
  <c r="N18662" i="17"/>
  <c r="N18661" i="17"/>
  <c r="N18660" i="17"/>
  <c r="N18659" i="17"/>
  <c r="N18658" i="17"/>
  <c r="N18657" i="17"/>
  <c r="N18656" i="17"/>
  <c r="N18655" i="17"/>
  <c r="N18654" i="17"/>
  <c r="N18653" i="17"/>
  <c r="N18652" i="17"/>
  <c r="N18651" i="17"/>
  <c r="N18650" i="17"/>
  <c r="N18649" i="17"/>
  <c r="N18648" i="17"/>
  <c r="N18647" i="17"/>
  <c r="N18646" i="17"/>
  <c r="N18645" i="17"/>
  <c r="N18644" i="17"/>
  <c r="N18643" i="17"/>
  <c r="N18642" i="17"/>
  <c r="N18641" i="17"/>
  <c r="N18640" i="17"/>
  <c r="N18639" i="17"/>
  <c r="N18638" i="17"/>
  <c r="N18637" i="17"/>
  <c r="N18636" i="17"/>
  <c r="N18635" i="17"/>
  <c r="N18634" i="17"/>
  <c r="N18633" i="17"/>
  <c r="N18632" i="17"/>
  <c r="N18631" i="17"/>
  <c r="N18630" i="17"/>
  <c r="N18629" i="17"/>
  <c r="N18628" i="17"/>
  <c r="N18627" i="17"/>
  <c r="N18626" i="17"/>
  <c r="N18625" i="17"/>
  <c r="N18624" i="17"/>
  <c r="N18623" i="17"/>
  <c r="N18622" i="17"/>
  <c r="N18621" i="17"/>
  <c r="N18620" i="17"/>
  <c r="N18619" i="17"/>
  <c r="N18618" i="17"/>
  <c r="N18617" i="17"/>
  <c r="N18616" i="17"/>
  <c r="N18615" i="17"/>
  <c r="N18614" i="17"/>
  <c r="N18613" i="17"/>
  <c r="N18612" i="17"/>
  <c r="N18611" i="17"/>
  <c r="N18610" i="17"/>
  <c r="N18609" i="17"/>
  <c r="N18608" i="17"/>
  <c r="N18607" i="17"/>
  <c r="N18606" i="17"/>
  <c r="N18605" i="17"/>
  <c r="N18604" i="17"/>
  <c r="N18603" i="17"/>
  <c r="N18602" i="17"/>
  <c r="N18601" i="17"/>
  <c r="N18600" i="17"/>
  <c r="N18599" i="17"/>
  <c r="N18598" i="17"/>
  <c r="N18597" i="17"/>
  <c r="N18596" i="17"/>
  <c r="N18595" i="17"/>
  <c r="N18594" i="17"/>
  <c r="N18593" i="17"/>
  <c r="N18592" i="17"/>
  <c r="N18591" i="17"/>
  <c r="N18590" i="17"/>
  <c r="N18589" i="17"/>
  <c r="N18588" i="17"/>
  <c r="N18587" i="17"/>
  <c r="N18586" i="17"/>
  <c r="N18585" i="17"/>
  <c r="N18584" i="17"/>
  <c r="N18583" i="17"/>
  <c r="N18582" i="17"/>
  <c r="N18581" i="17"/>
  <c r="N18580" i="17"/>
  <c r="N18579" i="17"/>
  <c r="N18578" i="17"/>
  <c r="N18577" i="17"/>
  <c r="N18576" i="17"/>
  <c r="N18575" i="17"/>
  <c r="N18574" i="17"/>
  <c r="N18573" i="17"/>
  <c r="N18572" i="17"/>
  <c r="N18571" i="17"/>
  <c r="N18570" i="17"/>
  <c r="N18569" i="17"/>
  <c r="N18568" i="17"/>
  <c r="N18567" i="17"/>
  <c r="N18566" i="17"/>
  <c r="N18565" i="17"/>
  <c r="N18564" i="17"/>
  <c r="N18563" i="17"/>
  <c r="N18562" i="17"/>
  <c r="N18561" i="17"/>
  <c r="N18560" i="17"/>
  <c r="N18559" i="17"/>
  <c r="N18558" i="17"/>
  <c r="N18557" i="17"/>
  <c r="N18556" i="17"/>
  <c r="N18555" i="17"/>
  <c r="N18554" i="17"/>
  <c r="N18553" i="17"/>
  <c r="N18552" i="17"/>
  <c r="N18551" i="17"/>
  <c r="N18550" i="17"/>
  <c r="N18549" i="17"/>
  <c r="N18548" i="17"/>
  <c r="N18547" i="17"/>
  <c r="N18546" i="17"/>
  <c r="N18545" i="17"/>
  <c r="N18544" i="17"/>
  <c r="N18543" i="17"/>
  <c r="N18542" i="17"/>
  <c r="N18541" i="17"/>
  <c r="N18540" i="17"/>
  <c r="N18539" i="17"/>
  <c r="N18538" i="17"/>
  <c r="N18537" i="17"/>
  <c r="N18536" i="17"/>
  <c r="N18535" i="17"/>
  <c r="N18534" i="17"/>
  <c r="N18533" i="17"/>
  <c r="N18532" i="17"/>
  <c r="N18531" i="17"/>
  <c r="N18530" i="17"/>
  <c r="N18529" i="17"/>
  <c r="N18528" i="17"/>
  <c r="N18527" i="17"/>
  <c r="N18526" i="17"/>
  <c r="N18525" i="17"/>
  <c r="N18524" i="17"/>
  <c r="N18523" i="17"/>
  <c r="N18522" i="17"/>
  <c r="N18521" i="17"/>
  <c r="N18520" i="17"/>
  <c r="N18519" i="17"/>
  <c r="N18518" i="17"/>
  <c r="N18517" i="17"/>
  <c r="N18516" i="17"/>
  <c r="N18515" i="17"/>
  <c r="N18514" i="17"/>
  <c r="N18513" i="17"/>
  <c r="N18512" i="17"/>
  <c r="N18511" i="17"/>
  <c r="N18510" i="17"/>
  <c r="N18509" i="17"/>
  <c r="N18508" i="17"/>
  <c r="N18507" i="17"/>
  <c r="N18506" i="17"/>
  <c r="N18505" i="17"/>
  <c r="N18504" i="17"/>
  <c r="N18503" i="17"/>
  <c r="N18502" i="17"/>
  <c r="N18501" i="17"/>
  <c r="N18500" i="17"/>
  <c r="N18499" i="17"/>
  <c r="N18498" i="17"/>
  <c r="N18497" i="17"/>
  <c r="N18496" i="17"/>
  <c r="N18495" i="17"/>
  <c r="N18494" i="17"/>
  <c r="N18493" i="17"/>
  <c r="N18492" i="17"/>
  <c r="N18491" i="17"/>
  <c r="N18490" i="17"/>
  <c r="N18489" i="17"/>
  <c r="N18488" i="17"/>
  <c r="N18487" i="17"/>
  <c r="N18486" i="17"/>
  <c r="N18485" i="17"/>
  <c r="N18484" i="17"/>
  <c r="N18483" i="17"/>
  <c r="N18482" i="17"/>
  <c r="N18481" i="17"/>
  <c r="N18480" i="17"/>
  <c r="N18479" i="17"/>
  <c r="N18478" i="17"/>
  <c r="N18477" i="17"/>
  <c r="N18476" i="17"/>
  <c r="N18475" i="17"/>
  <c r="N18474" i="17"/>
  <c r="N18473" i="17"/>
  <c r="N18472" i="17"/>
  <c r="N18471" i="17"/>
  <c r="N18470" i="17"/>
  <c r="N18469" i="17"/>
  <c r="N18468" i="17"/>
  <c r="N18467" i="17"/>
  <c r="N18466" i="17"/>
  <c r="N18465" i="17"/>
  <c r="N18464" i="17"/>
  <c r="N18463" i="17"/>
  <c r="N18462" i="17"/>
  <c r="N18461" i="17"/>
  <c r="N18460" i="17"/>
  <c r="N18459" i="17"/>
  <c r="N18458" i="17"/>
  <c r="N18457" i="17"/>
  <c r="N18456" i="17"/>
  <c r="N18455" i="17"/>
  <c r="N18454" i="17"/>
  <c r="N18453" i="17"/>
  <c r="N18452" i="17"/>
  <c r="N18451" i="17"/>
  <c r="N18450" i="17"/>
  <c r="N18449" i="17"/>
  <c r="N18448" i="17"/>
  <c r="N18447" i="17"/>
  <c r="N18446" i="17"/>
  <c r="N18445" i="17"/>
  <c r="N18444" i="17"/>
  <c r="N18443" i="17"/>
  <c r="N18442" i="17"/>
  <c r="N18441" i="17"/>
  <c r="N18440" i="17"/>
  <c r="N18439" i="17"/>
  <c r="N18438" i="17"/>
  <c r="N18437" i="17"/>
  <c r="N18436" i="17"/>
  <c r="N18435" i="17"/>
  <c r="N18434" i="17"/>
  <c r="N18433" i="17"/>
  <c r="N18432" i="17"/>
  <c r="N18431" i="17"/>
  <c r="N18430" i="17"/>
  <c r="N18429" i="17"/>
  <c r="N18428" i="17"/>
  <c r="N18427" i="17"/>
  <c r="N18426" i="17"/>
  <c r="N18425" i="17"/>
  <c r="N18424" i="17"/>
  <c r="N18423" i="17"/>
  <c r="N18422" i="17"/>
  <c r="N18421" i="17"/>
  <c r="N18420" i="17"/>
  <c r="N18419" i="17"/>
  <c r="N18418" i="17"/>
  <c r="N18417" i="17"/>
  <c r="N18416" i="17"/>
  <c r="N18415" i="17"/>
  <c r="N18414" i="17"/>
  <c r="N18413" i="17"/>
  <c r="N18412" i="17"/>
  <c r="N18411" i="17"/>
  <c r="N18410" i="17"/>
  <c r="N18409" i="17"/>
  <c r="N18408" i="17"/>
  <c r="N18407" i="17"/>
  <c r="N18406" i="17"/>
  <c r="N18405" i="17"/>
  <c r="N18404" i="17"/>
  <c r="N18403" i="17"/>
  <c r="N18402" i="17"/>
  <c r="N18401" i="17"/>
  <c r="N18400" i="17"/>
  <c r="N18399" i="17"/>
  <c r="N18398" i="17"/>
  <c r="N18397" i="17"/>
  <c r="N18396" i="17"/>
  <c r="N18395" i="17"/>
  <c r="N18394" i="17"/>
  <c r="N18393" i="17"/>
  <c r="N18392" i="17"/>
  <c r="N18391" i="17"/>
  <c r="N18390" i="17"/>
  <c r="N18389" i="17"/>
  <c r="N18388" i="17"/>
  <c r="N18387" i="17"/>
  <c r="N18386" i="17"/>
  <c r="N18385" i="17"/>
  <c r="N18384" i="17"/>
  <c r="N18383" i="17"/>
  <c r="N18382" i="17"/>
  <c r="N18381" i="17"/>
  <c r="N18380" i="17"/>
  <c r="N18379" i="17"/>
  <c r="N18378" i="17"/>
  <c r="N18377" i="17"/>
  <c r="N18376" i="17"/>
  <c r="N18375" i="17"/>
  <c r="N18374" i="17"/>
  <c r="N18373" i="17"/>
  <c r="N18372" i="17"/>
  <c r="N18371" i="17"/>
  <c r="N18370" i="17"/>
  <c r="N18369" i="17"/>
  <c r="N18368" i="17"/>
  <c r="N18367" i="17"/>
  <c r="N18366" i="17"/>
  <c r="N18365" i="17"/>
  <c r="N18364" i="17"/>
  <c r="N18363" i="17"/>
  <c r="N18362" i="17"/>
  <c r="N18361" i="17"/>
  <c r="N18360" i="17"/>
  <c r="N18359" i="17"/>
  <c r="N18358" i="17"/>
  <c r="N18357" i="17"/>
  <c r="N18356" i="17"/>
  <c r="N18355" i="17"/>
  <c r="N18354" i="17"/>
  <c r="N18353" i="17"/>
  <c r="N18352" i="17"/>
  <c r="N18351" i="17"/>
  <c r="N18350" i="17"/>
  <c r="N18349" i="17"/>
  <c r="N18348" i="17"/>
  <c r="N18347" i="17"/>
  <c r="N18346" i="17"/>
  <c r="N18345" i="17"/>
  <c r="N18344" i="17"/>
  <c r="N18343" i="17"/>
  <c r="N18342" i="17"/>
  <c r="N18341" i="17"/>
  <c r="N18340" i="17"/>
  <c r="N18339" i="17"/>
  <c r="N18338" i="17"/>
  <c r="N18337" i="17"/>
  <c r="N18336" i="17"/>
  <c r="N18335" i="17"/>
  <c r="N18334" i="17"/>
  <c r="N18333" i="17"/>
  <c r="N18332" i="17"/>
  <c r="N18331" i="17"/>
  <c r="N18330" i="17"/>
  <c r="N18329" i="17"/>
  <c r="N18328" i="17"/>
  <c r="N18327" i="17"/>
  <c r="N18326" i="17"/>
  <c r="N18325" i="17"/>
  <c r="N18324" i="17"/>
  <c r="N18323" i="17"/>
  <c r="N18322" i="17"/>
  <c r="N18321" i="17"/>
  <c r="N18320" i="17"/>
  <c r="N18319" i="17"/>
  <c r="N18318" i="17"/>
  <c r="N18317" i="17"/>
  <c r="N18316" i="17"/>
  <c r="N18315" i="17"/>
  <c r="N18314" i="17"/>
  <c r="N18313" i="17"/>
  <c r="N18312" i="17"/>
  <c r="N18311" i="17"/>
  <c r="N18310" i="17"/>
  <c r="N18309" i="17"/>
  <c r="N18308" i="17"/>
  <c r="N18307" i="17"/>
  <c r="N18306" i="17"/>
  <c r="N18305" i="17"/>
  <c r="N18304" i="17"/>
  <c r="N18303" i="17"/>
  <c r="N18302" i="17"/>
  <c r="N18301" i="17"/>
  <c r="N18300" i="17"/>
  <c r="N18299" i="17"/>
  <c r="N18298" i="17"/>
  <c r="N18297" i="17"/>
  <c r="N18296" i="17"/>
  <c r="N18295" i="17"/>
  <c r="N18294" i="17"/>
  <c r="N18293" i="17"/>
  <c r="N18292" i="17"/>
  <c r="N18291" i="17"/>
  <c r="N18290" i="17"/>
  <c r="N18289" i="17"/>
  <c r="N18288" i="17"/>
  <c r="N18287" i="17"/>
  <c r="N18286" i="17"/>
  <c r="N18285" i="17"/>
  <c r="N18284" i="17"/>
  <c r="N18283" i="17"/>
  <c r="N18282" i="17"/>
  <c r="N18281" i="17"/>
  <c r="N18280" i="17"/>
  <c r="N18279" i="17"/>
  <c r="N18278" i="17"/>
  <c r="N18277" i="17"/>
  <c r="N18276" i="17"/>
  <c r="N18275" i="17"/>
  <c r="N18274" i="17"/>
  <c r="N18273" i="17"/>
  <c r="N18272" i="17"/>
  <c r="N18271" i="17"/>
  <c r="N18270" i="17"/>
  <c r="N18269" i="17"/>
  <c r="N18268" i="17"/>
  <c r="N18267" i="17"/>
  <c r="N18266" i="17"/>
  <c r="N18265" i="17"/>
  <c r="N18264" i="17"/>
  <c r="N18263" i="17"/>
  <c r="N18262" i="17"/>
  <c r="N18261" i="17"/>
  <c r="N18260" i="17"/>
  <c r="N18259" i="17"/>
  <c r="N18258" i="17"/>
  <c r="N18257" i="17"/>
  <c r="N18256" i="17"/>
  <c r="N18255" i="17"/>
  <c r="N18254" i="17"/>
  <c r="N18253" i="17"/>
  <c r="N18252" i="17"/>
  <c r="N18251" i="17"/>
  <c r="N18250" i="17"/>
  <c r="N18249" i="17"/>
  <c r="N18248" i="17"/>
  <c r="N18247" i="17"/>
  <c r="N18246" i="17"/>
  <c r="N18245" i="17"/>
  <c r="N18244" i="17"/>
  <c r="N18243" i="17"/>
  <c r="N18242" i="17"/>
  <c r="N18241" i="17"/>
  <c r="N18240" i="17"/>
  <c r="N18239" i="17"/>
  <c r="N18238" i="17"/>
  <c r="N18237" i="17"/>
  <c r="N18236" i="17"/>
  <c r="N18235" i="17"/>
  <c r="N18234" i="17"/>
  <c r="N18233" i="17"/>
  <c r="N18232" i="17"/>
  <c r="N18231" i="17"/>
  <c r="N18230" i="17"/>
  <c r="N18229" i="17"/>
  <c r="N18228" i="17"/>
  <c r="N18227" i="17"/>
  <c r="N18226" i="17"/>
  <c r="N18225" i="17"/>
  <c r="N18224" i="17"/>
  <c r="N18223" i="17"/>
  <c r="N18222" i="17"/>
  <c r="N18221" i="17"/>
  <c r="N18220" i="17"/>
  <c r="N18219" i="17"/>
  <c r="N18218" i="17"/>
  <c r="N18217" i="17"/>
  <c r="N18216" i="17"/>
  <c r="N18215" i="17"/>
  <c r="N18214" i="17"/>
  <c r="N18213" i="17"/>
  <c r="N18212" i="17"/>
  <c r="N18211" i="17"/>
  <c r="N18210" i="17"/>
  <c r="N18209" i="17"/>
  <c r="N18208" i="17"/>
  <c r="N18207" i="17"/>
  <c r="N18206" i="17"/>
  <c r="N18205" i="17"/>
  <c r="N18204" i="17"/>
  <c r="N18203" i="17"/>
  <c r="N18202" i="17"/>
  <c r="N18201" i="17"/>
  <c r="N18200" i="17"/>
  <c r="N18199" i="17"/>
  <c r="N18198" i="17"/>
  <c r="N18197" i="17"/>
  <c r="N18196" i="17"/>
  <c r="N18195" i="17"/>
  <c r="N18194" i="17"/>
  <c r="N18193" i="17"/>
  <c r="N18192" i="17"/>
  <c r="N18191" i="17"/>
  <c r="N18190" i="17"/>
  <c r="N18189" i="17"/>
  <c r="N18188" i="17"/>
  <c r="N18187" i="17"/>
  <c r="N18186" i="17"/>
  <c r="N18185" i="17"/>
  <c r="N18184" i="17"/>
  <c r="N18183" i="17"/>
  <c r="N18182" i="17"/>
  <c r="N18181" i="17"/>
  <c r="N18180" i="17"/>
  <c r="N18179" i="17"/>
  <c r="N18178" i="17"/>
  <c r="N18177" i="17"/>
  <c r="N18176" i="17"/>
  <c r="N18175" i="17"/>
  <c r="N18174" i="17"/>
  <c r="N18173" i="17"/>
  <c r="N18172" i="17"/>
  <c r="N18171" i="17"/>
  <c r="N18170" i="17"/>
  <c r="N18169" i="17"/>
  <c r="N18168" i="17"/>
  <c r="N18167" i="17"/>
  <c r="N18166" i="17"/>
  <c r="N18165" i="17"/>
  <c r="N18164" i="17"/>
  <c r="N18163" i="17"/>
  <c r="N18162" i="17"/>
  <c r="N18161" i="17"/>
  <c r="N18160" i="17"/>
  <c r="N18159" i="17"/>
  <c r="N18158" i="17"/>
  <c r="N18157" i="17"/>
  <c r="N18156" i="17"/>
  <c r="N18155" i="17"/>
  <c r="N18154" i="17"/>
  <c r="N18153" i="17"/>
  <c r="N18152" i="17"/>
  <c r="N18151" i="17"/>
  <c r="N18150" i="17"/>
  <c r="N18149" i="17"/>
  <c r="N18148" i="17"/>
  <c r="N18147" i="17"/>
  <c r="N18146" i="17"/>
  <c r="N18145" i="17"/>
  <c r="N18144" i="17"/>
  <c r="N18143" i="17"/>
  <c r="N18142" i="17"/>
  <c r="N18141" i="17"/>
  <c r="N18140" i="17"/>
  <c r="N18139" i="17"/>
  <c r="N18138" i="17"/>
  <c r="N18137" i="17"/>
  <c r="N18136" i="17"/>
  <c r="N18135" i="17"/>
  <c r="N18134" i="17"/>
  <c r="N18133" i="17"/>
  <c r="N18132" i="17"/>
  <c r="N18131" i="17"/>
  <c r="N18130" i="17"/>
  <c r="N18129" i="17"/>
  <c r="N18128" i="17"/>
  <c r="N18127" i="17"/>
  <c r="N18126" i="17"/>
  <c r="N18125" i="17"/>
  <c r="N18124" i="17"/>
  <c r="N18123" i="17"/>
  <c r="N18122" i="17"/>
  <c r="N18121" i="17"/>
  <c r="N18120" i="17"/>
  <c r="N18119" i="17"/>
  <c r="N18118" i="17"/>
  <c r="N18117" i="17"/>
  <c r="N18116" i="17"/>
  <c r="N18115" i="17"/>
  <c r="N18114" i="17"/>
  <c r="N18113" i="17"/>
  <c r="N18112" i="17"/>
  <c r="N18111" i="17"/>
  <c r="N18110" i="17"/>
  <c r="N18109" i="17"/>
  <c r="N18108" i="17"/>
  <c r="N18107" i="17"/>
  <c r="N18106" i="17"/>
  <c r="N18105" i="17"/>
  <c r="N18104" i="17"/>
  <c r="N18103" i="17"/>
  <c r="N18102" i="17"/>
  <c r="N18101" i="17"/>
  <c r="N18100" i="17"/>
  <c r="N18099" i="17"/>
  <c r="N18098" i="17"/>
  <c r="N18097" i="17"/>
  <c r="N18096" i="17"/>
  <c r="N18095" i="17"/>
  <c r="N18094" i="17"/>
  <c r="N18093" i="17"/>
  <c r="N18092" i="17"/>
  <c r="N18091" i="17"/>
  <c r="N18090" i="17"/>
  <c r="N18089" i="17"/>
  <c r="N18088" i="17"/>
  <c r="N18087" i="17"/>
  <c r="N18086" i="17"/>
  <c r="N18085" i="17"/>
  <c r="N18084" i="17"/>
  <c r="N18083" i="17"/>
  <c r="N18082" i="17"/>
  <c r="N18081" i="17"/>
  <c r="N18080" i="17"/>
  <c r="N18079" i="17"/>
  <c r="N18078" i="17"/>
  <c r="N18077" i="17"/>
  <c r="N18076" i="17"/>
  <c r="N18075" i="17"/>
  <c r="N18074" i="17"/>
  <c r="N18073" i="17"/>
  <c r="N18072" i="17"/>
  <c r="N18071" i="17"/>
  <c r="N18070" i="17"/>
  <c r="N18069" i="17"/>
  <c r="N18068" i="17"/>
  <c r="N18067" i="17"/>
  <c r="N18066" i="17"/>
  <c r="N18065" i="17"/>
  <c r="N18064" i="17"/>
  <c r="N18063" i="17"/>
  <c r="N18062" i="17"/>
  <c r="N18061" i="17"/>
  <c r="N18060" i="17"/>
  <c r="N18059" i="17"/>
  <c r="N18058" i="17"/>
  <c r="N18057" i="17"/>
  <c r="N18056" i="17"/>
  <c r="N18055" i="17"/>
  <c r="N18054" i="17"/>
  <c r="N18053" i="17"/>
  <c r="N18052" i="17"/>
  <c r="N18051" i="17"/>
  <c r="N18050" i="17"/>
  <c r="N18049" i="17"/>
  <c r="N18048" i="17"/>
  <c r="N18047" i="17"/>
  <c r="N18046" i="17"/>
  <c r="N18045" i="17"/>
  <c r="N18044" i="17"/>
  <c r="N18043" i="17"/>
  <c r="N18042" i="17"/>
  <c r="N18041" i="17"/>
  <c r="N18040" i="17"/>
  <c r="N18039" i="17"/>
  <c r="N18038" i="17"/>
  <c r="N18037" i="17"/>
  <c r="N18036" i="17"/>
  <c r="N18035" i="17"/>
  <c r="N18034" i="17"/>
  <c r="N18033" i="17"/>
  <c r="N18032" i="17"/>
  <c r="N18031" i="17"/>
  <c r="N18030" i="17"/>
  <c r="N18029" i="17"/>
  <c r="N18028" i="17"/>
  <c r="N18027" i="17"/>
  <c r="N18026" i="17"/>
  <c r="N18025" i="17"/>
  <c r="N18024" i="17"/>
  <c r="N18023" i="17"/>
  <c r="N18022" i="17"/>
  <c r="N18021" i="17"/>
  <c r="N18020" i="17"/>
  <c r="N18019" i="17"/>
  <c r="N18018" i="17"/>
  <c r="N18017" i="17"/>
  <c r="N18016" i="17"/>
  <c r="N18015" i="17"/>
  <c r="N18014" i="17"/>
  <c r="N18013" i="17"/>
  <c r="N18012" i="17"/>
  <c r="N18011" i="17"/>
  <c r="N18010" i="17"/>
  <c r="N18009" i="17"/>
  <c r="N18008" i="17"/>
  <c r="N18007" i="17"/>
  <c r="N18006" i="17"/>
  <c r="N18005" i="17"/>
  <c r="N18004" i="17"/>
  <c r="N18003" i="17"/>
  <c r="N18002" i="17"/>
  <c r="N18001" i="17"/>
  <c r="N18000" i="17"/>
  <c r="N17999" i="17"/>
  <c r="N17998" i="17"/>
  <c r="N17997" i="17"/>
  <c r="N17996" i="17"/>
  <c r="N17995" i="17"/>
  <c r="N17994" i="17"/>
  <c r="N17993" i="17"/>
  <c r="N17992" i="17"/>
  <c r="N17991" i="17"/>
  <c r="N17990" i="17"/>
  <c r="N17989" i="17"/>
  <c r="N17988" i="17"/>
  <c r="N17987" i="17"/>
  <c r="N17986" i="17"/>
  <c r="N17985" i="17"/>
  <c r="N17984" i="17"/>
  <c r="N17983" i="17"/>
  <c r="N17982" i="17"/>
  <c r="N17981" i="17"/>
  <c r="N17980" i="17"/>
  <c r="N17979" i="17"/>
  <c r="N17978" i="17"/>
  <c r="N17977" i="17"/>
  <c r="N17976" i="17"/>
  <c r="N17975" i="17"/>
  <c r="N17974" i="17"/>
  <c r="N17973" i="17"/>
  <c r="N17972" i="17"/>
  <c r="N17971" i="17"/>
  <c r="N17970" i="17"/>
  <c r="N17969" i="17"/>
  <c r="N17968" i="17"/>
  <c r="N17967" i="17"/>
  <c r="N17966" i="17"/>
  <c r="N17965" i="17"/>
  <c r="N17964" i="17"/>
  <c r="N17963" i="17"/>
  <c r="N17962" i="17"/>
  <c r="N17961" i="17"/>
  <c r="N17960" i="17"/>
  <c r="N17959" i="17"/>
  <c r="N17958" i="17"/>
  <c r="N17957" i="17"/>
  <c r="N17956" i="17"/>
  <c r="N17955" i="17"/>
  <c r="N17954" i="17"/>
  <c r="N17953" i="17"/>
  <c r="N17952" i="17"/>
  <c r="N17951" i="17"/>
  <c r="N17950" i="17"/>
  <c r="N17949" i="17"/>
  <c r="N17948" i="17"/>
  <c r="N17947" i="17"/>
  <c r="N17946" i="17"/>
  <c r="N17945" i="17"/>
  <c r="N17944" i="17"/>
  <c r="N17943" i="17"/>
  <c r="N17942" i="17"/>
  <c r="N17941" i="17"/>
  <c r="N17940" i="17"/>
  <c r="N17939" i="17"/>
  <c r="N17938" i="17"/>
  <c r="N17937" i="17"/>
  <c r="N17936" i="17"/>
  <c r="N17935" i="17"/>
  <c r="N17934" i="17"/>
  <c r="N17933" i="17"/>
  <c r="N17932" i="17"/>
  <c r="N17931" i="17"/>
  <c r="N17930" i="17"/>
  <c r="N17929" i="17"/>
  <c r="N17928" i="17"/>
  <c r="N17927" i="17"/>
  <c r="N17926" i="17"/>
  <c r="N17925" i="17"/>
  <c r="N17924" i="17"/>
  <c r="N17923" i="17"/>
  <c r="N17922" i="17"/>
  <c r="N17921" i="17"/>
  <c r="N17920" i="17"/>
  <c r="N17919" i="17"/>
  <c r="N17918" i="17"/>
  <c r="N17917" i="17"/>
  <c r="N17916" i="17"/>
  <c r="N17915" i="17"/>
  <c r="N17914" i="17"/>
  <c r="N17913" i="17"/>
  <c r="N17912" i="17"/>
  <c r="N17911" i="17"/>
  <c r="N17910" i="17"/>
  <c r="N17909" i="17"/>
  <c r="N17908" i="17"/>
  <c r="N17907" i="17"/>
  <c r="N17906" i="17"/>
  <c r="N17905" i="17"/>
  <c r="N17904" i="17"/>
  <c r="N17903" i="17"/>
  <c r="N17902" i="17"/>
  <c r="N17901" i="17"/>
  <c r="N17900" i="17"/>
  <c r="N17899" i="17"/>
  <c r="N17898" i="17"/>
  <c r="N17897" i="17"/>
  <c r="N17896" i="17"/>
  <c r="N17895" i="17"/>
  <c r="N17894" i="17"/>
  <c r="N17893" i="17"/>
  <c r="N17892" i="17"/>
  <c r="N17891" i="17"/>
  <c r="N17890" i="17"/>
  <c r="N17889" i="17"/>
  <c r="N17888" i="17"/>
  <c r="N17887" i="17"/>
  <c r="N17886" i="17"/>
  <c r="N17885" i="17"/>
  <c r="N17884" i="17"/>
  <c r="N17883" i="17"/>
  <c r="N17882" i="17"/>
  <c r="N17881" i="17"/>
  <c r="N17880" i="17"/>
  <c r="N17879" i="17"/>
  <c r="N17878" i="17"/>
  <c r="N17877" i="17"/>
  <c r="N17876" i="17"/>
  <c r="N17875" i="17"/>
  <c r="N17874" i="17"/>
  <c r="N17873" i="17"/>
  <c r="N17872" i="17"/>
  <c r="N17871" i="17"/>
  <c r="N17870" i="17"/>
  <c r="N17869" i="17"/>
  <c r="N17868" i="17"/>
  <c r="N17867" i="17"/>
  <c r="N17866" i="17"/>
  <c r="N17865" i="17"/>
  <c r="N17864" i="17"/>
  <c r="N17863" i="17"/>
  <c r="N17862" i="17"/>
  <c r="N17861" i="17"/>
  <c r="N17860" i="17"/>
  <c r="N17859" i="17"/>
  <c r="N17858" i="17"/>
  <c r="N17857" i="17"/>
  <c r="N17856" i="17"/>
  <c r="N17855" i="17"/>
  <c r="N17854" i="17"/>
  <c r="N17853" i="17"/>
  <c r="N17852" i="17"/>
  <c r="N17851" i="17"/>
  <c r="N17850" i="17"/>
  <c r="N17849" i="17"/>
  <c r="N17848" i="17"/>
  <c r="N17847" i="17"/>
  <c r="N17846" i="17"/>
  <c r="N17845" i="17"/>
  <c r="N17844" i="17"/>
  <c r="N17843" i="17"/>
  <c r="N17842" i="17"/>
  <c r="N17841" i="17"/>
  <c r="N17840" i="17"/>
  <c r="N17839" i="17"/>
  <c r="N17838" i="17"/>
  <c r="N17837" i="17"/>
  <c r="N17836" i="17"/>
  <c r="N17835" i="17"/>
  <c r="N17834" i="17"/>
  <c r="N17833" i="17"/>
  <c r="N17832" i="17"/>
  <c r="N17831" i="17"/>
  <c r="N17830" i="17"/>
  <c r="N17829" i="17"/>
  <c r="N17828" i="17"/>
  <c r="N17827" i="17"/>
  <c r="N17826" i="17"/>
  <c r="N17825" i="17"/>
  <c r="N17824" i="17"/>
  <c r="N17823" i="17"/>
  <c r="N17822" i="17"/>
  <c r="N17821" i="17"/>
  <c r="N17820" i="17"/>
  <c r="N17819" i="17"/>
  <c r="N17818" i="17"/>
  <c r="N17817" i="17"/>
  <c r="N17816" i="17"/>
  <c r="N17815" i="17"/>
  <c r="N17814" i="17"/>
  <c r="N17813" i="17"/>
  <c r="N17812" i="17"/>
  <c r="N17811" i="17"/>
  <c r="N17810" i="17"/>
  <c r="N17809" i="17"/>
  <c r="N17808" i="17"/>
  <c r="N17807" i="17"/>
  <c r="N17806" i="17"/>
  <c r="N17805" i="17"/>
  <c r="N17804" i="17"/>
  <c r="N17803" i="17"/>
  <c r="N17802" i="17"/>
  <c r="N17801" i="17"/>
  <c r="N17800" i="17"/>
  <c r="N17799" i="17"/>
  <c r="N17798" i="17"/>
  <c r="N17797" i="17"/>
  <c r="N17796" i="17"/>
  <c r="N17795" i="17"/>
  <c r="N17794" i="17"/>
  <c r="N17793" i="17"/>
  <c r="N17792" i="17"/>
  <c r="N17791" i="17"/>
  <c r="N17790" i="17"/>
  <c r="N17789" i="17"/>
  <c r="N17788" i="17"/>
  <c r="N17787" i="17"/>
  <c r="N17786" i="17"/>
  <c r="N17785" i="17"/>
  <c r="N17784" i="17"/>
  <c r="N17783" i="17"/>
  <c r="N17782" i="17"/>
  <c r="N17781" i="17"/>
  <c r="N17780" i="17"/>
  <c r="N17779" i="17"/>
  <c r="N17778" i="17"/>
  <c r="N17777" i="17"/>
  <c r="N17776" i="17"/>
  <c r="N17775" i="17"/>
  <c r="N17774" i="17"/>
  <c r="N17773" i="17"/>
  <c r="N17772" i="17"/>
  <c r="N17771" i="17"/>
  <c r="N17770" i="17"/>
  <c r="N17769" i="17"/>
  <c r="N17768" i="17"/>
  <c r="N17767" i="17"/>
  <c r="N17766" i="17"/>
  <c r="N17765" i="17"/>
  <c r="N17764" i="17"/>
  <c r="N17763" i="17"/>
  <c r="N17762" i="17"/>
  <c r="N17761" i="17"/>
  <c r="N17760" i="17"/>
  <c r="N17759" i="17"/>
  <c r="N17758" i="17"/>
  <c r="N17757" i="17"/>
  <c r="N17756" i="17"/>
  <c r="N17755" i="17"/>
  <c r="N17754" i="17"/>
  <c r="N17753" i="17"/>
  <c r="N17752" i="17"/>
  <c r="N17751" i="17"/>
  <c r="N17750" i="17"/>
  <c r="N17749" i="17"/>
  <c r="N17748" i="17"/>
  <c r="N17747" i="17"/>
  <c r="N17746" i="17"/>
  <c r="N17745" i="17"/>
  <c r="N17744" i="17"/>
  <c r="N17743" i="17"/>
  <c r="N17742" i="17"/>
  <c r="N17741" i="17"/>
  <c r="N17740" i="17"/>
  <c r="N17739" i="17"/>
  <c r="N17738" i="17"/>
  <c r="N17737" i="17"/>
  <c r="N17736" i="17"/>
  <c r="N17735" i="17"/>
  <c r="N17734" i="17"/>
  <c r="N17733" i="17"/>
  <c r="N17732" i="17"/>
  <c r="N17731" i="17"/>
  <c r="N17730" i="17"/>
  <c r="N17729" i="17"/>
  <c r="N17728" i="17"/>
  <c r="N17727" i="17"/>
  <c r="N17726" i="17"/>
  <c r="N17725" i="17"/>
  <c r="N17724" i="17"/>
  <c r="N17723" i="17"/>
  <c r="N17722" i="17"/>
  <c r="N17721" i="17"/>
  <c r="N17720" i="17"/>
  <c r="N17719" i="17"/>
  <c r="N17718" i="17"/>
  <c r="N17717" i="17"/>
  <c r="N17716" i="17"/>
  <c r="N17715" i="17"/>
  <c r="N17714" i="17"/>
  <c r="N17713" i="17"/>
  <c r="N17712" i="17"/>
  <c r="N17711" i="17"/>
  <c r="N17710" i="17"/>
  <c r="N17709" i="17"/>
  <c r="N17708" i="17"/>
  <c r="N17707" i="17"/>
  <c r="N17706" i="17"/>
  <c r="N17705" i="17"/>
  <c r="N17704" i="17"/>
  <c r="N17703" i="17"/>
  <c r="N17702" i="17"/>
  <c r="N17701" i="17"/>
  <c r="N17700" i="17"/>
  <c r="N17699" i="17"/>
  <c r="N17698" i="17"/>
  <c r="N17697" i="17"/>
  <c r="N17696" i="17"/>
  <c r="N17695" i="17"/>
  <c r="N17694" i="17"/>
  <c r="N17693" i="17"/>
  <c r="N17692" i="17"/>
  <c r="N17691" i="17"/>
  <c r="N17690" i="17"/>
  <c r="N17689" i="17"/>
  <c r="N17688" i="17"/>
  <c r="N17687" i="17"/>
  <c r="N17686" i="17"/>
  <c r="N17685" i="17"/>
  <c r="N17684" i="17"/>
  <c r="N17683" i="17"/>
  <c r="N17682" i="17"/>
  <c r="N17681" i="17"/>
  <c r="N17680" i="17"/>
  <c r="N17679" i="17"/>
  <c r="N17678" i="17"/>
  <c r="N17677" i="17"/>
  <c r="N17676" i="17"/>
  <c r="N17675" i="17"/>
  <c r="N17674" i="17"/>
  <c r="N17673" i="17"/>
  <c r="N17672" i="17"/>
  <c r="N17671" i="17"/>
  <c r="N17670" i="17"/>
  <c r="N17669" i="17"/>
  <c r="N17668" i="17"/>
  <c r="N17667" i="17"/>
  <c r="N17666" i="17"/>
  <c r="N17665" i="17"/>
  <c r="N17664" i="17"/>
  <c r="N17663" i="17"/>
  <c r="N17662" i="17"/>
  <c r="N17661" i="17"/>
  <c r="N17660" i="17"/>
  <c r="N17659" i="17"/>
  <c r="N17658" i="17"/>
  <c r="N17657" i="17"/>
  <c r="N17656" i="17"/>
  <c r="N17655" i="17"/>
  <c r="N17654" i="17"/>
  <c r="N17653" i="17"/>
  <c r="N17652" i="17"/>
  <c r="N17651" i="17"/>
  <c r="N17650" i="17"/>
  <c r="N17649" i="17"/>
  <c r="N17648" i="17"/>
  <c r="N17647" i="17"/>
  <c r="N17646" i="17"/>
  <c r="N17645" i="17"/>
  <c r="N17644" i="17"/>
  <c r="N17643" i="17"/>
  <c r="N17642" i="17"/>
  <c r="N17641" i="17"/>
  <c r="N17640" i="17"/>
  <c r="N17639" i="17"/>
  <c r="N17638" i="17"/>
  <c r="N17637" i="17"/>
  <c r="N17636" i="17"/>
  <c r="N17635" i="17"/>
  <c r="N17634" i="17"/>
  <c r="N17633" i="17"/>
  <c r="N17632" i="17"/>
  <c r="N17631" i="17"/>
  <c r="N17630" i="17"/>
  <c r="N17629" i="17"/>
  <c r="N17628" i="17"/>
  <c r="N17627" i="17"/>
  <c r="N17626" i="17"/>
  <c r="N17625" i="17"/>
  <c r="N17624" i="17"/>
  <c r="N17623" i="17"/>
  <c r="N17622" i="17"/>
  <c r="N17621" i="17"/>
  <c r="N17620" i="17"/>
  <c r="N17619" i="17"/>
  <c r="N17618" i="17"/>
  <c r="N17617" i="17"/>
  <c r="N17616" i="17"/>
  <c r="N17615" i="17"/>
  <c r="N17614" i="17"/>
  <c r="N17613" i="17"/>
  <c r="N17612" i="17"/>
  <c r="N17611" i="17"/>
  <c r="N17610" i="17"/>
  <c r="N17609" i="17"/>
  <c r="N17608" i="17"/>
  <c r="N17607" i="17"/>
  <c r="N17606" i="17"/>
  <c r="N17605" i="17"/>
  <c r="N17604" i="17"/>
  <c r="N17603" i="17"/>
  <c r="N17602" i="17"/>
  <c r="N17601" i="17"/>
  <c r="N17600" i="17"/>
  <c r="N17599" i="17"/>
  <c r="N17598" i="17"/>
  <c r="N17597" i="17"/>
  <c r="N17596" i="17"/>
  <c r="N17595" i="17"/>
  <c r="N17594" i="17"/>
  <c r="N17593" i="17"/>
  <c r="N17592" i="17"/>
  <c r="N17591" i="17"/>
  <c r="N17590" i="17"/>
  <c r="N17589" i="17"/>
  <c r="N17588" i="17"/>
  <c r="N17587" i="17"/>
  <c r="N17586" i="17"/>
  <c r="N17585" i="17"/>
  <c r="N17584" i="17"/>
  <c r="N17583" i="17"/>
  <c r="N17582" i="17"/>
  <c r="N17581" i="17"/>
  <c r="N17580" i="17"/>
  <c r="N17579" i="17"/>
  <c r="N17578" i="17"/>
  <c r="N17577" i="17"/>
  <c r="N17576" i="17"/>
  <c r="N17575" i="17"/>
  <c r="N17574" i="17"/>
  <c r="N17573" i="17"/>
  <c r="N17572" i="17"/>
  <c r="N17571" i="17"/>
  <c r="N17570" i="17"/>
  <c r="N17569" i="17"/>
  <c r="N17568" i="17"/>
  <c r="N17567" i="17"/>
  <c r="N17566" i="17"/>
  <c r="N17565" i="17"/>
  <c r="N17564" i="17"/>
  <c r="N17563" i="17"/>
  <c r="N17562" i="17"/>
  <c r="N17561" i="17"/>
  <c r="N17560" i="17"/>
  <c r="N17559" i="17"/>
  <c r="N17558" i="17"/>
  <c r="N17557" i="17"/>
  <c r="N17556" i="17"/>
  <c r="N17555" i="17"/>
  <c r="N17554" i="17"/>
  <c r="N17553" i="17"/>
  <c r="N17552" i="17"/>
  <c r="N17551" i="17"/>
  <c r="N17550" i="17"/>
  <c r="N17549" i="17"/>
  <c r="N17548" i="17"/>
  <c r="N17547" i="17"/>
  <c r="N17546" i="17"/>
  <c r="N17545" i="17"/>
  <c r="N17544" i="17"/>
  <c r="N17543" i="17"/>
  <c r="N17542" i="17"/>
  <c r="N17541" i="17"/>
  <c r="N17540" i="17"/>
  <c r="N17539" i="17"/>
  <c r="N17538" i="17"/>
  <c r="N17537" i="17"/>
  <c r="N17536" i="17"/>
  <c r="N17535" i="17"/>
  <c r="N17534" i="17"/>
  <c r="N17533" i="17"/>
  <c r="N17532" i="17"/>
  <c r="N17531" i="17"/>
  <c r="N17530" i="17"/>
  <c r="N17529" i="17"/>
  <c r="N17528" i="17"/>
  <c r="N17527" i="17"/>
  <c r="N17526" i="17"/>
  <c r="N17525" i="17"/>
  <c r="N17524" i="17"/>
  <c r="N17523" i="17"/>
  <c r="N17522" i="17"/>
  <c r="N17521" i="17"/>
  <c r="N17520" i="17"/>
  <c r="N17519" i="17"/>
  <c r="N17518" i="17"/>
  <c r="N17517" i="17"/>
  <c r="N17516" i="17"/>
  <c r="N17515" i="17"/>
  <c r="N17514" i="17"/>
  <c r="N17513" i="17"/>
  <c r="N17512" i="17"/>
  <c r="N17511" i="17"/>
  <c r="N17510" i="17"/>
  <c r="N17509" i="17"/>
  <c r="N17508" i="17"/>
  <c r="N17507" i="17"/>
  <c r="N17506" i="17"/>
  <c r="N17505" i="17"/>
  <c r="N17504" i="17"/>
  <c r="N17503" i="17"/>
  <c r="N17502" i="17"/>
  <c r="N17501" i="17"/>
  <c r="N17500" i="17"/>
  <c r="N17499" i="17"/>
  <c r="N17498" i="17"/>
  <c r="N17497" i="17"/>
  <c r="N17496" i="17"/>
  <c r="N17495" i="17"/>
  <c r="N17494" i="17"/>
  <c r="N17493" i="17"/>
  <c r="N17492" i="17"/>
  <c r="N17491" i="17"/>
  <c r="N17490" i="17"/>
  <c r="N17489" i="17"/>
  <c r="N17488" i="17"/>
  <c r="N17487" i="17"/>
  <c r="N17486" i="17"/>
  <c r="N17485" i="17"/>
  <c r="N17484" i="17"/>
  <c r="N17483" i="17"/>
  <c r="N17482" i="17"/>
  <c r="N17481" i="17"/>
  <c r="N17480" i="17"/>
  <c r="N17479" i="17"/>
  <c r="N17478" i="17"/>
  <c r="N17477" i="17"/>
  <c r="N17476" i="17"/>
  <c r="N17475" i="17"/>
  <c r="N17474" i="17"/>
  <c r="N17473" i="17"/>
  <c r="N17472" i="17"/>
  <c r="N17471" i="17"/>
  <c r="N17470" i="17"/>
  <c r="N17469" i="17"/>
  <c r="N17468" i="17"/>
  <c r="N17467" i="17"/>
  <c r="N17466" i="17"/>
  <c r="N17465" i="17"/>
  <c r="N17464" i="17"/>
  <c r="N17463" i="17"/>
  <c r="N17462" i="17"/>
  <c r="N17461" i="17"/>
  <c r="N17460" i="17"/>
  <c r="N17459" i="17"/>
  <c r="N17458" i="17"/>
  <c r="N17457" i="17"/>
  <c r="N17456" i="17"/>
  <c r="N17455" i="17"/>
  <c r="N17454" i="17"/>
  <c r="N17453" i="17"/>
  <c r="N17452" i="17"/>
  <c r="N17451" i="17"/>
  <c r="N17450" i="17"/>
  <c r="N17449" i="17"/>
  <c r="N17448" i="17"/>
  <c r="N17447" i="17"/>
  <c r="N17446" i="17"/>
  <c r="N17445" i="17"/>
  <c r="N17444" i="17"/>
  <c r="N17443" i="17"/>
  <c r="N17442" i="17"/>
  <c r="N17441" i="17"/>
  <c r="N17440" i="17"/>
  <c r="N17439" i="17"/>
  <c r="N17438" i="17"/>
  <c r="N17437" i="17"/>
  <c r="N17436" i="17"/>
  <c r="N17435" i="17"/>
  <c r="N17434" i="17"/>
  <c r="N17433" i="17"/>
  <c r="N17432" i="17"/>
  <c r="N17431" i="17"/>
  <c r="N17430" i="17"/>
  <c r="N17429" i="17"/>
  <c r="N17428" i="17"/>
  <c r="N17427" i="17"/>
  <c r="N17426" i="17"/>
  <c r="N17425" i="17"/>
  <c r="N17424" i="17"/>
  <c r="N17423" i="17"/>
  <c r="N17422" i="17"/>
  <c r="N17421" i="17"/>
  <c r="N17420" i="17"/>
  <c r="N17419" i="17"/>
  <c r="N17418" i="17"/>
  <c r="N17417" i="17"/>
  <c r="N17416" i="17"/>
  <c r="N17415" i="17"/>
  <c r="N17414" i="17"/>
  <c r="N17413" i="17"/>
  <c r="N17412" i="17"/>
  <c r="N17411" i="17"/>
  <c r="N17410" i="17"/>
  <c r="N17409" i="17"/>
  <c r="N17408" i="17"/>
  <c r="N17407" i="17"/>
  <c r="N17406" i="17"/>
  <c r="N17405" i="17"/>
  <c r="N17404" i="17"/>
  <c r="N17403" i="17"/>
  <c r="N17402" i="17"/>
  <c r="N17401" i="17"/>
  <c r="N17400" i="17"/>
  <c r="N17399" i="17"/>
  <c r="N17398" i="17"/>
  <c r="N17397" i="17"/>
  <c r="N17396" i="17"/>
  <c r="N17395" i="17"/>
  <c r="N17394" i="17"/>
  <c r="N17393" i="17"/>
  <c r="N17392" i="17"/>
  <c r="N17391" i="17"/>
  <c r="N17390" i="17"/>
  <c r="N17389" i="17"/>
  <c r="N17388" i="17"/>
  <c r="N17387" i="17"/>
  <c r="N17386" i="17"/>
  <c r="N17385" i="17"/>
  <c r="N17384" i="17"/>
  <c r="N17383" i="17"/>
  <c r="N17382" i="17"/>
  <c r="N17381" i="17"/>
  <c r="N17380" i="17"/>
  <c r="N17379" i="17"/>
  <c r="N17378" i="17"/>
  <c r="N17377" i="17"/>
  <c r="N17376" i="17"/>
  <c r="N17375" i="17"/>
  <c r="N17374" i="17"/>
  <c r="N17373" i="17"/>
  <c r="N17372" i="17"/>
  <c r="N17371" i="17"/>
  <c r="N17370" i="17"/>
  <c r="N17369" i="17"/>
  <c r="N17368" i="17"/>
  <c r="N17367" i="17"/>
  <c r="N17366" i="17"/>
  <c r="N17365" i="17"/>
  <c r="N17364" i="17"/>
  <c r="N17363" i="17"/>
  <c r="N17362" i="17"/>
  <c r="N17361" i="17"/>
  <c r="N17360" i="17"/>
  <c r="N17359" i="17"/>
  <c r="N17358" i="17"/>
  <c r="N17357" i="17"/>
  <c r="N17356" i="17"/>
  <c r="N17355" i="17"/>
  <c r="N17354" i="17"/>
  <c r="N17353" i="17"/>
  <c r="N17352" i="17"/>
  <c r="N17351" i="17"/>
  <c r="N17350" i="17"/>
  <c r="N17349" i="17"/>
  <c r="N17348" i="17"/>
  <c r="N17347" i="17"/>
  <c r="N17346" i="17"/>
  <c r="N17345" i="17"/>
  <c r="N17344" i="17"/>
  <c r="N17343" i="17"/>
  <c r="N17342" i="17"/>
  <c r="N17341" i="17"/>
  <c r="N17340" i="17"/>
  <c r="N17339" i="17"/>
  <c r="N17338" i="17"/>
  <c r="N17337" i="17"/>
  <c r="N17336" i="17"/>
  <c r="N17335" i="17"/>
  <c r="N17334" i="17"/>
  <c r="N17333" i="17"/>
  <c r="N17332" i="17"/>
  <c r="N17331" i="17"/>
  <c r="N17330" i="17"/>
  <c r="N17329" i="17"/>
  <c r="N17328" i="17"/>
  <c r="N17327" i="17"/>
  <c r="N17326" i="17"/>
  <c r="N17325" i="17"/>
  <c r="N17324" i="17"/>
  <c r="N17323" i="17"/>
  <c r="N17322" i="17"/>
  <c r="N17321" i="17"/>
  <c r="N17320" i="17"/>
  <c r="N17319" i="17"/>
  <c r="N17318" i="17"/>
  <c r="N17317" i="17"/>
  <c r="N17316" i="17"/>
  <c r="N17315" i="17"/>
  <c r="N17314" i="17"/>
  <c r="N17313" i="17"/>
  <c r="N17312" i="17"/>
  <c r="N17311" i="17"/>
  <c r="N17310" i="17"/>
  <c r="N17309" i="17"/>
  <c r="N17308" i="17"/>
  <c r="N17307" i="17"/>
  <c r="N17306" i="17"/>
  <c r="N17305" i="17"/>
  <c r="N17304" i="17"/>
  <c r="N17303" i="17"/>
  <c r="N17302" i="17"/>
  <c r="N17301" i="17"/>
  <c r="N17300" i="17"/>
  <c r="N17299" i="17"/>
  <c r="N17298" i="17"/>
  <c r="N17297" i="17"/>
  <c r="N17296" i="17"/>
  <c r="N17295" i="17"/>
  <c r="N17294" i="17"/>
  <c r="N17293" i="17"/>
  <c r="N17292" i="17"/>
  <c r="N17291" i="17"/>
  <c r="N17290" i="17"/>
  <c r="N17289" i="17"/>
  <c r="N17288" i="17"/>
  <c r="N17287" i="17"/>
  <c r="N17286" i="17"/>
  <c r="N17285" i="17"/>
  <c r="N17284" i="17"/>
  <c r="N17283" i="17"/>
  <c r="N17282" i="17"/>
  <c r="N17281" i="17"/>
  <c r="N17280" i="17"/>
  <c r="N17279" i="17"/>
  <c r="N17278" i="17"/>
  <c r="N17277" i="17"/>
  <c r="N17276" i="17"/>
  <c r="N17275" i="17"/>
  <c r="N17274" i="17"/>
  <c r="N17273" i="17"/>
  <c r="N17272" i="17"/>
  <c r="N17271" i="17"/>
  <c r="N17270" i="17"/>
  <c r="N17269" i="17"/>
  <c r="N17268" i="17"/>
  <c r="N17267" i="17"/>
  <c r="N17266" i="17"/>
  <c r="N17265" i="17"/>
  <c r="N17264" i="17"/>
  <c r="N17263" i="17"/>
  <c r="N17262" i="17"/>
  <c r="N17261" i="17"/>
  <c r="N17260" i="17"/>
  <c r="N17259" i="17"/>
  <c r="N17258" i="17"/>
  <c r="N17257" i="17"/>
  <c r="N17256" i="17"/>
  <c r="N17255" i="17"/>
  <c r="N17254" i="17"/>
  <c r="N17253" i="17"/>
  <c r="N17252" i="17"/>
  <c r="N17251" i="17"/>
  <c r="N17250" i="17"/>
  <c r="N17249" i="17"/>
  <c r="N17248" i="17"/>
  <c r="N17247" i="17"/>
  <c r="N17246" i="17"/>
  <c r="N17245" i="17"/>
  <c r="N17244" i="17"/>
  <c r="N17243" i="17"/>
  <c r="N17242" i="17"/>
  <c r="N17241" i="17"/>
  <c r="N17240" i="17"/>
  <c r="N17239" i="17"/>
  <c r="N17238" i="17"/>
  <c r="N17237" i="17"/>
  <c r="N17236" i="17"/>
  <c r="N17235" i="17"/>
  <c r="N17234" i="17"/>
  <c r="N17233" i="17"/>
  <c r="N17232" i="17"/>
  <c r="N17231" i="17"/>
  <c r="N17230" i="17"/>
  <c r="N17229" i="17"/>
  <c r="N17228" i="17"/>
  <c r="N17227" i="17"/>
  <c r="N17226" i="17"/>
  <c r="N17225" i="17"/>
  <c r="N17224" i="17"/>
  <c r="N17223" i="17"/>
  <c r="N17222" i="17"/>
  <c r="N17221" i="17"/>
  <c r="N17220" i="17"/>
  <c r="N17219" i="17"/>
  <c r="N17218" i="17"/>
  <c r="N17217" i="17"/>
  <c r="N17216" i="17"/>
  <c r="N17215" i="17"/>
  <c r="N17214" i="17"/>
  <c r="N17213" i="17"/>
  <c r="N17212" i="17"/>
  <c r="N17211" i="17"/>
  <c r="N17210" i="17"/>
  <c r="N17209" i="17"/>
  <c r="N17208" i="17"/>
  <c r="N17207" i="17"/>
  <c r="N17206" i="17"/>
  <c r="N17205" i="17"/>
  <c r="N17204" i="17"/>
  <c r="N17203" i="17"/>
  <c r="N17202" i="17"/>
  <c r="N17201" i="17"/>
  <c r="N17200" i="17"/>
  <c r="N17199" i="17"/>
  <c r="N17198" i="17"/>
  <c r="N17197" i="17"/>
  <c r="N17196" i="17"/>
  <c r="N17195" i="17"/>
  <c r="N17194" i="17"/>
  <c r="N17193" i="17"/>
  <c r="N17192" i="17"/>
  <c r="N17191" i="17"/>
  <c r="N17190" i="17"/>
  <c r="N17189" i="17"/>
  <c r="N17188" i="17"/>
  <c r="N17187" i="17"/>
  <c r="N17186" i="17"/>
  <c r="N17185" i="17"/>
  <c r="N17184" i="17"/>
  <c r="N17183" i="17"/>
  <c r="N17182" i="17"/>
  <c r="N17181" i="17"/>
  <c r="N17180" i="17"/>
  <c r="N17179" i="17"/>
  <c r="N17178" i="17"/>
  <c r="N17177" i="17"/>
  <c r="N17176" i="17"/>
  <c r="N17175" i="17"/>
  <c r="N17174" i="17"/>
  <c r="N17173" i="17"/>
  <c r="N17172" i="17"/>
  <c r="N17171" i="17"/>
  <c r="N17170" i="17"/>
  <c r="N17169" i="17"/>
  <c r="N17168" i="17"/>
  <c r="N17167" i="17"/>
  <c r="N17166" i="17"/>
  <c r="N17165" i="17"/>
  <c r="N17164" i="17"/>
  <c r="N17163" i="17"/>
  <c r="N17162" i="17"/>
  <c r="N17161" i="17"/>
  <c r="N17160" i="17"/>
  <c r="N17159" i="17"/>
  <c r="N17158" i="17"/>
  <c r="N17157" i="17"/>
  <c r="N17156" i="17"/>
  <c r="N17155" i="17"/>
  <c r="N17154" i="17"/>
  <c r="N17153" i="17"/>
  <c r="N17152" i="17"/>
  <c r="N17151" i="17"/>
  <c r="N17150" i="17"/>
  <c r="N17149" i="17"/>
  <c r="N17148" i="17"/>
  <c r="N17147" i="17"/>
  <c r="N17146" i="17"/>
  <c r="N17145" i="17"/>
  <c r="N17144" i="17"/>
  <c r="N17143" i="17"/>
  <c r="N17142" i="17"/>
  <c r="N17141" i="17"/>
  <c r="N17140" i="17"/>
  <c r="N17139" i="17"/>
  <c r="N17138" i="17"/>
  <c r="N17137" i="17"/>
  <c r="N17136" i="17"/>
  <c r="N17135" i="17"/>
  <c r="N17134" i="17"/>
  <c r="N17133" i="17"/>
  <c r="N17132" i="17"/>
  <c r="N17131" i="17"/>
  <c r="N17130" i="17"/>
  <c r="N17129" i="17"/>
  <c r="N17128" i="17"/>
  <c r="N17127" i="17"/>
  <c r="N17126" i="17"/>
  <c r="N17125" i="17"/>
  <c r="N17124" i="17"/>
  <c r="N17123" i="17"/>
  <c r="N17122" i="17"/>
  <c r="N17121" i="17"/>
  <c r="N17120" i="17"/>
  <c r="N17119" i="17"/>
  <c r="N17118" i="17"/>
  <c r="N17117" i="17"/>
  <c r="N17116" i="17"/>
  <c r="N17115" i="17"/>
  <c r="N17114" i="17"/>
  <c r="N17113" i="17"/>
  <c r="N17112" i="17"/>
  <c r="N17111" i="17"/>
  <c r="N17110" i="17"/>
  <c r="N17109" i="17"/>
  <c r="N17108" i="17"/>
  <c r="N17107" i="17"/>
  <c r="N17106" i="17"/>
  <c r="N17105" i="17"/>
  <c r="N17104" i="17"/>
  <c r="N17103" i="17"/>
  <c r="N17102" i="17"/>
  <c r="N17101" i="17"/>
  <c r="N17100" i="17"/>
  <c r="N17099" i="17"/>
  <c r="N17098" i="17"/>
  <c r="N17097" i="17"/>
  <c r="N17096" i="17"/>
  <c r="N17095" i="17"/>
  <c r="N17094" i="17"/>
  <c r="N17093" i="17"/>
  <c r="N17092" i="17"/>
  <c r="N17091" i="17"/>
  <c r="N17090" i="17"/>
  <c r="N17089" i="17"/>
  <c r="N17088" i="17"/>
  <c r="N17087" i="17"/>
  <c r="N17086" i="17"/>
  <c r="N17085" i="17"/>
  <c r="N17084" i="17"/>
  <c r="N17083" i="17"/>
  <c r="N17082" i="17"/>
  <c r="N17081" i="17"/>
  <c r="N17080" i="17"/>
  <c r="N17079" i="17"/>
  <c r="N17078" i="17"/>
  <c r="N17077" i="17"/>
  <c r="N17076" i="17"/>
  <c r="N17075" i="17"/>
  <c r="N17074" i="17"/>
  <c r="N17073" i="17"/>
  <c r="N17072" i="17"/>
  <c r="N17071" i="17"/>
  <c r="N17070" i="17"/>
  <c r="N17069" i="17"/>
  <c r="N17068" i="17"/>
  <c r="N17067" i="17"/>
  <c r="N17066" i="17"/>
  <c r="N17065" i="17"/>
  <c r="N17064" i="17"/>
  <c r="N17063" i="17"/>
  <c r="N17062" i="17"/>
  <c r="N17061" i="17"/>
  <c r="N17060" i="17"/>
  <c r="N17059" i="17"/>
  <c r="N17058" i="17"/>
  <c r="N17057" i="17"/>
  <c r="N17056" i="17"/>
  <c r="N17055" i="17"/>
  <c r="N17054" i="17"/>
  <c r="N17053" i="17"/>
  <c r="N17052" i="17"/>
  <c r="N17051" i="17"/>
  <c r="N17050" i="17"/>
  <c r="N17049" i="17"/>
  <c r="N17048" i="17"/>
  <c r="N17047" i="17"/>
  <c r="N17046" i="17"/>
  <c r="N17045" i="17"/>
  <c r="N17044" i="17"/>
  <c r="N17043" i="17"/>
  <c r="N17042" i="17"/>
  <c r="N17041" i="17"/>
  <c r="N17040" i="17"/>
  <c r="N17039" i="17"/>
  <c r="N17038" i="17"/>
  <c r="N17037" i="17"/>
  <c r="N17036" i="17"/>
  <c r="N17035" i="17"/>
  <c r="N17034" i="17"/>
  <c r="N17033" i="17"/>
  <c r="N17032" i="17"/>
  <c r="N17031" i="17"/>
  <c r="N17030" i="17"/>
  <c r="N17029" i="17"/>
  <c r="N17028" i="17"/>
  <c r="N17027" i="17"/>
  <c r="N17026" i="17"/>
  <c r="N17025" i="17"/>
  <c r="N17024" i="17"/>
  <c r="N17023" i="17"/>
  <c r="N17022" i="17"/>
  <c r="N17021" i="17"/>
  <c r="N17020" i="17"/>
  <c r="N17019" i="17"/>
  <c r="N17018" i="17"/>
  <c r="N17017" i="17"/>
  <c r="N17016" i="17"/>
  <c r="N17015" i="17"/>
  <c r="N17014" i="17"/>
  <c r="N17013" i="17"/>
  <c r="N17012" i="17"/>
  <c r="N17011" i="17"/>
  <c r="N17010" i="17"/>
  <c r="N17009" i="17"/>
  <c r="N17008" i="17"/>
  <c r="N17007" i="17"/>
  <c r="N17006" i="17"/>
  <c r="N17005" i="17"/>
  <c r="N17004" i="17"/>
  <c r="N17003" i="17"/>
  <c r="N17002" i="17"/>
  <c r="N17001" i="17"/>
  <c r="N17000" i="17"/>
  <c r="N16999" i="17"/>
  <c r="N16998" i="17"/>
  <c r="N16997" i="17"/>
  <c r="N16996" i="17"/>
  <c r="N16995" i="17"/>
  <c r="N16994" i="17"/>
  <c r="N16993" i="17"/>
  <c r="N16992" i="17"/>
  <c r="N16991" i="17"/>
  <c r="N16990" i="17"/>
  <c r="N16989" i="17"/>
  <c r="N16988" i="17"/>
  <c r="N16987" i="17"/>
  <c r="N16986" i="17"/>
  <c r="N16985" i="17"/>
  <c r="N16984" i="17"/>
  <c r="N16983" i="17"/>
  <c r="N16982" i="17"/>
  <c r="N16981" i="17"/>
  <c r="N16980" i="17"/>
  <c r="N16979" i="17"/>
  <c r="N16978" i="17"/>
  <c r="N16977" i="17"/>
  <c r="N16976" i="17"/>
  <c r="N16975" i="17"/>
  <c r="N16974" i="17"/>
  <c r="N16973" i="17"/>
  <c r="N16972" i="17"/>
  <c r="N16971" i="17"/>
  <c r="N16970" i="17"/>
  <c r="N16969" i="17"/>
  <c r="N16968" i="17"/>
  <c r="N16967" i="17"/>
  <c r="N16966" i="17"/>
  <c r="N16965" i="17"/>
  <c r="N16964" i="17"/>
  <c r="N16963" i="17"/>
  <c r="N16962" i="17"/>
  <c r="N16961" i="17"/>
  <c r="N16960" i="17"/>
  <c r="N16959" i="17"/>
  <c r="N16958" i="17"/>
  <c r="N16957" i="17"/>
  <c r="N16956" i="17"/>
  <c r="N16955" i="17"/>
  <c r="N16954" i="17"/>
  <c r="N16953" i="17"/>
  <c r="N16952" i="17"/>
  <c r="N16951" i="17"/>
  <c r="N16950" i="17"/>
  <c r="N16949" i="17"/>
  <c r="N16948" i="17"/>
  <c r="N16947" i="17"/>
  <c r="N16946" i="17"/>
  <c r="N16945" i="17"/>
  <c r="N16944" i="17"/>
  <c r="N16943" i="17"/>
  <c r="N16942" i="17"/>
  <c r="N16941" i="17"/>
  <c r="N16940" i="17"/>
  <c r="N16939" i="17"/>
  <c r="N16938" i="17"/>
  <c r="N16937" i="17"/>
  <c r="N16936" i="17"/>
  <c r="N16935" i="17"/>
  <c r="N16934" i="17"/>
  <c r="N16933" i="17"/>
  <c r="N16932" i="17"/>
  <c r="N16931" i="17"/>
  <c r="N16930" i="17"/>
  <c r="N16929" i="17"/>
  <c r="N16928" i="17"/>
  <c r="N16927" i="17"/>
  <c r="N16926" i="17"/>
  <c r="N16925" i="17"/>
  <c r="N16924" i="17"/>
  <c r="N16923" i="17"/>
  <c r="N16922" i="17"/>
  <c r="N16921" i="17"/>
  <c r="N16920" i="17"/>
  <c r="N16919" i="17"/>
  <c r="N16918" i="17"/>
  <c r="N16917" i="17"/>
  <c r="N16916" i="17"/>
  <c r="N16915" i="17"/>
  <c r="N16914" i="17"/>
  <c r="N16913" i="17"/>
  <c r="N16912" i="17"/>
  <c r="N16911" i="17"/>
  <c r="N16910" i="17"/>
  <c r="N16909" i="17"/>
  <c r="N16908" i="17"/>
  <c r="N16907" i="17"/>
  <c r="N16906" i="17"/>
  <c r="N16905" i="17"/>
  <c r="N16904" i="17"/>
  <c r="N16903" i="17"/>
  <c r="N16902" i="17"/>
  <c r="N16901" i="17"/>
  <c r="N16900" i="17"/>
  <c r="N16899" i="17"/>
  <c r="N16898" i="17"/>
  <c r="N16897" i="17"/>
  <c r="N16896" i="17"/>
  <c r="N16895" i="17"/>
  <c r="N16894" i="17"/>
  <c r="N16893" i="17"/>
  <c r="N16892" i="17"/>
  <c r="N16891" i="17"/>
  <c r="N16890" i="17"/>
  <c r="N16889" i="17"/>
  <c r="N16888" i="17"/>
  <c r="N16887" i="17"/>
  <c r="N16886" i="17"/>
  <c r="N16885" i="17"/>
  <c r="N16884" i="17"/>
  <c r="N16883" i="17"/>
  <c r="N16882" i="17"/>
  <c r="N16881" i="17"/>
  <c r="N16880" i="17"/>
  <c r="N16879" i="17"/>
  <c r="N16878" i="17"/>
  <c r="N16877" i="17"/>
  <c r="N16876" i="17"/>
  <c r="N16875" i="17"/>
  <c r="N16874" i="17"/>
  <c r="N16873" i="17"/>
  <c r="N16872" i="17"/>
  <c r="N16871" i="17"/>
  <c r="N16870" i="17"/>
  <c r="N16869" i="17"/>
  <c r="N16868" i="17"/>
  <c r="N16867" i="17"/>
  <c r="N16866" i="17"/>
  <c r="N16865" i="17"/>
  <c r="N16864" i="17"/>
  <c r="N16863" i="17"/>
  <c r="N16862" i="17"/>
  <c r="N16861" i="17"/>
  <c r="N16860" i="17"/>
  <c r="N16859" i="17"/>
  <c r="N16858" i="17"/>
  <c r="N16857" i="17"/>
  <c r="N16856" i="17"/>
  <c r="N16855" i="17"/>
  <c r="N16854" i="17"/>
  <c r="N16853" i="17"/>
  <c r="N16852" i="17"/>
  <c r="N16851" i="17"/>
  <c r="N16850" i="17"/>
  <c r="N16849" i="17"/>
  <c r="N16848" i="17"/>
  <c r="N16847" i="17"/>
  <c r="N16846" i="17"/>
  <c r="N16845" i="17"/>
  <c r="N16844" i="17"/>
  <c r="N16843" i="17"/>
  <c r="N16842" i="17"/>
  <c r="N16841" i="17"/>
  <c r="N16840" i="17"/>
  <c r="N16839" i="17"/>
  <c r="N16838" i="17"/>
  <c r="N16837" i="17"/>
  <c r="N16836" i="17"/>
  <c r="N16835" i="17"/>
  <c r="N16834" i="17"/>
  <c r="N16833" i="17"/>
  <c r="N16832" i="17"/>
  <c r="N16831" i="17"/>
  <c r="N16830" i="17"/>
  <c r="N16829" i="17"/>
  <c r="N16828" i="17"/>
  <c r="N16827" i="17"/>
  <c r="N16826" i="17"/>
  <c r="N16825" i="17"/>
  <c r="N16824" i="17"/>
  <c r="N16823" i="17"/>
  <c r="N16822" i="17"/>
  <c r="N16821" i="17"/>
  <c r="N16820" i="17"/>
  <c r="N16819" i="17"/>
  <c r="N16818" i="17"/>
  <c r="N16817" i="17"/>
  <c r="N16816" i="17"/>
  <c r="N16815" i="17"/>
  <c r="N16814" i="17"/>
  <c r="N16813" i="17"/>
  <c r="N16812" i="17"/>
  <c r="N16811" i="17"/>
  <c r="N16810" i="17"/>
  <c r="N16809" i="17"/>
  <c r="N16808" i="17"/>
  <c r="N16807" i="17"/>
  <c r="N16806" i="17"/>
  <c r="N16805" i="17"/>
  <c r="N16804" i="17"/>
  <c r="N16803" i="17"/>
  <c r="N16802" i="17"/>
  <c r="N16801" i="17"/>
  <c r="N16800" i="17"/>
  <c r="N16799" i="17"/>
  <c r="N16798" i="17"/>
  <c r="N16797" i="17"/>
  <c r="N16796" i="17"/>
  <c r="N16795" i="17"/>
  <c r="N16794" i="17"/>
  <c r="N16793" i="17"/>
  <c r="N16792" i="17"/>
  <c r="N16791" i="17"/>
  <c r="N16790" i="17"/>
  <c r="N16789" i="17"/>
  <c r="N16788" i="17"/>
  <c r="N16787" i="17"/>
  <c r="N16786" i="17"/>
  <c r="N16785" i="17"/>
  <c r="N16784" i="17"/>
  <c r="N16783" i="17"/>
  <c r="N16782" i="17"/>
  <c r="N16781" i="17"/>
  <c r="N16780" i="17"/>
  <c r="N16779" i="17"/>
  <c r="N16778" i="17"/>
  <c r="N16777" i="17"/>
  <c r="N16776" i="17"/>
  <c r="N16775" i="17"/>
  <c r="N16774" i="17"/>
  <c r="N16773" i="17"/>
  <c r="N16772" i="17"/>
  <c r="N16771" i="17"/>
  <c r="N16770" i="17"/>
  <c r="N16769" i="17"/>
  <c r="N16768" i="17"/>
  <c r="N16767" i="17"/>
  <c r="N16766" i="17"/>
  <c r="N16765" i="17"/>
  <c r="N16764" i="17"/>
  <c r="N16763" i="17"/>
  <c r="N16762" i="17"/>
  <c r="N16761" i="17"/>
  <c r="N16760" i="17"/>
  <c r="N16759" i="17"/>
  <c r="N16758" i="17"/>
  <c r="N16757" i="17"/>
  <c r="N16756" i="17"/>
  <c r="N16755" i="17"/>
  <c r="N16754" i="17"/>
  <c r="N16753" i="17"/>
  <c r="N16752" i="17"/>
  <c r="N16751" i="17"/>
  <c r="N16750" i="17"/>
  <c r="N16749" i="17"/>
  <c r="N16748" i="17"/>
  <c r="N16747" i="17"/>
  <c r="N16746" i="17"/>
  <c r="N16745" i="17"/>
  <c r="N16744" i="17"/>
  <c r="N16743" i="17"/>
  <c r="N16742" i="17"/>
  <c r="N16741" i="17"/>
  <c r="N16740" i="17"/>
  <c r="N16739" i="17"/>
  <c r="N16738" i="17"/>
  <c r="N16737" i="17"/>
  <c r="N16736" i="17"/>
  <c r="N16735" i="17"/>
  <c r="N16734" i="17"/>
  <c r="N16733" i="17"/>
  <c r="N16732" i="17"/>
  <c r="N16731" i="17"/>
  <c r="N16730" i="17"/>
  <c r="N16729" i="17"/>
  <c r="N16728" i="17"/>
  <c r="N16727" i="17"/>
  <c r="N16726" i="17"/>
  <c r="N16725" i="17"/>
  <c r="N16724" i="17"/>
  <c r="N16723" i="17"/>
  <c r="N16722" i="17"/>
  <c r="N16721" i="17"/>
  <c r="N16720" i="17"/>
  <c r="N16719" i="17"/>
  <c r="N16718" i="17"/>
  <c r="N16717" i="17"/>
  <c r="N16716" i="17"/>
  <c r="N16715" i="17"/>
  <c r="N16714" i="17"/>
  <c r="N16713" i="17"/>
  <c r="N16712" i="17"/>
  <c r="N16711" i="17"/>
  <c r="N16710" i="17"/>
  <c r="N16709" i="17"/>
  <c r="N16708" i="17"/>
  <c r="N16707" i="17"/>
  <c r="N16706" i="17"/>
  <c r="N16705" i="17"/>
  <c r="N16704" i="17"/>
  <c r="N16703" i="17"/>
  <c r="N16702" i="17"/>
  <c r="N16701" i="17"/>
  <c r="N16700" i="17"/>
  <c r="N16699" i="17"/>
  <c r="N16698" i="17"/>
  <c r="N16697" i="17"/>
  <c r="N16696" i="17"/>
  <c r="N16695" i="17"/>
  <c r="N16694" i="17"/>
  <c r="N16693" i="17"/>
  <c r="N16692" i="17"/>
  <c r="N16691" i="17"/>
  <c r="N16690" i="17"/>
  <c r="N16689" i="17"/>
  <c r="N16688" i="17"/>
  <c r="N16687" i="17"/>
  <c r="N16686" i="17"/>
  <c r="N16685" i="17"/>
  <c r="N16684" i="17"/>
  <c r="N16683" i="17"/>
  <c r="N16682" i="17"/>
  <c r="N16681" i="17"/>
  <c r="N16680" i="17"/>
  <c r="N16679" i="17"/>
  <c r="N16678" i="17"/>
  <c r="N16677" i="17"/>
  <c r="N16676" i="17"/>
  <c r="N16675" i="17"/>
  <c r="N16674" i="17"/>
  <c r="N16673" i="17"/>
  <c r="N16672" i="17"/>
  <c r="N16671" i="17"/>
  <c r="N16670" i="17"/>
  <c r="N16669" i="17"/>
  <c r="N16668" i="17"/>
  <c r="N16667" i="17"/>
  <c r="N16666" i="17"/>
  <c r="N16665" i="17"/>
  <c r="N16664" i="17"/>
  <c r="N16663" i="17"/>
  <c r="N16662" i="17"/>
  <c r="N16661" i="17"/>
  <c r="N16660" i="17"/>
  <c r="N16659" i="17"/>
  <c r="N16658" i="17"/>
  <c r="N16657" i="17"/>
  <c r="N16656" i="17"/>
  <c r="N16655" i="17"/>
  <c r="N16654" i="17"/>
  <c r="N16653" i="17"/>
  <c r="N16652" i="17"/>
  <c r="N16651" i="17"/>
  <c r="N16650" i="17"/>
  <c r="N16649" i="17"/>
  <c r="N16648" i="17"/>
  <c r="N16647" i="17"/>
  <c r="N16646" i="17"/>
  <c r="N16645" i="17"/>
  <c r="N16644" i="17"/>
  <c r="N16643" i="17"/>
  <c r="N16642" i="17"/>
  <c r="N16641" i="17"/>
  <c r="N16640" i="17"/>
  <c r="N16639" i="17"/>
  <c r="N16638" i="17"/>
  <c r="N16637" i="17"/>
  <c r="N16636" i="17"/>
  <c r="N16635" i="17"/>
  <c r="N16634" i="17"/>
  <c r="N16633" i="17"/>
  <c r="N16632" i="17"/>
  <c r="N16631" i="17"/>
  <c r="N16630" i="17"/>
  <c r="N16629" i="17"/>
  <c r="N16628" i="17"/>
  <c r="N16627" i="17"/>
  <c r="N16626" i="17"/>
  <c r="N16625" i="17"/>
  <c r="N16624" i="17"/>
  <c r="N16623" i="17"/>
  <c r="N16622" i="17"/>
  <c r="N16621" i="17"/>
  <c r="N16620" i="17"/>
  <c r="N16619" i="17"/>
  <c r="N16618" i="17"/>
  <c r="N16617" i="17"/>
  <c r="N16616" i="17"/>
  <c r="N16615" i="17"/>
  <c r="N16614" i="17"/>
  <c r="N16613" i="17"/>
  <c r="N16612" i="17"/>
  <c r="N16611" i="17"/>
  <c r="N16610" i="17"/>
  <c r="N16609" i="17"/>
  <c r="N16608" i="17"/>
  <c r="N16607" i="17"/>
  <c r="N16606" i="17"/>
  <c r="N16605" i="17"/>
  <c r="N16604" i="17"/>
  <c r="N16603" i="17"/>
  <c r="N16602" i="17"/>
  <c r="N16601" i="17"/>
  <c r="N16600" i="17"/>
  <c r="N16599" i="17"/>
  <c r="N16598" i="17"/>
  <c r="N16597" i="17"/>
  <c r="N16596" i="17"/>
  <c r="N16595" i="17"/>
  <c r="N16594" i="17"/>
  <c r="N16593" i="17"/>
  <c r="N16592" i="17"/>
  <c r="N16591" i="17"/>
  <c r="N16590" i="17"/>
  <c r="N16589" i="17"/>
  <c r="N16588" i="17"/>
  <c r="N16587" i="17"/>
  <c r="N16586" i="17"/>
  <c r="N16585" i="17"/>
  <c r="N16584" i="17"/>
  <c r="N16583" i="17"/>
  <c r="N16582" i="17"/>
  <c r="N16581" i="17"/>
  <c r="N16580" i="17"/>
  <c r="N16579" i="17"/>
  <c r="N16578" i="17"/>
  <c r="N16577" i="17"/>
  <c r="N16576" i="17"/>
  <c r="N16575" i="17"/>
  <c r="N16574" i="17"/>
  <c r="N16573" i="17"/>
  <c r="N16572" i="17"/>
  <c r="N16571" i="17"/>
  <c r="N16570" i="17"/>
  <c r="N16569" i="17"/>
  <c r="N16568" i="17"/>
  <c r="N16567" i="17"/>
  <c r="N16566" i="17"/>
  <c r="N16565" i="17"/>
  <c r="N16564" i="17"/>
  <c r="N16563" i="17"/>
  <c r="N16562" i="17"/>
  <c r="N16561" i="17"/>
  <c r="N16560" i="17"/>
  <c r="N16559" i="17"/>
  <c r="N16558" i="17"/>
  <c r="N16557" i="17"/>
  <c r="N16556" i="17"/>
  <c r="N16555" i="17"/>
  <c r="N16554" i="17"/>
  <c r="N16553" i="17"/>
  <c r="N16552" i="17"/>
  <c r="N16551" i="17"/>
  <c r="N16550" i="17"/>
  <c r="N16549" i="17"/>
  <c r="N16548" i="17"/>
  <c r="N16547" i="17"/>
  <c r="N16546" i="17"/>
  <c r="N16545" i="17"/>
  <c r="N16544" i="17"/>
  <c r="N16543" i="17"/>
  <c r="N16542" i="17"/>
  <c r="N16541" i="17"/>
  <c r="N16540" i="17"/>
  <c r="N16539" i="17"/>
  <c r="N16538" i="17"/>
  <c r="N16537" i="17"/>
  <c r="N16536" i="17"/>
  <c r="N16535" i="17"/>
  <c r="N16534" i="17"/>
  <c r="N16533" i="17"/>
  <c r="N16532" i="17"/>
  <c r="N16531" i="17"/>
  <c r="N16530" i="17"/>
  <c r="N16529" i="17"/>
  <c r="N16528" i="17"/>
  <c r="N16527" i="17"/>
  <c r="N16526" i="17"/>
  <c r="N16525" i="17"/>
  <c r="N16524" i="17"/>
  <c r="N16523" i="17"/>
  <c r="N16522" i="17"/>
  <c r="N16521" i="17"/>
  <c r="N16520" i="17"/>
  <c r="N16519" i="17"/>
  <c r="N16518" i="17"/>
  <c r="N16517" i="17"/>
  <c r="N16516" i="17"/>
  <c r="N16515" i="17"/>
  <c r="N16514" i="17"/>
  <c r="N16513" i="17"/>
  <c r="N16512" i="17"/>
  <c r="N16511" i="17"/>
  <c r="N16510" i="17"/>
  <c r="N16509" i="17"/>
  <c r="N16508" i="17"/>
  <c r="N16507" i="17"/>
  <c r="N16506" i="17"/>
  <c r="N16505" i="17"/>
  <c r="N16504" i="17"/>
  <c r="N16503" i="17"/>
  <c r="N16502" i="17"/>
  <c r="N16501" i="17"/>
  <c r="N16500" i="17"/>
  <c r="N16499" i="17"/>
  <c r="N16498" i="17"/>
  <c r="N16497" i="17"/>
  <c r="N16496" i="17"/>
  <c r="N16495" i="17"/>
  <c r="N16494" i="17"/>
  <c r="N16493" i="17"/>
  <c r="N16492" i="17"/>
  <c r="N16491" i="17"/>
  <c r="N16490" i="17"/>
  <c r="N16489" i="17"/>
  <c r="N16488" i="17"/>
  <c r="N16487" i="17"/>
  <c r="N16486" i="17"/>
  <c r="N16485" i="17"/>
  <c r="N16484" i="17"/>
  <c r="N16483" i="17"/>
  <c r="N16482" i="17"/>
  <c r="N16481" i="17"/>
  <c r="N16480" i="17"/>
  <c r="N16479" i="17"/>
  <c r="N16478" i="17"/>
  <c r="N16477" i="17"/>
  <c r="N16476" i="17"/>
  <c r="N16475" i="17"/>
  <c r="N16474" i="17"/>
  <c r="N16473" i="17"/>
  <c r="N16472" i="17"/>
  <c r="N16471" i="17"/>
  <c r="N16470" i="17"/>
  <c r="N16469" i="17"/>
  <c r="N16468" i="17"/>
  <c r="N16467" i="17"/>
  <c r="N16466" i="17"/>
  <c r="N16465" i="17"/>
  <c r="N16464" i="17"/>
  <c r="N16463" i="17"/>
  <c r="N16462" i="17"/>
  <c r="N16461" i="17"/>
  <c r="N16460" i="17"/>
  <c r="N16459" i="17"/>
  <c r="N16458" i="17"/>
  <c r="N16457" i="17"/>
  <c r="N16456" i="17"/>
  <c r="N16455" i="17"/>
  <c r="N16454" i="17"/>
  <c r="N16453" i="17"/>
  <c r="N16452" i="17"/>
  <c r="N16451" i="17"/>
  <c r="N16450" i="17"/>
  <c r="N16449" i="17"/>
  <c r="N16448" i="17"/>
  <c r="N16447" i="17"/>
  <c r="N16446" i="17"/>
  <c r="N16445" i="17"/>
  <c r="N16444" i="17"/>
  <c r="N16443" i="17"/>
  <c r="N16442" i="17"/>
  <c r="N16441" i="17"/>
  <c r="N16440" i="17"/>
  <c r="N16439" i="17"/>
  <c r="N16438" i="17"/>
  <c r="N16437" i="17"/>
  <c r="N16436" i="17"/>
  <c r="N16435" i="17"/>
  <c r="N16434" i="17"/>
  <c r="N16433" i="17"/>
  <c r="N16432" i="17"/>
  <c r="N16431" i="17"/>
  <c r="N16430" i="17"/>
  <c r="N16429" i="17"/>
  <c r="N16428" i="17"/>
  <c r="N16427" i="17"/>
  <c r="N16426" i="17"/>
  <c r="N16425" i="17"/>
  <c r="N16424" i="17"/>
  <c r="N16423" i="17"/>
  <c r="N16422" i="17"/>
  <c r="N16421" i="17"/>
  <c r="N16420" i="17"/>
  <c r="N16419" i="17"/>
  <c r="N16418" i="17"/>
  <c r="N16417" i="17"/>
  <c r="N16416" i="17"/>
  <c r="N16415" i="17"/>
  <c r="N16414" i="17"/>
  <c r="N16413" i="17"/>
  <c r="N16412" i="17"/>
  <c r="N16411" i="17"/>
  <c r="N16410" i="17"/>
  <c r="N16409" i="17"/>
  <c r="N16408" i="17"/>
  <c r="N16407" i="17"/>
  <c r="N16406" i="17"/>
  <c r="N16405" i="17"/>
  <c r="N16404" i="17"/>
  <c r="N16403" i="17"/>
  <c r="N16402" i="17"/>
  <c r="N16401" i="17"/>
  <c r="N16400" i="17"/>
  <c r="N16399" i="17"/>
  <c r="N16398" i="17"/>
  <c r="N16397" i="17"/>
  <c r="N16396" i="17"/>
  <c r="N16395" i="17"/>
  <c r="N16394" i="17"/>
  <c r="N16393" i="17"/>
  <c r="N16392" i="17"/>
  <c r="N16391" i="17"/>
  <c r="N16390" i="17"/>
  <c r="N16389" i="17"/>
  <c r="N16388" i="17"/>
  <c r="N16387" i="17"/>
  <c r="N16386" i="17"/>
  <c r="N16385" i="17"/>
  <c r="N16384" i="17"/>
  <c r="N16383" i="17"/>
  <c r="N16382" i="17"/>
  <c r="N16381" i="17"/>
  <c r="N16380" i="17"/>
  <c r="N16379" i="17"/>
  <c r="N16378" i="17"/>
  <c r="N16377" i="17"/>
  <c r="N16376" i="17"/>
  <c r="N16375" i="17"/>
  <c r="N16374" i="17"/>
  <c r="N16373" i="17"/>
  <c r="N16372" i="17"/>
  <c r="N16371" i="17"/>
  <c r="N16370" i="17"/>
  <c r="N16369" i="17"/>
  <c r="N16368" i="17"/>
  <c r="N16367" i="17"/>
  <c r="N16366" i="17"/>
  <c r="N16365" i="17"/>
  <c r="N16364" i="17"/>
  <c r="N16363" i="17"/>
  <c r="N16362" i="17"/>
  <c r="N16361" i="17"/>
  <c r="N16360" i="17"/>
  <c r="N16359" i="17"/>
  <c r="N16358" i="17"/>
  <c r="N16357" i="17"/>
  <c r="N16356" i="17"/>
  <c r="N16355" i="17"/>
  <c r="N16354" i="17"/>
  <c r="N16353" i="17"/>
  <c r="N16352" i="17"/>
  <c r="N16351" i="17"/>
  <c r="N16350" i="17"/>
  <c r="N16349" i="17"/>
  <c r="N16348" i="17"/>
  <c r="N16347" i="17"/>
  <c r="N16346" i="17"/>
  <c r="N16345" i="17"/>
  <c r="N16344" i="17"/>
  <c r="N16343" i="17"/>
  <c r="N16342" i="17"/>
  <c r="N16341" i="17"/>
  <c r="N16340" i="17"/>
  <c r="N16339" i="17"/>
  <c r="N16338" i="17"/>
  <c r="N16337" i="17"/>
  <c r="N16336" i="17"/>
  <c r="N16335" i="17"/>
  <c r="N16334" i="17"/>
  <c r="N16333" i="17"/>
  <c r="N16332" i="17"/>
  <c r="N16331" i="17"/>
  <c r="N16330" i="17"/>
  <c r="N16329" i="17"/>
  <c r="N16328" i="17"/>
  <c r="N16327" i="17"/>
  <c r="N16326" i="17"/>
  <c r="N16325" i="17"/>
  <c r="N16324" i="17"/>
  <c r="N16323" i="17"/>
  <c r="N16322" i="17"/>
  <c r="N16321" i="17"/>
  <c r="N16320" i="17"/>
  <c r="N16319" i="17"/>
  <c r="N16318" i="17"/>
  <c r="N16317" i="17"/>
  <c r="N16316" i="17"/>
  <c r="N16315" i="17"/>
  <c r="N16314" i="17"/>
  <c r="N16313" i="17"/>
  <c r="N16312" i="17"/>
  <c r="N16311" i="17"/>
  <c r="N16310" i="17"/>
  <c r="N16309" i="17"/>
  <c r="N16308" i="17"/>
  <c r="N16307" i="17"/>
  <c r="N16306" i="17"/>
  <c r="N16305" i="17"/>
  <c r="N16304" i="17"/>
  <c r="N16303" i="17"/>
  <c r="N16302" i="17"/>
  <c r="N16301" i="17"/>
  <c r="N16300" i="17"/>
  <c r="N16299" i="17"/>
  <c r="N16298" i="17"/>
  <c r="N16297" i="17"/>
  <c r="N16296" i="17"/>
  <c r="N16295" i="17"/>
  <c r="N16294" i="17"/>
  <c r="N16293" i="17"/>
  <c r="N16292" i="17"/>
  <c r="N16291" i="17"/>
  <c r="N16290" i="17"/>
  <c r="N16289" i="17"/>
  <c r="N16288" i="17"/>
  <c r="N16287" i="17"/>
  <c r="N16286" i="17"/>
  <c r="N16285" i="17"/>
  <c r="N16284" i="17"/>
  <c r="N16283" i="17"/>
  <c r="N16282" i="17"/>
  <c r="N16281" i="17"/>
  <c r="N16280" i="17"/>
  <c r="N16279" i="17"/>
  <c r="N16278" i="17"/>
  <c r="N16277" i="17"/>
  <c r="N16276" i="17"/>
  <c r="N16275" i="17"/>
  <c r="N16274" i="17"/>
  <c r="N16273" i="17"/>
  <c r="N16272" i="17"/>
  <c r="N16271" i="17"/>
  <c r="N16270" i="17"/>
  <c r="N16269" i="17"/>
  <c r="N16268" i="17"/>
  <c r="N16267" i="17"/>
  <c r="N16266" i="17"/>
  <c r="N16265" i="17"/>
  <c r="N16264" i="17"/>
  <c r="N16263" i="17"/>
  <c r="N16262" i="17"/>
  <c r="N16261" i="17"/>
  <c r="N16260" i="17"/>
  <c r="N16259" i="17"/>
  <c r="N16258" i="17"/>
  <c r="N16257" i="17"/>
  <c r="N16256" i="17"/>
  <c r="N16255" i="17"/>
  <c r="N16254" i="17"/>
  <c r="N16253" i="17"/>
  <c r="N16252" i="17"/>
  <c r="N16251" i="17"/>
  <c r="N16250" i="17"/>
  <c r="N16249" i="17"/>
  <c r="N16248" i="17"/>
  <c r="N16247" i="17"/>
  <c r="N16246" i="17"/>
  <c r="N16245" i="17"/>
  <c r="N16244" i="17"/>
  <c r="N16243" i="17"/>
  <c r="N16242" i="17"/>
  <c r="N16241" i="17"/>
  <c r="N16240" i="17"/>
  <c r="N16239" i="17"/>
  <c r="N16238" i="17"/>
  <c r="N16237" i="17"/>
  <c r="N16236" i="17"/>
  <c r="N16235" i="17"/>
  <c r="N16234" i="17"/>
  <c r="N16233" i="17"/>
  <c r="N16232" i="17"/>
  <c r="N16231" i="17"/>
  <c r="N16230" i="17"/>
  <c r="N16229" i="17"/>
  <c r="N16228" i="17"/>
  <c r="N16227" i="17"/>
  <c r="N16226" i="17"/>
  <c r="N16225" i="17"/>
  <c r="N16224" i="17"/>
  <c r="N16223" i="17"/>
  <c r="N16222" i="17"/>
  <c r="N16221" i="17"/>
  <c r="N16220" i="17"/>
  <c r="N16219" i="17"/>
  <c r="N16218" i="17"/>
  <c r="N16217" i="17"/>
  <c r="N16216" i="17"/>
  <c r="N16215" i="17"/>
  <c r="N16214" i="17"/>
  <c r="N16213" i="17"/>
  <c r="N16212" i="17"/>
  <c r="N16211" i="17"/>
  <c r="N16210" i="17"/>
  <c r="N16209" i="17"/>
  <c r="N16208" i="17"/>
  <c r="N16207" i="17"/>
  <c r="N16206" i="17"/>
  <c r="N16205" i="17"/>
  <c r="N16204" i="17"/>
  <c r="N16203" i="17"/>
  <c r="N16202" i="17"/>
  <c r="N16201" i="17"/>
  <c r="N16200" i="17"/>
  <c r="N16199" i="17"/>
  <c r="N16198" i="17"/>
  <c r="N16197" i="17"/>
  <c r="N16196" i="17"/>
  <c r="N16195" i="17"/>
  <c r="N16194" i="17"/>
  <c r="N16193" i="17"/>
  <c r="N16192" i="17"/>
  <c r="N16191" i="17"/>
  <c r="N16190" i="17"/>
  <c r="N16189" i="17"/>
  <c r="N16188" i="17"/>
  <c r="N16187" i="17"/>
  <c r="N16186" i="17"/>
  <c r="N16185" i="17"/>
  <c r="N16184" i="17"/>
  <c r="N16183" i="17"/>
  <c r="N16182" i="17"/>
  <c r="N16181" i="17"/>
  <c r="N16180" i="17"/>
  <c r="N16179" i="17"/>
  <c r="N16178" i="17"/>
  <c r="N16177" i="17"/>
  <c r="N16176" i="17"/>
  <c r="N16175" i="17"/>
  <c r="N16174" i="17"/>
  <c r="N16173" i="17"/>
  <c r="N16172" i="17"/>
  <c r="N16171" i="17"/>
  <c r="N16170" i="17"/>
  <c r="N16169" i="17"/>
  <c r="N16168" i="17"/>
  <c r="N16167" i="17"/>
  <c r="N16166" i="17"/>
  <c r="N16165" i="17"/>
  <c r="N16164" i="17"/>
  <c r="N16163" i="17"/>
  <c r="N16162" i="17"/>
  <c r="N16161" i="17"/>
  <c r="N16160" i="17"/>
  <c r="N16159" i="17"/>
  <c r="N16158" i="17"/>
  <c r="N16157" i="17"/>
  <c r="N16156" i="17"/>
  <c r="N16155" i="17"/>
  <c r="N16154" i="17"/>
  <c r="N16153" i="17"/>
  <c r="N16152" i="17"/>
  <c r="N16151" i="17"/>
  <c r="N16150" i="17"/>
  <c r="N16149" i="17"/>
  <c r="N16148" i="17"/>
  <c r="N16147" i="17"/>
  <c r="N16146" i="17"/>
  <c r="N16145" i="17"/>
  <c r="N16144" i="17"/>
  <c r="N16143" i="17"/>
  <c r="N16142" i="17"/>
  <c r="N16141" i="17"/>
  <c r="N16140" i="17"/>
  <c r="N16139" i="17"/>
  <c r="N16138" i="17"/>
  <c r="N16137" i="17"/>
  <c r="N16136" i="17"/>
  <c r="N16135" i="17"/>
  <c r="N16134" i="17"/>
  <c r="N16133" i="17"/>
  <c r="N16132" i="17"/>
  <c r="N16131" i="17"/>
  <c r="N16130" i="17"/>
  <c r="N16129" i="17"/>
  <c r="N16128" i="17"/>
  <c r="N16127" i="17"/>
  <c r="N16126" i="17"/>
  <c r="N16125" i="17"/>
  <c r="N16124" i="17"/>
  <c r="N16123" i="17"/>
  <c r="N16122" i="17"/>
  <c r="N16121" i="17"/>
  <c r="N16120" i="17"/>
  <c r="N16119" i="17"/>
  <c r="N16118" i="17"/>
  <c r="N16117" i="17"/>
  <c r="N16116" i="17"/>
  <c r="N16115" i="17"/>
  <c r="N16114" i="17"/>
  <c r="N16113" i="17"/>
  <c r="N16112" i="17"/>
  <c r="N16111" i="17"/>
  <c r="N16110" i="17"/>
  <c r="N16109" i="17"/>
  <c r="N16108" i="17"/>
  <c r="N16107" i="17"/>
  <c r="N16106" i="17"/>
  <c r="N16105" i="17"/>
  <c r="N16104" i="17"/>
  <c r="N16103" i="17"/>
  <c r="N16102" i="17"/>
  <c r="N16101" i="17"/>
  <c r="N16100" i="17"/>
  <c r="N16099" i="17"/>
  <c r="N16098" i="17"/>
  <c r="N16097" i="17"/>
  <c r="N16096" i="17"/>
  <c r="N16095" i="17"/>
  <c r="N16094" i="17"/>
  <c r="N16093" i="17"/>
  <c r="N16092" i="17"/>
  <c r="N16091" i="17"/>
  <c r="N16090" i="17"/>
  <c r="N16089" i="17"/>
  <c r="N16088" i="17"/>
  <c r="N16087" i="17"/>
  <c r="N16086" i="17"/>
  <c r="N16085" i="17"/>
  <c r="N16084" i="17"/>
  <c r="N16083" i="17"/>
  <c r="N16082" i="17"/>
  <c r="N16081" i="17"/>
  <c r="N16080" i="17"/>
  <c r="N16079" i="17"/>
  <c r="N16078" i="17"/>
  <c r="N16077" i="17"/>
  <c r="N16076" i="17"/>
  <c r="N16075" i="17"/>
  <c r="N16074" i="17"/>
  <c r="N16073" i="17"/>
  <c r="N16072" i="17"/>
  <c r="N16071" i="17"/>
  <c r="N16070" i="17"/>
  <c r="N16069" i="17"/>
  <c r="N16068" i="17"/>
  <c r="N16067" i="17"/>
  <c r="N16066" i="17"/>
  <c r="N16065" i="17"/>
  <c r="N16064" i="17"/>
  <c r="N16063" i="17"/>
  <c r="N16062" i="17"/>
  <c r="N16061" i="17"/>
  <c r="N16060" i="17"/>
  <c r="N16059" i="17"/>
  <c r="N16058" i="17"/>
  <c r="N16057" i="17"/>
  <c r="N16056" i="17"/>
  <c r="N16055" i="17"/>
  <c r="N16054" i="17"/>
  <c r="N16053" i="17"/>
  <c r="N16052" i="17"/>
  <c r="N16051" i="17"/>
  <c r="N16050" i="17"/>
  <c r="N16049" i="17"/>
  <c r="N16048" i="17"/>
  <c r="N16047" i="17"/>
  <c r="N16046" i="17"/>
  <c r="N16045" i="17"/>
  <c r="N16044" i="17"/>
  <c r="N16043" i="17"/>
  <c r="N16042" i="17"/>
  <c r="N16041" i="17"/>
  <c r="N16040" i="17"/>
  <c r="N16039" i="17"/>
  <c r="N16038" i="17"/>
  <c r="N16037" i="17"/>
  <c r="N16036" i="17"/>
  <c r="N16035" i="17"/>
  <c r="N16034" i="17"/>
  <c r="N16033" i="17"/>
  <c r="N16032" i="17"/>
  <c r="N16031" i="17"/>
  <c r="N16030" i="17"/>
  <c r="N16029" i="17"/>
  <c r="N16028" i="17"/>
  <c r="N16027" i="17"/>
  <c r="N16026" i="17"/>
  <c r="N16025" i="17"/>
  <c r="N16024" i="17"/>
  <c r="N16023" i="17"/>
  <c r="N16022" i="17"/>
  <c r="N16021" i="17"/>
  <c r="N16020" i="17"/>
  <c r="N16019" i="17"/>
  <c r="N16018" i="17"/>
  <c r="N16017" i="17"/>
  <c r="N16016" i="17"/>
  <c r="N16015" i="17"/>
  <c r="N16014" i="17"/>
  <c r="N16013" i="17"/>
  <c r="N16012" i="17"/>
  <c r="N16011" i="17"/>
  <c r="N16010" i="17"/>
  <c r="N16009" i="17"/>
  <c r="N16008" i="17"/>
  <c r="N16007" i="17"/>
  <c r="N16006" i="17"/>
  <c r="N16005" i="17"/>
  <c r="N16004" i="17"/>
  <c r="N16003" i="17"/>
  <c r="N16002" i="17"/>
  <c r="N16001" i="17"/>
  <c r="N16000" i="17"/>
  <c r="N15999" i="17"/>
  <c r="N15998" i="17"/>
  <c r="N15997" i="17"/>
  <c r="N15996" i="17"/>
  <c r="N15995" i="17"/>
  <c r="N15994" i="17"/>
  <c r="N15993" i="17"/>
  <c r="N15992" i="17"/>
  <c r="N15991" i="17"/>
  <c r="N15990" i="17"/>
  <c r="N15989" i="17"/>
  <c r="N15988" i="17"/>
  <c r="N15987" i="17"/>
  <c r="N15986" i="17"/>
  <c r="N15985" i="17"/>
  <c r="N15984" i="17"/>
  <c r="N15983" i="17"/>
  <c r="N15982" i="17"/>
  <c r="N15981" i="17"/>
  <c r="N15980" i="17"/>
  <c r="N15979" i="17"/>
  <c r="N15978" i="17"/>
  <c r="N15977" i="17"/>
  <c r="N15976" i="17"/>
  <c r="N15975" i="17"/>
  <c r="N15974" i="17"/>
  <c r="N15973" i="17"/>
  <c r="N15972" i="17"/>
  <c r="N15971" i="17"/>
  <c r="N15970" i="17"/>
  <c r="N15969" i="17"/>
  <c r="N15968" i="17"/>
  <c r="N15967" i="17"/>
  <c r="N15966" i="17"/>
  <c r="N15965" i="17"/>
  <c r="N15964" i="17"/>
  <c r="N15963" i="17"/>
  <c r="N15962" i="17"/>
  <c r="N15961" i="17"/>
  <c r="N15960" i="17"/>
  <c r="N15959" i="17"/>
  <c r="N15958" i="17"/>
  <c r="N15957" i="17"/>
  <c r="N15956" i="17"/>
  <c r="N15955" i="17"/>
  <c r="N15954" i="17"/>
  <c r="N15953" i="17"/>
  <c r="N15952" i="17"/>
  <c r="N15951" i="17"/>
  <c r="N15950" i="17"/>
  <c r="N15949" i="17"/>
  <c r="N15948" i="17"/>
  <c r="N15947" i="17"/>
  <c r="N15946" i="17"/>
  <c r="N15945" i="17"/>
  <c r="N15944" i="17"/>
  <c r="N15943" i="17"/>
  <c r="N15942" i="17"/>
  <c r="N15941" i="17"/>
  <c r="N15940" i="17"/>
  <c r="N15939" i="17"/>
  <c r="N15938" i="17"/>
  <c r="N15937" i="17"/>
  <c r="N15936" i="17"/>
  <c r="N15935" i="17"/>
  <c r="N15934" i="17"/>
  <c r="N15933" i="17"/>
  <c r="N15932" i="17"/>
  <c r="N15931" i="17"/>
  <c r="N15930" i="17"/>
  <c r="N15929" i="17"/>
  <c r="N15928" i="17"/>
  <c r="N15927" i="17"/>
  <c r="N15926" i="17"/>
  <c r="N15925" i="17"/>
  <c r="N15924" i="17"/>
  <c r="N15923" i="17"/>
  <c r="N15922" i="17"/>
  <c r="N15921" i="17"/>
  <c r="N15920" i="17"/>
  <c r="N15919" i="17"/>
  <c r="N15918" i="17"/>
  <c r="N15917" i="17"/>
  <c r="N15916" i="17"/>
  <c r="N15915" i="17"/>
  <c r="N15914" i="17"/>
  <c r="N15913" i="17"/>
  <c r="N15912" i="17"/>
  <c r="N15911" i="17"/>
  <c r="N15910" i="17"/>
  <c r="N15909" i="17"/>
  <c r="N15908" i="17"/>
  <c r="N15907" i="17"/>
  <c r="N15906" i="17"/>
  <c r="N15905" i="17"/>
  <c r="N15904" i="17"/>
  <c r="N15903" i="17"/>
  <c r="N15902" i="17"/>
  <c r="N15901" i="17"/>
  <c r="N15900" i="17"/>
  <c r="N15899" i="17"/>
  <c r="N15898" i="17"/>
  <c r="N15897" i="17"/>
  <c r="N15896" i="17"/>
  <c r="N15895" i="17"/>
  <c r="N15894" i="17"/>
  <c r="N15893" i="17"/>
  <c r="N15892" i="17"/>
  <c r="N15891" i="17"/>
  <c r="N15890" i="17"/>
  <c r="N15889" i="17"/>
  <c r="N15888" i="17"/>
  <c r="N15887" i="17"/>
  <c r="N15886" i="17"/>
  <c r="N15885" i="17"/>
  <c r="N15884" i="17"/>
  <c r="N15883" i="17"/>
  <c r="N15882" i="17"/>
  <c r="N15881" i="17"/>
  <c r="N15880" i="17"/>
  <c r="N15879" i="17"/>
  <c r="N15878" i="17"/>
  <c r="N15877" i="17"/>
  <c r="N15876" i="17"/>
  <c r="N15875" i="17"/>
  <c r="N15874" i="17"/>
  <c r="N15873" i="17"/>
  <c r="N15872" i="17"/>
  <c r="N15871" i="17"/>
  <c r="N15870" i="17"/>
  <c r="N15869" i="17"/>
  <c r="N15868" i="17"/>
  <c r="N15867" i="17"/>
  <c r="N15866" i="17"/>
  <c r="N15865" i="17"/>
  <c r="N15864" i="17"/>
  <c r="N15863" i="17"/>
  <c r="N15862" i="17"/>
  <c r="N15861" i="17"/>
  <c r="N15860" i="17"/>
  <c r="N15859" i="17"/>
  <c r="N15858" i="17"/>
  <c r="N15857" i="17"/>
  <c r="N15856" i="17"/>
  <c r="N15855" i="17"/>
  <c r="N15854" i="17"/>
  <c r="N15853" i="17"/>
  <c r="N15852" i="17"/>
  <c r="N15851" i="17"/>
  <c r="N15850" i="17"/>
  <c r="N15849" i="17"/>
  <c r="N15848" i="17"/>
  <c r="N15847" i="17"/>
  <c r="N15846" i="17"/>
  <c r="N15845" i="17"/>
  <c r="N15844" i="17"/>
  <c r="N15843" i="17"/>
  <c r="N15842" i="17"/>
  <c r="N15841" i="17"/>
  <c r="N15840" i="17"/>
  <c r="N15839" i="17"/>
  <c r="N15838" i="17"/>
  <c r="N15837" i="17"/>
  <c r="N15836" i="17"/>
  <c r="N15835" i="17"/>
  <c r="N15834" i="17"/>
  <c r="N15833" i="17"/>
  <c r="N15832" i="17"/>
  <c r="N15831" i="17"/>
  <c r="N15830" i="17"/>
  <c r="N15829" i="17"/>
  <c r="N15828" i="17"/>
  <c r="N15827" i="17"/>
  <c r="N15826" i="17"/>
  <c r="N15825" i="17"/>
  <c r="N15824" i="17"/>
  <c r="N15823" i="17"/>
  <c r="N15822" i="17"/>
  <c r="N15821" i="17"/>
  <c r="N15820" i="17"/>
  <c r="N15819" i="17"/>
  <c r="N15818" i="17"/>
  <c r="N15817" i="17"/>
  <c r="N15816" i="17"/>
  <c r="N15815" i="17"/>
  <c r="N15814" i="17"/>
  <c r="N15813" i="17"/>
  <c r="N15812" i="17"/>
  <c r="N15811" i="17"/>
  <c r="N15810" i="17"/>
  <c r="N15809" i="17"/>
  <c r="N15808" i="17"/>
  <c r="N15807" i="17"/>
  <c r="N15806" i="17"/>
  <c r="N15805" i="17"/>
  <c r="N15804" i="17"/>
  <c r="N15803" i="17"/>
  <c r="N15802" i="17"/>
  <c r="N15801" i="17"/>
  <c r="N15800" i="17"/>
  <c r="N15799" i="17"/>
  <c r="N15798" i="17"/>
  <c r="N15797" i="17"/>
  <c r="N15796" i="17"/>
  <c r="N15795" i="17"/>
  <c r="N15794" i="17"/>
  <c r="N15793" i="17"/>
  <c r="N15792" i="17"/>
  <c r="N15791" i="17"/>
  <c r="N15790" i="17"/>
  <c r="N15789" i="17"/>
  <c r="N15788" i="17"/>
  <c r="N15787" i="17"/>
  <c r="N15786" i="17"/>
  <c r="N15785" i="17"/>
  <c r="N15784" i="17"/>
  <c r="N15783" i="17"/>
  <c r="N15782" i="17"/>
  <c r="N15781" i="17"/>
  <c r="N15780" i="17"/>
  <c r="N15779" i="17"/>
  <c r="N15778" i="17"/>
  <c r="N15777" i="17"/>
  <c r="N15776" i="17"/>
  <c r="N15775" i="17"/>
  <c r="N15774" i="17"/>
  <c r="N15773" i="17"/>
  <c r="N15772" i="17"/>
  <c r="N15771" i="17"/>
  <c r="N15770" i="17"/>
  <c r="N15769" i="17"/>
  <c r="N15768" i="17"/>
  <c r="N15767" i="17"/>
  <c r="N15766" i="17"/>
  <c r="N15765" i="17"/>
  <c r="N15764" i="17"/>
  <c r="N15763" i="17"/>
  <c r="N15762" i="17"/>
  <c r="N15761" i="17"/>
  <c r="N15760" i="17"/>
  <c r="N15759" i="17"/>
  <c r="N15758" i="17"/>
  <c r="N15757" i="17"/>
  <c r="N15756" i="17"/>
  <c r="N15755" i="17"/>
  <c r="N15754" i="17"/>
  <c r="N15753" i="17"/>
  <c r="N15752" i="17"/>
  <c r="N15751" i="17"/>
  <c r="N15750" i="17"/>
  <c r="N15749" i="17"/>
  <c r="N15748" i="17"/>
  <c r="N15747" i="17"/>
  <c r="N15746" i="17"/>
  <c r="N15745" i="17"/>
  <c r="N15744" i="17"/>
  <c r="N15743" i="17"/>
  <c r="N15742" i="17"/>
  <c r="N15741" i="17"/>
  <c r="N15740" i="17"/>
  <c r="N15739" i="17"/>
  <c r="N15738" i="17"/>
  <c r="N15737" i="17"/>
  <c r="N15736" i="17"/>
  <c r="N15735" i="17"/>
  <c r="N15734" i="17"/>
  <c r="N15733" i="17"/>
  <c r="N15732" i="17"/>
  <c r="N15731" i="17"/>
  <c r="N15730" i="17"/>
  <c r="N15729" i="17"/>
  <c r="N15728" i="17"/>
  <c r="N15727" i="17"/>
  <c r="N15726" i="17"/>
  <c r="N15725" i="17"/>
  <c r="N15724" i="17"/>
  <c r="N15723" i="17"/>
  <c r="N15722" i="17"/>
  <c r="N15721" i="17"/>
  <c r="N15720" i="17"/>
  <c r="N15719" i="17"/>
  <c r="N15718" i="17"/>
  <c r="N15717" i="17"/>
  <c r="N15716" i="17"/>
  <c r="N15715" i="17"/>
  <c r="N15714" i="17"/>
  <c r="N15713" i="17"/>
  <c r="N15712" i="17"/>
  <c r="N15711" i="17"/>
  <c r="N15710" i="17"/>
  <c r="N15709" i="17"/>
  <c r="N15708" i="17"/>
  <c r="N15707" i="17"/>
  <c r="N15706" i="17"/>
  <c r="N15705" i="17"/>
  <c r="N15704" i="17"/>
  <c r="N15703" i="17"/>
  <c r="N15702" i="17"/>
  <c r="N15701" i="17"/>
  <c r="N15700" i="17"/>
  <c r="N15699" i="17"/>
  <c r="N15698" i="17"/>
  <c r="N15697" i="17"/>
  <c r="N15696" i="17"/>
  <c r="N15695" i="17"/>
  <c r="N15694" i="17"/>
  <c r="N15693" i="17"/>
  <c r="N15692" i="17"/>
  <c r="N15691" i="17"/>
  <c r="N15690" i="17"/>
  <c r="N15689" i="17"/>
  <c r="N15688" i="17"/>
  <c r="N15687" i="17"/>
  <c r="N15686" i="17"/>
  <c r="N15685" i="17"/>
  <c r="N15684" i="17"/>
  <c r="N15683" i="17"/>
  <c r="N15682" i="17"/>
  <c r="N15681" i="17"/>
  <c r="N15680" i="17"/>
  <c r="N15679" i="17"/>
  <c r="N15678" i="17"/>
  <c r="N15677" i="17"/>
  <c r="N15676" i="17"/>
  <c r="N15675" i="17"/>
  <c r="N15674" i="17"/>
  <c r="N15673" i="17"/>
  <c r="N15672" i="17"/>
  <c r="N15671" i="17"/>
  <c r="N15670" i="17"/>
  <c r="N15669" i="17"/>
  <c r="N15668" i="17"/>
  <c r="N15667" i="17"/>
  <c r="N15666" i="17"/>
  <c r="N15665" i="17"/>
  <c r="N15664" i="17"/>
  <c r="N15663" i="17"/>
  <c r="N15662" i="17"/>
  <c r="N15661" i="17"/>
  <c r="N15660" i="17"/>
  <c r="N15659" i="17"/>
  <c r="N15658" i="17"/>
  <c r="N15657" i="17"/>
  <c r="N15656" i="17"/>
  <c r="N15655" i="17"/>
  <c r="N15654" i="17"/>
  <c r="N15653" i="17"/>
  <c r="N15652" i="17"/>
  <c r="N15651" i="17"/>
  <c r="N15650" i="17"/>
  <c r="N15649" i="17"/>
  <c r="N15648" i="17"/>
  <c r="N15647" i="17"/>
  <c r="N15646" i="17"/>
  <c r="N15645" i="17"/>
  <c r="N15644" i="17"/>
  <c r="N15643" i="17"/>
  <c r="N15642" i="17"/>
  <c r="N15641" i="17"/>
  <c r="N15640" i="17"/>
  <c r="N15639" i="17"/>
  <c r="N15638" i="17"/>
  <c r="N15637" i="17"/>
  <c r="N15636" i="17"/>
  <c r="N15635" i="17"/>
  <c r="N15634" i="17"/>
  <c r="N15633" i="17"/>
  <c r="N15632" i="17"/>
  <c r="N15631" i="17"/>
  <c r="N15630" i="17"/>
  <c r="N15629" i="17"/>
  <c r="N15628" i="17"/>
  <c r="N15627" i="17"/>
  <c r="N15626" i="17"/>
  <c r="N15625" i="17"/>
  <c r="N15624" i="17"/>
  <c r="N15623" i="17"/>
  <c r="N15622" i="17"/>
  <c r="N15621" i="17"/>
  <c r="N15620" i="17"/>
  <c r="N15619" i="17"/>
  <c r="N15618" i="17"/>
  <c r="N15617" i="17"/>
  <c r="N15616" i="17"/>
  <c r="N15615" i="17"/>
  <c r="N15614" i="17"/>
  <c r="N15613" i="17"/>
  <c r="N15612" i="17"/>
  <c r="N15611" i="17"/>
  <c r="N15610" i="17"/>
  <c r="N15609" i="17"/>
  <c r="N15608" i="17"/>
  <c r="N15607" i="17"/>
  <c r="N15606" i="17"/>
  <c r="N15605" i="17"/>
  <c r="N15604" i="17"/>
  <c r="N15603" i="17"/>
  <c r="N15602" i="17"/>
  <c r="N15601" i="17"/>
  <c r="N15600" i="17"/>
  <c r="N15599" i="17"/>
  <c r="N15598" i="17"/>
  <c r="N15597" i="17"/>
  <c r="N15596" i="17"/>
  <c r="N15595" i="17"/>
  <c r="N15594" i="17"/>
  <c r="N15593" i="17"/>
  <c r="N15592" i="17"/>
  <c r="N15591" i="17"/>
  <c r="N15590" i="17"/>
  <c r="N15589" i="17"/>
  <c r="N15588" i="17"/>
  <c r="N15587" i="17"/>
  <c r="N15586" i="17"/>
  <c r="N15585" i="17"/>
  <c r="N15584" i="17"/>
  <c r="N15583" i="17"/>
  <c r="N15582" i="17"/>
  <c r="N15581" i="17"/>
  <c r="N15580" i="17"/>
  <c r="N15579" i="17"/>
  <c r="N15578" i="17"/>
  <c r="N15577" i="17"/>
  <c r="N15576" i="17"/>
  <c r="N15575" i="17"/>
  <c r="N15574" i="17"/>
  <c r="N15573" i="17"/>
  <c r="N15572" i="17"/>
  <c r="N15571" i="17"/>
  <c r="N15570" i="17"/>
  <c r="N15569" i="17"/>
  <c r="N15568" i="17"/>
  <c r="N15567" i="17"/>
  <c r="N15566" i="17"/>
  <c r="N15565" i="17"/>
  <c r="N15564" i="17"/>
  <c r="N15563" i="17"/>
  <c r="N15562" i="17"/>
  <c r="N15561" i="17"/>
  <c r="N15560" i="17"/>
  <c r="N15559" i="17"/>
  <c r="N15558" i="17"/>
  <c r="N15557" i="17"/>
  <c r="N15556" i="17"/>
  <c r="N15555" i="17"/>
  <c r="N15554" i="17"/>
  <c r="N15553" i="17"/>
  <c r="N15552" i="17"/>
  <c r="N15551" i="17"/>
  <c r="N15550" i="17"/>
  <c r="N15549" i="17"/>
  <c r="N15548" i="17"/>
  <c r="N15547" i="17"/>
  <c r="N15546" i="17"/>
  <c r="N15545" i="17"/>
  <c r="N15544" i="17"/>
  <c r="N15543" i="17"/>
  <c r="N15542" i="17"/>
  <c r="N15541" i="17"/>
  <c r="N15540" i="17"/>
  <c r="N15539" i="17"/>
  <c r="N15538" i="17"/>
  <c r="N15537" i="17"/>
  <c r="N15536" i="17"/>
  <c r="N15535" i="17"/>
  <c r="N15534" i="17"/>
  <c r="N15533" i="17"/>
  <c r="N15532" i="17"/>
  <c r="N15531" i="17"/>
  <c r="N15530" i="17"/>
  <c r="N15529" i="17"/>
  <c r="N15528" i="17"/>
  <c r="N15527" i="17"/>
  <c r="N15526" i="17"/>
  <c r="N15525" i="17"/>
  <c r="N15524" i="17"/>
  <c r="N15523" i="17"/>
  <c r="N15522" i="17"/>
  <c r="N15521" i="17"/>
  <c r="N15520" i="17"/>
  <c r="N15519" i="17"/>
  <c r="N15518" i="17"/>
  <c r="N15517" i="17"/>
  <c r="N15516" i="17"/>
  <c r="N15515" i="17"/>
  <c r="N15514" i="17"/>
  <c r="N15513" i="17"/>
  <c r="N15512" i="17"/>
  <c r="N15511" i="17"/>
  <c r="N15510" i="17"/>
  <c r="N15509" i="17"/>
  <c r="N15508" i="17"/>
  <c r="N15507" i="17"/>
  <c r="N15506" i="17"/>
  <c r="N15505" i="17"/>
  <c r="N15504" i="17"/>
  <c r="N15503" i="17"/>
  <c r="N15502" i="17"/>
  <c r="N15501" i="17"/>
  <c r="N15500" i="17"/>
  <c r="N15499" i="17"/>
  <c r="N15498" i="17"/>
  <c r="N15497" i="17"/>
  <c r="N15496" i="17"/>
  <c r="N15495" i="17"/>
  <c r="N15494" i="17"/>
  <c r="N15493" i="17"/>
  <c r="N15492" i="17"/>
  <c r="N15491" i="17"/>
  <c r="N15490" i="17"/>
  <c r="N15489" i="17"/>
  <c r="N15488" i="17"/>
  <c r="N15487" i="17"/>
  <c r="N15486" i="17"/>
  <c r="N15485" i="17"/>
  <c r="N15484" i="17"/>
  <c r="N15483" i="17"/>
  <c r="N15482" i="17"/>
  <c r="N15481" i="17"/>
  <c r="N15480" i="17"/>
  <c r="N15479" i="17"/>
  <c r="N15478" i="17"/>
  <c r="N15477" i="17"/>
  <c r="N15476" i="17"/>
  <c r="N15475" i="17"/>
  <c r="N15474" i="17"/>
  <c r="N15473" i="17"/>
  <c r="N15472" i="17"/>
  <c r="N15471" i="17"/>
  <c r="N15470" i="17"/>
  <c r="N15469" i="17"/>
  <c r="N15468" i="17"/>
  <c r="N15467" i="17"/>
  <c r="N15466" i="17"/>
  <c r="N15465" i="17"/>
  <c r="N15464" i="17"/>
  <c r="N15463" i="17"/>
  <c r="N15462" i="17"/>
  <c r="N15461" i="17"/>
  <c r="N15460" i="17"/>
  <c r="N15459" i="17"/>
  <c r="N15458" i="17"/>
  <c r="N15457" i="17"/>
  <c r="N15456" i="17"/>
  <c r="N15455" i="17"/>
  <c r="N15454" i="17"/>
  <c r="N15453" i="17"/>
  <c r="N15452" i="17"/>
  <c r="N15451" i="17"/>
  <c r="N15450" i="17"/>
  <c r="N15449" i="17"/>
  <c r="N15448" i="17"/>
  <c r="N15447" i="17"/>
  <c r="N15446" i="17"/>
  <c r="N15445" i="17"/>
  <c r="N15444" i="17"/>
  <c r="N15443" i="17"/>
  <c r="N15442" i="17"/>
  <c r="N15441" i="17"/>
  <c r="N15440" i="17"/>
  <c r="N15439" i="17"/>
  <c r="N15438" i="17"/>
  <c r="N15437" i="17"/>
  <c r="N15436" i="17"/>
  <c r="N15435" i="17"/>
  <c r="N15434" i="17"/>
  <c r="N15433" i="17"/>
  <c r="N15432" i="17"/>
  <c r="N15431" i="17"/>
  <c r="N15430" i="17"/>
  <c r="N15429" i="17"/>
  <c r="N15428" i="17"/>
  <c r="N15427" i="17"/>
  <c r="N15426" i="17"/>
  <c r="N15425" i="17"/>
  <c r="N15424" i="17"/>
  <c r="N15423" i="17"/>
  <c r="N15422" i="17"/>
  <c r="N15421" i="17"/>
  <c r="N15420" i="17"/>
  <c r="N15419" i="17"/>
  <c r="N15418" i="17"/>
  <c r="N15417" i="17"/>
  <c r="N15416" i="17"/>
  <c r="N15415" i="17"/>
  <c r="N15414" i="17"/>
  <c r="N15413" i="17"/>
  <c r="N15412" i="17"/>
  <c r="N15411" i="17"/>
  <c r="N15410" i="17"/>
  <c r="N15409" i="17"/>
  <c r="N15408" i="17"/>
  <c r="N15407" i="17"/>
  <c r="N15406" i="17"/>
  <c r="N15405" i="17"/>
  <c r="N15404" i="17"/>
  <c r="N15403" i="17"/>
  <c r="N15402" i="17"/>
  <c r="N15401" i="17"/>
  <c r="N15400" i="17"/>
  <c r="N15399" i="17"/>
  <c r="N15398" i="17"/>
  <c r="N15397" i="17"/>
  <c r="N15396" i="17"/>
  <c r="N15395" i="17"/>
  <c r="N15394" i="17"/>
  <c r="N15393" i="17"/>
  <c r="N15392" i="17"/>
  <c r="N15391" i="17"/>
  <c r="N15390" i="17"/>
  <c r="N15389" i="17"/>
  <c r="N15388" i="17"/>
  <c r="N15387" i="17"/>
  <c r="N15386" i="17"/>
  <c r="N15385" i="17"/>
  <c r="N15384" i="17"/>
  <c r="N15383" i="17"/>
  <c r="N15382" i="17"/>
  <c r="N15381" i="17"/>
  <c r="N15380" i="17"/>
  <c r="N15379" i="17"/>
  <c r="N15378" i="17"/>
  <c r="N15377" i="17"/>
  <c r="N15376" i="17"/>
  <c r="N15375" i="17"/>
  <c r="N15374" i="17"/>
  <c r="N15373" i="17"/>
  <c r="N15372" i="17"/>
  <c r="N15371" i="17"/>
  <c r="N15370" i="17"/>
  <c r="N15369" i="17"/>
  <c r="N15368" i="17"/>
  <c r="N15367" i="17"/>
  <c r="N15366" i="17"/>
  <c r="N15365" i="17"/>
  <c r="N15364" i="17"/>
  <c r="N15363" i="17"/>
  <c r="N15362" i="17"/>
  <c r="N15361" i="17"/>
  <c r="N15360" i="17"/>
  <c r="N15359" i="17"/>
  <c r="N15358" i="17"/>
  <c r="N15357" i="17"/>
  <c r="N15356" i="17"/>
  <c r="N15355" i="17"/>
  <c r="N15354" i="17"/>
  <c r="N15353" i="17"/>
  <c r="N15352" i="17"/>
  <c r="N15351" i="17"/>
  <c r="N15350" i="17"/>
  <c r="N15349" i="17"/>
  <c r="N15348" i="17"/>
  <c r="N15347" i="17"/>
  <c r="N15346" i="17"/>
  <c r="N15345" i="17"/>
  <c r="N15344" i="17"/>
  <c r="N15343" i="17"/>
  <c r="N15342" i="17"/>
  <c r="N15341" i="17"/>
  <c r="N15340" i="17"/>
  <c r="N15339" i="17"/>
  <c r="N15338" i="17"/>
  <c r="N15337" i="17"/>
  <c r="N15336" i="17"/>
  <c r="N15335" i="17"/>
  <c r="N15334" i="17"/>
  <c r="N15333" i="17"/>
  <c r="N15332" i="17"/>
  <c r="N15331" i="17"/>
  <c r="N15330" i="17"/>
  <c r="N15329" i="17"/>
  <c r="N15328" i="17"/>
  <c r="N15327" i="17"/>
  <c r="N15326" i="17"/>
  <c r="N15325" i="17"/>
  <c r="N15324" i="17"/>
  <c r="N15323" i="17"/>
  <c r="N15322" i="17"/>
  <c r="N15321" i="17"/>
  <c r="N15320" i="17"/>
  <c r="N15319" i="17"/>
  <c r="N15318" i="17"/>
  <c r="N15317" i="17"/>
  <c r="N15316" i="17"/>
  <c r="N15315" i="17"/>
  <c r="N15314" i="17"/>
  <c r="N15313" i="17"/>
  <c r="N15312" i="17"/>
  <c r="N15311" i="17"/>
  <c r="N15310" i="17"/>
  <c r="N15309" i="17"/>
  <c r="N15308" i="17"/>
  <c r="N15307" i="17"/>
  <c r="N15306" i="17"/>
  <c r="N15305" i="17"/>
  <c r="N15304" i="17"/>
  <c r="N15303" i="17"/>
  <c r="N15302" i="17"/>
  <c r="N15301" i="17"/>
  <c r="N15300" i="17"/>
  <c r="N15299" i="17"/>
  <c r="N15298" i="17"/>
  <c r="N15297" i="17"/>
  <c r="N15296" i="17"/>
  <c r="N15295" i="17"/>
  <c r="N15294" i="17"/>
  <c r="N15293" i="17"/>
  <c r="N15292" i="17"/>
  <c r="N15291" i="17"/>
  <c r="N15290" i="17"/>
  <c r="N15289" i="17"/>
  <c r="N15288" i="17"/>
  <c r="N15287" i="17"/>
  <c r="N15286" i="17"/>
  <c r="N15285" i="17"/>
  <c r="N15284" i="17"/>
  <c r="N15283" i="17"/>
  <c r="N15282" i="17"/>
  <c r="N15281" i="17"/>
  <c r="N15280" i="17"/>
  <c r="N15279" i="17"/>
  <c r="N15278" i="17"/>
  <c r="N15277" i="17"/>
  <c r="N15276" i="17"/>
  <c r="N15275" i="17"/>
  <c r="N15274" i="17"/>
  <c r="N15273" i="17"/>
  <c r="N15272" i="17"/>
  <c r="N15271" i="17"/>
  <c r="N15270" i="17"/>
  <c r="N15269" i="17"/>
  <c r="N15268" i="17"/>
  <c r="N15267" i="17"/>
  <c r="N15266" i="17"/>
  <c r="N15265" i="17"/>
  <c r="N15264" i="17"/>
  <c r="N15263" i="17"/>
  <c r="N15262" i="17"/>
  <c r="N15261" i="17"/>
  <c r="N15260" i="17"/>
  <c r="N15259" i="17"/>
  <c r="N15258" i="17"/>
  <c r="N15257" i="17"/>
  <c r="N15256" i="17"/>
  <c r="N15255" i="17"/>
  <c r="N15254" i="17"/>
  <c r="N15253" i="17"/>
  <c r="N15252" i="17"/>
  <c r="N15251" i="17"/>
  <c r="N15250" i="17"/>
  <c r="N15249" i="17"/>
  <c r="N15248" i="17"/>
  <c r="N15247" i="17"/>
  <c r="N15246" i="17"/>
  <c r="N15245" i="17"/>
  <c r="N15244" i="17"/>
  <c r="N15243" i="17"/>
  <c r="N15242" i="17"/>
  <c r="N15241" i="17"/>
  <c r="N15240" i="17"/>
  <c r="N15239" i="17"/>
  <c r="N15238" i="17"/>
  <c r="N15237" i="17"/>
  <c r="N15236" i="17"/>
  <c r="N15235" i="17"/>
  <c r="N15234" i="17"/>
  <c r="N15233" i="17"/>
  <c r="N15232" i="17"/>
  <c r="N15231" i="17"/>
  <c r="N15230" i="17"/>
  <c r="N15229" i="17"/>
  <c r="N15228" i="17"/>
  <c r="N15227" i="17"/>
  <c r="N15226" i="17"/>
  <c r="N15225" i="17"/>
  <c r="N15224" i="17"/>
  <c r="N15223" i="17"/>
  <c r="N15222" i="17"/>
  <c r="N15221" i="17"/>
  <c r="N15220" i="17"/>
  <c r="N15219" i="17"/>
  <c r="N15218" i="17"/>
  <c r="N15217" i="17"/>
  <c r="N15216" i="17"/>
  <c r="N15215" i="17"/>
  <c r="N15214" i="17"/>
  <c r="N15213" i="17"/>
  <c r="N15212" i="17"/>
  <c r="N15211" i="17"/>
  <c r="N15210" i="17"/>
  <c r="N15209" i="17"/>
  <c r="N15208" i="17"/>
  <c r="N15207" i="17"/>
  <c r="N15206" i="17"/>
  <c r="N15205" i="17"/>
  <c r="N15204" i="17"/>
  <c r="N15203" i="17"/>
  <c r="N15202" i="17"/>
  <c r="N15201" i="17"/>
  <c r="N15200" i="17"/>
  <c r="N15199" i="17"/>
  <c r="N15198" i="17"/>
  <c r="N15197" i="17"/>
  <c r="N15196" i="17"/>
  <c r="N15195" i="17"/>
  <c r="N15194" i="17"/>
  <c r="N15193" i="17"/>
  <c r="N15192" i="17"/>
  <c r="N15191" i="17"/>
  <c r="N15190" i="17"/>
  <c r="N15189" i="17"/>
  <c r="N15188" i="17"/>
  <c r="N15187" i="17"/>
  <c r="N15186" i="17"/>
  <c r="N15185" i="17"/>
  <c r="N15184" i="17"/>
  <c r="N15183" i="17"/>
  <c r="N15182" i="17"/>
  <c r="N15181" i="17"/>
  <c r="N15180" i="17"/>
  <c r="N15179" i="17"/>
  <c r="N15178" i="17"/>
  <c r="N15177" i="17"/>
  <c r="N15176" i="17"/>
  <c r="N15175" i="17"/>
  <c r="N15174" i="17"/>
  <c r="N15173" i="17"/>
  <c r="N15172" i="17"/>
  <c r="N15171" i="17"/>
  <c r="N15170" i="17"/>
  <c r="N15169" i="17"/>
  <c r="N15168" i="17"/>
  <c r="N15167" i="17"/>
  <c r="N15166" i="17"/>
  <c r="N15165" i="17"/>
  <c r="N15164" i="17"/>
  <c r="N15163" i="17"/>
  <c r="N15162" i="17"/>
  <c r="N15161" i="17"/>
  <c r="N15160" i="17"/>
  <c r="N15159" i="17"/>
  <c r="N15158" i="17"/>
  <c r="N15157" i="17"/>
  <c r="N15156" i="17"/>
  <c r="N15155" i="17"/>
  <c r="N15154" i="17"/>
  <c r="N15153" i="17"/>
  <c r="N15152" i="17"/>
  <c r="N15151" i="17"/>
  <c r="N15150" i="17"/>
  <c r="N15149" i="17"/>
  <c r="N15148" i="17"/>
  <c r="N15147" i="17"/>
  <c r="N15146" i="17"/>
  <c r="N15145" i="17"/>
  <c r="N15144" i="17"/>
  <c r="N15143" i="17"/>
  <c r="N15142" i="17"/>
  <c r="N15141" i="17"/>
  <c r="N15140" i="17"/>
  <c r="N15139" i="17"/>
  <c r="N15138" i="17"/>
  <c r="N15137" i="17"/>
  <c r="N15136" i="17"/>
  <c r="N15135" i="17"/>
  <c r="N15134" i="17"/>
  <c r="N15133" i="17"/>
  <c r="N15132" i="17"/>
  <c r="N15131" i="17"/>
  <c r="N15130" i="17"/>
  <c r="N15129" i="17"/>
  <c r="N15128" i="17"/>
  <c r="N15127" i="17"/>
  <c r="N15126" i="17"/>
  <c r="N15125" i="17"/>
  <c r="N15124" i="17"/>
  <c r="N15123" i="17"/>
  <c r="N15122" i="17"/>
  <c r="N15121" i="17"/>
  <c r="N15120" i="17"/>
  <c r="N15119" i="17"/>
  <c r="N15118" i="17"/>
  <c r="N15117" i="17"/>
  <c r="N15116" i="17"/>
  <c r="N15115" i="17"/>
  <c r="N15114" i="17"/>
  <c r="N15113" i="17"/>
  <c r="N15112" i="17"/>
  <c r="N15111" i="17"/>
  <c r="N15110" i="17"/>
  <c r="N15109" i="17"/>
  <c r="N15108" i="17"/>
  <c r="N15107" i="17"/>
  <c r="N15106" i="17"/>
  <c r="N15105" i="17"/>
  <c r="N15104" i="17"/>
  <c r="N15103" i="17"/>
  <c r="N15102" i="17"/>
  <c r="N15101" i="17"/>
  <c r="N15100" i="17"/>
  <c r="N15099" i="17"/>
  <c r="N15098" i="17"/>
  <c r="N15097" i="17"/>
  <c r="N15096" i="17"/>
  <c r="N15095" i="17"/>
  <c r="N15094" i="17"/>
  <c r="N15093" i="17"/>
  <c r="N15092" i="17"/>
  <c r="N15091" i="17"/>
  <c r="N15090" i="17"/>
  <c r="N15089" i="17"/>
  <c r="N15088" i="17"/>
  <c r="N15087" i="17"/>
  <c r="N15086" i="17"/>
  <c r="N15085" i="17"/>
  <c r="N15084" i="17"/>
  <c r="N15083" i="17"/>
  <c r="N15082" i="17"/>
  <c r="N15081" i="17"/>
  <c r="N15080" i="17"/>
  <c r="N15079" i="17"/>
  <c r="N15078" i="17"/>
  <c r="N15077" i="17"/>
  <c r="N15076" i="17"/>
  <c r="N15075" i="17"/>
  <c r="N15074" i="17"/>
  <c r="N15073" i="17"/>
  <c r="N15072" i="17"/>
  <c r="N15071" i="17"/>
  <c r="N15070" i="17"/>
  <c r="N15069" i="17"/>
  <c r="N15068" i="17"/>
  <c r="N15067" i="17"/>
  <c r="N15066" i="17"/>
  <c r="N15065" i="17"/>
  <c r="N15064" i="17"/>
  <c r="N15063" i="17"/>
  <c r="N15062" i="17"/>
  <c r="N15061" i="17"/>
  <c r="N15060" i="17"/>
  <c r="N15059" i="17"/>
  <c r="N15058" i="17"/>
  <c r="N15057" i="17"/>
  <c r="N15056" i="17"/>
  <c r="N15055" i="17"/>
  <c r="N15054" i="17"/>
  <c r="N15053" i="17"/>
  <c r="N15052" i="17"/>
  <c r="N15051" i="17"/>
  <c r="N15050" i="17"/>
  <c r="N15049" i="17"/>
  <c r="N15048" i="17"/>
  <c r="N15047" i="17"/>
  <c r="N15046" i="17"/>
  <c r="N15045" i="17"/>
  <c r="N15044" i="17"/>
  <c r="N15043" i="17"/>
  <c r="N15042" i="17"/>
  <c r="N15041" i="17"/>
  <c r="N15040" i="17"/>
  <c r="N15039" i="17"/>
  <c r="N15038" i="17"/>
  <c r="N15037" i="17"/>
  <c r="N15036" i="17"/>
  <c r="N15035" i="17"/>
  <c r="N15034" i="17"/>
  <c r="N15033" i="17"/>
  <c r="N15032" i="17"/>
  <c r="N15031" i="17"/>
  <c r="N15030" i="17"/>
  <c r="N15029" i="17"/>
  <c r="N15028" i="17"/>
  <c r="N15027" i="17"/>
  <c r="N15026" i="17"/>
  <c r="N15025" i="17"/>
  <c r="N15024" i="17"/>
  <c r="N15023" i="17"/>
  <c r="N15022" i="17"/>
  <c r="N15021" i="17"/>
  <c r="N15020" i="17"/>
  <c r="N15019" i="17"/>
  <c r="N15018" i="17"/>
  <c r="N15017" i="17"/>
  <c r="N15016" i="17"/>
  <c r="N15015" i="17"/>
  <c r="N15014" i="17"/>
  <c r="N15013" i="17"/>
  <c r="N15012" i="17"/>
  <c r="N15011" i="17"/>
  <c r="N15010" i="17"/>
  <c r="N15009" i="17"/>
  <c r="N15008" i="17"/>
  <c r="N15007" i="17"/>
  <c r="N15006" i="17"/>
  <c r="N15005" i="17"/>
  <c r="N15004" i="17"/>
  <c r="N15003" i="17"/>
  <c r="N15002" i="17"/>
  <c r="N15001" i="17"/>
  <c r="N15000" i="17"/>
  <c r="N14999" i="17"/>
  <c r="N14998" i="17"/>
  <c r="N14997" i="17"/>
  <c r="N14996" i="17"/>
  <c r="N14995" i="17"/>
  <c r="N14994" i="17"/>
  <c r="N14993" i="17"/>
  <c r="N14992" i="17"/>
  <c r="N14991" i="17"/>
  <c r="N14990" i="17"/>
  <c r="N14989" i="17"/>
  <c r="N14988" i="17"/>
  <c r="N14987" i="17"/>
  <c r="N14986" i="17"/>
  <c r="N14985" i="17"/>
  <c r="N14984" i="17"/>
  <c r="N14983" i="17"/>
  <c r="N14982" i="17"/>
  <c r="N14981" i="17"/>
  <c r="N14980" i="17"/>
  <c r="N14979" i="17"/>
  <c r="N14978" i="17"/>
  <c r="N14977" i="17"/>
  <c r="N14976" i="17"/>
  <c r="N14975" i="17"/>
  <c r="N14974" i="17"/>
  <c r="N14973" i="17"/>
  <c r="N14972" i="17"/>
  <c r="N14971" i="17"/>
  <c r="N14970" i="17"/>
  <c r="N14969" i="17"/>
  <c r="N14968" i="17"/>
  <c r="N14967" i="17"/>
  <c r="N14966" i="17"/>
  <c r="N14965" i="17"/>
  <c r="N14964" i="17"/>
  <c r="N14963" i="17"/>
  <c r="N14962" i="17"/>
  <c r="N14961" i="17"/>
  <c r="N14960" i="17"/>
  <c r="N14959" i="17"/>
  <c r="N14958" i="17"/>
  <c r="N14957" i="17"/>
  <c r="N14956" i="17"/>
  <c r="N14955" i="17"/>
  <c r="N14954" i="17"/>
  <c r="N14953" i="17"/>
  <c r="N14952" i="17"/>
  <c r="N14951" i="17"/>
  <c r="N14950" i="17"/>
  <c r="N14949" i="17"/>
  <c r="N14948" i="17"/>
  <c r="N14947" i="17"/>
  <c r="N14946" i="17"/>
  <c r="N14945" i="17"/>
  <c r="N14944" i="17"/>
  <c r="N14943" i="17"/>
  <c r="N14942" i="17"/>
  <c r="N14941" i="17"/>
  <c r="N14940" i="17"/>
  <c r="N14939" i="17"/>
  <c r="N14938" i="17"/>
  <c r="N14937" i="17"/>
  <c r="N14936" i="17"/>
  <c r="N14935" i="17"/>
  <c r="N14934" i="17"/>
  <c r="N14933" i="17"/>
  <c r="N14932" i="17"/>
  <c r="N14931" i="17"/>
  <c r="N14930" i="17"/>
  <c r="N14929" i="17"/>
  <c r="N14928" i="17"/>
  <c r="N14927" i="17"/>
  <c r="N14926" i="17"/>
  <c r="N14925" i="17"/>
  <c r="N14924" i="17"/>
  <c r="N14923" i="17"/>
  <c r="N14922" i="17"/>
  <c r="N14921" i="17"/>
  <c r="N14920" i="17"/>
  <c r="N14919" i="17"/>
  <c r="N14918" i="17"/>
  <c r="N14917" i="17"/>
  <c r="N14916" i="17"/>
  <c r="N14915" i="17"/>
  <c r="N14914" i="17"/>
  <c r="N14913" i="17"/>
  <c r="N14912" i="17"/>
  <c r="N14911" i="17"/>
  <c r="N14910" i="17"/>
  <c r="N14909" i="17"/>
  <c r="N14908" i="17"/>
  <c r="N14907" i="17"/>
  <c r="N14906" i="17"/>
  <c r="N14905" i="17"/>
  <c r="N14904" i="17"/>
  <c r="N14903" i="17"/>
  <c r="N14902" i="17"/>
  <c r="N14901" i="17"/>
  <c r="N14900" i="17"/>
  <c r="N14899" i="17"/>
  <c r="N14898" i="17"/>
  <c r="N14897" i="17"/>
  <c r="N14896" i="17"/>
  <c r="N14895" i="17"/>
  <c r="N14894" i="17"/>
  <c r="N14893" i="17"/>
  <c r="N14892" i="17"/>
  <c r="N14891" i="17"/>
  <c r="N14890" i="17"/>
  <c r="N14889" i="17"/>
  <c r="N14888" i="17"/>
  <c r="N14887" i="17"/>
  <c r="N14886" i="17"/>
  <c r="N14885" i="17"/>
  <c r="N14884" i="17"/>
  <c r="N14883" i="17"/>
  <c r="N14882" i="17"/>
  <c r="N14881" i="17"/>
  <c r="N14880" i="17"/>
  <c r="N14879" i="17"/>
  <c r="N14878" i="17"/>
  <c r="N14877" i="17"/>
  <c r="N14876" i="17"/>
  <c r="N14875" i="17"/>
  <c r="N14874" i="17"/>
  <c r="N14873" i="17"/>
  <c r="N14872" i="17"/>
  <c r="N14871" i="17"/>
  <c r="N14870" i="17"/>
  <c r="N14869" i="17"/>
  <c r="N14868" i="17"/>
  <c r="N14867" i="17"/>
  <c r="N14866" i="17"/>
  <c r="N14865" i="17"/>
  <c r="N14864" i="17"/>
  <c r="N14863" i="17"/>
  <c r="N14862" i="17"/>
  <c r="N14861" i="17"/>
  <c r="N14860" i="17"/>
  <c r="N14859" i="17"/>
  <c r="N14858" i="17"/>
  <c r="N14857" i="17"/>
  <c r="N14856" i="17"/>
  <c r="N14855" i="17"/>
  <c r="N14854" i="17"/>
  <c r="N14853" i="17"/>
  <c r="N14852" i="17"/>
  <c r="N14851" i="17"/>
  <c r="N14850" i="17"/>
  <c r="N14849" i="17"/>
  <c r="N14848" i="17"/>
  <c r="N14847" i="17"/>
  <c r="N14846" i="17"/>
  <c r="N14845" i="17"/>
  <c r="N14844" i="17"/>
  <c r="N14843" i="17"/>
  <c r="N14842" i="17"/>
  <c r="N14841" i="17"/>
  <c r="N14840" i="17"/>
  <c r="N14839" i="17"/>
  <c r="N14838" i="17"/>
  <c r="N14837" i="17"/>
  <c r="N14836" i="17"/>
  <c r="N14835" i="17"/>
  <c r="N14834" i="17"/>
  <c r="N14833" i="17"/>
  <c r="N14832" i="17"/>
  <c r="N14831" i="17"/>
  <c r="N14830" i="17"/>
  <c r="N14829" i="17"/>
  <c r="N14828" i="17"/>
  <c r="N14827" i="17"/>
  <c r="N14826" i="17"/>
  <c r="N14825" i="17"/>
  <c r="N14824" i="17"/>
  <c r="N14823" i="17"/>
  <c r="N14822" i="17"/>
  <c r="N14821" i="17"/>
  <c r="N14820" i="17"/>
  <c r="N14819" i="17"/>
  <c r="N14818" i="17"/>
  <c r="N14817" i="17"/>
  <c r="N14816" i="17"/>
  <c r="N14815" i="17"/>
  <c r="N14814" i="17"/>
  <c r="N14813" i="17"/>
  <c r="N14812" i="17"/>
  <c r="N14811" i="17"/>
  <c r="N14810" i="17"/>
  <c r="N14809" i="17"/>
  <c r="N14808" i="17"/>
  <c r="N14807" i="17"/>
  <c r="N14806" i="17"/>
  <c r="N14805" i="17"/>
  <c r="N14804" i="17"/>
  <c r="N14803" i="17"/>
  <c r="N14802" i="17"/>
  <c r="N14801" i="17"/>
  <c r="N14800" i="17"/>
  <c r="N14799" i="17"/>
  <c r="N14798" i="17"/>
  <c r="N14797" i="17"/>
  <c r="N14796" i="17"/>
  <c r="N14795" i="17"/>
  <c r="N14794" i="17"/>
  <c r="N14793" i="17"/>
  <c r="N14792" i="17"/>
  <c r="N14791" i="17"/>
  <c r="N14790" i="17"/>
  <c r="N14789" i="17"/>
  <c r="N14788" i="17"/>
  <c r="N14787" i="17"/>
  <c r="N14786" i="17"/>
  <c r="N14785" i="17"/>
  <c r="N14784" i="17"/>
  <c r="N14783" i="17"/>
  <c r="N14782" i="17"/>
  <c r="N14781" i="17"/>
  <c r="N14780" i="17"/>
  <c r="N14779" i="17"/>
  <c r="N14778" i="17"/>
  <c r="N14777" i="17"/>
  <c r="N14776" i="17"/>
  <c r="N14775" i="17"/>
  <c r="N14774" i="17"/>
  <c r="N14773" i="17"/>
  <c r="N14772" i="17"/>
  <c r="N14771" i="17"/>
  <c r="N14770" i="17"/>
  <c r="N14769" i="17"/>
  <c r="N14768" i="17"/>
  <c r="N14767" i="17"/>
  <c r="N14766" i="17"/>
  <c r="N14765" i="17"/>
  <c r="N14764" i="17"/>
  <c r="N14763" i="17"/>
  <c r="N14762" i="17"/>
  <c r="N14761" i="17"/>
  <c r="N14760" i="17"/>
  <c r="N14759" i="17"/>
  <c r="N14758" i="17"/>
  <c r="N14757" i="17"/>
  <c r="N14756" i="17"/>
  <c r="N14755" i="17"/>
  <c r="N14754" i="17"/>
  <c r="N14753" i="17"/>
  <c r="N14752" i="17"/>
  <c r="N14751" i="17"/>
  <c r="N14750" i="17"/>
  <c r="N14749" i="17"/>
  <c r="N14748" i="17"/>
  <c r="N14747" i="17"/>
  <c r="N14746" i="17"/>
  <c r="N14745" i="17"/>
  <c r="N14744" i="17"/>
  <c r="N14743" i="17"/>
  <c r="N14742" i="17"/>
  <c r="N14741" i="17"/>
  <c r="N14740" i="17"/>
  <c r="N14739" i="17"/>
  <c r="N14738" i="17"/>
  <c r="N14737" i="17"/>
  <c r="N14736" i="17"/>
  <c r="N14735" i="17"/>
  <c r="N14734" i="17"/>
  <c r="N14733" i="17"/>
  <c r="N14732" i="17"/>
  <c r="N14731" i="17"/>
  <c r="N14730" i="17"/>
  <c r="N14729" i="17"/>
  <c r="N14728" i="17"/>
  <c r="N14727" i="17"/>
  <c r="N14726" i="17"/>
  <c r="N14725" i="17"/>
  <c r="N14724" i="17"/>
  <c r="N14723" i="17"/>
  <c r="N14722" i="17"/>
  <c r="N14721" i="17"/>
  <c r="N14720" i="17"/>
  <c r="N14719" i="17"/>
  <c r="N14718" i="17"/>
  <c r="N14717" i="17"/>
  <c r="N14716" i="17"/>
  <c r="N14715" i="17"/>
  <c r="N14714" i="17"/>
  <c r="N14713" i="17"/>
  <c r="N14712" i="17"/>
  <c r="N14711" i="17"/>
  <c r="N14710" i="17"/>
  <c r="N14709" i="17"/>
  <c r="N14708" i="17"/>
  <c r="N14707" i="17"/>
  <c r="N14706" i="17"/>
  <c r="N14705" i="17"/>
  <c r="N14704" i="17"/>
  <c r="N14703" i="17"/>
  <c r="N14702" i="17"/>
  <c r="N14701" i="17"/>
  <c r="N14700" i="17"/>
  <c r="N14699" i="17"/>
  <c r="N14698" i="17"/>
  <c r="N14697" i="17"/>
  <c r="N14696" i="17"/>
  <c r="N14695" i="17"/>
  <c r="N14694" i="17"/>
  <c r="N14693" i="17"/>
  <c r="N14692" i="17"/>
  <c r="N14691" i="17"/>
  <c r="N14690" i="17"/>
  <c r="N14689" i="17"/>
  <c r="N14688" i="17"/>
  <c r="N14687" i="17"/>
  <c r="N14686" i="17"/>
  <c r="N14685" i="17"/>
  <c r="N14684" i="17"/>
  <c r="N14683" i="17"/>
  <c r="N14682" i="17"/>
  <c r="N14681" i="17"/>
  <c r="N14680" i="17"/>
  <c r="N14679" i="17"/>
  <c r="N14678" i="17"/>
  <c r="N14677" i="17"/>
  <c r="N14676" i="17"/>
  <c r="N14675" i="17"/>
  <c r="N14674" i="17"/>
  <c r="N14673" i="17"/>
  <c r="N14672" i="17"/>
  <c r="N14671" i="17"/>
  <c r="N14670" i="17"/>
  <c r="N14669" i="17"/>
  <c r="N14668" i="17"/>
  <c r="N14667" i="17"/>
  <c r="N14666" i="17"/>
  <c r="N14665" i="17"/>
  <c r="N14664" i="17"/>
  <c r="N14663" i="17"/>
  <c r="N14662" i="17"/>
  <c r="N14661" i="17"/>
  <c r="N14660" i="17"/>
  <c r="N14659" i="17"/>
  <c r="N14658" i="17"/>
  <c r="N14657" i="17"/>
  <c r="N14656" i="17"/>
  <c r="N14655" i="17"/>
  <c r="N14654" i="17"/>
  <c r="N14653" i="17"/>
  <c r="N14652" i="17"/>
  <c r="N14651" i="17"/>
  <c r="N14650" i="17"/>
  <c r="N14649" i="17"/>
  <c r="N14648" i="17"/>
  <c r="N14647" i="17"/>
  <c r="N14646" i="17"/>
  <c r="N14645" i="17"/>
  <c r="N14644" i="17"/>
  <c r="N14643" i="17"/>
  <c r="N14642" i="17"/>
  <c r="N14641" i="17"/>
  <c r="N14640" i="17"/>
  <c r="N14639" i="17"/>
  <c r="N14638" i="17"/>
  <c r="N14637" i="17"/>
  <c r="N14636" i="17"/>
  <c r="N14635" i="17"/>
  <c r="N14634" i="17"/>
  <c r="N14633" i="17"/>
  <c r="N14632" i="17"/>
  <c r="N14631" i="17"/>
  <c r="N14630" i="17"/>
  <c r="N14629" i="17"/>
  <c r="N14628" i="17"/>
  <c r="N14627" i="17"/>
  <c r="N14626" i="17"/>
  <c r="N14625" i="17"/>
  <c r="N14624" i="17"/>
  <c r="N14623" i="17"/>
  <c r="N14622" i="17"/>
  <c r="N14621" i="17"/>
  <c r="N14620" i="17"/>
  <c r="N14619" i="17"/>
  <c r="N14618" i="17"/>
  <c r="N14617" i="17"/>
  <c r="N14616" i="17"/>
  <c r="N14615" i="17"/>
  <c r="N14614" i="17"/>
  <c r="N14613" i="17"/>
  <c r="N14612" i="17"/>
  <c r="N14611" i="17"/>
  <c r="N14610" i="17"/>
  <c r="N14609" i="17"/>
  <c r="N14608" i="17"/>
  <c r="N14607" i="17"/>
  <c r="N14606" i="17"/>
  <c r="N14605" i="17"/>
  <c r="N14604" i="17"/>
  <c r="N14603" i="17"/>
  <c r="N14602" i="17"/>
  <c r="N14601" i="17"/>
  <c r="N14600" i="17"/>
  <c r="N14599" i="17"/>
  <c r="N14598" i="17"/>
  <c r="N14597" i="17"/>
  <c r="N14596" i="17"/>
  <c r="N14595" i="17"/>
  <c r="N14594" i="17"/>
  <c r="N14593" i="17"/>
  <c r="N14592" i="17"/>
  <c r="N14591" i="17"/>
  <c r="N14590" i="17"/>
  <c r="N14589" i="17"/>
  <c r="N14588" i="17"/>
  <c r="N14587" i="17"/>
  <c r="N14586" i="17"/>
  <c r="N14585" i="17"/>
  <c r="N14584" i="17"/>
  <c r="N14583" i="17"/>
  <c r="N14582" i="17"/>
  <c r="N14581" i="17"/>
  <c r="N14580" i="17"/>
  <c r="N14579" i="17"/>
  <c r="N14578" i="17"/>
  <c r="N14577" i="17"/>
  <c r="N14576" i="17"/>
  <c r="N14575" i="17"/>
  <c r="N14574" i="17"/>
  <c r="N14573" i="17"/>
  <c r="N14572" i="17"/>
  <c r="N14571" i="17"/>
  <c r="N14570" i="17"/>
  <c r="N14569" i="17"/>
  <c r="N14568" i="17"/>
  <c r="N14567" i="17"/>
  <c r="N14566" i="17"/>
  <c r="N14565" i="17"/>
  <c r="N14564" i="17"/>
  <c r="N14563" i="17"/>
  <c r="N14562" i="17"/>
  <c r="N14561" i="17"/>
  <c r="N14560" i="17"/>
  <c r="N14559" i="17"/>
  <c r="N14558" i="17"/>
  <c r="N14557" i="17"/>
  <c r="N14556" i="17"/>
  <c r="N14555" i="17"/>
  <c r="N14554" i="17"/>
  <c r="N14553" i="17"/>
  <c r="N14552" i="17"/>
  <c r="N14551" i="17"/>
  <c r="N14550" i="17"/>
  <c r="N14549" i="17"/>
  <c r="N14548" i="17"/>
  <c r="N14547" i="17"/>
  <c r="N14546" i="17"/>
  <c r="N14545" i="17"/>
  <c r="N14544" i="17"/>
  <c r="N14543" i="17"/>
  <c r="N14542" i="17"/>
  <c r="N14541" i="17"/>
  <c r="N14540" i="17"/>
  <c r="N14539" i="17"/>
  <c r="N14538" i="17"/>
  <c r="N14537" i="17"/>
  <c r="N14536" i="17"/>
  <c r="N14535" i="17"/>
  <c r="N14534" i="17"/>
  <c r="N14533" i="17"/>
  <c r="N14532" i="17"/>
  <c r="N14531" i="17"/>
  <c r="N14530" i="17"/>
  <c r="N14529" i="17"/>
  <c r="N14528" i="17"/>
  <c r="N14527" i="17"/>
  <c r="N14526" i="17"/>
  <c r="N14525" i="17"/>
  <c r="N14524" i="17"/>
  <c r="N14523" i="17"/>
  <c r="N14522" i="17"/>
  <c r="N14521" i="17"/>
  <c r="N14520" i="17"/>
  <c r="N14519" i="17"/>
  <c r="N14518" i="17"/>
  <c r="N14517" i="17"/>
  <c r="N14516" i="17"/>
  <c r="N14515" i="17"/>
  <c r="N14514" i="17"/>
  <c r="N14513" i="17"/>
  <c r="N14512" i="17"/>
  <c r="N14511" i="17"/>
  <c r="N14510" i="17"/>
  <c r="N14509" i="17"/>
  <c r="N14508" i="17"/>
  <c r="N14507" i="17"/>
  <c r="N14506" i="17"/>
  <c r="N14505" i="17"/>
  <c r="N14504" i="17"/>
  <c r="N14503" i="17"/>
  <c r="N14502" i="17"/>
  <c r="N14501" i="17"/>
  <c r="N14500" i="17"/>
  <c r="N14499" i="17"/>
  <c r="N14498" i="17"/>
  <c r="N14497" i="17"/>
  <c r="N14496" i="17"/>
  <c r="N14495" i="17"/>
  <c r="N14494" i="17"/>
  <c r="N14493" i="17"/>
  <c r="N14492" i="17"/>
  <c r="N14491" i="17"/>
  <c r="N14490" i="17"/>
  <c r="N14489" i="17"/>
  <c r="N14488" i="17"/>
  <c r="N14487" i="17"/>
  <c r="N14486" i="17"/>
  <c r="N14485" i="17"/>
  <c r="N14484" i="17"/>
  <c r="N14483" i="17"/>
  <c r="N14482" i="17"/>
  <c r="N14481" i="17"/>
  <c r="N14480" i="17"/>
  <c r="N14479" i="17"/>
  <c r="N14478" i="17"/>
  <c r="N14477" i="17"/>
  <c r="N14476" i="17"/>
  <c r="N14475" i="17"/>
  <c r="N14474" i="17"/>
  <c r="N14473" i="17"/>
  <c r="N14472" i="17"/>
  <c r="N14471" i="17"/>
  <c r="N14470" i="17"/>
  <c r="N14469" i="17"/>
  <c r="N14468" i="17"/>
  <c r="N14467" i="17"/>
  <c r="N14466" i="17"/>
  <c r="N14465" i="17"/>
  <c r="N14464" i="17"/>
  <c r="N14463" i="17"/>
  <c r="N14462" i="17"/>
  <c r="N14461" i="17"/>
  <c r="N14460" i="17"/>
  <c r="N14459" i="17"/>
  <c r="N14458" i="17"/>
  <c r="N14457" i="17"/>
  <c r="N14456" i="17"/>
  <c r="N14455" i="17"/>
  <c r="N14454" i="17"/>
  <c r="N14453" i="17"/>
  <c r="N14452" i="17"/>
  <c r="N14451" i="17"/>
  <c r="N14450" i="17"/>
  <c r="N14449" i="17"/>
  <c r="N14448" i="17"/>
  <c r="N14447" i="17"/>
  <c r="N14446" i="17"/>
  <c r="N14445" i="17"/>
  <c r="N14444" i="17"/>
  <c r="N14443" i="17"/>
  <c r="N14442" i="17"/>
  <c r="N14441" i="17"/>
  <c r="N14440" i="17"/>
  <c r="N14439" i="17"/>
  <c r="N14438" i="17"/>
  <c r="N14437" i="17"/>
  <c r="N14436" i="17"/>
  <c r="N14435" i="17"/>
  <c r="N14434" i="17"/>
  <c r="N14433" i="17"/>
  <c r="N14432" i="17"/>
  <c r="N14431" i="17"/>
  <c r="N14430" i="17"/>
  <c r="N14429" i="17"/>
  <c r="N14428" i="17"/>
  <c r="N14427" i="17"/>
  <c r="N14426" i="17"/>
  <c r="N14425" i="17"/>
  <c r="N14424" i="17"/>
  <c r="N14423" i="17"/>
  <c r="N14422" i="17"/>
  <c r="N14421" i="17"/>
  <c r="N14420" i="17"/>
  <c r="N14419" i="17"/>
  <c r="N14418" i="17"/>
  <c r="N14417" i="17"/>
  <c r="N14416" i="17"/>
  <c r="N14415" i="17"/>
  <c r="N14414" i="17"/>
  <c r="N14413" i="17"/>
  <c r="N14412" i="17"/>
  <c r="N14411" i="17"/>
  <c r="N14410" i="17"/>
  <c r="N14409" i="17"/>
  <c r="N14408" i="17"/>
  <c r="N14407" i="17"/>
  <c r="N14406" i="17"/>
  <c r="N14405" i="17"/>
  <c r="N14404" i="17"/>
  <c r="N14403" i="17"/>
  <c r="N14402" i="17"/>
  <c r="N14401" i="17"/>
  <c r="N14400" i="17"/>
  <c r="N14399" i="17"/>
  <c r="N14398" i="17"/>
  <c r="N14397" i="17"/>
  <c r="N14396" i="17"/>
  <c r="N14395" i="17"/>
  <c r="N14394" i="17"/>
  <c r="N14393" i="17"/>
  <c r="N14392" i="17"/>
  <c r="N14391" i="17"/>
  <c r="N14390" i="17"/>
  <c r="N14389" i="17"/>
  <c r="N14388" i="17"/>
  <c r="N14387" i="17"/>
  <c r="N14386" i="17"/>
  <c r="N14385" i="17"/>
  <c r="N14384" i="17"/>
  <c r="N14383" i="17"/>
  <c r="N14382" i="17"/>
  <c r="N14381" i="17"/>
  <c r="N14380" i="17"/>
  <c r="N14379" i="17"/>
  <c r="N14378" i="17"/>
  <c r="N14377" i="17"/>
  <c r="N14376" i="17"/>
  <c r="N14375" i="17"/>
  <c r="N14374" i="17"/>
  <c r="N14373" i="17"/>
  <c r="N14372" i="17"/>
  <c r="N14371" i="17"/>
  <c r="N14370" i="17"/>
  <c r="N14369" i="17"/>
  <c r="N14368" i="17"/>
  <c r="N14367" i="17"/>
  <c r="N14366" i="17"/>
  <c r="N14365" i="17"/>
  <c r="N14364" i="17"/>
  <c r="N14363" i="17"/>
  <c r="N14362" i="17"/>
  <c r="N14361" i="17"/>
  <c r="N14360" i="17"/>
  <c r="N14359" i="17"/>
  <c r="N14358" i="17"/>
  <c r="N14357" i="17"/>
  <c r="N14356" i="17"/>
  <c r="N14355" i="17"/>
  <c r="N14354" i="17"/>
  <c r="N14353" i="17"/>
  <c r="N14352" i="17"/>
  <c r="N14351" i="17"/>
  <c r="N14350" i="17"/>
  <c r="N14349" i="17"/>
  <c r="N14348" i="17"/>
  <c r="N14347" i="17"/>
  <c r="N14346" i="17"/>
  <c r="N14345" i="17"/>
  <c r="N14344" i="17"/>
  <c r="N14343" i="17"/>
  <c r="N14342" i="17"/>
  <c r="N14341" i="17"/>
  <c r="N14340" i="17"/>
  <c r="N14339" i="17"/>
  <c r="N14338" i="17"/>
  <c r="N14337" i="17"/>
  <c r="N14336" i="17"/>
  <c r="N14335" i="17"/>
  <c r="N14334" i="17"/>
  <c r="N14333" i="17"/>
  <c r="N14332" i="17"/>
  <c r="N14331" i="17"/>
  <c r="N14330" i="17"/>
  <c r="N14329" i="17"/>
  <c r="N14328" i="17"/>
  <c r="N14327" i="17"/>
  <c r="N14326" i="17"/>
  <c r="N14325" i="17"/>
  <c r="N14324" i="17"/>
  <c r="N14323" i="17"/>
  <c r="N14322" i="17"/>
  <c r="N14321" i="17"/>
  <c r="N14320" i="17"/>
  <c r="N14319" i="17"/>
  <c r="N14318" i="17"/>
  <c r="N14317" i="17"/>
  <c r="N14316" i="17"/>
  <c r="N14315" i="17"/>
  <c r="N14314" i="17"/>
  <c r="N14313" i="17"/>
  <c r="N14312" i="17"/>
  <c r="N14311" i="17"/>
  <c r="N14310" i="17"/>
  <c r="N14309" i="17"/>
  <c r="N14308" i="17"/>
  <c r="N14307" i="17"/>
  <c r="N14306" i="17"/>
  <c r="N14305" i="17"/>
  <c r="N14304" i="17"/>
  <c r="N14303" i="17"/>
  <c r="N14302" i="17"/>
  <c r="N14301" i="17"/>
  <c r="N14300" i="17"/>
  <c r="N14299" i="17"/>
  <c r="N14298" i="17"/>
  <c r="N14297" i="17"/>
  <c r="N14296" i="17"/>
  <c r="N14295" i="17"/>
  <c r="N14294" i="17"/>
  <c r="N14293" i="17"/>
  <c r="N14292" i="17"/>
  <c r="N14291" i="17"/>
  <c r="N14290" i="17"/>
  <c r="N14289" i="17"/>
  <c r="N14288" i="17"/>
  <c r="N14287" i="17"/>
  <c r="N14286" i="17"/>
  <c r="N14285" i="17"/>
  <c r="N14284" i="17"/>
  <c r="N14283" i="17"/>
  <c r="N14282" i="17"/>
  <c r="N14281" i="17"/>
  <c r="N14280" i="17"/>
  <c r="N14279" i="17"/>
  <c r="N14278" i="17"/>
  <c r="N14277" i="17"/>
  <c r="N14276" i="17"/>
  <c r="N14275" i="17"/>
  <c r="N14274" i="17"/>
  <c r="N14273" i="17"/>
  <c r="N14272" i="17"/>
  <c r="N14271" i="17"/>
  <c r="N14270" i="17"/>
  <c r="N14269" i="17"/>
  <c r="N14268" i="17"/>
  <c r="N14267" i="17"/>
  <c r="N14266" i="17"/>
  <c r="N14265" i="17"/>
  <c r="N14264" i="17"/>
  <c r="N14263" i="17"/>
  <c r="N14262" i="17"/>
  <c r="N14261" i="17"/>
  <c r="N14260" i="17"/>
  <c r="N14259" i="17"/>
  <c r="N14258" i="17"/>
  <c r="N14257" i="17"/>
  <c r="N14256" i="17"/>
  <c r="N14255" i="17"/>
  <c r="N14254" i="17"/>
  <c r="N14253" i="17"/>
  <c r="N14252" i="17"/>
  <c r="N14251" i="17"/>
  <c r="N14250" i="17"/>
  <c r="N14249" i="17"/>
  <c r="N14248" i="17"/>
  <c r="N14247" i="17"/>
  <c r="N14246" i="17"/>
  <c r="N14245" i="17"/>
  <c r="N14244" i="17"/>
  <c r="N14243" i="17"/>
  <c r="N14242" i="17"/>
  <c r="N14241" i="17"/>
  <c r="N14240" i="17"/>
  <c r="N14239" i="17"/>
  <c r="N14238" i="17"/>
  <c r="N14237" i="17"/>
  <c r="N14236" i="17"/>
  <c r="N14235" i="17"/>
  <c r="N14234" i="17"/>
  <c r="N14233" i="17"/>
  <c r="N14232" i="17"/>
  <c r="N14231" i="17"/>
  <c r="N14230" i="17"/>
  <c r="N14229" i="17"/>
  <c r="N14228" i="17"/>
  <c r="N14227" i="17"/>
  <c r="N14226" i="17"/>
  <c r="N14225" i="17"/>
  <c r="N14224" i="17"/>
  <c r="N14223" i="17"/>
  <c r="N14222" i="17"/>
  <c r="N14221" i="17"/>
  <c r="N14220" i="17"/>
  <c r="N14219" i="17"/>
  <c r="N14218" i="17"/>
  <c r="N14217" i="17"/>
  <c r="N14216" i="17"/>
  <c r="N14215" i="17"/>
  <c r="N14214" i="17"/>
  <c r="N14213" i="17"/>
  <c r="N14212" i="17"/>
  <c r="N14211" i="17"/>
  <c r="N14210" i="17"/>
  <c r="N14209" i="17"/>
  <c r="N14208" i="17"/>
  <c r="N14207" i="17"/>
  <c r="N14206" i="17"/>
  <c r="N14205" i="17"/>
  <c r="N14204" i="17"/>
  <c r="N14203" i="17"/>
  <c r="N14202" i="17"/>
  <c r="N14201" i="17"/>
  <c r="N14200" i="17"/>
  <c r="N14199" i="17"/>
  <c r="N14198" i="17"/>
  <c r="N14197" i="17"/>
  <c r="N14196" i="17"/>
  <c r="N14195" i="17"/>
  <c r="N14194" i="17"/>
  <c r="N14193" i="17"/>
  <c r="N14192" i="17"/>
  <c r="N14191" i="17"/>
  <c r="N14190" i="17"/>
  <c r="N14189" i="17"/>
  <c r="N14188" i="17"/>
  <c r="N14187" i="17"/>
  <c r="N14186" i="17"/>
  <c r="N14185" i="17"/>
  <c r="N14184" i="17"/>
  <c r="N14183" i="17"/>
  <c r="N14182" i="17"/>
  <c r="N14181" i="17"/>
  <c r="N14180" i="17"/>
  <c r="N14179" i="17"/>
  <c r="N14178" i="17"/>
  <c r="N14177" i="17"/>
  <c r="N14176" i="17"/>
  <c r="N14175" i="17"/>
  <c r="N14174" i="17"/>
  <c r="N14173" i="17"/>
  <c r="N14172" i="17"/>
  <c r="N14171" i="17"/>
  <c r="N14170" i="17"/>
  <c r="N14169" i="17"/>
  <c r="N14168" i="17"/>
  <c r="N14167" i="17"/>
  <c r="N14166" i="17"/>
  <c r="N14165" i="17"/>
  <c r="N14164" i="17"/>
  <c r="N14163" i="17"/>
  <c r="N14162" i="17"/>
  <c r="N14161" i="17"/>
  <c r="N14160" i="17"/>
  <c r="N14159" i="17"/>
  <c r="N14158" i="17"/>
  <c r="N14157" i="17"/>
  <c r="N14156" i="17"/>
  <c r="N14155" i="17"/>
  <c r="N14154" i="17"/>
  <c r="N14153" i="17"/>
  <c r="N14152" i="17"/>
  <c r="N14151" i="17"/>
  <c r="N14150" i="17"/>
  <c r="N14149" i="17"/>
  <c r="N14148" i="17"/>
  <c r="N14147" i="17"/>
  <c r="N14146" i="17"/>
  <c r="N14145" i="17"/>
  <c r="N14144" i="17"/>
  <c r="N14143" i="17"/>
  <c r="N14142" i="17"/>
  <c r="N14141" i="17"/>
  <c r="N14140" i="17"/>
  <c r="N14139" i="17"/>
  <c r="N14138" i="17"/>
  <c r="N14137" i="17"/>
  <c r="N14136" i="17"/>
  <c r="N14135" i="17"/>
  <c r="N14134" i="17"/>
  <c r="N14133" i="17"/>
  <c r="N14132" i="17"/>
  <c r="N14131" i="17"/>
  <c r="N14130" i="17"/>
  <c r="N14129" i="17"/>
  <c r="N14128" i="17"/>
  <c r="N14127" i="17"/>
  <c r="N14126" i="17"/>
  <c r="N14125" i="17"/>
  <c r="N14124" i="17"/>
  <c r="N14123" i="17"/>
  <c r="N14122" i="17"/>
  <c r="N14121" i="17"/>
  <c r="N14120" i="17"/>
  <c r="N14119" i="17"/>
  <c r="N14118" i="17"/>
  <c r="N14117" i="17"/>
  <c r="N14116" i="17"/>
  <c r="N14115" i="17"/>
  <c r="N14114" i="17"/>
  <c r="N14113" i="17"/>
  <c r="N14112" i="17"/>
  <c r="N14111" i="17"/>
  <c r="N14110" i="17"/>
  <c r="N14109" i="17"/>
  <c r="N14108" i="17"/>
  <c r="N14107" i="17"/>
  <c r="N14106" i="17"/>
  <c r="N14105" i="17"/>
  <c r="N14104" i="17"/>
  <c r="N14103" i="17"/>
  <c r="N14102" i="17"/>
  <c r="N14101" i="17"/>
  <c r="N14100" i="17"/>
  <c r="N14099" i="17"/>
  <c r="N14098" i="17"/>
  <c r="N14097" i="17"/>
  <c r="N14096" i="17"/>
  <c r="N14095" i="17"/>
  <c r="N14094" i="17"/>
  <c r="N14093" i="17"/>
  <c r="N14092" i="17"/>
  <c r="N14091" i="17"/>
  <c r="N14090" i="17"/>
  <c r="N14089" i="17"/>
  <c r="N14088" i="17"/>
  <c r="N14087" i="17"/>
  <c r="N14086" i="17"/>
  <c r="N14085" i="17"/>
  <c r="N14084" i="17"/>
  <c r="N14083" i="17"/>
  <c r="N14082" i="17"/>
  <c r="N14081" i="17"/>
  <c r="N14080" i="17"/>
  <c r="N14079" i="17"/>
  <c r="N14078" i="17"/>
  <c r="N14077" i="17"/>
  <c r="N14076" i="17"/>
  <c r="N14075" i="17"/>
  <c r="N14074" i="17"/>
  <c r="N14073" i="17"/>
  <c r="N14072" i="17"/>
  <c r="N14071" i="17"/>
  <c r="N14070" i="17"/>
  <c r="N14069" i="17"/>
  <c r="N14068" i="17"/>
  <c r="N14067" i="17"/>
  <c r="N14066" i="17"/>
  <c r="N14065" i="17"/>
  <c r="N14064" i="17"/>
  <c r="N14063" i="17"/>
  <c r="N14062" i="17"/>
  <c r="N14061" i="17"/>
  <c r="N14060" i="17"/>
  <c r="N14059" i="17"/>
  <c r="N14058" i="17"/>
  <c r="N14057" i="17"/>
  <c r="N14056" i="17"/>
  <c r="N14055" i="17"/>
  <c r="N14054" i="17"/>
  <c r="N14053" i="17"/>
  <c r="N14052" i="17"/>
  <c r="N14051" i="17"/>
  <c r="N14050" i="17"/>
  <c r="N14049" i="17"/>
  <c r="N14048" i="17"/>
  <c r="N14047" i="17"/>
  <c r="N14046" i="17"/>
  <c r="N14045" i="17"/>
  <c r="N14044" i="17"/>
  <c r="N14043" i="17"/>
  <c r="N14042" i="17"/>
  <c r="N14041" i="17"/>
  <c r="N14040" i="17"/>
  <c r="N14039" i="17"/>
  <c r="N14038" i="17"/>
  <c r="N14037" i="17"/>
  <c r="N14036" i="17"/>
  <c r="N14035" i="17"/>
  <c r="N14034" i="17"/>
  <c r="N14033" i="17"/>
  <c r="N14032" i="17"/>
  <c r="N14031" i="17"/>
  <c r="N14030" i="17"/>
  <c r="N14029" i="17"/>
  <c r="N14028" i="17"/>
  <c r="N14027" i="17"/>
  <c r="N14026" i="17"/>
  <c r="N14025" i="17"/>
  <c r="N14024" i="17"/>
  <c r="N14023" i="17"/>
  <c r="N14022" i="17"/>
  <c r="N14021" i="17"/>
  <c r="N14020" i="17"/>
  <c r="N14019" i="17"/>
  <c r="N14018" i="17"/>
  <c r="N14017" i="17"/>
  <c r="N14016" i="17"/>
  <c r="N14015" i="17"/>
  <c r="N14014" i="17"/>
  <c r="N14013" i="17"/>
  <c r="N14012" i="17"/>
  <c r="N14011" i="17"/>
  <c r="N14010" i="17"/>
  <c r="N14009" i="17"/>
  <c r="N14008" i="17"/>
  <c r="N14007" i="17"/>
  <c r="N14006" i="17"/>
  <c r="N14005" i="17"/>
  <c r="N14004" i="17"/>
  <c r="N14003" i="17"/>
  <c r="N14002" i="17"/>
  <c r="N14001" i="17"/>
  <c r="N14000" i="17"/>
  <c r="N13999" i="17"/>
  <c r="N13998" i="17"/>
  <c r="N13997" i="17"/>
  <c r="N13996" i="17"/>
  <c r="N13995" i="17"/>
  <c r="N13994" i="17"/>
  <c r="N13993" i="17"/>
  <c r="N13992" i="17"/>
  <c r="N13991" i="17"/>
  <c r="N13990" i="17"/>
  <c r="N13989" i="17"/>
  <c r="N13988" i="17"/>
  <c r="N13987" i="17"/>
  <c r="N13986" i="17"/>
  <c r="N13985" i="17"/>
  <c r="N13984" i="17"/>
  <c r="N13983" i="17"/>
  <c r="N13982" i="17"/>
  <c r="N13981" i="17"/>
  <c r="N13980" i="17"/>
  <c r="N13979" i="17"/>
  <c r="N13978" i="17"/>
  <c r="N13977" i="17"/>
  <c r="N13976" i="17"/>
  <c r="N13975" i="17"/>
  <c r="N13974" i="17"/>
  <c r="N13973" i="17"/>
  <c r="N13972" i="17"/>
  <c r="N13971" i="17"/>
  <c r="N13970" i="17"/>
  <c r="N13969" i="17"/>
  <c r="N13968" i="17"/>
  <c r="N13967" i="17"/>
  <c r="N13966" i="17"/>
  <c r="N13965" i="17"/>
  <c r="N13964" i="17"/>
  <c r="N13963" i="17"/>
  <c r="N13962" i="17"/>
  <c r="N13961" i="17"/>
  <c r="N13960" i="17"/>
  <c r="N13959" i="17"/>
  <c r="N13958" i="17"/>
  <c r="N13957" i="17"/>
  <c r="N13956" i="17"/>
  <c r="N13955" i="17"/>
  <c r="N13954" i="17"/>
  <c r="N13953" i="17"/>
  <c r="N13952" i="17"/>
  <c r="N13951" i="17"/>
  <c r="N13950" i="17"/>
  <c r="N13949" i="17"/>
  <c r="N13948" i="17"/>
  <c r="N13947" i="17"/>
  <c r="N13946" i="17"/>
  <c r="N13945" i="17"/>
  <c r="N13944" i="17"/>
  <c r="N13943" i="17"/>
  <c r="N13942" i="17"/>
  <c r="N13941" i="17"/>
  <c r="N13940" i="17"/>
  <c r="N13939" i="17"/>
  <c r="N13938" i="17"/>
  <c r="N13937" i="17"/>
  <c r="N13936" i="17"/>
  <c r="N13935" i="17"/>
  <c r="N13934" i="17"/>
  <c r="N13933" i="17"/>
  <c r="N13932" i="17"/>
  <c r="N13931" i="17"/>
  <c r="N13930" i="17"/>
  <c r="N13929" i="17"/>
  <c r="N13928" i="17"/>
  <c r="N13927" i="17"/>
  <c r="N13926" i="17"/>
  <c r="N13925" i="17"/>
  <c r="N13924" i="17"/>
  <c r="N13923" i="17"/>
  <c r="N13922" i="17"/>
  <c r="N13921" i="17"/>
  <c r="N13920" i="17"/>
  <c r="N13919" i="17"/>
  <c r="N13918" i="17"/>
  <c r="N13917" i="17"/>
  <c r="N13916" i="17"/>
  <c r="N13915" i="17"/>
  <c r="N13914" i="17"/>
  <c r="N13913" i="17"/>
  <c r="N13912" i="17"/>
  <c r="N13911" i="17"/>
  <c r="N13910" i="17"/>
  <c r="N13909" i="17"/>
  <c r="N13908" i="17"/>
  <c r="N13907" i="17"/>
  <c r="N13906" i="17"/>
  <c r="N13905" i="17"/>
  <c r="N13904" i="17"/>
  <c r="N13903" i="17"/>
  <c r="N13902" i="17"/>
  <c r="N13901" i="17"/>
  <c r="N13900" i="17"/>
  <c r="N13899" i="17"/>
  <c r="N13898" i="17"/>
  <c r="N13897" i="17"/>
  <c r="N13896" i="17"/>
  <c r="N13895" i="17"/>
  <c r="N13894" i="17"/>
  <c r="N13893" i="17"/>
  <c r="N13892" i="17"/>
  <c r="N13891" i="17"/>
  <c r="N13890" i="17"/>
  <c r="N13889" i="17"/>
  <c r="N13888" i="17"/>
  <c r="N13887" i="17"/>
  <c r="N13886" i="17"/>
  <c r="N13885" i="17"/>
  <c r="N13884" i="17"/>
  <c r="N13883" i="17"/>
  <c r="N13882" i="17"/>
  <c r="N13881" i="17"/>
  <c r="N13880" i="17"/>
  <c r="N13879" i="17"/>
  <c r="N13878" i="17"/>
  <c r="N13877" i="17"/>
  <c r="N13876" i="17"/>
  <c r="N13875" i="17"/>
  <c r="N13874" i="17"/>
  <c r="N13873" i="17"/>
  <c r="N13872" i="17"/>
  <c r="N13871" i="17"/>
  <c r="N13870" i="17"/>
  <c r="N13869" i="17"/>
  <c r="N13868" i="17"/>
  <c r="N13867" i="17"/>
  <c r="N13866" i="17"/>
  <c r="N13865" i="17"/>
  <c r="N13864" i="17"/>
  <c r="N13863" i="17"/>
  <c r="N13862" i="17"/>
  <c r="N13861" i="17"/>
  <c r="N13860" i="17"/>
  <c r="N13859" i="17"/>
  <c r="N13858" i="17"/>
  <c r="N13857" i="17"/>
  <c r="N13856" i="17"/>
  <c r="N13855" i="17"/>
  <c r="N13854" i="17"/>
  <c r="N13853" i="17"/>
  <c r="N13852" i="17"/>
  <c r="N13851" i="17"/>
  <c r="N13850" i="17"/>
  <c r="N13849" i="17"/>
  <c r="N13848" i="17"/>
  <c r="N13847" i="17"/>
  <c r="N13846" i="17"/>
  <c r="N13845" i="17"/>
  <c r="N13844" i="17"/>
  <c r="N13843" i="17"/>
  <c r="N13842" i="17"/>
  <c r="N13841" i="17"/>
  <c r="N13840" i="17"/>
  <c r="N13839" i="17"/>
  <c r="N13838" i="17"/>
  <c r="N13837" i="17"/>
  <c r="N13836" i="17"/>
  <c r="N13835" i="17"/>
  <c r="N13834" i="17"/>
  <c r="N13833" i="17"/>
  <c r="N13832" i="17"/>
  <c r="N13831" i="17"/>
  <c r="N13830" i="17"/>
  <c r="N13829" i="17"/>
  <c r="N13828" i="17"/>
  <c r="N13827" i="17"/>
  <c r="N13826" i="17"/>
  <c r="N13825" i="17"/>
  <c r="N13824" i="17"/>
  <c r="N13823" i="17"/>
  <c r="N13822" i="17"/>
  <c r="N13821" i="17"/>
  <c r="N13820" i="17"/>
  <c r="N13819" i="17"/>
  <c r="N13818" i="17"/>
  <c r="N13817" i="17"/>
  <c r="N13816" i="17"/>
  <c r="N13815" i="17"/>
  <c r="N13814" i="17"/>
  <c r="N13813" i="17"/>
  <c r="N13812" i="17"/>
  <c r="N13811" i="17"/>
  <c r="N13810" i="17"/>
  <c r="N13809" i="17"/>
  <c r="N13808" i="17"/>
  <c r="N13807" i="17"/>
  <c r="N13806" i="17"/>
  <c r="N13805" i="17"/>
  <c r="N13804" i="17"/>
  <c r="N13803" i="17"/>
  <c r="N13802" i="17"/>
  <c r="N13801" i="17"/>
  <c r="N13800" i="17"/>
  <c r="N13799" i="17"/>
  <c r="N13798" i="17"/>
  <c r="N13797" i="17"/>
  <c r="N13796" i="17"/>
  <c r="N13795" i="17"/>
  <c r="N13794" i="17"/>
  <c r="N13793" i="17"/>
  <c r="N13792" i="17"/>
  <c r="N13791" i="17"/>
  <c r="N13790" i="17"/>
  <c r="N13789" i="17"/>
  <c r="N13788" i="17"/>
  <c r="N13787" i="17"/>
  <c r="N13786" i="17"/>
  <c r="N13785" i="17"/>
  <c r="N13784" i="17"/>
  <c r="N13783" i="17"/>
  <c r="N13782" i="17"/>
  <c r="N13781" i="17"/>
  <c r="N13780" i="17"/>
  <c r="N13779" i="17"/>
  <c r="N13778" i="17"/>
  <c r="N13777" i="17"/>
  <c r="N13776" i="17"/>
  <c r="N13775" i="17"/>
  <c r="N13774" i="17"/>
  <c r="N13773" i="17"/>
  <c r="N13772" i="17"/>
  <c r="N13771" i="17"/>
  <c r="N13770" i="17"/>
  <c r="N13769" i="17"/>
  <c r="N13768" i="17"/>
  <c r="N13767" i="17"/>
  <c r="N13766" i="17"/>
  <c r="N13765" i="17"/>
  <c r="N13764" i="17"/>
  <c r="N13763" i="17"/>
  <c r="N13762" i="17"/>
  <c r="N13761" i="17"/>
  <c r="N13760" i="17"/>
  <c r="N13759" i="17"/>
  <c r="N13758" i="17"/>
  <c r="N13757" i="17"/>
  <c r="N13756" i="17"/>
  <c r="N13755" i="17"/>
  <c r="N13754" i="17"/>
  <c r="N13753" i="17"/>
  <c r="N13752" i="17"/>
  <c r="N13751" i="17"/>
  <c r="N13750" i="17"/>
  <c r="N13749" i="17"/>
  <c r="N13748" i="17"/>
  <c r="N13747" i="17"/>
  <c r="N13746" i="17"/>
  <c r="N13745" i="17"/>
  <c r="N13744" i="17"/>
  <c r="N13743" i="17"/>
  <c r="N13742" i="17"/>
  <c r="N13741" i="17"/>
  <c r="N13740" i="17"/>
  <c r="N13739" i="17"/>
  <c r="N13738" i="17"/>
  <c r="N13737" i="17"/>
  <c r="N13736" i="17"/>
  <c r="N13735" i="17"/>
  <c r="N13734" i="17"/>
  <c r="N13733" i="17"/>
  <c r="N13732" i="17"/>
  <c r="N13731" i="17"/>
  <c r="N13730" i="17"/>
  <c r="N13729" i="17"/>
  <c r="N13728" i="17"/>
  <c r="N13727" i="17"/>
  <c r="N13726" i="17"/>
  <c r="N13725" i="17"/>
  <c r="N13724" i="17"/>
  <c r="N13723" i="17"/>
  <c r="N13722" i="17"/>
  <c r="N13721" i="17"/>
  <c r="N13720" i="17"/>
  <c r="N13719" i="17"/>
  <c r="N13718" i="17"/>
  <c r="N13717" i="17"/>
  <c r="N13716" i="17"/>
  <c r="N13715" i="17"/>
  <c r="N13714" i="17"/>
  <c r="N13713" i="17"/>
  <c r="N13712" i="17"/>
  <c r="N13711" i="17"/>
  <c r="N13710" i="17"/>
  <c r="N13709" i="17"/>
  <c r="N13708" i="17"/>
  <c r="N13707" i="17"/>
  <c r="N13706" i="17"/>
  <c r="N13705" i="17"/>
  <c r="N13704" i="17"/>
  <c r="N13703" i="17"/>
  <c r="N13702" i="17"/>
  <c r="N13701" i="17"/>
  <c r="N13700" i="17"/>
  <c r="N13699" i="17"/>
  <c r="N13698" i="17"/>
  <c r="N13697" i="17"/>
  <c r="N13696" i="17"/>
  <c r="N13695" i="17"/>
  <c r="N13694" i="17"/>
  <c r="N13693" i="17"/>
  <c r="N13692" i="17"/>
  <c r="N13691" i="17"/>
  <c r="N13690" i="17"/>
  <c r="N13689" i="17"/>
  <c r="N13688" i="17"/>
  <c r="N13687" i="17"/>
  <c r="N13686" i="17"/>
  <c r="N13685" i="17"/>
  <c r="N13684" i="17"/>
  <c r="N13683" i="17"/>
  <c r="N13682" i="17"/>
  <c r="N13681" i="17"/>
  <c r="N13680" i="17"/>
  <c r="N13679" i="17"/>
  <c r="N13678" i="17"/>
  <c r="N13677" i="17"/>
  <c r="N13676" i="17"/>
  <c r="N13675" i="17"/>
  <c r="N13674" i="17"/>
  <c r="N13673" i="17"/>
  <c r="N13672" i="17"/>
  <c r="N13671" i="17"/>
  <c r="N13670" i="17"/>
  <c r="N13669" i="17"/>
  <c r="N13668" i="17"/>
  <c r="N13667" i="17"/>
  <c r="N13666" i="17"/>
  <c r="N13665" i="17"/>
  <c r="N13664" i="17"/>
  <c r="N13663" i="17"/>
  <c r="N13662" i="17"/>
  <c r="N13661" i="17"/>
  <c r="N13660" i="17"/>
  <c r="N13659" i="17"/>
  <c r="N13658" i="17"/>
  <c r="N13657" i="17"/>
  <c r="N13656" i="17"/>
  <c r="N13655" i="17"/>
  <c r="N13654" i="17"/>
  <c r="N13653" i="17"/>
  <c r="N13652" i="17"/>
  <c r="N13651" i="17"/>
  <c r="N13650" i="17"/>
  <c r="N13649" i="17"/>
  <c r="N13648" i="17"/>
  <c r="N13647" i="17"/>
  <c r="N13646" i="17"/>
  <c r="N13645" i="17"/>
  <c r="N13644" i="17"/>
  <c r="N13643" i="17"/>
  <c r="N13642" i="17"/>
  <c r="N13641" i="17"/>
  <c r="N13640" i="17"/>
  <c r="N13639" i="17"/>
  <c r="N13638" i="17"/>
  <c r="N13637" i="17"/>
  <c r="N13636" i="17"/>
  <c r="N13635" i="17"/>
  <c r="N13634" i="17"/>
  <c r="N13633" i="17"/>
  <c r="N13632" i="17"/>
  <c r="N13631" i="17"/>
  <c r="N13630" i="17"/>
  <c r="N13629" i="17"/>
  <c r="N13628" i="17"/>
  <c r="N13627" i="17"/>
  <c r="N13626" i="17"/>
  <c r="N13625" i="17"/>
  <c r="N13624" i="17"/>
  <c r="N13623" i="17"/>
  <c r="N13622" i="17"/>
  <c r="N13621" i="17"/>
  <c r="N13620" i="17"/>
  <c r="N13619" i="17"/>
  <c r="N13618" i="17"/>
  <c r="N13617" i="17"/>
  <c r="N13616" i="17"/>
  <c r="N13615" i="17"/>
  <c r="N13614" i="17"/>
  <c r="N13613" i="17"/>
  <c r="N13612" i="17"/>
  <c r="N13611" i="17"/>
  <c r="N13610" i="17"/>
  <c r="N13609" i="17"/>
  <c r="N13608" i="17"/>
  <c r="N13607" i="17"/>
  <c r="N13606" i="17"/>
  <c r="N13605" i="17"/>
  <c r="N13604" i="17"/>
  <c r="N13603" i="17"/>
  <c r="N13602" i="17"/>
  <c r="N13601" i="17"/>
  <c r="N13600" i="17"/>
  <c r="N13599" i="17"/>
  <c r="N13598" i="17"/>
  <c r="N13597" i="17"/>
  <c r="N13596" i="17"/>
  <c r="N13595" i="17"/>
  <c r="N13594" i="17"/>
  <c r="N13593" i="17"/>
  <c r="N13592" i="17"/>
  <c r="N13591" i="17"/>
  <c r="N13590" i="17"/>
  <c r="N13589" i="17"/>
  <c r="N13588" i="17"/>
  <c r="N13587" i="17"/>
  <c r="N13586" i="17"/>
  <c r="N13585" i="17"/>
  <c r="N13584" i="17"/>
  <c r="N13583" i="17"/>
  <c r="N13582" i="17"/>
  <c r="N13581" i="17"/>
  <c r="N13580" i="17"/>
  <c r="N13579" i="17"/>
  <c r="N13578" i="17"/>
  <c r="N13577" i="17"/>
  <c r="N13576" i="17"/>
  <c r="N13575" i="17"/>
  <c r="N13574" i="17"/>
  <c r="N13573" i="17"/>
  <c r="N13572" i="17"/>
  <c r="N13571" i="17"/>
  <c r="N13570" i="17"/>
  <c r="N13569" i="17"/>
  <c r="N13568" i="17"/>
  <c r="N13567" i="17"/>
  <c r="N13566" i="17"/>
  <c r="N13565" i="17"/>
  <c r="N13564" i="17"/>
  <c r="N13563" i="17"/>
  <c r="N13562" i="17"/>
  <c r="N13561" i="17"/>
  <c r="N13560" i="17"/>
  <c r="N13559" i="17"/>
  <c r="N13558" i="17"/>
  <c r="N13557" i="17"/>
  <c r="N13556" i="17"/>
  <c r="N13555" i="17"/>
  <c r="N13554" i="17"/>
  <c r="N13553" i="17"/>
  <c r="N13552" i="17"/>
  <c r="N13551" i="17"/>
  <c r="N13550" i="17"/>
  <c r="N13549" i="17"/>
  <c r="N13548" i="17"/>
  <c r="N13547" i="17"/>
  <c r="N13546" i="17"/>
  <c r="N13545" i="17"/>
  <c r="N13544" i="17"/>
  <c r="N13543" i="17"/>
  <c r="N13542" i="17"/>
  <c r="N13541" i="17"/>
  <c r="N13540" i="17"/>
  <c r="N13539" i="17"/>
  <c r="N13538" i="17"/>
  <c r="N13537" i="17"/>
  <c r="N13536" i="17"/>
  <c r="N13535" i="17"/>
  <c r="N13534" i="17"/>
  <c r="N13533" i="17"/>
  <c r="N13532" i="17"/>
  <c r="N13531" i="17"/>
  <c r="N13530" i="17"/>
  <c r="N13529" i="17"/>
  <c r="N13528" i="17"/>
  <c r="N13527" i="17"/>
  <c r="N13526" i="17"/>
  <c r="N13525" i="17"/>
  <c r="N13524" i="17"/>
  <c r="N13523" i="17"/>
  <c r="N13522" i="17"/>
  <c r="N13521" i="17"/>
  <c r="N13520" i="17"/>
  <c r="N13519" i="17"/>
  <c r="N13518" i="17"/>
  <c r="N13517" i="17"/>
  <c r="N13516" i="17"/>
  <c r="N13515" i="17"/>
  <c r="N13514" i="17"/>
  <c r="N13513" i="17"/>
  <c r="N13512" i="17"/>
  <c r="N13511" i="17"/>
  <c r="N13510" i="17"/>
  <c r="N13509" i="17"/>
  <c r="N13508" i="17"/>
  <c r="N13507" i="17"/>
  <c r="N13506" i="17"/>
  <c r="N13505" i="17"/>
  <c r="N13504" i="17"/>
  <c r="N13503" i="17"/>
  <c r="N13502" i="17"/>
  <c r="N13501" i="17"/>
  <c r="N13500" i="17"/>
  <c r="N13499" i="17"/>
  <c r="N13498" i="17"/>
  <c r="N13497" i="17"/>
  <c r="N13496" i="17"/>
  <c r="N13495" i="17"/>
  <c r="N13494" i="17"/>
  <c r="N13493" i="17"/>
  <c r="N13492" i="17"/>
  <c r="N13491" i="17"/>
  <c r="N13490" i="17"/>
  <c r="N13489" i="17"/>
  <c r="N13488" i="17"/>
  <c r="N13487" i="17"/>
  <c r="N13486" i="17"/>
  <c r="N13485" i="17"/>
  <c r="N13484" i="17"/>
  <c r="N13483" i="17"/>
  <c r="N13482" i="17"/>
  <c r="N13481" i="17"/>
  <c r="N13480" i="17"/>
  <c r="N13479" i="17"/>
  <c r="N13478" i="17"/>
  <c r="N13477" i="17"/>
  <c r="N13476" i="17"/>
  <c r="N13475" i="17"/>
  <c r="N13474" i="17"/>
  <c r="N13473" i="17"/>
  <c r="N13472" i="17"/>
  <c r="N13471" i="17"/>
  <c r="N13470" i="17"/>
  <c r="N13469" i="17"/>
  <c r="N13468" i="17"/>
  <c r="N13467" i="17"/>
  <c r="N13466" i="17"/>
  <c r="N13465" i="17"/>
  <c r="N13464" i="17"/>
  <c r="N13463" i="17"/>
  <c r="N13462" i="17"/>
  <c r="N13461" i="17"/>
  <c r="N13460" i="17"/>
  <c r="N13459" i="17"/>
  <c r="N13458" i="17"/>
  <c r="N13457" i="17"/>
  <c r="N13456" i="17"/>
  <c r="N13455" i="17"/>
  <c r="N13454" i="17"/>
  <c r="N13453" i="17"/>
  <c r="N13452" i="17"/>
  <c r="N13451" i="17"/>
  <c r="N13450" i="17"/>
  <c r="N13449" i="17"/>
  <c r="N13448" i="17"/>
  <c r="N13447" i="17"/>
  <c r="N13446" i="17"/>
  <c r="N13445" i="17"/>
  <c r="N13444" i="17"/>
  <c r="N13443" i="17"/>
  <c r="N13442" i="17"/>
  <c r="N13441" i="17"/>
  <c r="N13440" i="17"/>
  <c r="N13439" i="17"/>
  <c r="N13438" i="17"/>
  <c r="N13437" i="17"/>
  <c r="N13436" i="17"/>
  <c r="N13435" i="17"/>
  <c r="N13434" i="17"/>
  <c r="N13433" i="17"/>
  <c r="N13432" i="17"/>
  <c r="N13431" i="17"/>
  <c r="N13430" i="17"/>
  <c r="N13429" i="17"/>
  <c r="N13428" i="17"/>
  <c r="N13427" i="17"/>
  <c r="N13426" i="17"/>
  <c r="N13425" i="17"/>
  <c r="N13424" i="17"/>
  <c r="N13423" i="17"/>
  <c r="N13422" i="17"/>
  <c r="N13421" i="17"/>
  <c r="N13420" i="17"/>
  <c r="N13419" i="17"/>
  <c r="N13418" i="17"/>
  <c r="N13417" i="17"/>
  <c r="N13416" i="17"/>
  <c r="N13415" i="17"/>
  <c r="N13414" i="17"/>
  <c r="N13413" i="17"/>
  <c r="N13412" i="17"/>
  <c r="N13411" i="17"/>
  <c r="N13410" i="17"/>
  <c r="N13409" i="17"/>
  <c r="N13408" i="17"/>
  <c r="N13407" i="17"/>
  <c r="N13406" i="17"/>
  <c r="N13405" i="17"/>
  <c r="N13404" i="17"/>
  <c r="N13403" i="17"/>
  <c r="N13402" i="17"/>
  <c r="N13401" i="17"/>
  <c r="N13400" i="17"/>
  <c r="N13399" i="17"/>
  <c r="N13398" i="17"/>
  <c r="N13397" i="17"/>
  <c r="N13396" i="17"/>
  <c r="N13395" i="17"/>
  <c r="N13394" i="17"/>
  <c r="N13393" i="17"/>
  <c r="N13392" i="17"/>
  <c r="N13391" i="17"/>
  <c r="N13390" i="17"/>
  <c r="N13389" i="17"/>
  <c r="N13388" i="17"/>
  <c r="N13387" i="17"/>
  <c r="N13386" i="17"/>
  <c r="N13385" i="17"/>
  <c r="N13384" i="17"/>
  <c r="N13383" i="17"/>
  <c r="N13382" i="17"/>
  <c r="N13381" i="17"/>
  <c r="N13380" i="17"/>
  <c r="N13379" i="17"/>
  <c r="N13378" i="17"/>
  <c r="N13377" i="17"/>
  <c r="N13376" i="17"/>
  <c r="N13375" i="17"/>
  <c r="N13374" i="17"/>
  <c r="N13373" i="17"/>
  <c r="N13372" i="17"/>
  <c r="N13371" i="17"/>
  <c r="N13370" i="17"/>
  <c r="N13369" i="17"/>
  <c r="N13368" i="17"/>
  <c r="N13367" i="17"/>
  <c r="N13366" i="17"/>
  <c r="N13365" i="17"/>
  <c r="N13364" i="17"/>
  <c r="N13363" i="17"/>
  <c r="N13362" i="17"/>
  <c r="N13361" i="17"/>
  <c r="N13360" i="17"/>
  <c r="N13359" i="17"/>
  <c r="N13358" i="17"/>
  <c r="N13357" i="17"/>
  <c r="N13356" i="17"/>
  <c r="N13355" i="17"/>
  <c r="N13354" i="17"/>
  <c r="N13353" i="17"/>
  <c r="N13352" i="17"/>
  <c r="N13351" i="17"/>
  <c r="N13350" i="17"/>
  <c r="N13349" i="17"/>
  <c r="N13348" i="17"/>
  <c r="N13347" i="17"/>
  <c r="N13346" i="17"/>
  <c r="N13345" i="17"/>
  <c r="N13344" i="17"/>
  <c r="N13343" i="17"/>
  <c r="N13342" i="17"/>
  <c r="N13341" i="17"/>
  <c r="N13340" i="17"/>
  <c r="N13339" i="17"/>
  <c r="N13338" i="17"/>
  <c r="N13337" i="17"/>
  <c r="N13336" i="17"/>
  <c r="N13335" i="17"/>
  <c r="N13334" i="17"/>
  <c r="N13333" i="17"/>
  <c r="N13332" i="17"/>
  <c r="N13331" i="17"/>
  <c r="N13330" i="17"/>
  <c r="N13329" i="17"/>
  <c r="N13328" i="17"/>
  <c r="N13327" i="17"/>
  <c r="N13326" i="17"/>
  <c r="N13325" i="17"/>
  <c r="N13324" i="17"/>
  <c r="N13323" i="17"/>
  <c r="N13322" i="17"/>
  <c r="N13321" i="17"/>
  <c r="N13320" i="17"/>
  <c r="N13319" i="17"/>
  <c r="N13318" i="17"/>
  <c r="N13317" i="17"/>
  <c r="N13316" i="17"/>
  <c r="N13315" i="17"/>
  <c r="N13314" i="17"/>
  <c r="N13313" i="17"/>
  <c r="N13312" i="17"/>
  <c r="N13311" i="17"/>
  <c r="N13310" i="17"/>
  <c r="N13309" i="17"/>
  <c r="N13308" i="17"/>
  <c r="N13307" i="17"/>
  <c r="N13306" i="17"/>
  <c r="N13305" i="17"/>
  <c r="N13304" i="17"/>
  <c r="N13303" i="17"/>
  <c r="N13302" i="17"/>
  <c r="N13301" i="17"/>
  <c r="N13300" i="17"/>
  <c r="N13299" i="17"/>
  <c r="N13298" i="17"/>
  <c r="N13297" i="17"/>
  <c r="N13296" i="17"/>
  <c r="N13295" i="17"/>
  <c r="N13294" i="17"/>
  <c r="N13293" i="17"/>
  <c r="N13292" i="17"/>
  <c r="N13291" i="17"/>
  <c r="N13290" i="17"/>
  <c r="N13289" i="17"/>
  <c r="N13288" i="17"/>
  <c r="N13287" i="17"/>
  <c r="N13286" i="17"/>
  <c r="N13285" i="17"/>
  <c r="N13284" i="17"/>
  <c r="N13283" i="17"/>
  <c r="N13282" i="17"/>
  <c r="N13281" i="17"/>
  <c r="N13280" i="17"/>
  <c r="N13279" i="17"/>
  <c r="N13278" i="17"/>
  <c r="N13277" i="17"/>
  <c r="N13276" i="17"/>
  <c r="N13275" i="17"/>
  <c r="N13274" i="17"/>
  <c r="N13273" i="17"/>
  <c r="N13272" i="17"/>
  <c r="N13271" i="17"/>
  <c r="N13270" i="17"/>
  <c r="N13269" i="17"/>
  <c r="N13268" i="17"/>
  <c r="N13267" i="17"/>
  <c r="N13266" i="17"/>
  <c r="N13265" i="17"/>
  <c r="N13264" i="17"/>
  <c r="N13263" i="17"/>
  <c r="N13262" i="17"/>
  <c r="N13261" i="17"/>
  <c r="N13260" i="17"/>
  <c r="N13259" i="17"/>
  <c r="N13258" i="17"/>
  <c r="N13257" i="17"/>
  <c r="N13256" i="17"/>
  <c r="N13255" i="17"/>
  <c r="N13254" i="17"/>
  <c r="N13253" i="17"/>
  <c r="N13252" i="17"/>
  <c r="N13251" i="17"/>
  <c r="N13250" i="17"/>
  <c r="N13249" i="17"/>
  <c r="N13248" i="17"/>
  <c r="N13247" i="17"/>
  <c r="N13246" i="17"/>
  <c r="N13245" i="17"/>
  <c r="N13244" i="17"/>
  <c r="N13243" i="17"/>
  <c r="N13242" i="17"/>
  <c r="N13241" i="17"/>
  <c r="N13240" i="17"/>
  <c r="N13239" i="17"/>
  <c r="N13238" i="17"/>
  <c r="N13237" i="17"/>
  <c r="N13236" i="17"/>
  <c r="N13235" i="17"/>
  <c r="N13234" i="17"/>
  <c r="N13233" i="17"/>
  <c r="N13232" i="17"/>
  <c r="N13231" i="17"/>
  <c r="N13230" i="17"/>
  <c r="N13229" i="17"/>
  <c r="N13228" i="17"/>
  <c r="N13227" i="17"/>
  <c r="N13226" i="17"/>
  <c r="N13225" i="17"/>
  <c r="N13224" i="17"/>
  <c r="N13223" i="17"/>
  <c r="N13222" i="17"/>
  <c r="N13221" i="17"/>
  <c r="N13220" i="17"/>
  <c r="N13219" i="17"/>
  <c r="N13218" i="17"/>
  <c r="N13217" i="17"/>
  <c r="N13216" i="17"/>
  <c r="N13215" i="17"/>
  <c r="N13214" i="17"/>
  <c r="N13213" i="17"/>
  <c r="N13212" i="17"/>
  <c r="N13211" i="17"/>
  <c r="N13210" i="17"/>
  <c r="N13209" i="17"/>
  <c r="N13208" i="17"/>
  <c r="N13207" i="17"/>
  <c r="N13206" i="17"/>
  <c r="N13205" i="17"/>
  <c r="N13204" i="17"/>
  <c r="N13203" i="17"/>
  <c r="N13202" i="17"/>
  <c r="N13201" i="17"/>
  <c r="N13200" i="17"/>
  <c r="N13199" i="17"/>
  <c r="N13198" i="17"/>
  <c r="N13197" i="17"/>
  <c r="N13196" i="17"/>
  <c r="N13195" i="17"/>
  <c r="N13194" i="17"/>
  <c r="N13193" i="17"/>
  <c r="N13192" i="17"/>
  <c r="N13191" i="17"/>
  <c r="N13190" i="17"/>
  <c r="N13189" i="17"/>
  <c r="N13188" i="17"/>
  <c r="N13187" i="17"/>
  <c r="N13186" i="17"/>
  <c r="N13185" i="17"/>
  <c r="N13184" i="17"/>
  <c r="N13183" i="17"/>
  <c r="N13182" i="17"/>
  <c r="N13181" i="17"/>
  <c r="N13180" i="17"/>
  <c r="N13179" i="17"/>
  <c r="N13178" i="17"/>
  <c r="N13177" i="17"/>
  <c r="N13176" i="17"/>
  <c r="N13175" i="17"/>
  <c r="N13174" i="17"/>
  <c r="N13173" i="17"/>
  <c r="N13172" i="17"/>
  <c r="N13171" i="17"/>
  <c r="N13170" i="17"/>
  <c r="N13169" i="17"/>
  <c r="N13168" i="17"/>
  <c r="N13167" i="17"/>
  <c r="N13166" i="17"/>
  <c r="N13165" i="17"/>
  <c r="N13164" i="17"/>
  <c r="N13163" i="17"/>
  <c r="N13162" i="17"/>
  <c r="N13161" i="17"/>
  <c r="N13160" i="17"/>
  <c r="N13159" i="17"/>
  <c r="N13158" i="17"/>
  <c r="N13157" i="17"/>
  <c r="N13156" i="17"/>
  <c r="N13155" i="17"/>
  <c r="N13154" i="17"/>
  <c r="N13153" i="17"/>
  <c r="N13152" i="17"/>
  <c r="N13151" i="17"/>
  <c r="N13150" i="17"/>
  <c r="N13149" i="17"/>
  <c r="N13148" i="17"/>
  <c r="N13147" i="17"/>
  <c r="N13146" i="17"/>
  <c r="N13145" i="17"/>
  <c r="N13144" i="17"/>
  <c r="N13143" i="17"/>
  <c r="N13142" i="17"/>
  <c r="N13141" i="17"/>
  <c r="N13140" i="17"/>
  <c r="N13139" i="17"/>
  <c r="N13138" i="17"/>
  <c r="N13137" i="17"/>
  <c r="N13136" i="17"/>
  <c r="N13135" i="17"/>
  <c r="N13134" i="17"/>
  <c r="N13133" i="17"/>
  <c r="N13132" i="17"/>
  <c r="N13131" i="17"/>
  <c r="N13130" i="17"/>
  <c r="N13129" i="17"/>
  <c r="N13128" i="17"/>
  <c r="N13127" i="17"/>
  <c r="N13126" i="17"/>
  <c r="N13125" i="17"/>
  <c r="N13124" i="17"/>
  <c r="N13123" i="17"/>
  <c r="N13122" i="17"/>
  <c r="N13121" i="17"/>
  <c r="N13120" i="17"/>
  <c r="N13119" i="17"/>
  <c r="N13118" i="17"/>
  <c r="N13117" i="17"/>
  <c r="N13116" i="17"/>
  <c r="N13115" i="17"/>
  <c r="N13114" i="17"/>
  <c r="N13113" i="17"/>
  <c r="N13112" i="17"/>
  <c r="N13111" i="17"/>
  <c r="N13110" i="17"/>
  <c r="N13109" i="17"/>
  <c r="N13108" i="17"/>
  <c r="N13107" i="17"/>
  <c r="N13106" i="17"/>
  <c r="N13105" i="17"/>
  <c r="N13104" i="17"/>
  <c r="N13103" i="17"/>
  <c r="N13102" i="17"/>
  <c r="N13101" i="17"/>
  <c r="N13100" i="17"/>
  <c r="N13099" i="17"/>
  <c r="N13098" i="17"/>
  <c r="N13097" i="17"/>
  <c r="N13096" i="17"/>
  <c r="N13095" i="17"/>
  <c r="N13094" i="17"/>
  <c r="N13093" i="17"/>
  <c r="N13092" i="17"/>
  <c r="N13091" i="17"/>
  <c r="N13090" i="17"/>
  <c r="N13089" i="17"/>
  <c r="N13088" i="17"/>
  <c r="N13087" i="17"/>
  <c r="N13086" i="17"/>
  <c r="N13085" i="17"/>
  <c r="N13084" i="17"/>
  <c r="N13083" i="17"/>
  <c r="N13082" i="17"/>
  <c r="N13081" i="17"/>
  <c r="N13080" i="17"/>
  <c r="N13079" i="17"/>
  <c r="N13078" i="17"/>
  <c r="N13077" i="17"/>
  <c r="N13076" i="17"/>
  <c r="N13075" i="17"/>
  <c r="N13074" i="17"/>
  <c r="N13073" i="17"/>
  <c r="N13072" i="17"/>
  <c r="N13071" i="17"/>
  <c r="N13070" i="17"/>
  <c r="N13069" i="17"/>
  <c r="N13068" i="17"/>
  <c r="N13067" i="17"/>
  <c r="N13066" i="17"/>
  <c r="N13065" i="17"/>
  <c r="N13064" i="17"/>
  <c r="N13063" i="17"/>
  <c r="N13062" i="17"/>
  <c r="N13061" i="17"/>
  <c r="N13060" i="17"/>
  <c r="N13059" i="17"/>
  <c r="N13058" i="17"/>
  <c r="N13057" i="17"/>
  <c r="N13056" i="17"/>
  <c r="N13055" i="17"/>
  <c r="N13054" i="17"/>
  <c r="N13053" i="17"/>
  <c r="N13052" i="17"/>
  <c r="N13051" i="17"/>
  <c r="N13050" i="17"/>
  <c r="N13049" i="17"/>
  <c r="N13048" i="17"/>
  <c r="N13047" i="17"/>
  <c r="N13046" i="17"/>
  <c r="N13045" i="17"/>
  <c r="N13044" i="17"/>
  <c r="N13043" i="17"/>
  <c r="N13042" i="17"/>
  <c r="N13041" i="17"/>
  <c r="N13040" i="17"/>
  <c r="N13039" i="17"/>
  <c r="N13038" i="17"/>
  <c r="N13037" i="17"/>
  <c r="N13036" i="17"/>
  <c r="N13035" i="17"/>
  <c r="N13034" i="17"/>
  <c r="N13033" i="17"/>
  <c r="N13032" i="17"/>
  <c r="N13031" i="17"/>
  <c r="N13030" i="17"/>
  <c r="N13029" i="17"/>
  <c r="N13028" i="17"/>
  <c r="N13027" i="17"/>
  <c r="N13026" i="17"/>
  <c r="N13025" i="17"/>
  <c r="N13024" i="17"/>
  <c r="N13023" i="17"/>
  <c r="N13022" i="17"/>
  <c r="N13021" i="17"/>
  <c r="N13020" i="17"/>
  <c r="N13019" i="17"/>
  <c r="N13018" i="17"/>
  <c r="N13017" i="17"/>
  <c r="N13016" i="17"/>
  <c r="N13015" i="17"/>
  <c r="N13014" i="17"/>
  <c r="N13013" i="17"/>
  <c r="N13012" i="17"/>
  <c r="N13011" i="17"/>
  <c r="N13010" i="17"/>
  <c r="N13009" i="17"/>
  <c r="N13008" i="17"/>
  <c r="N13007" i="17"/>
  <c r="N13006" i="17"/>
  <c r="N13005" i="17"/>
  <c r="N13004" i="17"/>
  <c r="N13003" i="17"/>
  <c r="N13002" i="17"/>
  <c r="N13001" i="17"/>
  <c r="N13000" i="17"/>
  <c r="N12999" i="17"/>
  <c r="N12998" i="17"/>
  <c r="N12997" i="17"/>
  <c r="N12996" i="17"/>
  <c r="N12995" i="17"/>
  <c r="N12994" i="17"/>
  <c r="N12993" i="17"/>
  <c r="N12992" i="17"/>
  <c r="N12991" i="17"/>
  <c r="N12990" i="17"/>
  <c r="N12989" i="17"/>
  <c r="N12988" i="17"/>
  <c r="N12987" i="17"/>
  <c r="N12986" i="17"/>
  <c r="N12985" i="17"/>
  <c r="N12984" i="17"/>
  <c r="N12983" i="17"/>
  <c r="N12982" i="17"/>
  <c r="N12981" i="17"/>
  <c r="N12980" i="17"/>
  <c r="N12979" i="17"/>
  <c r="N12978" i="17"/>
  <c r="N12977" i="17"/>
  <c r="N12976" i="17"/>
  <c r="N12975" i="17"/>
  <c r="N12974" i="17"/>
  <c r="N12973" i="17"/>
  <c r="N12972" i="17"/>
  <c r="N12971" i="17"/>
  <c r="N12970" i="17"/>
  <c r="N12969" i="17"/>
  <c r="N12968" i="17"/>
  <c r="N12967" i="17"/>
  <c r="N12966" i="17"/>
  <c r="N12965" i="17"/>
  <c r="N12964" i="17"/>
  <c r="N12963" i="17"/>
  <c r="N12962" i="17"/>
  <c r="N12961" i="17"/>
  <c r="N12960" i="17"/>
  <c r="N12959" i="17"/>
  <c r="N12958" i="17"/>
  <c r="N12957" i="17"/>
  <c r="N12956" i="17"/>
  <c r="N12955" i="17"/>
  <c r="N12954" i="17"/>
  <c r="N12953" i="17"/>
  <c r="N12952" i="17"/>
  <c r="N12951" i="17"/>
  <c r="N12950" i="17"/>
  <c r="N12949" i="17"/>
  <c r="N12948" i="17"/>
  <c r="N12947" i="17"/>
  <c r="N12946" i="17"/>
  <c r="N12945" i="17"/>
  <c r="N12944" i="17"/>
  <c r="N12943" i="17"/>
  <c r="N12942" i="17"/>
  <c r="N12941" i="17"/>
  <c r="N12940" i="17"/>
  <c r="N12939" i="17"/>
  <c r="N12938" i="17"/>
  <c r="N12937" i="17"/>
  <c r="N12936" i="17"/>
  <c r="N12935" i="17"/>
  <c r="N12934" i="17"/>
  <c r="N12933" i="17"/>
  <c r="N12932" i="17"/>
  <c r="N12931" i="17"/>
  <c r="N12930" i="17"/>
  <c r="N12929" i="17"/>
  <c r="N12928" i="17"/>
  <c r="N12927" i="17"/>
  <c r="N12926" i="17"/>
  <c r="N12925" i="17"/>
  <c r="N12924" i="17"/>
  <c r="N12923" i="17"/>
  <c r="N12922" i="17"/>
  <c r="N12921" i="17"/>
  <c r="N12920" i="17"/>
  <c r="N12919" i="17"/>
  <c r="N12918" i="17"/>
  <c r="N12917" i="17"/>
  <c r="N12916" i="17"/>
  <c r="N12915" i="17"/>
  <c r="N12914" i="17"/>
  <c r="N12913" i="17"/>
  <c r="N12912" i="17"/>
  <c r="N12911" i="17"/>
  <c r="N12910" i="17"/>
  <c r="N12909" i="17"/>
  <c r="N12908" i="17"/>
  <c r="N12907" i="17"/>
  <c r="N12906" i="17"/>
  <c r="N12905" i="17"/>
  <c r="N12904" i="17"/>
  <c r="N12903" i="17"/>
  <c r="N12902" i="17"/>
  <c r="N12901" i="17"/>
  <c r="N12900" i="17"/>
  <c r="N12899" i="17"/>
  <c r="N12898" i="17"/>
  <c r="N12897" i="17"/>
  <c r="N12896" i="17"/>
  <c r="N12895" i="17"/>
  <c r="N12894" i="17"/>
  <c r="N12893" i="17"/>
  <c r="N12892" i="17"/>
  <c r="N12891" i="17"/>
  <c r="N12890" i="17"/>
  <c r="N12889" i="17"/>
  <c r="N12888" i="17"/>
  <c r="N12887" i="17"/>
  <c r="N12886" i="17"/>
  <c r="N12885" i="17"/>
  <c r="N12884" i="17"/>
  <c r="N12883" i="17"/>
  <c r="N12882" i="17"/>
  <c r="N12881" i="17"/>
  <c r="N12880" i="17"/>
  <c r="N12879" i="17"/>
  <c r="N12878" i="17"/>
  <c r="N12877" i="17"/>
  <c r="N12876" i="17"/>
  <c r="N12875" i="17"/>
  <c r="N12874" i="17"/>
  <c r="N12873" i="17"/>
  <c r="N12872" i="17"/>
  <c r="N12871" i="17"/>
  <c r="N12870" i="17"/>
  <c r="N12869" i="17"/>
  <c r="N12868" i="17"/>
  <c r="N12867" i="17"/>
  <c r="N12866" i="17"/>
  <c r="N12865" i="17"/>
  <c r="N12864" i="17"/>
  <c r="N12863" i="17"/>
  <c r="N12862" i="17"/>
  <c r="N12861" i="17"/>
  <c r="N12860" i="17"/>
  <c r="N12859" i="17"/>
  <c r="N12858" i="17"/>
  <c r="N12857" i="17"/>
  <c r="N12856" i="17"/>
  <c r="N12855" i="17"/>
  <c r="N12854" i="17"/>
  <c r="N12853" i="17"/>
  <c r="N12852" i="17"/>
  <c r="N12851" i="17"/>
  <c r="N12850" i="17"/>
  <c r="N12849" i="17"/>
  <c r="N12848" i="17"/>
  <c r="N12847" i="17"/>
  <c r="N12846" i="17"/>
  <c r="N12845" i="17"/>
  <c r="N12844" i="17"/>
  <c r="N12843" i="17"/>
  <c r="N12842" i="17"/>
  <c r="N12841" i="17"/>
  <c r="N12840" i="17"/>
  <c r="N12839" i="17"/>
  <c r="N12838" i="17"/>
  <c r="N12837" i="17"/>
  <c r="N12836" i="17"/>
  <c r="N12835" i="17"/>
  <c r="N12834" i="17"/>
  <c r="N12833" i="17"/>
  <c r="N12832" i="17"/>
  <c r="N12831" i="17"/>
  <c r="N12830" i="17"/>
  <c r="N12829" i="17"/>
  <c r="N12828" i="17"/>
  <c r="N12827" i="17"/>
  <c r="N12826" i="17"/>
  <c r="N12825" i="17"/>
  <c r="N12824" i="17"/>
  <c r="N12823" i="17"/>
  <c r="N12822" i="17"/>
  <c r="N12821" i="17"/>
  <c r="N12820" i="17"/>
  <c r="N12819" i="17"/>
  <c r="N12818" i="17"/>
  <c r="N12817" i="17"/>
  <c r="N12816" i="17"/>
  <c r="N12815" i="17"/>
  <c r="N12814" i="17"/>
  <c r="N12813" i="17"/>
  <c r="N12812" i="17"/>
  <c r="N12811" i="17"/>
  <c r="N12810" i="17"/>
  <c r="N12809" i="17"/>
  <c r="N12808" i="17"/>
  <c r="N12807" i="17"/>
  <c r="N12806" i="17"/>
  <c r="N12805" i="17"/>
  <c r="N12804" i="17"/>
  <c r="N12803" i="17"/>
  <c r="N12802" i="17"/>
  <c r="N12801" i="17"/>
  <c r="N12800" i="17"/>
  <c r="N12799" i="17"/>
  <c r="N12798" i="17"/>
  <c r="N12797" i="17"/>
  <c r="N12796" i="17"/>
  <c r="N12795" i="17"/>
  <c r="N12794" i="17"/>
  <c r="N12793" i="17"/>
  <c r="N12792" i="17"/>
  <c r="N12791" i="17"/>
  <c r="N12790" i="17"/>
  <c r="N12789" i="17"/>
  <c r="N12788" i="17"/>
  <c r="N12787" i="17"/>
  <c r="N12786" i="17"/>
  <c r="N12785" i="17"/>
  <c r="N12784" i="17"/>
  <c r="N12783" i="17"/>
  <c r="N12782" i="17"/>
  <c r="N12781" i="17"/>
  <c r="N12780" i="17"/>
  <c r="N12779" i="17"/>
  <c r="N12778" i="17"/>
  <c r="N12777" i="17"/>
  <c r="N12776" i="17"/>
  <c r="N12775" i="17"/>
  <c r="N12774" i="17"/>
  <c r="N12773" i="17"/>
  <c r="N12772" i="17"/>
  <c r="N12771" i="17"/>
  <c r="N12770" i="17"/>
  <c r="N12769" i="17"/>
  <c r="N12768" i="17"/>
  <c r="N12767" i="17"/>
  <c r="N12766" i="17"/>
  <c r="N12765" i="17"/>
  <c r="N12764" i="17"/>
  <c r="N12763" i="17"/>
  <c r="N12762" i="17"/>
  <c r="N12761" i="17"/>
  <c r="N12760" i="17"/>
  <c r="N12759" i="17"/>
  <c r="N12758" i="17"/>
  <c r="N12757" i="17"/>
  <c r="N12756" i="17"/>
  <c r="N12755" i="17"/>
  <c r="N12754" i="17"/>
  <c r="N12753" i="17"/>
  <c r="N12752" i="17"/>
  <c r="N12751" i="17"/>
  <c r="N12750" i="17"/>
  <c r="N12749" i="17"/>
  <c r="N12748" i="17"/>
  <c r="N12747" i="17"/>
  <c r="N12746" i="17"/>
  <c r="N12745" i="17"/>
  <c r="N12744" i="17"/>
  <c r="N12743" i="17"/>
  <c r="N12742" i="17"/>
  <c r="N12741" i="17"/>
  <c r="N12740" i="17"/>
  <c r="N12739" i="17"/>
  <c r="N12738" i="17"/>
  <c r="N12737" i="17"/>
  <c r="N12736" i="17"/>
  <c r="N12735" i="17"/>
  <c r="N12734" i="17"/>
  <c r="N12733" i="17"/>
  <c r="N12732" i="17"/>
  <c r="N12731" i="17"/>
  <c r="N12730" i="17"/>
  <c r="N12729" i="17"/>
  <c r="N12728" i="17"/>
  <c r="N12727" i="17"/>
  <c r="N12726" i="17"/>
  <c r="N12725" i="17"/>
  <c r="N12724" i="17"/>
  <c r="N12723" i="17"/>
  <c r="N12722" i="17"/>
  <c r="N12721" i="17"/>
  <c r="N12720" i="17"/>
  <c r="N12719" i="17"/>
  <c r="N12718" i="17"/>
  <c r="N12717" i="17"/>
  <c r="N12716" i="17"/>
  <c r="N12715" i="17"/>
  <c r="N12714" i="17"/>
  <c r="N12713" i="17"/>
  <c r="N12712" i="17"/>
  <c r="N12711" i="17"/>
  <c r="N12710" i="17"/>
  <c r="N12709" i="17"/>
  <c r="N12708" i="17"/>
  <c r="N12707" i="17"/>
  <c r="N12706" i="17"/>
  <c r="N12705" i="17"/>
  <c r="N12704" i="17"/>
  <c r="N12703" i="17"/>
  <c r="N12702" i="17"/>
  <c r="N12701" i="17"/>
  <c r="N12700" i="17"/>
  <c r="N12699" i="17"/>
  <c r="N12698" i="17"/>
  <c r="N12697" i="17"/>
  <c r="N12696" i="17"/>
  <c r="N12695" i="17"/>
  <c r="N12694" i="17"/>
  <c r="N12693" i="17"/>
  <c r="N12692" i="17"/>
  <c r="N12691" i="17"/>
  <c r="N12690" i="17"/>
  <c r="N12689" i="17"/>
  <c r="N12688" i="17"/>
  <c r="N12687" i="17"/>
  <c r="N12686" i="17"/>
  <c r="N12685" i="17"/>
  <c r="N12684" i="17"/>
  <c r="N12683" i="17"/>
  <c r="N12682" i="17"/>
  <c r="N12681" i="17"/>
  <c r="N12680" i="17"/>
  <c r="N12679" i="17"/>
  <c r="N12678" i="17"/>
  <c r="N12677" i="17"/>
  <c r="N12676" i="17"/>
  <c r="N12675" i="17"/>
  <c r="N12674" i="17"/>
  <c r="N12673" i="17"/>
  <c r="N12672" i="17"/>
  <c r="N12671" i="17"/>
  <c r="N12670" i="17"/>
  <c r="N12669" i="17"/>
  <c r="N12668" i="17"/>
  <c r="N12667" i="17"/>
  <c r="N12666" i="17"/>
  <c r="N12665" i="17"/>
  <c r="N12664" i="17"/>
  <c r="N12663" i="17"/>
  <c r="N12662" i="17"/>
  <c r="N12661" i="17"/>
  <c r="N12660" i="17"/>
  <c r="N12659" i="17"/>
  <c r="N12658" i="17"/>
  <c r="N12657" i="17"/>
  <c r="N12656" i="17"/>
  <c r="N12655" i="17"/>
  <c r="N12654" i="17"/>
  <c r="N12653" i="17"/>
  <c r="N12652" i="17"/>
  <c r="N12651" i="17"/>
  <c r="N12650" i="17"/>
  <c r="N12649" i="17"/>
  <c r="N12648" i="17"/>
  <c r="N12647" i="17"/>
  <c r="N12646" i="17"/>
  <c r="N12645" i="17"/>
  <c r="N12644" i="17"/>
  <c r="N12643" i="17"/>
  <c r="N12642" i="17"/>
  <c r="N12641" i="17"/>
  <c r="N12640" i="17"/>
  <c r="N12639" i="17"/>
  <c r="N12638" i="17"/>
  <c r="N12637" i="17"/>
  <c r="N12636" i="17"/>
  <c r="N12635" i="17"/>
  <c r="N12634" i="17"/>
  <c r="N12633" i="17"/>
  <c r="N12632" i="17"/>
  <c r="N12631" i="17"/>
  <c r="N12630" i="17"/>
  <c r="N12629" i="17"/>
  <c r="N12628" i="17"/>
  <c r="N12627" i="17"/>
  <c r="N12626" i="17"/>
  <c r="N12625" i="17"/>
  <c r="N12624" i="17"/>
  <c r="N12623" i="17"/>
  <c r="N12622" i="17"/>
  <c r="N12621" i="17"/>
  <c r="N12620" i="17"/>
  <c r="N12619" i="17"/>
  <c r="N12618" i="17"/>
  <c r="N12617" i="17"/>
  <c r="N12616" i="17"/>
  <c r="N12615" i="17"/>
  <c r="N12614" i="17"/>
  <c r="N12613" i="17"/>
  <c r="N12612" i="17"/>
  <c r="N12611" i="17"/>
  <c r="N12610" i="17"/>
  <c r="N12609" i="17"/>
  <c r="N12608" i="17"/>
  <c r="N12607" i="17"/>
  <c r="N12606" i="17"/>
  <c r="N12605" i="17"/>
  <c r="N12604" i="17"/>
  <c r="N12603" i="17"/>
  <c r="N12602" i="17"/>
  <c r="N12601" i="17"/>
  <c r="N12600" i="17"/>
  <c r="N12599" i="17"/>
  <c r="N12598" i="17"/>
  <c r="N12597" i="17"/>
  <c r="N12596" i="17"/>
  <c r="N12595" i="17"/>
  <c r="N12594" i="17"/>
  <c r="N12593" i="17"/>
  <c r="N12592" i="17"/>
  <c r="N12591" i="17"/>
  <c r="N12590" i="17"/>
  <c r="N12589" i="17"/>
  <c r="N12588" i="17"/>
  <c r="N12587" i="17"/>
  <c r="N12586" i="17"/>
  <c r="N12585" i="17"/>
  <c r="N12584" i="17"/>
  <c r="N12583" i="17"/>
  <c r="N12582" i="17"/>
  <c r="N12581" i="17"/>
  <c r="N12580" i="17"/>
  <c r="N12579" i="17"/>
  <c r="N12578" i="17"/>
  <c r="N12577" i="17"/>
  <c r="N12576" i="17"/>
  <c r="N12575" i="17"/>
  <c r="N12574" i="17"/>
  <c r="N12573" i="17"/>
  <c r="N12572" i="17"/>
  <c r="N12571" i="17"/>
  <c r="N12570" i="17"/>
  <c r="N12569" i="17"/>
  <c r="N12568" i="17"/>
  <c r="N12567" i="17"/>
  <c r="N12566" i="17"/>
  <c r="N12565" i="17"/>
  <c r="N12564" i="17"/>
  <c r="N12563" i="17"/>
  <c r="N12562" i="17"/>
  <c r="N12561" i="17"/>
  <c r="N12560" i="17"/>
  <c r="N12559" i="17"/>
  <c r="N12558" i="17"/>
  <c r="N12557" i="17"/>
  <c r="N12556" i="17"/>
  <c r="N12555" i="17"/>
  <c r="N12554" i="17"/>
  <c r="N12553" i="17"/>
  <c r="N12552" i="17"/>
  <c r="N12551" i="17"/>
  <c r="N12550" i="17"/>
  <c r="N12549" i="17"/>
  <c r="N12548" i="17"/>
  <c r="N12547" i="17"/>
  <c r="N12546" i="17"/>
  <c r="N12545" i="17"/>
  <c r="N12544" i="17"/>
  <c r="N12543" i="17"/>
  <c r="N12542" i="17"/>
  <c r="N12541" i="17"/>
  <c r="N12540" i="17"/>
  <c r="N12539" i="17"/>
  <c r="N12538" i="17"/>
  <c r="N12537" i="17"/>
  <c r="N12536" i="17"/>
  <c r="N12535" i="17"/>
  <c r="N12534" i="17"/>
  <c r="N12533" i="17"/>
  <c r="N12532" i="17"/>
  <c r="N12531" i="17"/>
  <c r="N12530" i="17"/>
  <c r="N12529" i="17"/>
  <c r="N12528" i="17"/>
  <c r="N12527" i="17"/>
  <c r="N12526" i="17"/>
  <c r="N12525" i="17"/>
  <c r="N12524" i="17"/>
  <c r="N12523" i="17"/>
  <c r="N12522" i="17"/>
  <c r="N12521" i="17"/>
  <c r="N12520" i="17"/>
  <c r="N12519" i="17"/>
  <c r="N12518" i="17"/>
  <c r="N12517" i="17"/>
  <c r="N12516" i="17"/>
  <c r="N12515" i="17"/>
  <c r="N12514" i="17"/>
  <c r="N12513" i="17"/>
  <c r="N12512" i="17"/>
  <c r="N12511" i="17"/>
  <c r="N12510" i="17"/>
  <c r="N12509" i="17"/>
  <c r="N12508" i="17"/>
  <c r="N12507" i="17"/>
  <c r="N12506" i="17"/>
  <c r="N12505" i="17"/>
  <c r="N12504" i="17"/>
  <c r="N12503" i="17"/>
  <c r="N12502" i="17"/>
  <c r="N12501" i="17"/>
  <c r="N12500" i="17"/>
  <c r="N12499" i="17"/>
  <c r="N12498" i="17"/>
  <c r="N12497" i="17"/>
  <c r="N12496" i="17"/>
  <c r="N12495" i="17"/>
  <c r="N12494" i="17"/>
  <c r="N12493" i="17"/>
  <c r="N12492" i="17"/>
  <c r="N12491" i="17"/>
  <c r="N12490" i="17"/>
  <c r="N12489" i="17"/>
  <c r="N12488" i="17"/>
  <c r="N12487" i="17"/>
  <c r="N12486" i="17"/>
  <c r="N12485" i="17"/>
  <c r="N12484" i="17"/>
  <c r="N12483" i="17"/>
  <c r="N12482" i="17"/>
  <c r="N12481" i="17"/>
  <c r="N12480" i="17"/>
  <c r="N12479" i="17"/>
  <c r="N12478" i="17"/>
  <c r="N12477" i="17"/>
  <c r="N12476" i="17"/>
  <c r="N12475" i="17"/>
  <c r="N12474" i="17"/>
  <c r="N12473" i="17"/>
  <c r="N12472" i="17"/>
  <c r="N12471" i="17"/>
  <c r="N12470" i="17"/>
  <c r="N12469" i="17"/>
  <c r="N12468" i="17"/>
  <c r="N12467" i="17"/>
  <c r="N12466" i="17"/>
  <c r="N12465" i="17"/>
  <c r="N12464" i="17"/>
  <c r="N12463" i="17"/>
  <c r="N12462" i="17"/>
  <c r="N12461" i="17"/>
  <c r="N12460" i="17"/>
  <c r="N12459" i="17"/>
  <c r="N12458" i="17"/>
  <c r="N12457" i="17"/>
  <c r="N12456" i="17"/>
  <c r="N12455" i="17"/>
  <c r="N12454" i="17"/>
  <c r="N12453" i="17"/>
  <c r="N12452" i="17"/>
  <c r="N12451" i="17"/>
  <c r="N12450" i="17"/>
  <c r="N12449" i="17"/>
  <c r="N12448" i="17"/>
  <c r="N12447" i="17"/>
  <c r="N12446" i="17"/>
  <c r="N12445" i="17"/>
  <c r="N12444" i="17"/>
  <c r="N12443" i="17"/>
  <c r="N12442" i="17"/>
  <c r="N12441" i="17"/>
  <c r="N12440" i="17"/>
  <c r="N12439" i="17"/>
  <c r="N12438" i="17"/>
  <c r="N12437" i="17"/>
  <c r="N12436" i="17"/>
  <c r="N12435" i="17"/>
  <c r="N12434" i="17"/>
  <c r="N12433" i="17"/>
  <c r="N12432" i="17"/>
  <c r="N12431" i="17"/>
  <c r="N12430" i="17"/>
  <c r="N12429" i="17"/>
  <c r="N12428" i="17"/>
  <c r="N12427" i="17"/>
  <c r="N12426" i="17"/>
  <c r="N12425" i="17"/>
  <c r="N12424" i="17"/>
  <c r="N12423" i="17"/>
  <c r="N12422" i="17"/>
  <c r="N12421" i="17"/>
  <c r="N12420" i="17"/>
  <c r="N12419" i="17"/>
  <c r="N12418" i="17"/>
  <c r="N12417" i="17"/>
  <c r="N12416" i="17"/>
  <c r="N12415" i="17"/>
  <c r="N12414" i="17"/>
  <c r="N12413" i="17"/>
  <c r="N12412" i="17"/>
  <c r="N12411" i="17"/>
  <c r="N12410" i="17"/>
  <c r="N12409" i="17"/>
  <c r="N12408" i="17"/>
  <c r="N12407" i="17"/>
  <c r="N12406" i="17"/>
  <c r="N12405" i="17"/>
  <c r="N12404" i="17"/>
  <c r="N12403" i="17"/>
  <c r="N12402" i="17"/>
  <c r="N12401" i="17"/>
  <c r="N12400" i="17"/>
  <c r="N12399" i="17"/>
  <c r="N12398" i="17"/>
  <c r="N12397" i="17"/>
  <c r="N12396" i="17"/>
  <c r="N12395" i="17"/>
  <c r="N12394" i="17"/>
  <c r="N12393" i="17"/>
  <c r="N12392" i="17"/>
  <c r="N12391" i="17"/>
  <c r="N12390" i="17"/>
  <c r="N12389" i="17"/>
  <c r="N12388" i="17"/>
  <c r="N12387" i="17"/>
  <c r="N12386" i="17"/>
  <c r="N12385" i="17"/>
  <c r="N12384" i="17"/>
  <c r="N12383" i="17"/>
  <c r="N12382" i="17"/>
  <c r="N12381" i="17"/>
  <c r="N12380" i="17"/>
  <c r="N12379" i="17"/>
  <c r="N12378" i="17"/>
  <c r="N12377" i="17"/>
  <c r="N12376" i="17"/>
  <c r="N12375" i="17"/>
  <c r="N12374" i="17"/>
  <c r="N12373" i="17"/>
  <c r="N12372" i="17"/>
  <c r="N12371" i="17"/>
  <c r="N12370" i="17"/>
  <c r="N12369" i="17"/>
  <c r="N12368" i="17"/>
  <c r="N12367" i="17"/>
  <c r="N12366" i="17"/>
  <c r="N12365" i="17"/>
  <c r="N12364" i="17"/>
  <c r="N12363" i="17"/>
  <c r="N12362" i="17"/>
  <c r="N12361" i="17"/>
  <c r="N12360" i="17"/>
  <c r="N12359" i="17"/>
  <c r="N12358" i="17"/>
  <c r="N12357" i="17"/>
  <c r="N12356" i="17"/>
  <c r="N12355" i="17"/>
  <c r="N12354" i="17"/>
  <c r="N12353" i="17"/>
  <c r="N12352" i="17"/>
  <c r="N12351" i="17"/>
  <c r="N12350" i="17"/>
  <c r="N12349" i="17"/>
  <c r="N12348" i="17"/>
  <c r="N12347" i="17"/>
  <c r="N12346" i="17"/>
  <c r="N12345" i="17"/>
  <c r="N12344" i="17"/>
  <c r="N12343" i="17"/>
  <c r="N12342" i="17"/>
  <c r="N12341" i="17"/>
  <c r="N12340" i="17"/>
  <c r="N12339" i="17"/>
  <c r="N12338" i="17"/>
  <c r="N12337" i="17"/>
  <c r="N12336" i="17"/>
  <c r="N12335" i="17"/>
  <c r="N12334" i="17"/>
  <c r="N12333" i="17"/>
  <c r="N12332" i="17"/>
  <c r="N12331" i="17"/>
  <c r="N12330" i="17"/>
  <c r="N12329" i="17"/>
  <c r="N12328" i="17"/>
  <c r="N12327" i="17"/>
  <c r="N12326" i="17"/>
  <c r="N12325" i="17"/>
  <c r="N12324" i="17"/>
  <c r="N12323" i="17"/>
  <c r="N12322" i="17"/>
  <c r="N12321" i="17"/>
  <c r="N12320" i="17"/>
  <c r="N12319" i="17"/>
  <c r="N12318" i="17"/>
  <c r="N12317" i="17"/>
  <c r="N12316" i="17"/>
  <c r="N12315" i="17"/>
  <c r="N12314" i="17"/>
  <c r="N12313" i="17"/>
  <c r="N12312" i="17"/>
  <c r="N12311" i="17"/>
  <c r="N12310" i="17"/>
  <c r="N12309" i="17"/>
  <c r="N12308" i="17"/>
  <c r="N12307" i="17"/>
  <c r="N12306" i="17"/>
  <c r="N12305" i="17"/>
  <c r="N12304" i="17"/>
  <c r="N12303" i="17"/>
  <c r="N12302" i="17"/>
  <c r="N12301" i="17"/>
  <c r="N12300" i="17"/>
  <c r="N12299" i="17"/>
  <c r="N12298" i="17"/>
  <c r="N12297" i="17"/>
  <c r="N12296" i="17"/>
  <c r="N12295" i="17"/>
  <c r="N12294" i="17"/>
  <c r="N12293" i="17"/>
  <c r="N12292" i="17"/>
  <c r="N12291" i="17"/>
  <c r="N12290" i="17"/>
  <c r="N12289" i="17"/>
  <c r="N12288" i="17"/>
  <c r="N12287" i="17"/>
  <c r="N12286" i="17"/>
  <c r="N12285" i="17"/>
  <c r="N12284" i="17"/>
  <c r="N12283" i="17"/>
  <c r="N12282" i="17"/>
  <c r="N12281" i="17"/>
  <c r="N12280" i="17"/>
  <c r="N12279" i="17"/>
  <c r="N12278" i="17"/>
  <c r="N12277" i="17"/>
  <c r="N12276" i="17"/>
  <c r="N12275" i="17"/>
  <c r="N12274" i="17"/>
  <c r="N12273" i="17"/>
  <c r="N12272" i="17"/>
  <c r="N12271" i="17"/>
  <c r="N12270" i="17"/>
  <c r="N12269" i="17"/>
  <c r="N12268" i="17"/>
  <c r="N12267" i="17"/>
  <c r="N12266" i="17"/>
  <c r="N12265" i="17"/>
  <c r="N12264" i="17"/>
  <c r="N12263" i="17"/>
  <c r="N12262" i="17"/>
  <c r="N12261" i="17"/>
  <c r="N12260" i="17"/>
  <c r="N12259" i="17"/>
  <c r="N12258" i="17"/>
  <c r="N12257" i="17"/>
  <c r="N12256" i="17"/>
  <c r="N12255" i="17"/>
  <c r="N12254" i="17"/>
  <c r="N12253" i="17"/>
  <c r="N12252" i="17"/>
  <c r="N12251" i="17"/>
  <c r="N12250" i="17"/>
  <c r="N12249" i="17"/>
  <c r="N12248" i="17"/>
  <c r="N12247" i="17"/>
  <c r="N12246" i="17"/>
  <c r="N12245" i="17"/>
  <c r="N12244" i="17"/>
  <c r="N12243" i="17"/>
  <c r="N12242" i="17"/>
  <c r="N12241" i="17"/>
  <c r="N12240" i="17"/>
  <c r="N12239" i="17"/>
  <c r="N12238" i="17"/>
  <c r="N12237" i="17"/>
  <c r="N12236" i="17"/>
  <c r="N12235" i="17"/>
  <c r="N12234" i="17"/>
  <c r="N12233" i="17"/>
  <c r="N12232" i="17"/>
  <c r="N12231" i="17"/>
  <c r="N12230" i="17"/>
  <c r="N12229" i="17"/>
  <c r="N12228" i="17"/>
  <c r="N12227" i="17"/>
  <c r="N12226" i="17"/>
  <c r="N12225" i="17"/>
  <c r="N12224" i="17"/>
  <c r="N12223" i="17"/>
  <c r="N12222" i="17"/>
  <c r="N12221" i="17"/>
  <c r="N12220" i="17"/>
  <c r="N12219" i="17"/>
  <c r="N12218" i="17"/>
  <c r="N12217" i="17"/>
  <c r="N12216" i="17"/>
  <c r="N12215" i="17"/>
  <c r="N12214" i="17"/>
  <c r="N12213" i="17"/>
  <c r="N12212" i="17"/>
  <c r="N12211" i="17"/>
  <c r="N12210" i="17"/>
  <c r="N12209" i="17"/>
  <c r="N12208" i="17"/>
  <c r="N12207" i="17"/>
  <c r="N12206" i="17"/>
  <c r="N12205" i="17"/>
  <c r="N12204" i="17"/>
  <c r="N12203" i="17"/>
  <c r="N12202" i="17"/>
  <c r="N12201" i="17"/>
  <c r="N12200" i="17"/>
  <c r="N12199" i="17"/>
  <c r="N12198" i="17"/>
  <c r="N12197" i="17"/>
  <c r="N12196" i="17"/>
  <c r="N12195" i="17"/>
  <c r="N12194" i="17"/>
  <c r="N12193" i="17"/>
  <c r="N12192" i="17"/>
  <c r="N12191" i="17"/>
  <c r="N12190" i="17"/>
  <c r="N12189" i="17"/>
  <c r="N12188" i="17"/>
  <c r="N12187" i="17"/>
  <c r="N12186" i="17"/>
  <c r="N12185" i="17"/>
  <c r="N12184" i="17"/>
  <c r="N12183" i="17"/>
  <c r="N12182" i="17"/>
  <c r="N12181" i="17"/>
  <c r="N12180" i="17"/>
  <c r="N12179" i="17"/>
  <c r="N12178" i="17"/>
  <c r="N12177" i="17"/>
  <c r="N12176" i="17"/>
  <c r="N12175" i="17"/>
  <c r="N12174" i="17"/>
  <c r="N12173" i="17"/>
  <c r="N12172" i="17"/>
  <c r="N12171" i="17"/>
  <c r="N12170" i="17"/>
  <c r="N12169" i="17"/>
  <c r="N12168" i="17"/>
  <c r="N12167" i="17"/>
  <c r="N12166" i="17"/>
  <c r="N12165" i="17"/>
  <c r="N12164" i="17"/>
  <c r="N12163" i="17"/>
  <c r="N12162" i="17"/>
  <c r="N12161" i="17"/>
  <c r="N12160" i="17"/>
  <c r="N12159" i="17"/>
  <c r="N12158" i="17"/>
  <c r="N12157" i="17"/>
  <c r="N12156" i="17"/>
  <c r="N12155" i="17"/>
  <c r="N12154" i="17"/>
  <c r="N12153" i="17"/>
  <c r="N12152" i="17"/>
  <c r="N12151" i="17"/>
  <c r="N12150" i="17"/>
  <c r="N12149" i="17"/>
  <c r="N12148" i="17"/>
  <c r="N12147" i="17"/>
  <c r="N12146" i="17"/>
  <c r="N12145" i="17"/>
  <c r="N12144" i="17"/>
  <c r="N12143" i="17"/>
  <c r="N12142" i="17"/>
  <c r="N12141" i="17"/>
  <c r="N12140" i="17"/>
  <c r="N12139" i="17"/>
  <c r="N12138" i="17"/>
  <c r="N12137" i="17"/>
  <c r="N12136" i="17"/>
  <c r="N12135" i="17"/>
  <c r="N12134" i="17"/>
  <c r="N12133" i="17"/>
  <c r="N12132" i="17"/>
  <c r="N12131" i="17"/>
  <c r="N12130" i="17"/>
  <c r="N12129" i="17"/>
  <c r="N12128" i="17"/>
  <c r="N12127" i="17"/>
  <c r="N12126" i="17"/>
  <c r="N12125" i="17"/>
  <c r="N12124" i="17"/>
  <c r="N12123" i="17"/>
  <c r="N12122" i="17"/>
  <c r="N12121" i="17"/>
  <c r="N12120" i="17"/>
  <c r="N12119" i="17"/>
  <c r="N12118" i="17"/>
  <c r="N12117" i="17"/>
  <c r="N12116" i="17"/>
  <c r="N12115" i="17"/>
  <c r="N12114" i="17"/>
  <c r="N12113" i="17"/>
  <c r="N12112" i="17"/>
  <c r="N12111" i="17"/>
  <c r="N12110" i="17"/>
  <c r="N12109" i="17"/>
  <c r="N12108" i="17"/>
  <c r="N12107" i="17"/>
  <c r="N12106" i="17"/>
  <c r="N12105" i="17"/>
  <c r="N12104" i="17"/>
  <c r="N12103" i="17"/>
  <c r="N12102" i="17"/>
  <c r="N12101" i="17"/>
  <c r="N12100" i="17"/>
  <c r="N12099" i="17"/>
  <c r="N12098" i="17"/>
  <c r="N12097" i="17"/>
  <c r="N12096" i="17"/>
  <c r="N12095" i="17"/>
  <c r="N12094" i="17"/>
  <c r="N12093" i="17"/>
  <c r="N12092" i="17"/>
  <c r="N12091" i="17"/>
  <c r="N12090" i="17"/>
  <c r="N12089" i="17"/>
  <c r="N12088" i="17"/>
  <c r="N12087" i="17"/>
  <c r="N12086" i="17"/>
  <c r="N12085" i="17"/>
  <c r="N12084" i="17"/>
  <c r="N12083" i="17"/>
  <c r="N12082" i="17"/>
  <c r="N12081" i="17"/>
  <c r="N12080" i="17"/>
  <c r="N12079" i="17"/>
  <c r="N12078" i="17"/>
  <c r="N12077" i="17"/>
  <c r="N12076" i="17"/>
  <c r="N12075" i="17"/>
  <c r="N12074" i="17"/>
  <c r="N12073" i="17"/>
  <c r="N12072" i="17"/>
  <c r="N12071" i="17"/>
  <c r="N12070" i="17"/>
  <c r="N12069" i="17"/>
  <c r="N12068" i="17"/>
  <c r="N12067" i="17"/>
  <c r="N12066" i="17"/>
  <c r="N12065" i="17"/>
  <c r="N12064" i="17"/>
  <c r="N12063" i="17"/>
  <c r="N12062" i="17"/>
  <c r="N12061" i="17"/>
  <c r="N12060" i="17"/>
  <c r="N12059" i="17"/>
  <c r="N12058" i="17"/>
  <c r="N12057" i="17"/>
  <c r="N12056" i="17"/>
  <c r="N12055" i="17"/>
  <c r="N12054" i="17"/>
  <c r="N12053" i="17"/>
  <c r="N12052" i="17"/>
  <c r="N12051" i="17"/>
  <c r="N12050" i="17"/>
  <c r="N12049" i="17"/>
  <c r="N12048" i="17"/>
  <c r="N12047" i="17"/>
  <c r="N12046" i="17"/>
  <c r="N12045" i="17"/>
  <c r="N12044" i="17"/>
  <c r="N12043" i="17"/>
  <c r="N12042" i="17"/>
  <c r="N12041" i="17"/>
  <c r="N12040" i="17"/>
  <c r="N12039" i="17"/>
  <c r="N12038" i="17"/>
  <c r="N12037" i="17"/>
  <c r="N12036" i="17"/>
  <c r="N12035" i="17"/>
  <c r="N12034" i="17"/>
  <c r="N12033" i="17"/>
  <c r="N12032" i="17"/>
  <c r="N12031" i="17"/>
  <c r="N12030" i="17"/>
  <c r="N12029" i="17"/>
  <c r="N12028" i="17"/>
  <c r="N12027" i="17"/>
  <c r="N12026" i="17"/>
  <c r="N12025" i="17"/>
  <c r="N12024" i="17"/>
  <c r="N12023" i="17"/>
  <c r="N12022" i="17"/>
  <c r="N12021" i="17"/>
  <c r="N12020" i="17"/>
  <c r="N12019" i="17"/>
  <c r="N12018" i="17"/>
  <c r="N12017" i="17"/>
  <c r="N12016" i="17"/>
  <c r="N12015" i="17"/>
  <c r="N12014" i="17"/>
  <c r="N12013" i="17"/>
  <c r="N12012" i="17"/>
  <c r="N12011" i="17"/>
  <c r="N12010" i="17"/>
  <c r="N12009" i="17"/>
  <c r="N12008" i="17"/>
  <c r="N12007" i="17"/>
  <c r="N12006" i="17"/>
  <c r="N12005" i="17"/>
  <c r="N12004" i="17"/>
  <c r="N12003" i="17"/>
  <c r="N12002" i="17"/>
  <c r="N12001" i="17"/>
  <c r="N12000" i="17"/>
  <c r="N11999" i="17"/>
  <c r="N11998" i="17"/>
  <c r="N11997" i="17"/>
  <c r="N11996" i="17"/>
  <c r="N11995" i="17"/>
  <c r="N11994" i="17"/>
  <c r="N11993" i="17"/>
  <c r="N11992" i="17"/>
  <c r="N11991" i="17"/>
  <c r="N11990" i="17"/>
  <c r="N11989" i="17"/>
  <c r="N11988" i="17"/>
  <c r="N11987" i="17"/>
  <c r="N11986" i="17"/>
  <c r="N11985" i="17"/>
  <c r="N11984" i="17"/>
  <c r="N11983" i="17"/>
  <c r="N11982" i="17"/>
  <c r="N11981" i="17"/>
  <c r="N11980" i="17"/>
  <c r="N11979" i="17"/>
  <c r="N11978" i="17"/>
  <c r="N11977" i="17"/>
  <c r="N11976" i="17"/>
  <c r="N11975" i="17"/>
  <c r="N11974" i="17"/>
  <c r="N11973" i="17"/>
  <c r="N11972" i="17"/>
  <c r="N11971" i="17"/>
  <c r="N11970" i="17"/>
  <c r="N11969" i="17"/>
  <c r="N11968" i="17"/>
  <c r="N11967" i="17"/>
  <c r="N11966" i="17"/>
  <c r="N11965" i="17"/>
  <c r="N11964" i="17"/>
  <c r="N11963" i="17"/>
  <c r="N11962" i="17"/>
  <c r="N11961" i="17"/>
  <c r="N11960" i="17"/>
  <c r="N11959" i="17"/>
  <c r="N11958" i="17"/>
  <c r="N11957" i="17"/>
  <c r="N11956" i="17"/>
  <c r="N11955" i="17"/>
  <c r="N11954" i="17"/>
  <c r="N11953" i="17"/>
  <c r="N11952" i="17"/>
  <c r="N11951" i="17"/>
  <c r="N11950" i="17"/>
  <c r="N11949" i="17"/>
  <c r="N11948" i="17"/>
  <c r="N11947" i="17"/>
  <c r="N11946" i="17"/>
  <c r="N11945" i="17"/>
  <c r="N11944" i="17"/>
  <c r="N11943" i="17"/>
  <c r="N11942" i="17"/>
  <c r="N11941" i="17"/>
  <c r="N11940" i="17"/>
  <c r="N11939" i="17"/>
  <c r="N11938" i="17"/>
  <c r="N11937" i="17"/>
  <c r="N11936" i="17"/>
  <c r="N11935" i="17"/>
  <c r="N11934" i="17"/>
  <c r="N11933" i="17"/>
  <c r="N11932" i="17"/>
  <c r="N11931" i="17"/>
  <c r="N11930" i="17"/>
  <c r="N11929" i="17"/>
  <c r="N11928" i="17"/>
  <c r="N11927" i="17"/>
  <c r="N11926" i="17"/>
  <c r="N11925" i="17"/>
  <c r="N11924" i="17"/>
  <c r="N11923" i="17"/>
  <c r="N11922" i="17"/>
  <c r="N11921" i="17"/>
  <c r="N11920" i="17"/>
  <c r="N11919" i="17"/>
  <c r="N11918" i="17"/>
  <c r="N11917" i="17"/>
  <c r="N11916" i="17"/>
  <c r="N11915" i="17"/>
  <c r="N11914" i="17"/>
  <c r="N11913" i="17"/>
  <c r="N11912" i="17"/>
  <c r="N11911" i="17"/>
  <c r="N11910" i="17"/>
  <c r="N11909" i="17"/>
  <c r="N11908" i="17"/>
  <c r="N11907" i="17"/>
  <c r="N11906" i="17"/>
  <c r="N11905" i="17"/>
  <c r="N11904" i="17"/>
  <c r="N11903" i="17"/>
  <c r="N11902" i="17"/>
  <c r="N11901" i="17"/>
  <c r="N11900" i="17"/>
  <c r="N11899" i="17"/>
  <c r="N11898" i="17"/>
  <c r="N11897" i="17"/>
  <c r="N11896" i="17"/>
  <c r="N11895" i="17"/>
  <c r="N11894" i="17"/>
  <c r="N11893" i="17"/>
  <c r="N11892" i="17"/>
  <c r="N11891" i="17"/>
  <c r="N11890" i="17"/>
  <c r="N11889" i="17"/>
  <c r="N11888" i="17"/>
  <c r="N11887" i="17"/>
  <c r="N11886" i="17"/>
  <c r="N11885" i="17"/>
  <c r="N11884" i="17"/>
  <c r="N11883" i="17"/>
  <c r="N11882" i="17"/>
  <c r="N11881" i="17"/>
  <c r="N11880" i="17"/>
  <c r="N11879" i="17"/>
  <c r="N11878" i="17"/>
  <c r="N11877" i="17"/>
  <c r="N11876" i="17"/>
  <c r="N11875" i="17"/>
  <c r="N11874" i="17"/>
  <c r="N11873" i="17"/>
  <c r="N11872" i="17"/>
  <c r="N11871" i="17"/>
  <c r="N11870" i="17"/>
  <c r="N11869" i="17"/>
  <c r="N11868" i="17"/>
  <c r="N11867" i="17"/>
  <c r="N11866" i="17"/>
  <c r="N11865" i="17"/>
  <c r="N11864" i="17"/>
  <c r="N11863" i="17"/>
  <c r="N11862" i="17"/>
  <c r="N11861" i="17"/>
  <c r="N11860" i="17"/>
  <c r="N11859" i="17"/>
  <c r="N11858" i="17"/>
  <c r="N11857" i="17"/>
  <c r="N11856" i="17"/>
  <c r="N11855" i="17"/>
  <c r="N11854" i="17"/>
  <c r="N11853" i="17"/>
  <c r="N11852" i="17"/>
  <c r="N11851" i="17"/>
  <c r="N11850" i="17"/>
  <c r="N11849" i="17"/>
  <c r="N11848" i="17"/>
  <c r="N11847" i="17"/>
  <c r="N11846" i="17"/>
  <c r="N11845" i="17"/>
  <c r="N11844" i="17"/>
  <c r="N11843" i="17"/>
  <c r="N11842" i="17"/>
  <c r="N11841" i="17"/>
  <c r="N11840" i="17"/>
  <c r="N11839" i="17"/>
  <c r="N11838" i="17"/>
  <c r="N11837" i="17"/>
  <c r="N11836" i="17"/>
  <c r="N11835" i="17"/>
  <c r="N11834" i="17"/>
  <c r="N11833" i="17"/>
  <c r="N11832" i="17"/>
  <c r="N11831" i="17"/>
  <c r="N11830" i="17"/>
  <c r="N11829" i="17"/>
  <c r="N11828" i="17"/>
  <c r="N11827" i="17"/>
  <c r="N11826" i="17"/>
  <c r="N11825" i="17"/>
  <c r="N11824" i="17"/>
  <c r="N11823" i="17"/>
  <c r="N11822" i="17"/>
  <c r="N11821" i="17"/>
  <c r="N11820" i="17"/>
  <c r="N11819" i="17"/>
  <c r="N11818" i="17"/>
  <c r="N11817" i="17"/>
  <c r="N11816" i="17"/>
  <c r="N11815" i="17"/>
  <c r="N11814" i="17"/>
  <c r="N11813" i="17"/>
  <c r="N11812" i="17"/>
  <c r="N11811" i="17"/>
  <c r="N11810" i="17"/>
  <c r="N11809" i="17"/>
  <c r="N11808" i="17"/>
  <c r="N11807" i="17"/>
  <c r="N11806" i="17"/>
  <c r="N11805" i="17"/>
  <c r="N11804" i="17"/>
  <c r="N11803" i="17"/>
  <c r="N11802" i="17"/>
  <c r="N11801" i="17"/>
  <c r="N11800" i="17"/>
  <c r="N11799" i="17"/>
  <c r="N11798" i="17"/>
  <c r="N11797" i="17"/>
  <c r="N11796" i="17"/>
  <c r="N11795" i="17"/>
  <c r="N11794" i="17"/>
  <c r="N11793" i="17"/>
  <c r="N11792" i="17"/>
  <c r="N11791" i="17"/>
  <c r="N11790" i="17"/>
  <c r="N11789" i="17"/>
  <c r="N11788" i="17"/>
  <c r="N11787" i="17"/>
  <c r="N11786" i="17"/>
  <c r="N11785" i="17"/>
  <c r="N11784" i="17"/>
  <c r="N11783" i="17"/>
  <c r="N11782" i="17"/>
  <c r="N11781" i="17"/>
  <c r="N11780" i="17"/>
  <c r="N11779" i="17"/>
  <c r="N11778" i="17"/>
  <c r="N11777" i="17"/>
  <c r="N11776" i="17"/>
  <c r="N11775" i="17"/>
  <c r="N11774" i="17"/>
  <c r="N11773" i="17"/>
  <c r="N11772" i="17"/>
  <c r="N11771" i="17"/>
  <c r="N11770" i="17"/>
  <c r="N11769" i="17"/>
  <c r="N11768" i="17"/>
  <c r="N11767" i="17"/>
  <c r="N11766" i="17"/>
  <c r="N11765" i="17"/>
  <c r="N11764" i="17"/>
  <c r="N11763" i="17"/>
  <c r="N11762" i="17"/>
  <c r="N11761" i="17"/>
  <c r="N11760" i="17"/>
  <c r="N11759" i="17"/>
  <c r="N11758" i="17"/>
  <c r="N11757" i="17"/>
  <c r="N11756" i="17"/>
  <c r="N11755" i="17"/>
  <c r="N11754" i="17"/>
  <c r="N11753" i="17"/>
  <c r="N11752" i="17"/>
  <c r="N11751" i="17"/>
  <c r="N11750" i="17"/>
  <c r="N11749" i="17"/>
  <c r="N11748" i="17"/>
  <c r="N11747" i="17"/>
  <c r="N11746" i="17"/>
  <c r="N11745" i="17"/>
  <c r="N11744" i="17"/>
  <c r="N11743" i="17"/>
  <c r="N11742" i="17"/>
  <c r="N11741" i="17"/>
  <c r="N11740" i="17"/>
  <c r="N11739" i="17"/>
  <c r="N11738" i="17"/>
  <c r="N11737" i="17"/>
  <c r="N11736" i="17"/>
  <c r="N11735" i="17"/>
  <c r="N11734" i="17"/>
  <c r="N11733" i="17"/>
  <c r="N11732" i="17"/>
  <c r="N11731" i="17"/>
  <c r="N11730" i="17"/>
  <c r="N11729" i="17"/>
  <c r="N11728" i="17"/>
  <c r="N11727" i="17"/>
  <c r="N11726" i="17"/>
  <c r="N11725" i="17"/>
  <c r="N11724" i="17"/>
  <c r="N11723" i="17"/>
  <c r="N11722" i="17"/>
  <c r="N11721" i="17"/>
  <c r="N11720" i="17"/>
  <c r="N11719" i="17"/>
  <c r="N11718" i="17"/>
  <c r="N11717" i="17"/>
  <c r="N11716" i="17"/>
  <c r="N11715" i="17"/>
  <c r="N11714" i="17"/>
  <c r="N11713" i="17"/>
  <c r="N11712" i="17"/>
  <c r="N11711" i="17"/>
  <c r="N11710" i="17"/>
  <c r="N11709" i="17"/>
  <c r="N11708" i="17"/>
  <c r="N11707" i="17"/>
  <c r="N11706" i="17"/>
  <c r="N11705" i="17"/>
  <c r="N11704" i="17"/>
  <c r="N11703" i="17"/>
  <c r="N11702" i="17"/>
  <c r="N11701" i="17"/>
  <c r="N11700" i="17"/>
  <c r="N11699" i="17"/>
  <c r="N11698" i="17"/>
  <c r="N11697" i="17"/>
  <c r="N11696" i="17"/>
  <c r="N11695" i="17"/>
  <c r="N11694" i="17"/>
  <c r="N11693" i="17"/>
  <c r="N11692" i="17"/>
  <c r="N11691" i="17"/>
  <c r="N11690" i="17"/>
  <c r="N11689" i="17"/>
  <c r="N11688" i="17"/>
  <c r="N11687" i="17"/>
  <c r="N11686" i="17"/>
  <c r="N11685" i="17"/>
  <c r="N11684" i="17"/>
  <c r="N11683" i="17"/>
  <c r="N11682" i="17"/>
  <c r="N11681" i="17"/>
  <c r="N11680" i="17"/>
  <c r="N11679" i="17"/>
  <c r="N11678" i="17"/>
  <c r="N11677" i="17"/>
  <c r="N11676" i="17"/>
  <c r="N11675" i="17"/>
  <c r="N11674" i="17"/>
  <c r="N11673" i="17"/>
  <c r="N11672" i="17"/>
  <c r="N11671" i="17"/>
  <c r="N11670" i="17"/>
  <c r="N11669" i="17"/>
  <c r="N11668" i="17"/>
  <c r="N11667" i="17"/>
  <c r="N11666" i="17"/>
  <c r="N11665" i="17"/>
  <c r="N11664" i="17"/>
  <c r="N11663" i="17"/>
  <c r="N11662" i="17"/>
  <c r="N11661" i="17"/>
  <c r="N11660" i="17"/>
  <c r="N11659" i="17"/>
  <c r="N11658" i="17"/>
  <c r="N11657" i="17"/>
  <c r="N11656" i="17"/>
  <c r="N11655" i="17"/>
  <c r="N11654" i="17"/>
  <c r="N11653" i="17"/>
  <c r="N11652" i="17"/>
  <c r="N11651" i="17"/>
  <c r="N11650" i="17"/>
  <c r="N11649" i="17"/>
  <c r="N11648" i="17"/>
  <c r="N11647" i="17"/>
  <c r="N11646" i="17"/>
  <c r="N11645" i="17"/>
  <c r="N11644" i="17"/>
  <c r="N11643" i="17"/>
  <c r="N11642" i="17"/>
  <c r="N11641" i="17"/>
  <c r="N11640" i="17"/>
  <c r="N11639" i="17"/>
  <c r="N11638" i="17"/>
  <c r="N11637" i="17"/>
  <c r="N11636" i="17"/>
  <c r="N11635" i="17"/>
  <c r="N11634" i="17"/>
  <c r="N11633" i="17"/>
  <c r="N11632" i="17"/>
  <c r="N11631" i="17"/>
  <c r="N11630" i="17"/>
  <c r="N11629" i="17"/>
  <c r="N11628" i="17"/>
  <c r="N11627" i="17"/>
  <c r="N11626" i="17"/>
  <c r="N11625" i="17"/>
  <c r="N11624" i="17"/>
  <c r="N11623" i="17"/>
  <c r="N11622" i="17"/>
  <c r="N11621" i="17"/>
  <c r="N11620" i="17"/>
  <c r="N11619" i="17"/>
  <c r="N11618" i="17"/>
  <c r="N11617" i="17"/>
  <c r="N11616" i="17"/>
  <c r="N11615" i="17"/>
  <c r="N11614" i="17"/>
  <c r="N11613" i="17"/>
  <c r="N11612" i="17"/>
  <c r="N11611" i="17"/>
  <c r="N11610" i="17"/>
  <c r="N11609" i="17"/>
  <c r="N11608" i="17"/>
  <c r="N11607" i="17"/>
  <c r="N11606" i="17"/>
  <c r="N11605" i="17"/>
  <c r="N11604" i="17"/>
  <c r="N11603" i="17"/>
  <c r="N11602" i="17"/>
  <c r="N11601" i="17"/>
  <c r="N11600" i="17"/>
  <c r="N11599" i="17"/>
  <c r="N11598" i="17"/>
  <c r="N11597" i="17"/>
  <c r="N11596" i="17"/>
  <c r="N11595" i="17"/>
  <c r="N11594" i="17"/>
  <c r="N11593" i="17"/>
  <c r="N11592" i="17"/>
  <c r="N11591" i="17"/>
  <c r="N11590" i="17"/>
  <c r="N11589" i="17"/>
  <c r="N11588" i="17"/>
  <c r="N11587" i="17"/>
  <c r="N11586" i="17"/>
  <c r="N11585" i="17"/>
  <c r="N11584" i="17"/>
  <c r="N11583" i="17"/>
  <c r="N11582" i="17"/>
  <c r="N11581" i="17"/>
  <c r="N11580" i="17"/>
  <c r="N11579" i="17"/>
  <c r="N11578" i="17"/>
  <c r="N11577" i="17"/>
  <c r="N11576" i="17"/>
  <c r="N11575" i="17"/>
  <c r="N11574" i="17"/>
  <c r="N11573" i="17"/>
  <c r="N11572" i="17"/>
  <c r="N11571" i="17"/>
  <c r="N11570" i="17"/>
  <c r="N11569" i="17"/>
  <c r="N11568" i="17"/>
  <c r="N11567" i="17"/>
  <c r="N11566" i="17"/>
  <c r="N11565" i="17"/>
  <c r="N11564" i="17"/>
  <c r="N11563" i="17"/>
  <c r="N11562" i="17"/>
  <c r="N11561" i="17"/>
  <c r="N11560" i="17"/>
  <c r="N11559" i="17"/>
  <c r="N11558" i="17"/>
  <c r="N11557" i="17"/>
  <c r="N11556" i="17"/>
  <c r="N11555" i="17"/>
  <c r="N11554" i="17"/>
  <c r="N11553" i="17"/>
  <c r="N11552" i="17"/>
  <c r="N11551" i="17"/>
  <c r="N11550" i="17"/>
  <c r="N11549" i="17"/>
  <c r="N11548" i="17"/>
  <c r="N11547" i="17"/>
  <c r="N11546" i="17"/>
  <c r="N11545" i="17"/>
  <c r="N11544" i="17"/>
  <c r="N11543" i="17"/>
  <c r="N11542" i="17"/>
  <c r="N11541" i="17"/>
  <c r="N11540" i="17"/>
  <c r="N11539" i="17"/>
  <c r="N11538" i="17"/>
  <c r="N11537" i="17"/>
  <c r="N11536" i="17"/>
  <c r="N11535" i="17"/>
  <c r="N11534" i="17"/>
  <c r="N11533" i="17"/>
  <c r="N11532" i="17"/>
  <c r="N11531" i="17"/>
  <c r="N11530" i="17"/>
  <c r="N11529" i="17"/>
  <c r="N11528" i="17"/>
  <c r="N11527" i="17"/>
  <c r="N11526" i="17"/>
  <c r="N11525" i="17"/>
  <c r="N11524" i="17"/>
  <c r="N11523" i="17"/>
  <c r="N11522" i="17"/>
  <c r="N11521" i="17"/>
  <c r="N11520" i="17"/>
  <c r="N11519" i="17"/>
  <c r="N11518" i="17"/>
  <c r="N11517" i="17"/>
  <c r="N11516" i="17"/>
  <c r="N11515" i="17"/>
  <c r="N11514" i="17"/>
  <c r="N11513" i="17"/>
  <c r="N11512" i="17"/>
  <c r="N11511" i="17"/>
  <c r="N11510" i="17"/>
  <c r="N11509" i="17"/>
  <c r="N11508" i="17"/>
  <c r="N11507" i="17"/>
  <c r="N11506" i="17"/>
  <c r="N11505" i="17"/>
  <c r="N11504" i="17"/>
  <c r="N11503" i="17"/>
  <c r="N11502" i="17"/>
  <c r="N11501" i="17"/>
  <c r="N11500" i="17"/>
  <c r="N11499" i="17"/>
  <c r="N11498" i="17"/>
  <c r="N11497" i="17"/>
  <c r="N11496" i="17"/>
  <c r="N11495" i="17"/>
  <c r="N11494" i="17"/>
  <c r="N11493" i="17"/>
  <c r="N11492" i="17"/>
  <c r="N11491" i="17"/>
  <c r="N11490" i="17"/>
  <c r="N11489" i="17"/>
  <c r="N11488" i="17"/>
  <c r="N11487" i="17"/>
  <c r="N11486" i="17"/>
  <c r="N11485" i="17"/>
  <c r="N11484" i="17"/>
  <c r="N11483" i="17"/>
  <c r="N11482" i="17"/>
  <c r="N11481" i="17"/>
  <c r="N11480" i="17"/>
  <c r="N11479" i="17"/>
  <c r="N11478" i="17"/>
  <c r="N11477" i="17"/>
  <c r="N11476" i="17"/>
  <c r="N11475" i="17"/>
  <c r="N11474" i="17"/>
  <c r="N11473" i="17"/>
  <c r="N11472" i="17"/>
  <c r="N11471" i="17"/>
  <c r="N11470" i="17"/>
  <c r="N11469" i="17"/>
  <c r="N11468" i="17"/>
  <c r="N11467" i="17"/>
  <c r="N11466" i="17"/>
  <c r="N11465" i="17"/>
  <c r="N11464" i="17"/>
  <c r="N11463" i="17"/>
  <c r="N11462" i="17"/>
  <c r="N11461" i="17"/>
  <c r="N11460" i="17"/>
  <c r="N11459" i="17"/>
  <c r="N11458" i="17"/>
  <c r="N11457" i="17"/>
  <c r="N11456" i="17"/>
  <c r="N11455" i="17"/>
  <c r="N11454" i="17"/>
  <c r="N11453" i="17"/>
  <c r="N11452" i="17"/>
  <c r="N11451" i="17"/>
  <c r="N11450" i="17"/>
  <c r="N11449" i="17"/>
  <c r="N11448" i="17"/>
  <c r="N11447" i="17"/>
  <c r="N11446" i="17"/>
  <c r="N11445" i="17"/>
  <c r="N11444" i="17"/>
  <c r="N11443" i="17"/>
  <c r="N11442" i="17"/>
  <c r="N11441" i="17"/>
  <c r="N11440" i="17"/>
  <c r="N11439" i="17"/>
  <c r="N11438" i="17"/>
  <c r="N11437" i="17"/>
  <c r="N11436" i="17"/>
  <c r="N11435" i="17"/>
  <c r="N11434" i="17"/>
  <c r="N11433" i="17"/>
  <c r="N11432" i="17"/>
  <c r="N11431" i="17"/>
  <c r="N11430" i="17"/>
  <c r="N11429" i="17"/>
  <c r="N11428" i="17"/>
  <c r="N11427" i="17"/>
  <c r="N11426" i="17"/>
  <c r="N11425" i="17"/>
  <c r="N11424" i="17"/>
  <c r="N11423" i="17"/>
  <c r="N11422" i="17"/>
  <c r="N11421" i="17"/>
  <c r="N11420" i="17"/>
  <c r="N11419" i="17"/>
  <c r="N11418" i="17"/>
  <c r="N11417" i="17"/>
  <c r="N11416" i="17"/>
  <c r="N11415" i="17"/>
  <c r="N11414" i="17"/>
  <c r="N11413" i="17"/>
  <c r="N11412" i="17"/>
  <c r="N11411" i="17"/>
  <c r="N11410" i="17"/>
  <c r="N11409" i="17"/>
  <c r="N11408" i="17"/>
  <c r="N11407" i="17"/>
  <c r="N11406" i="17"/>
  <c r="N11405" i="17"/>
  <c r="N11404" i="17"/>
  <c r="N11403" i="17"/>
  <c r="N11402" i="17"/>
  <c r="N11401" i="17"/>
  <c r="N11400" i="17"/>
  <c r="N11399" i="17"/>
  <c r="N11398" i="17"/>
  <c r="N11397" i="17"/>
  <c r="N11396" i="17"/>
  <c r="N11395" i="17"/>
  <c r="N11394" i="17"/>
  <c r="N11393" i="17"/>
  <c r="N11392" i="17"/>
  <c r="N11391" i="17"/>
  <c r="N11390" i="17"/>
  <c r="N11389" i="17"/>
  <c r="N11388" i="17"/>
  <c r="N11387" i="17"/>
  <c r="N11386" i="17"/>
  <c r="N11385" i="17"/>
  <c r="N11384" i="17"/>
  <c r="N11383" i="17"/>
  <c r="N11382" i="17"/>
  <c r="N11381" i="17"/>
  <c r="N11380" i="17"/>
  <c r="N11379" i="17"/>
  <c r="N11378" i="17"/>
  <c r="N11377" i="17"/>
  <c r="N11376" i="17"/>
  <c r="N11375" i="17"/>
  <c r="N11374" i="17"/>
  <c r="N11373" i="17"/>
  <c r="N11372" i="17"/>
  <c r="N11371" i="17"/>
  <c r="N11370" i="17"/>
  <c r="N11369" i="17"/>
  <c r="N11368" i="17"/>
  <c r="N11367" i="17"/>
  <c r="N11366" i="17"/>
  <c r="N11365" i="17"/>
  <c r="N11364" i="17"/>
  <c r="N11363" i="17"/>
  <c r="N11362" i="17"/>
  <c r="N11361" i="17"/>
  <c r="N11360" i="17"/>
  <c r="N11359" i="17"/>
  <c r="N11358" i="17"/>
  <c r="N11357" i="17"/>
  <c r="N11356" i="17"/>
  <c r="N11355" i="17"/>
  <c r="N11354" i="17"/>
  <c r="N11353" i="17"/>
  <c r="N11352" i="17"/>
  <c r="N11351" i="17"/>
  <c r="N11350" i="17"/>
  <c r="N11349" i="17"/>
  <c r="N11348" i="17"/>
  <c r="N11347" i="17"/>
  <c r="N11346" i="17"/>
  <c r="N11345" i="17"/>
  <c r="N11344" i="17"/>
  <c r="N11343" i="17"/>
  <c r="N11342" i="17"/>
  <c r="N11341" i="17"/>
  <c r="N11340" i="17"/>
  <c r="N11339" i="17"/>
  <c r="N11338" i="17"/>
  <c r="N11337" i="17"/>
  <c r="N11336" i="17"/>
  <c r="N11335" i="17"/>
  <c r="N11334" i="17"/>
  <c r="N11333" i="17"/>
  <c r="N11332" i="17"/>
  <c r="N11331" i="17"/>
  <c r="N11330" i="17"/>
  <c r="N11329" i="17"/>
  <c r="N11328" i="17"/>
  <c r="N11327" i="17"/>
  <c r="N11326" i="17"/>
  <c r="N11325" i="17"/>
  <c r="N11324" i="17"/>
  <c r="N11323" i="17"/>
  <c r="N11322" i="17"/>
  <c r="N11321" i="17"/>
  <c r="N11320" i="17"/>
  <c r="N11319" i="17"/>
  <c r="N11318" i="17"/>
  <c r="N11317" i="17"/>
  <c r="N11316" i="17"/>
  <c r="N11315" i="17"/>
  <c r="N11314" i="17"/>
  <c r="N11313" i="17"/>
  <c r="N11312" i="17"/>
  <c r="N11311" i="17"/>
  <c r="N11310" i="17"/>
  <c r="N11309" i="17"/>
  <c r="N11308" i="17"/>
  <c r="N11307" i="17"/>
  <c r="N11306" i="17"/>
  <c r="N11305" i="17"/>
  <c r="N11304" i="17"/>
  <c r="N11303" i="17"/>
  <c r="N11302" i="17"/>
  <c r="N11301" i="17"/>
  <c r="N11300" i="17"/>
  <c r="N11299" i="17"/>
  <c r="N11298" i="17"/>
  <c r="N11297" i="17"/>
  <c r="N11296" i="17"/>
  <c r="N11295" i="17"/>
  <c r="N11294" i="17"/>
  <c r="N11293" i="17"/>
  <c r="N11292" i="17"/>
  <c r="N11291" i="17"/>
  <c r="N11290" i="17"/>
  <c r="N11289" i="17"/>
  <c r="N11288" i="17"/>
  <c r="N11287" i="17"/>
  <c r="N11286" i="17"/>
  <c r="N11285" i="17"/>
  <c r="N11284" i="17"/>
  <c r="N11283" i="17"/>
  <c r="N11282" i="17"/>
  <c r="N11281" i="17"/>
  <c r="N11280" i="17"/>
  <c r="N11279" i="17"/>
  <c r="N11278" i="17"/>
  <c r="N11277" i="17"/>
  <c r="N11276" i="17"/>
  <c r="N11275" i="17"/>
  <c r="N11274" i="17"/>
  <c r="N11273" i="17"/>
  <c r="N11272" i="17"/>
  <c r="N11271" i="17"/>
  <c r="N11270" i="17"/>
  <c r="N11269" i="17"/>
  <c r="N11268" i="17"/>
  <c r="N11267" i="17"/>
  <c r="N11266" i="17"/>
  <c r="N11265" i="17"/>
  <c r="N11264" i="17"/>
  <c r="N11263" i="17"/>
  <c r="N11262" i="17"/>
  <c r="N11261" i="17"/>
  <c r="N11260" i="17"/>
  <c r="N11259" i="17"/>
  <c r="N11258" i="17"/>
  <c r="N11257" i="17"/>
  <c r="N11256" i="17"/>
  <c r="N11255" i="17"/>
  <c r="N11254" i="17"/>
  <c r="N11253" i="17"/>
  <c r="N11252" i="17"/>
  <c r="N11251" i="17"/>
  <c r="N11250" i="17"/>
  <c r="N11249" i="17"/>
  <c r="N11248" i="17"/>
  <c r="N11247" i="17"/>
  <c r="N11246" i="17"/>
  <c r="N11245" i="17"/>
  <c r="N11244" i="17"/>
  <c r="N11243" i="17"/>
  <c r="N11242" i="17"/>
  <c r="N11241" i="17"/>
  <c r="N11240" i="17"/>
  <c r="N11239" i="17"/>
  <c r="N11238" i="17"/>
  <c r="N11237" i="17"/>
  <c r="N11236" i="17"/>
  <c r="N11235" i="17"/>
  <c r="N11234" i="17"/>
  <c r="N11233" i="17"/>
  <c r="N11232" i="17"/>
  <c r="N11231" i="17"/>
  <c r="N11230" i="17"/>
  <c r="N11229" i="17"/>
  <c r="N11228" i="17"/>
  <c r="N11227" i="17"/>
  <c r="N11226" i="17"/>
  <c r="N11225" i="17"/>
  <c r="N11224" i="17"/>
  <c r="N11223" i="17"/>
  <c r="N11222" i="17"/>
  <c r="N11221" i="17"/>
  <c r="N11220" i="17"/>
  <c r="N11219" i="17"/>
  <c r="N11218" i="17"/>
  <c r="N11217" i="17"/>
  <c r="N11216" i="17"/>
  <c r="N11215" i="17"/>
  <c r="N11214" i="17"/>
  <c r="N11213" i="17"/>
  <c r="N11212" i="17"/>
  <c r="N11211" i="17"/>
  <c r="N11210" i="17"/>
  <c r="N11209" i="17"/>
  <c r="N11208" i="17"/>
  <c r="N11207" i="17"/>
  <c r="N11206" i="17"/>
  <c r="N11205" i="17"/>
  <c r="N11204" i="17"/>
  <c r="N11203" i="17"/>
  <c r="N11202" i="17"/>
  <c r="N11201" i="17"/>
  <c r="N11200" i="17"/>
  <c r="N11199" i="17"/>
  <c r="N11198" i="17"/>
  <c r="N11197" i="17"/>
  <c r="N11196" i="17"/>
  <c r="N11195" i="17"/>
  <c r="N11194" i="17"/>
  <c r="N11193" i="17"/>
  <c r="N11192" i="17"/>
  <c r="N11191" i="17"/>
  <c r="N11190" i="17"/>
  <c r="N11189" i="17"/>
  <c r="N11188" i="17"/>
  <c r="N11187" i="17"/>
  <c r="N11186" i="17"/>
  <c r="N11185" i="17"/>
  <c r="N11184" i="17"/>
  <c r="N11183" i="17"/>
  <c r="N11182" i="17"/>
  <c r="N11181" i="17"/>
  <c r="N11180" i="17"/>
  <c r="N11179" i="17"/>
  <c r="N11178" i="17"/>
  <c r="N11177" i="17"/>
  <c r="N11176" i="17"/>
  <c r="N11175" i="17"/>
  <c r="N11174" i="17"/>
  <c r="N11173" i="17"/>
  <c r="N11172" i="17"/>
  <c r="N11171" i="17"/>
  <c r="N11170" i="17"/>
  <c r="N11169" i="17"/>
  <c r="N11168" i="17"/>
  <c r="N11167" i="17"/>
  <c r="N11166" i="17"/>
  <c r="N11165" i="17"/>
  <c r="N11164" i="17"/>
  <c r="N11163" i="17"/>
  <c r="N11162" i="17"/>
  <c r="N11161" i="17"/>
  <c r="N11160" i="17"/>
  <c r="N11159" i="17"/>
  <c r="N11158" i="17"/>
  <c r="N11157" i="17"/>
  <c r="N11156" i="17"/>
  <c r="N11155" i="17"/>
  <c r="N11154" i="17"/>
  <c r="N11153" i="17"/>
  <c r="N11152" i="17"/>
  <c r="N11151" i="17"/>
  <c r="N11150" i="17"/>
  <c r="N11149" i="17"/>
  <c r="N11148" i="17"/>
  <c r="N11147" i="17"/>
  <c r="N11146" i="17"/>
  <c r="N11145" i="17"/>
  <c r="N11144" i="17"/>
  <c r="N11143" i="17"/>
  <c r="N11142" i="17"/>
  <c r="N11141" i="17"/>
  <c r="N11140" i="17"/>
  <c r="N11139" i="17"/>
  <c r="N11138" i="17"/>
  <c r="N11137" i="17"/>
  <c r="N11136" i="17"/>
  <c r="N11135" i="17"/>
  <c r="N11134" i="17"/>
  <c r="N11133" i="17"/>
  <c r="N11132" i="17"/>
  <c r="N11131" i="17"/>
  <c r="N11130" i="17"/>
  <c r="N11129" i="17"/>
  <c r="N11128" i="17"/>
  <c r="N11127" i="17"/>
  <c r="N11126" i="17"/>
  <c r="N11125" i="17"/>
  <c r="N11124" i="17"/>
  <c r="N11123" i="17"/>
  <c r="N11122" i="17"/>
  <c r="N11121" i="17"/>
  <c r="N11120" i="17"/>
  <c r="N11119" i="17"/>
  <c r="N11118" i="17"/>
  <c r="N11117" i="17"/>
  <c r="N11116" i="17"/>
  <c r="N11115" i="17"/>
  <c r="N11114" i="17"/>
  <c r="N11113" i="17"/>
  <c r="N11112" i="17"/>
  <c r="N11111" i="17"/>
  <c r="N11110" i="17"/>
  <c r="N11109" i="17"/>
  <c r="N11108" i="17"/>
  <c r="N11107" i="17"/>
  <c r="N11106" i="17"/>
  <c r="N11105" i="17"/>
  <c r="N11104" i="17"/>
  <c r="N11103" i="17"/>
  <c r="N11102" i="17"/>
  <c r="N11101" i="17"/>
  <c r="N11100" i="17"/>
  <c r="N11099" i="17"/>
  <c r="N11098" i="17"/>
  <c r="N11097" i="17"/>
  <c r="N11096" i="17"/>
  <c r="N11095" i="17"/>
  <c r="N11094" i="17"/>
  <c r="N11093" i="17"/>
  <c r="N11092" i="17"/>
  <c r="N11091" i="17"/>
  <c r="N11090" i="17"/>
  <c r="N11089" i="17"/>
  <c r="N11088" i="17"/>
  <c r="N11087" i="17"/>
  <c r="N11086" i="17"/>
  <c r="N11085" i="17"/>
  <c r="N11084" i="17"/>
  <c r="N11083" i="17"/>
  <c r="N11082" i="17"/>
  <c r="N11081" i="17"/>
  <c r="N11080" i="17"/>
  <c r="N11079" i="17"/>
  <c r="N11078" i="17"/>
  <c r="N11077" i="17"/>
  <c r="N11076" i="17"/>
  <c r="N11075" i="17"/>
  <c r="N11074" i="17"/>
  <c r="N11073" i="17"/>
  <c r="N11072" i="17"/>
  <c r="N11071" i="17"/>
  <c r="N11070" i="17"/>
  <c r="N11069" i="17"/>
  <c r="N11068" i="17"/>
  <c r="N11067" i="17"/>
  <c r="N11066" i="17"/>
  <c r="N11065" i="17"/>
  <c r="N11064" i="17"/>
  <c r="N11063" i="17"/>
  <c r="N11062" i="17"/>
  <c r="N11061" i="17"/>
  <c r="N11060" i="17"/>
  <c r="N11059" i="17"/>
  <c r="N11058" i="17"/>
  <c r="N11057" i="17"/>
  <c r="N11056" i="17"/>
  <c r="N11055" i="17"/>
  <c r="N11054" i="17"/>
  <c r="N11053" i="17"/>
  <c r="N11052" i="17"/>
  <c r="N11051" i="17"/>
  <c r="N11050" i="17"/>
  <c r="N11049" i="17"/>
  <c r="N11048" i="17"/>
  <c r="N11047" i="17"/>
  <c r="N11046" i="17"/>
  <c r="N11045" i="17"/>
  <c r="N11044" i="17"/>
  <c r="N11043" i="17"/>
  <c r="N11042" i="17"/>
  <c r="N11041" i="17"/>
  <c r="N11040" i="17"/>
  <c r="N11039" i="17"/>
  <c r="N11038" i="17"/>
  <c r="N11037" i="17"/>
  <c r="N11036" i="17"/>
  <c r="N11035" i="17"/>
  <c r="N11034" i="17"/>
  <c r="N11033" i="17"/>
  <c r="N11032" i="17"/>
  <c r="N11031" i="17"/>
  <c r="N11030" i="17"/>
  <c r="N11029" i="17"/>
  <c r="N11028" i="17"/>
  <c r="N11027" i="17"/>
  <c r="N11026" i="17"/>
  <c r="N11025" i="17"/>
  <c r="N11024" i="17"/>
  <c r="N11023" i="17"/>
  <c r="N11022" i="17"/>
  <c r="N11021" i="17"/>
  <c r="N11020" i="17"/>
  <c r="N11019" i="17"/>
  <c r="N11018" i="17"/>
  <c r="N11017" i="17"/>
  <c r="N11016" i="17"/>
  <c r="N11015" i="17"/>
  <c r="N11014" i="17"/>
  <c r="N11013" i="17"/>
  <c r="N11012" i="17"/>
  <c r="N11011" i="17"/>
  <c r="N11010" i="17"/>
  <c r="N11009" i="17"/>
  <c r="N11008" i="17"/>
  <c r="N11007" i="17"/>
  <c r="N11006" i="17"/>
  <c r="N11005" i="17"/>
  <c r="N11004" i="17"/>
  <c r="N11003" i="17"/>
  <c r="N11002" i="17"/>
  <c r="N11001" i="17"/>
  <c r="N11000" i="17"/>
  <c r="N10999" i="17"/>
  <c r="N10998" i="17"/>
  <c r="N10997" i="17"/>
  <c r="N10996" i="17"/>
  <c r="N10995" i="17"/>
  <c r="N10994" i="17"/>
  <c r="N10993" i="17"/>
  <c r="N10992" i="17"/>
  <c r="N10991" i="17"/>
  <c r="N10990" i="17"/>
  <c r="N10989" i="17"/>
  <c r="N10988" i="17"/>
  <c r="N10987" i="17"/>
  <c r="N10986" i="17"/>
  <c r="N10985" i="17"/>
  <c r="N10984" i="17"/>
  <c r="N10983" i="17"/>
  <c r="N10982" i="17"/>
  <c r="N10981" i="17"/>
  <c r="N10980" i="17"/>
  <c r="N10979" i="17"/>
  <c r="N10978" i="17"/>
  <c r="N10977" i="17"/>
  <c r="N10976" i="17"/>
  <c r="N10975" i="17"/>
  <c r="N10974" i="17"/>
  <c r="N10973" i="17"/>
  <c r="N10972" i="17"/>
  <c r="N10971" i="17"/>
  <c r="N10970" i="17"/>
  <c r="N10969" i="17"/>
  <c r="N10968" i="17"/>
  <c r="N10967" i="17"/>
  <c r="N10966" i="17"/>
  <c r="N10965" i="17"/>
  <c r="N10964" i="17"/>
  <c r="N10963" i="17"/>
  <c r="N10962" i="17"/>
  <c r="N10961" i="17"/>
  <c r="N10960" i="17"/>
  <c r="N10959" i="17"/>
  <c r="N10958" i="17"/>
  <c r="N10957" i="17"/>
  <c r="N10956" i="17"/>
  <c r="N10955" i="17"/>
  <c r="N10954" i="17"/>
  <c r="N10953" i="17"/>
  <c r="N10952" i="17"/>
  <c r="N10951" i="17"/>
  <c r="N10950" i="17"/>
  <c r="N10949" i="17"/>
  <c r="N10948" i="17"/>
  <c r="N10947" i="17"/>
  <c r="N10946" i="17"/>
  <c r="N10945" i="17"/>
  <c r="N10944" i="17"/>
  <c r="N10943" i="17"/>
  <c r="N10942" i="17"/>
  <c r="N10941" i="17"/>
  <c r="N10940" i="17"/>
  <c r="N10939" i="17"/>
  <c r="N10938" i="17"/>
  <c r="N10937" i="17"/>
  <c r="N10936" i="17"/>
  <c r="N10935" i="17"/>
  <c r="N10934" i="17"/>
  <c r="N10933" i="17"/>
  <c r="N10932" i="17"/>
  <c r="N10931" i="17"/>
  <c r="N10930" i="17"/>
  <c r="N10929" i="17"/>
  <c r="N10928" i="17"/>
  <c r="N10927" i="17"/>
  <c r="N10926" i="17"/>
  <c r="N10925" i="17"/>
  <c r="N10924" i="17"/>
  <c r="N10923" i="17"/>
  <c r="N10922" i="17"/>
  <c r="N10921" i="17"/>
  <c r="N10920" i="17"/>
  <c r="N10919" i="17"/>
  <c r="N10918" i="17"/>
  <c r="N10917" i="17"/>
  <c r="N10916" i="17"/>
  <c r="N10915" i="17"/>
  <c r="N10914" i="17"/>
  <c r="N10913" i="17"/>
  <c r="N10912" i="17"/>
  <c r="N10911" i="17"/>
  <c r="N10910" i="17"/>
  <c r="N10909" i="17"/>
  <c r="N10908" i="17"/>
  <c r="N10907" i="17"/>
  <c r="N10906" i="17"/>
  <c r="N10905" i="17"/>
  <c r="N10904" i="17"/>
  <c r="N10903" i="17"/>
  <c r="N10902" i="17"/>
  <c r="N10901" i="17"/>
  <c r="N10900" i="17"/>
  <c r="N10899" i="17"/>
  <c r="N10898" i="17"/>
  <c r="N10897" i="17"/>
  <c r="N10896" i="17"/>
  <c r="N10895" i="17"/>
  <c r="N10894" i="17"/>
  <c r="N10893" i="17"/>
  <c r="N10892" i="17"/>
  <c r="N10891" i="17"/>
  <c r="N10890" i="17"/>
  <c r="N10889" i="17"/>
  <c r="N10888" i="17"/>
  <c r="N10887" i="17"/>
  <c r="N10886" i="17"/>
  <c r="N10885" i="17"/>
  <c r="N10884" i="17"/>
  <c r="N10883" i="17"/>
  <c r="N10882" i="17"/>
  <c r="N10881" i="17"/>
  <c r="N10880" i="17"/>
  <c r="N10879" i="17"/>
  <c r="N10878" i="17"/>
  <c r="N10877" i="17"/>
  <c r="N10876" i="17"/>
  <c r="N10875" i="17"/>
  <c r="N10874" i="17"/>
  <c r="N10873" i="17"/>
  <c r="N10872" i="17"/>
  <c r="N10871" i="17"/>
  <c r="N10870" i="17"/>
  <c r="N10869" i="17"/>
  <c r="N10868" i="17"/>
  <c r="N10867" i="17"/>
  <c r="N10866" i="17"/>
  <c r="N10865" i="17"/>
  <c r="N10864" i="17"/>
  <c r="N10863" i="17"/>
  <c r="N10862" i="17"/>
  <c r="N10861" i="17"/>
  <c r="N10860" i="17"/>
  <c r="N10859" i="17"/>
  <c r="N10858" i="17"/>
  <c r="N10857" i="17"/>
  <c r="N10856" i="17"/>
  <c r="N10855" i="17"/>
  <c r="N10854" i="17"/>
  <c r="N10853" i="17"/>
  <c r="N10852" i="17"/>
  <c r="N10851" i="17"/>
  <c r="N10850" i="17"/>
  <c r="N10849" i="17"/>
  <c r="N10848" i="17"/>
  <c r="N10847" i="17"/>
  <c r="N10846" i="17"/>
  <c r="N10845" i="17"/>
  <c r="N10844" i="17"/>
  <c r="N10843" i="17"/>
  <c r="N10842" i="17"/>
  <c r="N10841" i="17"/>
  <c r="N10840" i="17"/>
  <c r="N10839" i="17"/>
  <c r="N10838" i="17"/>
  <c r="N10837" i="17"/>
  <c r="N10836" i="17"/>
  <c r="N10835" i="17"/>
  <c r="N10834" i="17"/>
  <c r="N10833" i="17"/>
  <c r="N10832" i="17"/>
  <c r="N10831" i="17"/>
  <c r="N10830" i="17"/>
  <c r="N10829" i="17"/>
  <c r="N10828" i="17"/>
  <c r="N10827" i="17"/>
  <c r="N10826" i="17"/>
  <c r="N10825" i="17"/>
  <c r="N10824" i="17"/>
  <c r="N10823" i="17"/>
  <c r="N10822" i="17"/>
  <c r="N10821" i="17"/>
  <c r="N10820" i="17"/>
  <c r="N10819" i="17"/>
  <c r="N10818" i="17"/>
  <c r="N10817" i="17"/>
  <c r="N10816" i="17"/>
  <c r="N10815" i="17"/>
  <c r="N10814" i="17"/>
  <c r="N10813" i="17"/>
  <c r="N10812" i="17"/>
  <c r="N10811" i="17"/>
  <c r="N10810" i="17"/>
  <c r="N10809" i="17"/>
  <c r="N10808" i="17"/>
  <c r="N10807" i="17"/>
  <c r="N10806" i="17"/>
  <c r="N10805" i="17"/>
  <c r="N10804" i="17"/>
  <c r="N10803" i="17"/>
  <c r="N10802" i="17"/>
  <c r="N10801" i="17"/>
  <c r="N10800" i="17"/>
  <c r="N10799" i="17"/>
  <c r="N10798" i="17"/>
  <c r="N10797" i="17"/>
  <c r="N10796" i="17"/>
  <c r="N10795" i="17"/>
  <c r="N10794" i="17"/>
  <c r="N10793" i="17"/>
  <c r="N10792" i="17"/>
  <c r="N10791" i="17"/>
  <c r="N10790" i="17"/>
  <c r="N10789" i="17"/>
  <c r="N10788" i="17"/>
  <c r="N10787" i="17"/>
  <c r="N10786" i="17"/>
  <c r="N10785" i="17"/>
  <c r="N10784" i="17"/>
  <c r="N10783" i="17"/>
  <c r="N10782" i="17"/>
  <c r="N10781" i="17"/>
  <c r="N10780" i="17"/>
  <c r="N10779" i="17"/>
  <c r="N10778" i="17"/>
  <c r="N10777" i="17"/>
  <c r="N10776" i="17"/>
  <c r="N10775" i="17"/>
  <c r="N10774" i="17"/>
  <c r="N10773" i="17"/>
  <c r="N10772" i="17"/>
  <c r="N10771" i="17"/>
  <c r="N10770" i="17"/>
  <c r="N10769" i="17"/>
  <c r="N10768" i="17"/>
  <c r="N10767" i="17"/>
  <c r="N10766" i="17"/>
  <c r="N10765" i="17"/>
  <c r="N10764" i="17"/>
  <c r="N10763" i="17"/>
  <c r="N10762" i="17"/>
  <c r="N10761" i="17"/>
  <c r="N10760" i="17"/>
  <c r="N10759" i="17"/>
  <c r="N10758" i="17"/>
  <c r="N10757" i="17"/>
  <c r="N10756" i="17"/>
  <c r="N10755" i="17"/>
  <c r="N10754" i="17"/>
  <c r="N10753" i="17"/>
  <c r="N10752" i="17"/>
  <c r="N10751" i="17"/>
  <c r="N10750" i="17"/>
  <c r="N10749" i="17"/>
  <c r="N10748" i="17"/>
  <c r="N10747" i="17"/>
  <c r="N10746" i="17"/>
  <c r="N10745" i="17"/>
  <c r="N10744" i="17"/>
  <c r="N10743" i="17"/>
  <c r="N10742" i="17"/>
  <c r="N10741" i="17"/>
  <c r="N10740" i="17"/>
  <c r="N10739" i="17"/>
  <c r="N10738" i="17"/>
  <c r="N10737" i="17"/>
  <c r="N10736" i="17"/>
  <c r="N10735" i="17"/>
  <c r="N10734" i="17"/>
  <c r="N10733" i="17"/>
  <c r="N10732" i="17"/>
  <c r="N10731" i="17"/>
  <c r="N10730" i="17"/>
  <c r="N10729" i="17"/>
  <c r="N10728" i="17"/>
  <c r="N10727" i="17"/>
  <c r="N10726" i="17"/>
  <c r="N10725" i="17"/>
  <c r="N10724" i="17"/>
  <c r="N10723" i="17"/>
  <c r="N10722" i="17"/>
  <c r="N10721" i="17"/>
  <c r="N10720" i="17"/>
  <c r="N10719" i="17"/>
  <c r="N10718" i="17"/>
  <c r="N10717" i="17"/>
  <c r="N10716" i="17"/>
  <c r="N10715" i="17"/>
  <c r="N10714" i="17"/>
  <c r="N10713" i="17"/>
  <c r="N10712" i="17"/>
  <c r="N10711" i="17"/>
  <c r="N10710" i="17"/>
  <c r="N10709" i="17"/>
  <c r="N10708" i="17"/>
  <c r="N10707" i="17"/>
  <c r="N10706" i="17"/>
  <c r="N10705" i="17"/>
  <c r="N10704" i="17"/>
  <c r="N10703" i="17"/>
  <c r="N10702" i="17"/>
  <c r="N10701" i="17"/>
  <c r="N10700" i="17"/>
  <c r="N10699" i="17"/>
  <c r="N10698" i="17"/>
  <c r="N10697" i="17"/>
  <c r="N10696" i="17"/>
  <c r="N10695" i="17"/>
  <c r="N10694" i="17"/>
  <c r="N10693" i="17"/>
  <c r="N10692" i="17"/>
  <c r="N10691" i="17"/>
  <c r="N10690" i="17"/>
  <c r="N10689" i="17"/>
  <c r="N10688" i="17"/>
  <c r="N10687" i="17"/>
  <c r="N10686" i="17"/>
  <c r="N10685" i="17"/>
  <c r="N10684" i="17"/>
  <c r="N10683" i="17"/>
  <c r="N10682" i="17"/>
  <c r="N10681" i="17"/>
  <c r="N10680" i="17"/>
  <c r="N10679" i="17"/>
  <c r="N10678" i="17"/>
  <c r="N10677" i="17"/>
  <c r="N10676" i="17"/>
  <c r="N10675" i="17"/>
  <c r="N10674" i="17"/>
  <c r="N10673" i="17"/>
  <c r="N10672" i="17"/>
  <c r="N10671" i="17"/>
  <c r="N10670" i="17"/>
  <c r="N10669" i="17"/>
  <c r="N10668" i="17"/>
  <c r="N10667" i="17"/>
  <c r="N10666" i="17"/>
  <c r="N10665" i="17"/>
  <c r="N10664" i="17"/>
  <c r="N10663" i="17"/>
  <c r="N10662" i="17"/>
  <c r="N10661" i="17"/>
  <c r="N10660" i="17"/>
  <c r="N10659" i="17"/>
  <c r="N10658" i="17"/>
  <c r="N10657" i="17"/>
  <c r="N10656" i="17"/>
  <c r="N10655" i="17"/>
  <c r="N10654" i="17"/>
  <c r="N10653" i="17"/>
  <c r="N10652" i="17"/>
  <c r="N10651" i="17"/>
  <c r="N10650" i="17"/>
  <c r="N10649" i="17"/>
  <c r="N10648" i="17"/>
  <c r="N10647" i="17"/>
  <c r="N10646" i="17"/>
  <c r="N10645" i="17"/>
  <c r="N10644" i="17"/>
  <c r="N10643" i="17"/>
  <c r="N10642" i="17"/>
  <c r="N10641" i="17"/>
  <c r="N10640" i="17"/>
  <c r="N10639" i="17"/>
  <c r="N10638" i="17"/>
  <c r="N10637" i="17"/>
  <c r="N10636" i="17"/>
  <c r="N10635" i="17"/>
  <c r="N10634" i="17"/>
  <c r="N10633" i="17"/>
  <c r="N10632" i="17"/>
  <c r="N10631" i="17"/>
  <c r="N10630" i="17"/>
  <c r="N10629" i="17"/>
  <c r="N10628" i="17"/>
  <c r="N10627" i="17"/>
  <c r="N10626" i="17"/>
  <c r="N10625" i="17"/>
  <c r="N10624" i="17"/>
  <c r="N10623" i="17"/>
  <c r="N10622" i="17"/>
  <c r="N10621" i="17"/>
  <c r="N10620" i="17"/>
  <c r="N10619" i="17"/>
  <c r="N10618" i="17"/>
  <c r="N10617" i="17"/>
  <c r="N10616" i="17"/>
  <c r="N10615" i="17"/>
  <c r="N10614" i="17"/>
  <c r="N10613" i="17"/>
  <c r="N10612" i="17"/>
  <c r="N10611" i="17"/>
  <c r="N10610" i="17"/>
  <c r="N10609" i="17"/>
  <c r="N10608" i="17"/>
  <c r="N10607" i="17"/>
  <c r="N10606" i="17"/>
  <c r="N10605" i="17"/>
  <c r="N10604" i="17"/>
  <c r="N10603" i="17"/>
  <c r="N10602" i="17"/>
  <c r="N10601" i="17"/>
  <c r="N10600" i="17"/>
  <c r="N10599" i="17"/>
  <c r="N10598" i="17"/>
  <c r="N10597" i="17"/>
  <c r="N10596" i="17"/>
  <c r="N10595" i="17"/>
  <c r="N10594" i="17"/>
  <c r="N10593" i="17"/>
  <c r="N10592" i="17"/>
  <c r="N10591" i="17"/>
  <c r="N10590" i="17"/>
  <c r="N10589" i="17"/>
  <c r="N10588" i="17"/>
  <c r="N10587" i="17"/>
  <c r="N10586" i="17"/>
  <c r="N10585" i="17"/>
  <c r="N10584" i="17"/>
  <c r="N10583" i="17"/>
  <c r="N10582" i="17"/>
  <c r="N10581" i="17"/>
  <c r="N10580" i="17"/>
  <c r="N10579" i="17"/>
  <c r="N10578" i="17"/>
  <c r="N10577" i="17"/>
  <c r="N10576" i="17"/>
  <c r="N10575" i="17"/>
  <c r="N10574" i="17"/>
  <c r="N10573" i="17"/>
  <c r="N10572" i="17"/>
  <c r="N10571" i="17"/>
  <c r="N10570" i="17"/>
  <c r="N10569" i="17"/>
  <c r="N10568" i="17"/>
  <c r="N10567" i="17"/>
  <c r="N10566" i="17"/>
  <c r="N10565" i="17"/>
  <c r="N10564" i="17"/>
  <c r="N10563" i="17"/>
  <c r="N10562" i="17"/>
  <c r="N10561" i="17"/>
  <c r="N10560" i="17"/>
  <c r="N10559" i="17"/>
  <c r="N10558" i="17"/>
  <c r="N10557" i="17"/>
  <c r="N10556" i="17"/>
  <c r="N10555" i="17"/>
  <c r="N10554" i="17"/>
  <c r="N10553" i="17"/>
  <c r="N10552" i="17"/>
  <c r="N10551" i="17"/>
  <c r="N10550" i="17"/>
  <c r="N10549" i="17"/>
  <c r="N10548" i="17"/>
  <c r="N10547" i="17"/>
  <c r="N10546" i="17"/>
  <c r="N10545" i="17"/>
  <c r="N10544" i="17"/>
  <c r="N10543" i="17"/>
  <c r="N10542" i="17"/>
  <c r="N10541" i="17"/>
  <c r="N10540" i="17"/>
  <c r="N10539" i="17"/>
  <c r="N10538" i="17"/>
  <c r="N10537" i="17"/>
  <c r="N10536" i="17"/>
  <c r="N10535" i="17"/>
  <c r="N10534" i="17"/>
  <c r="N10533" i="17"/>
  <c r="N10532" i="17"/>
  <c r="N10531" i="17"/>
  <c r="N10530" i="17"/>
  <c r="N10529" i="17"/>
  <c r="N10528" i="17"/>
  <c r="N10527" i="17"/>
  <c r="N10526" i="17"/>
  <c r="N10525" i="17"/>
  <c r="N10524" i="17"/>
  <c r="N10523" i="17"/>
  <c r="N10522" i="17"/>
  <c r="N10521" i="17"/>
  <c r="N10520" i="17"/>
  <c r="N10519" i="17"/>
  <c r="N10518" i="17"/>
  <c r="N10517" i="17"/>
  <c r="N10516" i="17"/>
  <c r="N10515" i="17"/>
  <c r="N10514" i="17"/>
  <c r="N10513" i="17"/>
  <c r="N10512" i="17"/>
  <c r="N10511" i="17"/>
  <c r="N10510" i="17"/>
  <c r="N10509" i="17"/>
  <c r="N10508" i="17"/>
  <c r="N10507" i="17"/>
  <c r="N10506" i="17"/>
  <c r="N10505" i="17"/>
  <c r="N10504" i="17"/>
  <c r="N10503" i="17"/>
  <c r="N10502" i="17"/>
  <c r="N10501" i="17"/>
  <c r="N10500" i="17"/>
  <c r="N10499" i="17"/>
  <c r="N10498" i="17"/>
  <c r="N10497" i="17"/>
  <c r="N10496" i="17"/>
  <c r="N10495" i="17"/>
  <c r="N10494" i="17"/>
  <c r="N10493" i="17"/>
  <c r="N10492" i="17"/>
  <c r="N10491" i="17"/>
  <c r="N10490" i="17"/>
  <c r="N10489" i="17"/>
  <c r="N10488" i="17"/>
  <c r="N10487" i="17"/>
  <c r="N10486" i="17"/>
  <c r="N10485" i="17"/>
  <c r="N10484" i="17"/>
  <c r="N10483" i="17"/>
  <c r="N10482" i="17"/>
  <c r="N10481" i="17"/>
  <c r="N10480" i="17"/>
  <c r="N10479" i="17"/>
  <c r="N10478" i="17"/>
  <c r="N10477" i="17"/>
  <c r="N10476" i="17"/>
  <c r="N10475" i="17"/>
  <c r="N10474" i="17"/>
  <c r="N10473" i="17"/>
  <c r="N10472" i="17"/>
  <c r="N10471" i="17"/>
  <c r="N10470" i="17"/>
  <c r="N10469" i="17"/>
  <c r="N10468" i="17"/>
  <c r="N10467" i="17"/>
  <c r="N10466" i="17"/>
  <c r="N10465" i="17"/>
  <c r="N10464" i="17"/>
  <c r="N10463" i="17"/>
  <c r="N10462" i="17"/>
  <c r="N10461" i="17"/>
  <c r="N10460" i="17"/>
  <c r="N10459" i="17"/>
  <c r="N10458" i="17"/>
  <c r="N10457" i="17"/>
  <c r="N10456" i="17"/>
  <c r="N10455" i="17"/>
  <c r="N10454" i="17"/>
  <c r="N10453" i="17"/>
  <c r="N10452" i="17"/>
  <c r="N10451" i="17"/>
  <c r="N10450" i="17"/>
  <c r="N10449" i="17"/>
  <c r="N10448" i="17"/>
  <c r="N10447" i="17"/>
  <c r="N10446" i="17"/>
  <c r="N10445" i="17"/>
  <c r="N10444" i="17"/>
  <c r="N10443" i="17"/>
  <c r="N10442" i="17"/>
  <c r="N10441" i="17"/>
  <c r="N10440" i="17"/>
  <c r="N10439" i="17"/>
  <c r="N10438" i="17"/>
  <c r="N10437" i="17"/>
  <c r="N10436" i="17"/>
  <c r="N10435" i="17"/>
  <c r="N10434" i="17"/>
  <c r="N10433" i="17"/>
  <c r="N10432" i="17"/>
  <c r="N10431" i="17"/>
  <c r="N10430" i="17"/>
  <c r="N10429" i="17"/>
  <c r="N10428" i="17"/>
  <c r="N10427" i="17"/>
  <c r="N10426" i="17"/>
  <c r="N10425" i="17"/>
  <c r="N10424" i="17"/>
  <c r="N10423" i="17"/>
  <c r="N10422" i="17"/>
  <c r="N10421" i="17"/>
  <c r="N10420" i="17"/>
  <c r="N10419" i="17"/>
  <c r="N10418" i="17"/>
  <c r="N10417" i="17"/>
  <c r="N10416" i="17"/>
  <c r="N10415" i="17"/>
  <c r="N10414" i="17"/>
  <c r="N10413" i="17"/>
  <c r="N10412" i="17"/>
  <c r="N10411" i="17"/>
  <c r="N10410" i="17"/>
  <c r="N10409" i="17"/>
  <c r="N10408" i="17"/>
  <c r="N10407" i="17"/>
  <c r="N10406" i="17"/>
  <c r="N10405" i="17"/>
  <c r="N10404" i="17"/>
  <c r="N10403" i="17"/>
  <c r="N10402" i="17"/>
  <c r="N10401" i="17"/>
  <c r="N10400" i="17"/>
  <c r="N10399" i="17"/>
  <c r="N10398" i="17"/>
  <c r="N10397" i="17"/>
  <c r="N10396" i="17"/>
  <c r="N10395" i="17"/>
  <c r="N10394" i="17"/>
  <c r="N10393" i="17"/>
  <c r="N10392" i="17"/>
  <c r="N10391" i="17"/>
  <c r="N10390" i="17"/>
  <c r="N10389" i="17"/>
  <c r="N10388" i="17"/>
  <c r="N10387" i="17"/>
  <c r="N10386" i="17"/>
  <c r="N10385" i="17"/>
  <c r="N10384" i="17"/>
  <c r="N10383" i="17"/>
  <c r="N10382" i="17"/>
  <c r="N10381" i="17"/>
  <c r="N10380" i="17"/>
  <c r="N10379" i="17"/>
  <c r="N10378" i="17"/>
  <c r="N10377" i="17"/>
  <c r="N10376" i="17"/>
  <c r="N10375" i="17"/>
  <c r="N10374" i="17"/>
  <c r="N10373" i="17"/>
  <c r="N10372" i="17"/>
  <c r="N10371" i="17"/>
  <c r="N10370" i="17"/>
  <c r="N10369" i="17"/>
  <c r="N10368" i="17"/>
  <c r="N10367" i="17"/>
  <c r="N10366" i="17"/>
  <c r="N10365" i="17"/>
  <c r="N10364" i="17"/>
  <c r="N10363" i="17"/>
  <c r="N10362" i="17"/>
  <c r="N10361" i="17"/>
  <c r="N10360" i="17"/>
  <c r="N10359" i="17"/>
  <c r="N10358" i="17"/>
  <c r="N10357" i="17"/>
  <c r="N10356" i="17"/>
  <c r="N10355" i="17"/>
  <c r="N10354" i="17"/>
  <c r="N10353" i="17"/>
  <c r="N10352" i="17"/>
  <c r="N10351" i="17"/>
  <c r="N10350" i="17"/>
  <c r="N10349" i="17"/>
  <c r="N10348" i="17"/>
  <c r="N10347" i="17"/>
  <c r="N10346" i="17"/>
  <c r="N10345" i="17"/>
  <c r="N10344" i="17"/>
  <c r="N10343" i="17"/>
  <c r="N10342" i="17"/>
  <c r="N10341" i="17"/>
  <c r="N10340" i="17"/>
  <c r="N10339" i="17"/>
  <c r="N10338" i="17"/>
  <c r="N10337" i="17"/>
  <c r="N10336" i="17"/>
  <c r="N10335" i="17"/>
  <c r="N10334" i="17"/>
  <c r="N10333" i="17"/>
  <c r="N10332" i="17"/>
  <c r="N10331" i="17"/>
  <c r="N10330" i="17"/>
  <c r="N10329" i="17"/>
  <c r="N10328" i="17"/>
  <c r="N10327" i="17"/>
  <c r="N10326" i="17"/>
  <c r="N10325" i="17"/>
  <c r="N10324" i="17"/>
  <c r="N10323" i="17"/>
  <c r="N10322" i="17"/>
  <c r="N10321" i="17"/>
  <c r="N10320" i="17"/>
  <c r="N10319" i="17"/>
  <c r="N10318" i="17"/>
  <c r="N10317" i="17"/>
  <c r="N10316" i="17"/>
  <c r="N10315" i="17"/>
  <c r="N10314" i="17"/>
  <c r="N10313" i="17"/>
  <c r="N10312" i="17"/>
  <c r="N10311" i="17"/>
  <c r="N10310" i="17"/>
  <c r="N10309" i="17"/>
  <c r="N10308" i="17"/>
  <c r="N10307" i="17"/>
  <c r="N10306" i="17"/>
  <c r="N10305" i="17"/>
  <c r="N10304" i="17"/>
  <c r="N10303" i="17"/>
  <c r="N10302" i="17"/>
  <c r="N10301" i="17"/>
  <c r="N10300" i="17"/>
  <c r="N10299" i="17"/>
  <c r="N10298" i="17"/>
  <c r="N10297" i="17"/>
  <c r="N10296" i="17"/>
  <c r="N10295" i="17"/>
  <c r="N10294" i="17"/>
  <c r="N10293" i="17"/>
  <c r="N10292" i="17"/>
  <c r="N10291" i="17"/>
  <c r="N10290" i="17"/>
  <c r="N10289" i="17"/>
  <c r="N10288" i="17"/>
  <c r="N10287" i="17"/>
  <c r="N10286" i="17"/>
  <c r="N10285" i="17"/>
  <c r="N10284" i="17"/>
  <c r="N10283" i="17"/>
  <c r="N10282" i="17"/>
  <c r="N10281" i="17"/>
  <c r="N10280" i="17"/>
  <c r="N10279" i="17"/>
  <c r="N10278" i="17"/>
  <c r="N10277" i="17"/>
  <c r="N10276" i="17"/>
  <c r="N10275" i="17"/>
  <c r="N10274" i="17"/>
  <c r="N10273" i="17"/>
  <c r="N10272" i="17"/>
  <c r="N10271" i="17"/>
  <c r="N10270" i="17"/>
  <c r="N10269" i="17"/>
  <c r="N10268" i="17"/>
  <c r="N10267" i="17"/>
  <c r="N10266" i="17"/>
  <c r="N10265" i="17"/>
  <c r="N10264" i="17"/>
  <c r="N10263" i="17"/>
  <c r="N10262" i="17"/>
  <c r="N10261" i="17"/>
  <c r="N10260" i="17"/>
  <c r="N10259" i="17"/>
  <c r="N10258" i="17"/>
  <c r="N10257" i="17"/>
  <c r="N10256" i="17"/>
  <c r="N10255" i="17"/>
  <c r="N10254" i="17"/>
  <c r="N10253" i="17"/>
  <c r="N10252" i="17"/>
  <c r="N10251" i="17"/>
  <c r="N10250" i="17"/>
  <c r="N10249" i="17"/>
  <c r="N10248" i="17"/>
  <c r="N10247" i="17"/>
  <c r="N10246" i="17"/>
  <c r="N10245" i="17"/>
  <c r="N10244" i="17"/>
  <c r="N10243" i="17"/>
  <c r="N10242" i="17"/>
  <c r="N10241" i="17"/>
  <c r="N10240" i="17"/>
  <c r="N10239" i="17"/>
  <c r="N10238" i="17"/>
  <c r="N10237" i="17"/>
  <c r="N10236" i="17"/>
  <c r="N10235" i="17"/>
  <c r="N10234" i="17"/>
  <c r="N10233" i="17"/>
  <c r="N10232" i="17"/>
  <c r="N10231" i="17"/>
  <c r="N10230" i="17"/>
  <c r="N10229" i="17"/>
  <c r="N10228" i="17"/>
  <c r="N10227" i="17"/>
  <c r="N10226" i="17"/>
  <c r="N10225" i="17"/>
  <c r="N10224" i="17"/>
  <c r="N10223" i="17"/>
  <c r="N10222" i="17"/>
  <c r="N10221" i="17"/>
  <c r="N10220" i="17"/>
  <c r="N10219" i="17"/>
  <c r="N10218" i="17"/>
  <c r="N10217" i="17"/>
  <c r="N10216" i="17"/>
  <c r="N10215" i="17"/>
  <c r="N10214" i="17"/>
  <c r="N10213" i="17"/>
  <c r="N10212" i="17"/>
  <c r="N10211" i="17"/>
  <c r="N10210" i="17"/>
  <c r="N10209" i="17"/>
  <c r="N10208" i="17"/>
  <c r="N10207" i="17"/>
  <c r="N10206" i="17"/>
  <c r="N10205" i="17"/>
  <c r="N10204" i="17"/>
  <c r="N10203" i="17"/>
  <c r="N10202" i="17"/>
  <c r="N10201" i="17"/>
  <c r="N10200" i="17"/>
  <c r="N10199" i="17"/>
  <c r="N10198" i="17"/>
  <c r="N10197" i="17"/>
  <c r="N10196" i="17"/>
  <c r="N10195" i="17"/>
  <c r="N10194" i="17"/>
  <c r="N10193" i="17"/>
  <c r="N10192" i="17"/>
  <c r="N10191" i="17"/>
  <c r="N10190" i="17"/>
  <c r="N10189" i="17"/>
  <c r="N10188" i="17"/>
  <c r="N10187" i="17"/>
  <c r="N10186" i="17"/>
  <c r="N10185" i="17"/>
  <c r="N10184" i="17"/>
  <c r="N10183" i="17"/>
  <c r="N10182" i="17"/>
  <c r="N10181" i="17"/>
  <c r="N10180" i="17"/>
  <c r="N10179" i="17"/>
  <c r="N10178" i="17"/>
  <c r="N10177" i="17"/>
  <c r="N10176" i="17"/>
  <c r="N10175" i="17"/>
  <c r="N10174" i="17"/>
  <c r="N10173" i="17"/>
  <c r="N10172" i="17"/>
  <c r="N10171" i="17"/>
  <c r="N10170" i="17"/>
  <c r="N10169" i="17"/>
  <c r="N10168" i="17"/>
  <c r="N10167" i="17"/>
  <c r="N10166" i="17"/>
  <c r="N10165" i="17"/>
  <c r="N10164" i="17"/>
  <c r="N10163" i="17"/>
  <c r="N10162" i="17"/>
  <c r="N10161" i="17"/>
  <c r="N10160" i="17"/>
  <c r="N10159" i="17"/>
  <c r="N10158" i="17"/>
  <c r="N10157" i="17"/>
  <c r="N10156" i="17"/>
  <c r="N10155" i="17"/>
  <c r="N10154" i="17"/>
  <c r="N10153" i="17"/>
  <c r="N10152" i="17"/>
  <c r="N10151" i="17"/>
  <c r="N10150" i="17"/>
  <c r="N10149" i="17"/>
  <c r="N10148" i="17"/>
  <c r="N10147" i="17"/>
  <c r="N10146" i="17"/>
  <c r="N10145" i="17"/>
  <c r="N10144" i="17"/>
  <c r="N10143" i="17"/>
  <c r="N10142" i="17"/>
  <c r="N10141" i="17"/>
  <c r="N10140" i="17"/>
  <c r="N10139" i="17"/>
  <c r="N10138" i="17"/>
  <c r="N10137" i="17"/>
  <c r="N10136" i="17"/>
  <c r="N10135" i="17"/>
  <c r="N10134" i="17"/>
  <c r="N10133" i="17"/>
  <c r="N10132" i="17"/>
  <c r="N10131" i="17"/>
  <c r="N10130" i="17"/>
  <c r="N10129" i="17"/>
  <c r="N10128" i="17"/>
  <c r="N10127" i="17"/>
  <c r="N10126" i="17"/>
  <c r="N10125" i="17"/>
  <c r="N10124" i="17"/>
  <c r="N10123" i="17"/>
  <c r="N10122" i="17"/>
  <c r="N10121" i="17"/>
  <c r="N10120" i="17"/>
  <c r="N10119" i="17"/>
  <c r="N10118" i="17"/>
  <c r="N10117" i="17"/>
  <c r="N10116" i="17"/>
  <c r="N10115" i="17"/>
  <c r="N10114" i="17"/>
  <c r="N10113" i="17"/>
  <c r="N10112" i="17"/>
  <c r="N10111" i="17"/>
  <c r="N10110" i="17"/>
  <c r="N10109" i="17"/>
  <c r="N10108" i="17"/>
  <c r="N10107" i="17"/>
  <c r="N10106" i="17"/>
  <c r="N10105" i="17"/>
  <c r="N10104" i="17"/>
  <c r="N10103" i="17"/>
  <c r="N10102" i="17"/>
  <c r="N10101" i="17"/>
  <c r="N10100" i="17"/>
  <c r="N10099" i="17"/>
  <c r="N10098" i="17"/>
  <c r="N10097" i="17"/>
  <c r="N10096" i="17"/>
  <c r="N10095" i="17"/>
  <c r="N10094" i="17"/>
  <c r="N10093" i="17"/>
  <c r="N10092" i="17"/>
  <c r="N10091" i="17"/>
  <c r="N10090" i="17"/>
  <c r="N10089" i="17"/>
  <c r="N10088" i="17"/>
  <c r="N10087" i="17"/>
  <c r="N10086" i="17"/>
  <c r="N10085" i="17"/>
  <c r="N10084" i="17"/>
  <c r="N10083" i="17"/>
  <c r="N10082" i="17"/>
  <c r="N10081" i="17"/>
  <c r="N10080" i="17"/>
  <c r="N10079" i="17"/>
  <c r="N10078" i="17"/>
  <c r="N10077" i="17"/>
  <c r="N10076" i="17"/>
  <c r="N10075" i="17"/>
  <c r="N10074" i="17"/>
  <c r="N10073" i="17"/>
  <c r="N10072" i="17"/>
  <c r="N10071" i="17"/>
  <c r="N10070" i="17"/>
  <c r="N10069" i="17"/>
  <c r="N10068" i="17"/>
  <c r="N10067" i="17"/>
  <c r="N10066" i="17"/>
  <c r="N10065" i="17"/>
  <c r="N10064" i="17"/>
  <c r="N10063" i="17"/>
  <c r="N10062" i="17"/>
  <c r="N10061" i="17"/>
  <c r="N10060" i="17"/>
  <c r="N10059" i="17"/>
  <c r="N10058" i="17"/>
  <c r="N10057" i="17"/>
  <c r="N10056" i="17"/>
  <c r="N10055" i="17"/>
  <c r="N10054" i="17"/>
  <c r="N10053" i="17"/>
  <c r="N10052" i="17"/>
  <c r="N10051" i="17"/>
  <c r="N10050" i="17"/>
  <c r="N10049" i="17"/>
  <c r="N10048" i="17"/>
  <c r="N10047" i="17"/>
  <c r="N10046" i="17"/>
  <c r="N10045" i="17"/>
  <c r="N10044" i="17"/>
  <c r="N10043" i="17"/>
  <c r="N10042" i="17"/>
  <c r="N10041" i="17"/>
  <c r="N10040" i="17"/>
  <c r="N10039" i="17"/>
  <c r="N10038" i="17"/>
  <c r="N10037" i="17"/>
  <c r="N10036" i="17"/>
  <c r="N10035" i="17"/>
  <c r="N10034" i="17"/>
  <c r="N10033" i="17"/>
  <c r="N10032" i="17"/>
  <c r="N10031" i="17"/>
  <c r="N10030" i="17"/>
  <c r="N10029" i="17"/>
  <c r="N10028" i="17"/>
  <c r="N10027" i="17"/>
  <c r="N10026" i="17"/>
  <c r="N10025" i="17"/>
  <c r="N10024" i="17"/>
  <c r="N10023" i="17"/>
  <c r="N10022" i="17"/>
  <c r="N10021" i="17"/>
  <c r="N10020" i="17"/>
  <c r="N10019" i="17"/>
  <c r="N10018" i="17"/>
  <c r="N10017" i="17"/>
  <c r="N10016" i="17"/>
  <c r="N10015" i="17"/>
  <c r="N10014" i="17"/>
  <c r="N10013" i="17"/>
  <c r="N10012" i="17"/>
  <c r="N10011" i="17"/>
  <c r="N10010" i="17"/>
  <c r="N10009" i="17"/>
  <c r="N10008" i="17"/>
  <c r="N10007" i="17"/>
  <c r="N10006" i="17"/>
  <c r="N10005" i="17"/>
  <c r="N10004" i="17"/>
  <c r="N10003" i="17"/>
  <c r="N10002" i="17"/>
  <c r="N10001" i="17"/>
  <c r="N10000" i="17"/>
  <c r="N9999" i="17"/>
  <c r="N9998" i="17"/>
  <c r="N9997" i="17"/>
  <c r="N9996" i="17"/>
  <c r="N9995" i="17"/>
  <c r="N9994" i="17"/>
  <c r="N9993" i="17"/>
  <c r="N9992" i="17"/>
  <c r="N9991" i="17"/>
  <c r="N9990" i="17"/>
  <c r="N9989" i="17"/>
  <c r="N9988" i="17"/>
  <c r="N9987" i="17"/>
  <c r="N9986" i="17"/>
  <c r="N9985" i="17"/>
  <c r="N9984" i="17"/>
  <c r="N9983" i="17"/>
  <c r="N9982" i="17"/>
  <c r="N9981" i="17"/>
  <c r="N9980" i="17"/>
  <c r="N9979" i="17"/>
  <c r="N9978" i="17"/>
  <c r="N9977" i="17"/>
  <c r="N9976" i="17"/>
  <c r="N9975" i="17"/>
  <c r="N9974" i="17"/>
  <c r="N9973" i="17"/>
  <c r="N9972" i="17"/>
  <c r="N9971" i="17"/>
  <c r="N9970" i="17"/>
  <c r="N9969" i="17"/>
  <c r="N9968" i="17"/>
  <c r="N9967" i="17"/>
  <c r="N9966" i="17"/>
  <c r="N9965" i="17"/>
  <c r="N9964" i="17"/>
  <c r="N9963" i="17"/>
  <c r="N9962" i="17"/>
  <c r="N9961" i="17"/>
  <c r="N9960" i="17"/>
  <c r="N9959" i="17"/>
  <c r="N9958" i="17"/>
  <c r="N9957" i="17"/>
  <c r="N9956" i="17"/>
  <c r="N9955" i="17"/>
  <c r="N9954" i="17"/>
  <c r="N9953" i="17"/>
  <c r="N9952" i="17"/>
  <c r="N9951" i="17"/>
  <c r="N9950" i="17"/>
  <c r="N9949" i="17"/>
  <c r="N9948" i="17"/>
  <c r="N9947" i="17"/>
  <c r="N9946" i="17"/>
  <c r="N9945" i="17"/>
  <c r="N9944" i="17"/>
  <c r="N9943" i="17"/>
  <c r="N9942" i="17"/>
  <c r="N9941" i="17"/>
  <c r="N9940" i="17"/>
  <c r="N9939" i="17"/>
  <c r="N9938" i="17"/>
  <c r="N9937" i="17"/>
  <c r="N9936" i="17"/>
  <c r="N9935" i="17"/>
  <c r="N9934" i="17"/>
  <c r="N9933" i="17"/>
  <c r="N9932" i="17"/>
  <c r="N9931" i="17"/>
  <c r="N9930" i="17"/>
  <c r="N9929" i="17"/>
  <c r="N9928" i="17"/>
  <c r="N9927" i="17"/>
  <c r="N9926" i="17"/>
  <c r="N9925" i="17"/>
  <c r="N9924" i="17"/>
  <c r="N9923" i="17"/>
  <c r="N9922" i="17"/>
  <c r="N9921" i="17"/>
  <c r="N9920" i="17"/>
  <c r="N9919" i="17"/>
  <c r="N9918" i="17"/>
  <c r="N9917" i="17"/>
  <c r="N9916" i="17"/>
  <c r="N9915" i="17"/>
  <c r="N9914" i="17"/>
  <c r="N9913" i="17"/>
  <c r="N9912" i="17"/>
  <c r="N9911" i="17"/>
  <c r="N9910" i="17"/>
  <c r="N9909" i="17"/>
  <c r="N9908" i="17"/>
  <c r="N9907" i="17"/>
  <c r="N9906" i="17"/>
  <c r="N9905" i="17"/>
  <c r="N9904" i="17"/>
  <c r="N9903" i="17"/>
  <c r="N9902" i="17"/>
  <c r="N9901" i="17"/>
  <c r="N9900" i="17"/>
  <c r="N9899" i="17"/>
  <c r="N9898" i="17"/>
  <c r="N9897" i="17"/>
  <c r="N9896" i="17"/>
  <c r="N9895" i="17"/>
  <c r="N9894" i="17"/>
  <c r="N9893" i="17"/>
  <c r="N9892" i="17"/>
  <c r="N9891" i="17"/>
  <c r="N9890" i="17"/>
  <c r="N9889" i="17"/>
  <c r="N9888" i="17"/>
  <c r="N9887" i="17"/>
  <c r="N9886" i="17"/>
  <c r="N9885" i="17"/>
  <c r="N9884" i="17"/>
  <c r="N9883" i="17"/>
  <c r="N9882" i="17"/>
  <c r="N9881" i="17"/>
  <c r="N9880" i="17"/>
  <c r="N9879" i="17"/>
  <c r="N9878" i="17"/>
  <c r="N9877" i="17"/>
  <c r="N9876" i="17"/>
  <c r="N9875" i="17"/>
  <c r="N9874" i="17"/>
  <c r="N9873" i="17"/>
  <c r="N9872" i="17"/>
  <c r="N9871" i="17"/>
  <c r="N9870" i="17"/>
  <c r="N9869" i="17"/>
  <c r="N9868" i="17"/>
  <c r="N9867" i="17"/>
  <c r="N9866" i="17"/>
  <c r="N9865" i="17"/>
  <c r="N9864" i="17"/>
  <c r="N9863" i="17"/>
  <c r="N9862" i="17"/>
  <c r="N9861" i="17"/>
  <c r="N9860" i="17"/>
  <c r="N9859" i="17"/>
  <c r="N9858" i="17"/>
  <c r="N9857" i="17"/>
  <c r="N9856" i="17"/>
  <c r="N9855" i="17"/>
  <c r="N9854" i="17"/>
  <c r="N9853" i="17"/>
  <c r="N9852" i="17"/>
  <c r="N9851" i="17"/>
  <c r="N9850" i="17"/>
  <c r="N9849" i="17"/>
  <c r="N9848" i="17"/>
  <c r="N9847" i="17"/>
  <c r="N9846" i="17"/>
  <c r="N9845" i="17"/>
  <c r="N9844" i="17"/>
  <c r="N9843" i="17"/>
  <c r="N9842" i="17"/>
  <c r="N9841" i="17"/>
  <c r="N9840" i="17"/>
  <c r="N9839" i="17"/>
  <c r="N9838" i="17"/>
  <c r="N9837" i="17"/>
  <c r="N9836" i="17"/>
  <c r="N9835" i="17"/>
  <c r="N9834" i="17"/>
  <c r="N9833" i="17"/>
  <c r="N9832" i="17"/>
  <c r="N9831" i="17"/>
  <c r="N9830" i="17"/>
  <c r="N9829" i="17"/>
  <c r="N9828" i="17"/>
  <c r="N9827" i="17"/>
  <c r="N9826" i="17"/>
  <c r="N9825" i="17"/>
  <c r="N9824" i="17"/>
  <c r="N9823" i="17"/>
  <c r="N9822" i="17"/>
  <c r="N9821" i="17"/>
  <c r="N9820" i="17"/>
  <c r="N9819" i="17"/>
  <c r="N9818" i="17"/>
  <c r="N9817" i="17"/>
  <c r="N9816" i="17"/>
  <c r="N9815" i="17"/>
  <c r="N9814" i="17"/>
  <c r="N9813" i="17"/>
  <c r="N9812" i="17"/>
  <c r="N9811" i="17"/>
  <c r="N9810" i="17"/>
  <c r="N9809" i="17"/>
  <c r="N9808" i="17"/>
  <c r="N9807" i="17"/>
  <c r="N9806" i="17"/>
  <c r="N9805" i="17"/>
  <c r="N9804" i="17"/>
  <c r="N9803" i="17"/>
  <c r="N9802" i="17"/>
  <c r="N9801" i="17"/>
  <c r="N9800" i="17"/>
  <c r="N9799" i="17"/>
  <c r="N9798" i="17"/>
  <c r="N9797" i="17"/>
  <c r="N9796" i="17"/>
  <c r="N9795" i="17"/>
  <c r="N9794" i="17"/>
  <c r="N9793" i="17"/>
  <c r="N9792" i="17"/>
  <c r="N9791" i="17"/>
  <c r="N9790" i="17"/>
  <c r="N9789" i="17"/>
  <c r="N9788" i="17"/>
  <c r="N9787" i="17"/>
  <c r="N9786" i="17"/>
  <c r="N9785" i="17"/>
  <c r="N9784" i="17"/>
  <c r="N9783" i="17"/>
  <c r="N9782" i="17"/>
  <c r="N9781" i="17"/>
  <c r="N9780" i="17"/>
  <c r="N9779" i="17"/>
  <c r="N9778" i="17"/>
  <c r="N9777" i="17"/>
  <c r="N9776" i="17"/>
  <c r="N9775" i="17"/>
  <c r="N9774" i="17"/>
  <c r="N9773" i="17"/>
  <c r="N9772" i="17"/>
  <c r="N9771" i="17"/>
  <c r="N9770" i="17"/>
  <c r="N9769" i="17"/>
  <c r="N9768" i="17"/>
  <c r="N9767" i="17"/>
  <c r="N9766" i="17"/>
  <c r="N9765" i="17"/>
  <c r="N9764" i="17"/>
  <c r="N9763" i="17"/>
  <c r="N9762" i="17"/>
  <c r="N9761" i="17"/>
  <c r="N9760" i="17"/>
  <c r="N9759" i="17"/>
  <c r="N9758" i="17"/>
  <c r="N9757" i="17"/>
  <c r="N9756" i="17"/>
  <c r="N9755" i="17"/>
  <c r="N9754" i="17"/>
  <c r="N9753" i="17"/>
  <c r="N9752" i="17"/>
  <c r="N9751" i="17"/>
  <c r="N9750" i="17"/>
  <c r="N9749" i="17"/>
  <c r="N9748" i="17"/>
  <c r="N9747" i="17"/>
  <c r="N9746" i="17"/>
  <c r="N9745" i="17"/>
  <c r="N9744" i="17"/>
  <c r="N9743" i="17"/>
  <c r="N9742" i="17"/>
  <c r="N9741" i="17"/>
  <c r="N9740" i="17"/>
  <c r="N9739" i="17"/>
  <c r="N9738" i="17"/>
  <c r="N9737" i="17"/>
  <c r="N9736" i="17"/>
  <c r="N9735" i="17"/>
  <c r="N9734" i="17"/>
  <c r="N9733" i="17"/>
  <c r="N9732" i="17"/>
  <c r="N9731" i="17"/>
  <c r="N9730" i="17"/>
  <c r="N9729" i="17"/>
  <c r="N9728" i="17"/>
  <c r="N9727" i="17"/>
  <c r="N9726" i="17"/>
  <c r="N9725" i="17"/>
  <c r="N9724" i="17"/>
  <c r="N9723" i="17"/>
  <c r="N9722" i="17"/>
  <c r="N9721" i="17"/>
  <c r="N9720" i="17"/>
  <c r="N9719" i="17"/>
  <c r="N9718" i="17"/>
  <c r="N9717" i="17"/>
  <c r="N9716" i="17"/>
  <c r="N9715" i="17"/>
  <c r="N9714" i="17"/>
  <c r="N9713" i="17"/>
  <c r="N9712" i="17"/>
  <c r="N9711" i="17"/>
  <c r="N9710" i="17"/>
  <c r="N9709" i="17"/>
  <c r="N9708" i="17"/>
  <c r="N9707" i="17"/>
  <c r="N9706" i="17"/>
  <c r="N9705" i="17"/>
  <c r="N9704" i="17"/>
  <c r="N9703" i="17"/>
  <c r="N9702" i="17"/>
  <c r="N9701" i="17"/>
  <c r="N9700" i="17"/>
  <c r="N9699" i="17"/>
  <c r="N9698" i="17"/>
  <c r="N9697" i="17"/>
  <c r="N9696" i="17"/>
  <c r="N9695" i="17"/>
  <c r="N9694" i="17"/>
  <c r="N9693" i="17"/>
  <c r="N9692" i="17"/>
  <c r="N9691" i="17"/>
  <c r="N9690" i="17"/>
  <c r="N9689" i="17"/>
  <c r="N9688" i="17"/>
  <c r="N9687" i="17"/>
  <c r="N9686" i="17"/>
  <c r="N9685" i="17"/>
  <c r="N9684" i="17"/>
  <c r="N9683" i="17"/>
  <c r="N9682" i="17"/>
  <c r="N9681" i="17"/>
  <c r="N9680" i="17"/>
  <c r="N9679" i="17"/>
  <c r="N9678" i="17"/>
  <c r="N9677" i="17"/>
  <c r="N9676" i="17"/>
  <c r="N9675" i="17"/>
  <c r="N9674" i="17"/>
  <c r="N9673" i="17"/>
  <c r="N9672" i="17"/>
  <c r="N9671" i="17"/>
  <c r="N9670" i="17"/>
  <c r="N9669" i="17"/>
  <c r="N9668" i="17"/>
  <c r="N9667" i="17"/>
  <c r="N9666" i="17"/>
  <c r="N9665" i="17"/>
  <c r="N9664" i="17"/>
  <c r="N9663" i="17"/>
  <c r="N9662" i="17"/>
  <c r="N9661" i="17"/>
  <c r="N9660" i="17"/>
  <c r="N9659" i="17"/>
  <c r="N9658" i="17"/>
  <c r="N9657" i="17"/>
  <c r="N9656" i="17"/>
  <c r="N9655" i="17"/>
  <c r="N9654" i="17"/>
  <c r="N9653" i="17"/>
  <c r="N9652" i="17"/>
  <c r="N9651" i="17"/>
  <c r="N9650" i="17"/>
  <c r="N9649" i="17"/>
  <c r="N9648" i="17"/>
  <c r="N9647" i="17"/>
  <c r="N9646" i="17"/>
  <c r="N9645" i="17"/>
  <c r="N9644" i="17"/>
  <c r="N9643" i="17"/>
  <c r="N9642" i="17"/>
  <c r="N9641" i="17"/>
  <c r="N9640" i="17"/>
  <c r="N9639" i="17"/>
  <c r="N9638" i="17"/>
  <c r="N9637" i="17"/>
  <c r="N9636" i="17"/>
  <c r="N9635" i="17"/>
  <c r="N9634" i="17"/>
  <c r="N9633" i="17"/>
  <c r="N9632" i="17"/>
  <c r="N9631" i="17"/>
  <c r="N9630" i="17"/>
  <c r="N9629" i="17"/>
  <c r="N9628" i="17"/>
  <c r="N9627" i="17"/>
  <c r="N9626" i="17"/>
  <c r="N9625" i="17"/>
  <c r="N9624" i="17"/>
  <c r="N9623" i="17"/>
  <c r="N9622" i="17"/>
  <c r="N9621" i="17"/>
  <c r="N9620" i="17"/>
  <c r="N9619" i="17"/>
  <c r="N9618" i="17"/>
  <c r="N9617" i="17"/>
  <c r="N9616" i="17"/>
  <c r="N9615" i="17"/>
  <c r="N9614" i="17"/>
  <c r="N9613" i="17"/>
  <c r="N9612" i="17"/>
  <c r="N9611" i="17"/>
  <c r="N9610" i="17"/>
  <c r="N9609" i="17"/>
  <c r="N9608" i="17"/>
  <c r="N9607" i="17"/>
  <c r="N9606" i="17"/>
  <c r="N9605" i="17"/>
  <c r="N9604" i="17"/>
  <c r="N9603" i="17"/>
  <c r="N9602" i="17"/>
  <c r="N9601" i="17"/>
  <c r="N9600" i="17"/>
  <c r="N9599" i="17"/>
  <c r="N9598" i="17"/>
  <c r="N9597" i="17"/>
  <c r="N9596" i="17"/>
  <c r="N9595" i="17"/>
  <c r="N9594" i="17"/>
  <c r="N9593" i="17"/>
  <c r="N9592" i="17"/>
  <c r="N9591" i="17"/>
  <c r="N9590" i="17"/>
  <c r="N9589" i="17"/>
  <c r="N9588" i="17"/>
  <c r="N9587" i="17"/>
  <c r="N9586" i="17"/>
  <c r="N9585" i="17"/>
  <c r="N9584" i="17"/>
  <c r="N9583" i="17"/>
  <c r="N9582" i="17"/>
  <c r="N9581" i="17"/>
  <c r="N9580" i="17"/>
  <c r="N9579" i="17"/>
  <c r="N9578" i="17"/>
  <c r="N9577" i="17"/>
  <c r="N9576" i="17"/>
  <c r="N9575" i="17"/>
  <c r="N9574" i="17"/>
  <c r="N9573" i="17"/>
  <c r="N9572" i="17"/>
  <c r="N9571" i="17"/>
  <c r="N9570" i="17"/>
  <c r="N9569" i="17"/>
  <c r="N9568" i="17"/>
  <c r="N9567" i="17"/>
  <c r="N9566" i="17"/>
  <c r="N9565" i="17"/>
  <c r="N9564" i="17"/>
  <c r="N9563" i="17"/>
  <c r="N9562" i="17"/>
  <c r="N9561" i="17"/>
  <c r="N9560" i="17"/>
  <c r="N9559" i="17"/>
  <c r="N9558" i="17"/>
  <c r="N9557" i="17"/>
  <c r="N9556" i="17"/>
  <c r="N9555" i="17"/>
  <c r="N9554" i="17"/>
  <c r="N9553" i="17"/>
  <c r="N9552" i="17"/>
  <c r="N9551" i="17"/>
  <c r="N9550" i="17"/>
  <c r="N9549" i="17"/>
  <c r="N9548" i="17"/>
  <c r="N9547" i="17"/>
  <c r="N9546" i="17"/>
  <c r="N9545" i="17"/>
  <c r="N9544" i="17"/>
  <c r="N9543" i="17"/>
  <c r="N9542" i="17"/>
  <c r="N9541" i="17"/>
  <c r="N9540" i="17"/>
  <c r="N9539" i="17"/>
  <c r="N9538" i="17"/>
  <c r="N9537" i="17"/>
  <c r="N9536" i="17"/>
  <c r="N9535" i="17"/>
  <c r="N9534" i="17"/>
  <c r="N9533" i="17"/>
  <c r="N9532" i="17"/>
  <c r="N9531" i="17"/>
  <c r="N9530" i="17"/>
  <c r="N9529" i="17"/>
  <c r="N9528" i="17"/>
  <c r="N9527" i="17"/>
  <c r="N9526" i="17"/>
  <c r="N9525" i="17"/>
  <c r="N9524" i="17"/>
  <c r="N9523" i="17"/>
  <c r="N9522" i="17"/>
  <c r="N9521" i="17"/>
  <c r="N9520" i="17"/>
  <c r="N9519" i="17"/>
  <c r="N9518" i="17"/>
  <c r="N9517" i="17"/>
  <c r="N9516" i="17"/>
  <c r="N9515" i="17"/>
  <c r="N9514" i="17"/>
  <c r="N9513" i="17"/>
  <c r="N9512" i="17"/>
  <c r="N9511" i="17"/>
  <c r="N9510" i="17"/>
  <c r="N9509" i="17"/>
  <c r="N9508" i="17"/>
  <c r="N9507" i="17"/>
  <c r="N9506" i="17"/>
  <c r="N9505" i="17"/>
  <c r="N9504" i="17"/>
  <c r="N9503" i="17"/>
  <c r="N9502" i="17"/>
  <c r="N9501" i="17"/>
  <c r="N9500" i="17"/>
  <c r="N9499" i="17"/>
  <c r="N9498" i="17"/>
  <c r="N9497" i="17"/>
  <c r="N9496" i="17"/>
  <c r="N9495" i="17"/>
  <c r="N9494" i="17"/>
  <c r="N9493" i="17"/>
  <c r="N9492" i="17"/>
  <c r="N9491" i="17"/>
  <c r="N9490" i="17"/>
  <c r="N9489" i="17"/>
  <c r="N9488" i="17"/>
  <c r="N9487" i="17"/>
  <c r="N9486" i="17"/>
  <c r="N9485" i="17"/>
  <c r="N9484" i="17"/>
  <c r="N9483" i="17"/>
  <c r="N9482" i="17"/>
  <c r="N9481" i="17"/>
  <c r="N9480" i="17"/>
  <c r="N9479" i="17"/>
  <c r="N9478" i="17"/>
  <c r="N9477" i="17"/>
  <c r="N9476" i="17"/>
  <c r="N9475" i="17"/>
  <c r="N9474" i="17"/>
  <c r="N9473" i="17"/>
  <c r="N9472" i="17"/>
  <c r="N9471" i="17"/>
  <c r="N9470" i="17"/>
  <c r="N9469" i="17"/>
  <c r="N9468" i="17"/>
  <c r="N9467" i="17"/>
  <c r="N9466" i="17"/>
  <c r="N9465" i="17"/>
  <c r="N9464" i="17"/>
  <c r="N9463" i="17"/>
  <c r="N9462" i="17"/>
  <c r="N9461" i="17"/>
  <c r="N9460" i="17"/>
  <c r="N9459" i="17"/>
  <c r="N9458" i="17"/>
  <c r="N9457" i="17"/>
  <c r="N9456" i="17"/>
  <c r="N9455" i="17"/>
  <c r="N9454" i="17"/>
  <c r="N9453" i="17"/>
  <c r="N9452" i="17"/>
  <c r="N9451" i="17"/>
  <c r="N9450" i="17"/>
  <c r="N9449" i="17"/>
  <c r="N9448" i="17"/>
  <c r="N9447" i="17"/>
  <c r="N9446" i="17"/>
  <c r="N9445" i="17"/>
  <c r="N9444" i="17"/>
  <c r="N9443" i="17"/>
  <c r="N9442" i="17"/>
  <c r="N9441" i="17"/>
  <c r="N9440" i="17"/>
  <c r="N9439" i="17"/>
  <c r="N9438" i="17"/>
  <c r="N9437" i="17"/>
  <c r="N9436" i="17"/>
  <c r="N9435" i="17"/>
  <c r="N9434" i="17"/>
  <c r="N9433" i="17"/>
  <c r="N9432" i="17"/>
  <c r="N9431" i="17"/>
  <c r="N9430" i="17"/>
  <c r="N9429" i="17"/>
  <c r="N9428" i="17"/>
  <c r="N9427" i="17"/>
  <c r="N9426" i="17"/>
  <c r="N9425" i="17"/>
  <c r="N9424" i="17"/>
  <c r="N9423" i="17"/>
  <c r="N9422" i="17"/>
  <c r="N9421" i="17"/>
  <c r="N9420" i="17"/>
  <c r="N9419" i="17"/>
  <c r="N9418" i="17"/>
  <c r="N9417" i="17"/>
  <c r="N9416" i="17"/>
  <c r="N9415" i="17"/>
  <c r="N9414" i="17"/>
  <c r="N9413" i="17"/>
  <c r="N9412" i="17"/>
  <c r="N9411" i="17"/>
  <c r="N9410" i="17"/>
  <c r="N9409" i="17"/>
  <c r="N9408" i="17"/>
  <c r="N9407" i="17"/>
  <c r="N9406" i="17"/>
  <c r="N9405" i="17"/>
  <c r="N9404" i="17"/>
  <c r="N9403" i="17"/>
  <c r="N9402" i="17"/>
  <c r="N9401" i="17"/>
  <c r="N9400" i="17"/>
  <c r="N9399" i="17"/>
  <c r="N9398" i="17"/>
  <c r="N9397" i="17"/>
  <c r="N9396" i="17"/>
  <c r="N9395" i="17"/>
  <c r="N9394" i="17"/>
  <c r="N9393" i="17"/>
  <c r="N9392" i="17"/>
  <c r="N9391" i="17"/>
  <c r="N9390" i="17"/>
  <c r="N9389" i="17"/>
  <c r="N9388" i="17"/>
  <c r="N9387" i="17"/>
  <c r="N9386" i="17"/>
  <c r="N9385" i="17"/>
  <c r="N9384" i="17"/>
  <c r="N9383" i="17"/>
  <c r="N9382" i="17"/>
  <c r="N9381" i="17"/>
  <c r="N9380" i="17"/>
  <c r="N9379" i="17"/>
  <c r="N9378" i="17"/>
  <c r="N9377" i="17"/>
  <c r="N9376" i="17"/>
  <c r="N9375" i="17"/>
  <c r="N9374" i="17"/>
  <c r="N9373" i="17"/>
  <c r="N9372" i="17"/>
  <c r="N9371" i="17"/>
  <c r="N9370" i="17"/>
  <c r="N9369" i="17"/>
  <c r="N9368" i="17"/>
  <c r="N9367" i="17"/>
  <c r="N9366" i="17"/>
  <c r="N9365" i="17"/>
  <c r="N9364" i="17"/>
  <c r="N9363" i="17"/>
  <c r="N9362" i="17"/>
  <c r="N9361" i="17"/>
  <c r="N9360" i="17"/>
  <c r="N9359" i="17"/>
  <c r="N9358" i="17"/>
  <c r="N9357" i="17"/>
  <c r="N9356" i="17"/>
  <c r="N9355" i="17"/>
  <c r="N9354" i="17"/>
  <c r="N9353" i="17"/>
  <c r="N9352" i="17"/>
  <c r="N9351" i="17"/>
  <c r="N9350" i="17"/>
  <c r="N9349" i="17"/>
  <c r="N9348" i="17"/>
  <c r="N9347" i="17"/>
  <c r="N9346" i="17"/>
  <c r="N9345" i="17"/>
  <c r="N9344" i="17"/>
  <c r="N9343" i="17"/>
  <c r="N9342" i="17"/>
  <c r="N9341" i="17"/>
  <c r="N9340" i="17"/>
  <c r="N9339" i="17"/>
  <c r="N9338" i="17"/>
  <c r="N9337" i="17"/>
  <c r="N9336" i="17"/>
  <c r="N9335" i="17"/>
  <c r="N9334" i="17"/>
  <c r="N9333" i="17"/>
  <c r="N9332" i="17"/>
  <c r="N9331" i="17"/>
  <c r="N9330" i="17"/>
  <c r="N9329" i="17"/>
  <c r="N9328" i="17"/>
  <c r="N9327" i="17"/>
  <c r="N9326" i="17"/>
  <c r="N9325" i="17"/>
  <c r="N9324" i="17"/>
  <c r="N9323" i="17"/>
  <c r="N9322" i="17"/>
  <c r="N9321" i="17"/>
  <c r="N9320" i="17"/>
  <c r="N9319" i="17"/>
  <c r="N9318" i="17"/>
  <c r="N9317" i="17"/>
  <c r="N9316" i="17"/>
  <c r="N9315" i="17"/>
  <c r="N9314" i="17"/>
  <c r="N9313" i="17"/>
  <c r="N9312" i="17"/>
  <c r="N9311" i="17"/>
  <c r="N9310" i="17"/>
  <c r="N9309" i="17"/>
  <c r="N9308" i="17"/>
  <c r="N9307" i="17"/>
  <c r="N9306" i="17"/>
  <c r="N9305" i="17"/>
  <c r="N9304" i="17"/>
  <c r="N9303" i="17"/>
  <c r="N9302" i="17"/>
  <c r="N9301" i="17"/>
  <c r="N9300" i="17"/>
  <c r="N9299" i="17"/>
  <c r="N9298" i="17"/>
  <c r="N9297" i="17"/>
  <c r="N9296" i="17"/>
  <c r="N9295" i="17"/>
  <c r="N9294" i="17"/>
  <c r="N9293" i="17"/>
  <c r="N9292" i="17"/>
  <c r="N9291" i="17"/>
  <c r="N9290" i="17"/>
  <c r="N9289" i="17"/>
  <c r="N9288" i="17"/>
  <c r="N9287" i="17"/>
  <c r="N9286" i="17"/>
  <c r="N9285" i="17"/>
  <c r="N9284" i="17"/>
  <c r="N9283" i="17"/>
  <c r="N9282" i="17"/>
  <c r="N9281" i="17"/>
  <c r="N9280" i="17"/>
  <c r="N9279" i="17"/>
  <c r="N9278" i="17"/>
  <c r="N9277" i="17"/>
  <c r="N9276" i="17"/>
  <c r="N9275" i="17"/>
  <c r="N9274" i="17"/>
  <c r="N9273" i="17"/>
  <c r="N9272" i="17"/>
  <c r="N9271" i="17"/>
  <c r="N9270" i="17"/>
  <c r="N9269" i="17"/>
  <c r="N9268" i="17"/>
  <c r="N9267" i="17"/>
  <c r="N9266" i="17"/>
  <c r="N9265" i="17"/>
  <c r="N9264" i="17"/>
  <c r="N9263" i="17"/>
  <c r="N9262" i="17"/>
  <c r="N9261" i="17"/>
  <c r="N9260" i="17"/>
  <c r="N9259" i="17"/>
  <c r="N9258" i="17"/>
  <c r="N9257" i="17"/>
  <c r="N9256" i="17"/>
  <c r="N9255" i="17"/>
  <c r="N9254" i="17"/>
  <c r="N9253" i="17"/>
  <c r="N9252" i="17"/>
  <c r="N9251" i="17"/>
  <c r="N9250" i="17"/>
  <c r="N9249" i="17"/>
  <c r="N9248" i="17"/>
  <c r="N9247" i="17"/>
  <c r="N9246" i="17"/>
  <c r="N9245" i="17"/>
  <c r="N9244" i="17"/>
  <c r="N9243" i="17"/>
  <c r="N9242" i="17"/>
  <c r="N9241" i="17"/>
  <c r="N9240" i="17"/>
  <c r="N9239" i="17"/>
  <c r="N9238" i="17"/>
  <c r="N9237" i="17"/>
  <c r="N9236" i="17"/>
  <c r="N9235" i="17"/>
  <c r="N9234" i="17"/>
  <c r="N9233" i="17"/>
  <c r="N9232" i="17"/>
  <c r="N9231" i="17"/>
  <c r="N9230" i="17"/>
  <c r="N9229" i="17"/>
  <c r="N9228" i="17"/>
  <c r="N9227" i="17"/>
  <c r="N9226" i="17"/>
  <c r="N9225" i="17"/>
  <c r="N9224" i="17"/>
  <c r="N9223" i="17"/>
  <c r="N9222" i="17"/>
  <c r="N9221" i="17"/>
  <c r="N9220" i="17"/>
  <c r="N9219" i="17"/>
  <c r="N9218" i="17"/>
  <c r="N9217" i="17"/>
  <c r="N9216" i="17"/>
  <c r="N9215" i="17"/>
  <c r="N9214" i="17"/>
  <c r="N9213" i="17"/>
  <c r="N9212" i="17"/>
  <c r="N9211" i="17"/>
  <c r="N9210" i="17"/>
  <c r="N9209" i="17"/>
  <c r="N9208" i="17"/>
  <c r="N9207" i="17"/>
  <c r="N9206" i="17"/>
  <c r="N9205" i="17"/>
  <c r="N9204" i="17"/>
  <c r="N9203" i="17"/>
  <c r="N9202" i="17"/>
  <c r="N9201" i="17"/>
  <c r="N9200" i="17"/>
  <c r="N9199" i="17"/>
  <c r="N9198" i="17"/>
  <c r="N9197" i="17"/>
  <c r="N9196" i="17"/>
  <c r="N9195" i="17"/>
  <c r="N9194" i="17"/>
  <c r="N9193" i="17"/>
  <c r="N9192" i="17"/>
  <c r="N9191" i="17"/>
  <c r="N9190" i="17"/>
  <c r="N9189" i="17"/>
  <c r="N9188" i="17"/>
  <c r="N9187" i="17"/>
  <c r="N9186" i="17"/>
  <c r="N9185" i="17"/>
  <c r="N9184" i="17"/>
  <c r="N9183" i="17"/>
  <c r="N9182" i="17"/>
  <c r="N9181" i="17"/>
  <c r="N9180" i="17"/>
  <c r="N9179" i="17"/>
  <c r="N9178" i="17"/>
  <c r="N9177" i="17"/>
  <c r="N9176" i="17"/>
  <c r="N9175" i="17"/>
  <c r="N9174" i="17"/>
  <c r="N9173" i="17"/>
  <c r="N9172" i="17"/>
  <c r="N9171" i="17"/>
  <c r="N9170" i="17"/>
  <c r="N9169" i="17"/>
  <c r="N9168" i="17"/>
  <c r="N9167" i="17"/>
  <c r="N9166" i="17"/>
  <c r="N9165" i="17"/>
  <c r="N9164" i="17"/>
  <c r="N9163" i="17"/>
  <c r="N9162" i="17"/>
  <c r="N9161" i="17"/>
  <c r="N9160" i="17"/>
  <c r="N9159" i="17"/>
  <c r="N9158" i="17"/>
  <c r="N9157" i="17"/>
  <c r="N9156" i="17"/>
  <c r="N9155" i="17"/>
  <c r="N9154" i="17"/>
  <c r="N9153" i="17"/>
  <c r="N9152" i="17"/>
  <c r="N9151" i="17"/>
  <c r="N9150" i="17"/>
  <c r="N9149" i="17"/>
  <c r="N9148" i="17"/>
  <c r="N9147" i="17"/>
  <c r="N9146" i="17"/>
  <c r="N9145" i="17"/>
  <c r="N9144" i="17"/>
  <c r="N9143" i="17"/>
  <c r="N9142" i="17"/>
  <c r="N9141" i="17"/>
  <c r="N9140" i="17"/>
  <c r="N9139" i="17"/>
  <c r="N9138" i="17"/>
  <c r="N9137" i="17"/>
  <c r="N9136" i="17"/>
  <c r="N9135" i="17"/>
  <c r="N9134" i="17"/>
  <c r="N9133" i="17"/>
  <c r="N9132" i="17"/>
  <c r="N9131" i="17"/>
  <c r="N9130" i="17"/>
  <c r="N9129" i="17"/>
  <c r="N9128" i="17"/>
  <c r="N9127" i="17"/>
  <c r="N9126" i="17"/>
  <c r="N9125" i="17"/>
  <c r="N9124" i="17"/>
  <c r="N9123" i="17"/>
  <c r="N9122" i="17"/>
  <c r="N9121" i="17"/>
  <c r="N9120" i="17"/>
  <c r="N9119" i="17"/>
  <c r="N9118" i="17"/>
  <c r="N9117" i="17"/>
  <c r="N9116" i="17"/>
  <c r="N9115" i="17"/>
  <c r="N9114" i="17"/>
  <c r="N9113" i="17"/>
  <c r="N9112" i="17"/>
  <c r="N9111" i="17"/>
  <c r="N9110" i="17"/>
  <c r="N9109" i="17"/>
  <c r="N9108" i="17"/>
  <c r="N9107" i="17"/>
  <c r="N9106" i="17"/>
  <c r="N9105" i="17"/>
  <c r="N9104" i="17"/>
  <c r="N9103" i="17"/>
  <c r="N9102" i="17"/>
  <c r="N9101" i="17"/>
  <c r="N9100" i="17"/>
  <c r="N9099" i="17"/>
  <c r="N9098" i="17"/>
  <c r="N9097" i="17"/>
  <c r="N9096" i="17"/>
  <c r="N9095" i="17"/>
  <c r="N9094" i="17"/>
  <c r="N9093" i="17"/>
  <c r="N9092" i="17"/>
  <c r="N9091" i="17"/>
  <c r="N9090" i="17"/>
  <c r="N9089" i="17"/>
  <c r="N9088" i="17"/>
  <c r="N9087" i="17"/>
  <c r="N9086" i="17"/>
  <c r="N9085" i="17"/>
  <c r="N9084" i="17"/>
  <c r="N9083" i="17"/>
  <c r="N9082" i="17"/>
  <c r="N9081" i="17"/>
  <c r="N9080" i="17"/>
  <c r="N9079" i="17"/>
  <c r="N9078" i="17"/>
  <c r="N9077" i="17"/>
  <c r="N9076" i="17"/>
  <c r="N9075" i="17"/>
  <c r="N9074" i="17"/>
  <c r="N9073" i="17"/>
  <c r="N9072" i="17"/>
  <c r="N9071" i="17"/>
  <c r="N9070" i="17"/>
  <c r="N9069" i="17"/>
  <c r="N9068" i="17"/>
  <c r="N9067" i="17"/>
  <c r="N9066" i="17"/>
  <c r="N9065" i="17"/>
  <c r="N9064" i="17"/>
  <c r="N9063" i="17"/>
  <c r="N9062" i="17"/>
  <c r="N9061" i="17"/>
  <c r="N9060" i="17"/>
  <c r="N9059" i="17"/>
  <c r="N9058" i="17"/>
  <c r="N9057" i="17"/>
  <c r="N9056" i="17"/>
  <c r="N9055" i="17"/>
  <c r="N9054" i="17"/>
  <c r="N9053" i="17"/>
  <c r="N9052" i="17"/>
  <c r="N9051" i="17"/>
  <c r="N9050" i="17"/>
  <c r="N9049" i="17"/>
  <c r="N9048" i="17"/>
  <c r="N9047" i="17"/>
  <c r="N9046" i="17"/>
  <c r="N9045" i="17"/>
  <c r="N9044" i="17"/>
  <c r="N9043" i="17"/>
  <c r="N9042" i="17"/>
  <c r="N9041" i="17"/>
  <c r="N9040" i="17"/>
  <c r="N9039" i="17"/>
  <c r="N9038" i="17"/>
  <c r="N9037" i="17"/>
  <c r="N9036" i="17"/>
  <c r="N9035" i="17"/>
  <c r="N9034" i="17"/>
  <c r="N9033" i="17"/>
  <c r="N9032" i="17"/>
  <c r="N9031" i="17"/>
  <c r="N9030" i="17"/>
  <c r="N9029" i="17"/>
  <c r="N9028" i="17"/>
  <c r="N9027" i="17"/>
  <c r="N9026" i="17"/>
  <c r="N9025" i="17"/>
  <c r="N9024" i="17"/>
  <c r="N9023" i="17"/>
  <c r="N9022" i="17"/>
  <c r="N9021" i="17"/>
  <c r="N9020" i="17"/>
  <c r="N9019" i="17"/>
  <c r="N9018" i="17"/>
  <c r="N9017" i="17"/>
  <c r="N9016" i="17"/>
  <c r="N9015" i="17"/>
  <c r="N9014" i="17"/>
  <c r="N9013" i="17"/>
  <c r="N9012" i="17"/>
  <c r="N9011" i="17"/>
  <c r="N9010" i="17"/>
  <c r="N9009" i="17"/>
  <c r="N9008" i="17"/>
  <c r="N9007" i="17"/>
  <c r="N9006" i="17"/>
  <c r="N9005" i="17"/>
  <c r="N9004" i="17"/>
  <c r="N9003" i="17"/>
  <c r="N9002" i="17"/>
  <c r="N9001" i="17"/>
  <c r="N9000" i="17"/>
  <c r="N8999" i="17"/>
  <c r="N8998" i="17"/>
  <c r="N8997" i="17"/>
  <c r="N8996" i="17"/>
  <c r="N8995" i="17"/>
  <c r="N8994" i="17"/>
  <c r="N8993" i="17"/>
  <c r="N8992" i="17"/>
  <c r="N8991" i="17"/>
  <c r="N8990" i="17"/>
  <c r="N8989" i="17"/>
  <c r="N8988" i="17"/>
  <c r="N8987" i="17"/>
  <c r="N8986" i="17"/>
  <c r="N8985" i="17"/>
  <c r="N8984" i="17"/>
  <c r="N8983" i="17"/>
  <c r="N8982" i="17"/>
  <c r="N8981" i="17"/>
  <c r="N8980" i="17"/>
  <c r="N8979" i="17"/>
  <c r="N8978" i="17"/>
  <c r="N8977" i="17"/>
  <c r="N8976" i="17"/>
  <c r="N8975" i="17"/>
  <c r="N8974" i="17"/>
  <c r="N8973" i="17"/>
  <c r="N8972" i="17"/>
  <c r="N8971" i="17"/>
  <c r="N8970" i="17"/>
  <c r="N8969" i="17"/>
  <c r="N8968" i="17"/>
  <c r="N8967" i="17"/>
  <c r="N8966" i="17"/>
  <c r="N8965" i="17"/>
  <c r="N8964" i="17"/>
  <c r="N8963" i="17"/>
  <c r="N8962" i="17"/>
  <c r="N8961" i="17"/>
  <c r="N8960" i="17"/>
  <c r="N8959" i="17"/>
  <c r="N8958" i="17"/>
  <c r="N8957" i="17"/>
  <c r="N8956" i="17"/>
  <c r="N8955" i="17"/>
  <c r="N8954" i="17"/>
  <c r="N8953" i="17"/>
  <c r="N8952" i="17"/>
  <c r="N8951" i="17"/>
  <c r="N8950" i="17"/>
  <c r="N8949" i="17"/>
  <c r="N8948" i="17"/>
  <c r="N8947" i="17"/>
  <c r="N8946" i="17"/>
  <c r="N8945" i="17"/>
  <c r="N8944" i="17"/>
  <c r="N8943" i="17"/>
  <c r="N8942" i="17"/>
  <c r="N8941" i="17"/>
  <c r="N8940" i="17"/>
  <c r="N8939" i="17"/>
  <c r="N8938" i="17"/>
  <c r="N8937" i="17"/>
  <c r="N8936" i="17"/>
  <c r="N8935" i="17"/>
  <c r="N8934" i="17"/>
  <c r="N8933" i="17"/>
  <c r="N8932" i="17"/>
  <c r="N8931" i="17"/>
  <c r="N8930" i="17"/>
  <c r="N8929" i="17"/>
  <c r="N8928" i="17"/>
  <c r="N8927" i="17"/>
  <c r="N8926" i="17"/>
  <c r="N8925" i="17"/>
  <c r="N8924" i="17"/>
  <c r="N8923" i="17"/>
  <c r="N8922" i="17"/>
  <c r="N8921" i="17"/>
  <c r="N8920" i="17"/>
  <c r="N8919" i="17"/>
  <c r="N8918" i="17"/>
  <c r="N8917" i="17"/>
  <c r="N8916" i="17"/>
  <c r="N8915" i="17"/>
  <c r="N8914" i="17"/>
  <c r="N8913" i="17"/>
  <c r="N8912" i="17"/>
  <c r="N8911" i="17"/>
  <c r="N8910" i="17"/>
  <c r="N8909" i="17"/>
  <c r="N8908" i="17"/>
  <c r="N8907" i="17"/>
  <c r="N8906" i="17"/>
  <c r="N8905" i="17"/>
  <c r="N8904" i="17"/>
  <c r="N8903" i="17"/>
  <c r="N8902" i="17"/>
  <c r="N8901" i="17"/>
  <c r="N8900" i="17"/>
  <c r="N8899" i="17"/>
  <c r="N8898" i="17"/>
  <c r="N8897" i="17"/>
  <c r="N8896" i="17"/>
  <c r="N8895" i="17"/>
  <c r="N8894" i="17"/>
  <c r="N8893" i="17"/>
  <c r="N8892" i="17"/>
  <c r="N8891" i="17"/>
  <c r="N8890" i="17"/>
  <c r="N8889" i="17"/>
  <c r="N8888" i="17"/>
  <c r="N8887" i="17"/>
  <c r="N8886" i="17"/>
  <c r="N8885" i="17"/>
  <c r="N8884" i="17"/>
  <c r="N8883" i="17"/>
  <c r="N8882" i="17"/>
  <c r="N8881" i="17"/>
  <c r="N8880" i="17"/>
  <c r="N8879" i="17"/>
  <c r="N8878" i="17"/>
  <c r="N8877" i="17"/>
  <c r="N8876" i="17"/>
  <c r="N8875" i="17"/>
  <c r="N8874" i="17"/>
  <c r="N8873" i="17"/>
  <c r="N8872" i="17"/>
  <c r="N8871" i="17"/>
  <c r="N8870" i="17"/>
  <c r="N8869" i="17"/>
  <c r="N8868" i="17"/>
  <c r="N8867" i="17"/>
  <c r="N8866" i="17"/>
  <c r="N8865" i="17"/>
  <c r="N8864" i="17"/>
  <c r="N8863" i="17"/>
  <c r="N8862" i="17"/>
  <c r="N8861" i="17"/>
  <c r="N8860" i="17"/>
  <c r="N8859" i="17"/>
  <c r="N8858" i="17"/>
  <c r="N8857" i="17"/>
  <c r="N8856" i="17"/>
  <c r="N8855" i="17"/>
  <c r="N8854" i="17"/>
  <c r="N8853" i="17"/>
  <c r="N8852" i="17"/>
  <c r="N8851" i="17"/>
  <c r="N8850" i="17"/>
  <c r="N8849" i="17"/>
  <c r="N8848" i="17"/>
  <c r="N8847" i="17"/>
  <c r="N8846" i="17"/>
  <c r="N8845" i="17"/>
  <c r="N8844" i="17"/>
  <c r="N8843" i="17"/>
  <c r="N8842" i="17"/>
  <c r="N8841" i="17"/>
  <c r="N8840" i="17"/>
  <c r="N8839" i="17"/>
  <c r="N8838" i="17"/>
  <c r="N8837" i="17"/>
  <c r="N8836" i="17"/>
  <c r="N8835" i="17"/>
  <c r="N8834" i="17"/>
  <c r="N8833" i="17"/>
  <c r="N8832" i="17"/>
  <c r="N8831" i="17"/>
  <c r="N8830" i="17"/>
  <c r="N8829" i="17"/>
  <c r="N8828" i="17"/>
  <c r="N8827" i="17"/>
  <c r="N8826" i="17"/>
  <c r="N8825" i="17"/>
  <c r="N8824" i="17"/>
  <c r="N8823" i="17"/>
  <c r="N8822" i="17"/>
  <c r="N8821" i="17"/>
  <c r="N8820" i="17"/>
  <c r="N8819" i="17"/>
  <c r="N8818" i="17"/>
  <c r="N8817" i="17"/>
  <c r="N8816" i="17"/>
  <c r="N8815" i="17"/>
  <c r="N8814" i="17"/>
  <c r="N8813" i="17"/>
  <c r="N8812" i="17"/>
  <c r="N8811" i="17"/>
  <c r="N8810" i="17"/>
  <c r="N8809" i="17"/>
  <c r="N8808" i="17"/>
  <c r="N8807" i="17"/>
  <c r="N8806" i="17"/>
  <c r="N8805" i="17"/>
  <c r="N8804" i="17"/>
  <c r="N8803" i="17"/>
  <c r="N8802" i="17"/>
  <c r="N8801" i="17"/>
  <c r="N8800" i="17"/>
  <c r="N8799" i="17"/>
  <c r="N8798" i="17"/>
  <c r="N8797" i="17"/>
  <c r="N8796" i="17"/>
  <c r="N8795" i="17"/>
  <c r="N8794" i="17"/>
  <c r="N8793" i="17"/>
  <c r="N8792" i="17"/>
  <c r="N8791" i="17"/>
  <c r="N8790" i="17"/>
  <c r="N8789" i="17"/>
  <c r="N8788" i="17"/>
  <c r="N8787" i="17"/>
  <c r="N8786" i="17"/>
  <c r="N8785" i="17"/>
  <c r="N8784" i="17"/>
  <c r="N8783" i="17"/>
  <c r="N8782" i="17"/>
  <c r="N8781" i="17"/>
  <c r="N8780" i="17"/>
  <c r="N8779" i="17"/>
  <c r="N8778" i="17"/>
  <c r="N8777" i="17"/>
  <c r="N8776" i="17"/>
  <c r="N8775" i="17"/>
  <c r="N8774" i="17"/>
  <c r="N8773" i="17"/>
  <c r="N8772" i="17"/>
  <c r="N8771" i="17"/>
  <c r="N8770" i="17"/>
  <c r="N8769" i="17"/>
  <c r="N8768" i="17"/>
  <c r="N8767" i="17"/>
  <c r="N8766" i="17"/>
  <c r="N8765" i="17"/>
  <c r="N8764" i="17"/>
  <c r="N8763" i="17"/>
  <c r="N8762" i="17"/>
  <c r="N8761" i="17"/>
  <c r="N8760" i="17"/>
  <c r="N8759" i="17"/>
  <c r="N8758" i="17"/>
  <c r="N8757" i="17"/>
  <c r="N8756" i="17"/>
  <c r="N8755" i="17"/>
  <c r="N8754" i="17"/>
  <c r="N8753" i="17"/>
  <c r="N8752" i="17"/>
  <c r="N8751" i="17"/>
  <c r="N8750" i="17"/>
  <c r="N8749" i="17"/>
  <c r="N8748" i="17"/>
  <c r="N8747" i="17"/>
  <c r="N8746" i="17"/>
  <c r="N8745" i="17"/>
  <c r="N8744" i="17"/>
  <c r="N8743" i="17"/>
  <c r="N8742" i="17"/>
  <c r="N8741" i="17"/>
  <c r="N8740" i="17"/>
  <c r="N8739" i="17"/>
  <c r="N8738" i="17"/>
  <c r="N8737" i="17"/>
  <c r="N8736" i="17"/>
  <c r="N8735" i="17"/>
  <c r="N8734" i="17"/>
  <c r="N8733" i="17"/>
  <c r="N8732" i="17"/>
  <c r="N8731" i="17"/>
  <c r="N8730" i="17"/>
  <c r="N8729" i="17"/>
  <c r="N8728" i="17"/>
  <c r="N8727" i="17"/>
  <c r="N8726" i="17"/>
  <c r="N8725" i="17"/>
  <c r="N8724" i="17"/>
  <c r="N8723" i="17"/>
  <c r="N8722" i="17"/>
  <c r="N8721" i="17"/>
  <c r="N8720" i="17"/>
  <c r="N8719" i="17"/>
  <c r="N8718" i="17"/>
  <c r="N8717" i="17"/>
  <c r="N8716" i="17"/>
  <c r="N8715" i="17"/>
  <c r="N8714" i="17"/>
  <c r="N8713" i="17"/>
  <c r="N8712" i="17"/>
  <c r="N8711" i="17"/>
  <c r="N8710" i="17"/>
  <c r="N8709" i="17"/>
  <c r="N8708" i="17"/>
  <c r="N8707" i="17"/>
  <c r="N8706" i="17"/>
  <c r="N8705" i="17"/>
  <c r="N8704" i="17"/>
  <c r="N8703" i="17"/>
  <c r="N8702" i="17"/>
  <c r="N8701" i="17"/>
  <c r="N8700" i="17"/>
  <c r="N8699" i="17"/>
  <c r="N8698" i="17"/>
  <c r="N8697" i="17"/>
  <c r="N8696" i="17"/>
  <c r="N8695" i="17"/>
  <c r="N8694" i="17"/>
  <c r="N8693" i="17"/>
  <c r="N8692" i="17"/>
  <c r="N8691" i="17"/>
  <c r="N8690" i="17"/>
  <c r="N8689" i="17"/>
  <c r="N8688" i="17"/>
  <c r="N8687" i="17"/>
  <c r="N8686" i="17"/>
  <c r="N8685" i="17"/>
  <c r="N8684" i="17"/>
  <c r="N8683" i="17"/>
  <c r="N8682" i="17"/>
  <c r="N8681" i="17"/>
  <c r="N8680" i="17"/>
  <c r="N8679" i="17"/>
  <c r="N8678" i="17"/>
  <c r="N8677" i="17"/>
  <c r="N8676" i="17"/>
  <c r="N8675" i="17"/>
  <c r="N8674" i="17"/>
  <c r="N8673" i="17"/>
  <c r="N8672" i="17"/>
  <c r="N8671" i="17"/>
  <c r="N8670" i="17"/>
  <c r="N8669" i="17"/>
  <c r="N8668" i="17"/>
  <c r="N8667" i="17"/>
  <c r="N8666" i="17"/>
  <c r="N8665" i="17"/>
  <c r="N8664" i="17"/>
  <c r="N8663" i="17"/>
  <c r="N8662" i="17"/>
  <c r="N8661" i="17"/>
  <c r="N8660" i="17"/>
  <c r="N8659" i="17"/>
  <c r="N8658" i="17"/>
  <c r="N8657" i="17"/>
  <c r="N8656" i="17"/>
  <c r="N8655" i="17"/>
  <c r="N8654" i="17"/>
  <c r="N8653" i="17"/>
  <c r="N8652" i="17"/>
  <c r="N8651" i="17"/>
  <c r="N8650" i="17"/>
  <c r="N8649" i="17"/>
  <c r="N8648" i="17"/>
  <c r="N8647" i="17"/>
  <c r="N8646" i="17"/>
  <c r="N8645" i="17"/>
  <c r="N8644" i="17"/>
  <c r="N8643" i="17"/>
  <c r="N8642" i="17"/>
  <c r="N8641" i="17"/>
  <c r="N8640" i="17"/>
  <c r="N8639" i="17"/>
  <c r="N8638" i="17"/>
  <c r="N8637" i="17"/>
  <c r="N8636" i="17"/>
  <c r="N8635" i="17"/>
  <c r="N8634" i="17"/>
  <c r="N8633" i="17"/>
  <c r="N8632" i="17"/>
  <c r="N8631" i="17"/>
  <c r="N8630" i="17"/>
  <c r="N8629" i="17"/>
  <c r="N8628" i="17"/>
  <c r="N8627" i="17"/>
  <c r="N8626" i="17"/>
  <c r="N8625" i="17"/>
  <c r="N8624" i="17"/>
  <c r="N8623" i="17"/>
  <c r="N8622" i="17"/>
  <c r="N8621" i="17"/>
  <c r="N8620" i="17"/>
  <c r="N8619" i="17"/>
  <c r="N8618" i="17"/>
  <c r="N8617" i="17"/>
  <c r="N8616" i="17"/>
  <c r="N8615" i="17"/>
  <c r="N8614" i="17"/>
  <c r="N8613" i="17"/>
  <c r="N8612" i="17"/>
  <c r="N8611" i="17"/>
  <c r="N8610" i="17"/>
  <c r="N8609" i="17"/>
  <c r="N8608" i="17"/>
  <c r="N8607" i="17"/>
  <c r="N8606" i="17"/>
  <c r="N8605" i="17"/>
  <c r="N8604" i="17"/>
  <c r="N8603" i="17"/>
  <c r="N8602" i="17"/>
  <c r="N8601" i="17"/>
  <c r="N8600" i="17"/>
  <c r="N8599" i="17"/>
  <c r="N8598" i="17"/>
  <c r="N8597" i="17"/>
  <c r="N8596" i="17"/>
  <c r="N8595" i="17"/>
  <c r="N8594" i="17"/>
  <c r="N8593" i="17"/>
  <c r="N8592" i="17"/>
  <c r="N8591" i="17"/>
  <c r="N8590" i="17"/>
  <c r="N8589" i="17"/>
  <c r="N8588" i="17"/>
  <c r="N8587" i="17"/>
  <c r="N8586" i="17"/>
  <c r="N8585" i="17"/>
  <c r="N8584" i="17"/>
  <c r="N8583" i="17"/>
  <c r="N8582" i="17"/>
  <c r="N8581" i="17"/>
  <c r="N8580" i="17"/>
  <c r="N8579" i="17"/>
  <c r="N8578" i="17"/>
  <c r="N8577" i="17"/>
  <c r="N8576" i="17"/>
  <c r="N8575" i="17"/>
  <c r="N8574" i="17"/>
  <c r="N8573" i="17"/>
  <c r="N8572" i="17"/>
  <c r="N8571" i="17"/>
  <c r="N8570" i="17"/>
  <c r="N8569" i="17"/>
  <c r="N8568" i="17"/>
  <c r="N8567" i="17"/>
  <c r="N8566" i="17"/>
  <c r="N8565" i="17"/>
  <c r="N8564" i="17"/>
  <c r="N8563" i="17"/>
  <c r="N8562" i="17"/>
  <c r="N8561" i="17"/>
  <c r="N8560" i="17"/>
  <c r="N8559" i="17"/>
  <c r="N8558" i="17"/>
  <c r="N8557" i="17"/>
  <c r="N8556" i="17"/>
  <c r="N8555" i="17"/>
  <c r="N8554" i="17"/>
  <c r="N8553" i="17"/>
  <c r="N8552" i="17"/>
  <c r="N8551" i="17"/>
  <c r="N8550" i="17"/>
  <c r="N8549" i="17"/>
  <c r="N8548" i="17"/>
  <c r="N8547" i="17"/>
  <c r="N8546" i="17"/>
  <c r="N8545" i="17"/>
  <c r="N8544" i="17"/>
  <c r="N8543" i="17"/>
  <c r="N8542" i="17"/>
  <c r="N8541" i="17"/>
  <c r="N8540" i="17"/>
  <c r="N8539" i="17"/>
  <c r="N8538" i="17"/>
  <c r="N8537" i="17"/>
  <c r="N8536" i="17"/>
  <c r="N8535" i="17"/>
  <c r="N8534" i="17"/>
  <c r="N8533" i="17"/>
  <c r="N8532" i="17"/>
  <c r="N8531" i="17"/>
  <c r="N8530" i="17"/>
  <c r="N8529" i="17"/>
  <c r="N8528" i="17"/>
  <c r="N8527" i="17"/>
  <c r="N8526" i="17"/>
  <c r="N8525" i="17"/>
  <c r="N8524" i="17"/>
  <c r="N8523" i="17"/>
  <c r="N8522" i="17"/>
  <c r="N8521" i="17"/>
  <c r="N8520" i="17"/>
  <c r="N8519" i="17"/>
  <c r="N8518" i="17"/>
  <c r="N8517" i="17"/>
  <c r="N8516" i="17"/>
  <c r="N8515" i="17"/>
  <c r="N8514" i="17"/>
  <c r="N8513" i="17"/>
  <c r="N8512" i="17"/>
  <c r="N8511" i="17"/>
  <c r="N8510" i="17"/>
  <c r="N8509" i="17"/>
  <c r="N8508" i="17"/>
  <c r="N8507" i="17"/>
  <c r="N8506" i="17"/>
  <c r="N8505" i="17"/>
  <c r="N8504" i="17"/>
  <c r="N8503" i="17"/>
  <c r="N8502" i="17"/>
  <c r="N8501" i="17"/>
  <c r="N8500" i="17"/>
  <c r="N8499" i="17"/>
  <c r="N8498" i="17"/>
  <c r="N8497" i="17"/>
  <c r="N8496" i="17"/>
  <c r="N8495" i="17"/>
  <c r="N8494" i="17"/>
  <c r="N8493" i="17"/>
  <c r="N8492" i="17"/>
  <c r="N8491" i="17"/>
  <c r="N8490" i="17"/>
  <c r="N8489" i="17"/>
  <c r="N8488" i="17"/>
  <c r="N8487" i="17"/>
  <c r="N8486" i="17"/>
  <c r="N8485" i="17"/>
  <c r="N8484" i="17"/>
  <c r="N8483" i="17"/>
  <c r="N8482" i="17"/>
  <c r="N8481" i="17"/>
  <c r="N8480" i="17"/>
  <c r="N8479" i="17"/>
  <c r="N8478" i="17"/>
  <c r="N8477" i="17"/>
  <c r="N8476" i="17"/>
  <c r="N8475" i="17"/>
  <c r="N8474" i="17"/>
  <c r="N8473" i="17"/>
  <c r="N8472" i="17"/>
  <c r="N8471" i="17"/>
  <c r="N8470" i="17"/>
  <c r="N8469" i="17"/>
  <c r="N8468" i="17"/>
  <c r="N8467" i="17"/>
  <c r="N8466" i="17"/>
  <c r="N8465" i="17"/>
  <c r="N8464" i="17"/>
  <c r="N8463" i="17"/>
  <c r="N8462" i="17"/>
  <c r="N8461" i="17"/>
  <c r="N8460" i="17"/>
  <c r="N8459" i="17"/>
  <c r="N8458" i="17"/>
  <c r="N8457" i="17"/>
  <c r="N8456" i="17"/>
  <c r="N8455" i="17"/>
  <c r="N8454" i="17"/>
  <c r="N8453" i="17"/>
  <c r="N8452" i="17"/>
  <c r="N8451" i="17"/>
  <c r="N8450" i="17"/>
  <c r="N8449" i="17"/>
  <c r="N8448" i="17"/>
  <c r="N8447" i="17"/>
  <c r="N8446" i="17"/>
  <c r="N8445" i="17"/>
  <c r="N8444" i="17"/>
  <c r="N8443" i="17"/>
  <c r="N8442" i="17"/>
  <c r="N8441" i="17"/>
  <c r="N8440" i="17"/>
  <c r="N8439" i="17"/>
  <c r="N8438" i="17"/>
  <c r="N8437" i="17"/>
  <c r="N8436" i="17"/>
  <c r="N8435" i="17"/>
  <c r="N8434" i="17"/>
  <c r="N8433" i="17"/>
  <c r="N8432" i="17"/>
  <c r="N8431" i="17"/>
  <c r="N8430" i="17"/>
  <c r="N8429" i="17"/>
  <c r="N8428" i="17"/>
  <c r="N8427" i="17"/>
  <c r="N8426" i="17"/>
  <c r="N8425" i="17"/>
  <c r="N8424" i="17"/>
  <c r="N8423" i="17"/>
  <c r="N8422" i="17"/>
  <c r="N8421" i="17"/>
  <c r="N8420" i="17"/>
  <c r="N8419" i="17"/>
  <c r="N8418" i="17"/>
  <c r="N8417" i="17"/>
  <c r="N8416" i="17"/>
  <c r="N8415" i="17"/>
  <c r="N8414" i="17"/>
  <c r="N8413" i="17"/>
  <c r="N8412" i="17"/>
  <c r="N8411" i="17"/>
  <c r="N8410" i="17"/>
  <c r="N8409" i="17"/>
  <c r="N8408" i="17"/>
  <c r="N8407" i="17"/>
  <c r="N8406" i="17"/>
  <c r="N8405" i="17"/>
  <c r="N8404" i="17"/>
  <c r="N8403" i="17"/>
  <c r="N8402" i="17"/>
  <c r="N8401" i="17"/>
  <c r="N8400" i="17"/>
  <c r="N8399" i="17"/>
  <c r="N8398" i="17"/>
  <c r="N8397" i="17"/>
  <c r="N8396" i="17"/>
  <c r="N8395" i="17"/>
  <c r="N8394" i="17"/>
  <c r="N8393" i="17"/>
  <c r="N8392" i="17"/>
  <c r="N8391" i="17"/>
  <c r="N8390" i="17"/>
  <c r="N8389" i="17"/>
  <c r="N8388" i="17"/>
  <c r="N8387" i="17"/>
  <c r="N8386" i="17"/>
  <c r="N8385" i="17"/>
  <c r="N8384" i="17"/>
  <c r="N8383" i="17"/>
  <c r="N8382" i="17"/>
  <c r="N8381" i="17"/>
  <c r="N8380" i="17"/>
  <c r="N8379" i="17"/>
  <c r="N8378" i="17"/>
  <c r="N8377" i="17"/>
  <c r="N8376" i="17"/>
  <c r="N8375" i="17"/>
  <c r="N8374" i="17"/>
  <c r="N8373" i="17"/>
  <c r="N8372" i="17"/>
  <c r="N8371" i="17"/>
  <c r="N8370" i="17"/>
  <c r="N8369" i="17"/>
  <c r="N8368" i="17"/>
  <c r="N8367" i="17"/>
  <c r="N8366" i="17"/>
  <c r="N8365" i="17"/>
  <c r="N8364" i="17"/>
  <c r="N8363" i="17"/>
  <c r="N8362" i="17"/>
  <c r="N8361" i="17"/>
  <c r="N8360" i="17"/>
  <c r="N8359" i="17"/>
  <c r="N8358" i="17"/>
  <c r="N8357" i="17"/>
  <c r="N8356" i="17"/>
  <c r="N8355" i="17"/>
  <c r="N8354" i="17"/>
  <c r="N8353" i="17"/>
  <c r="N8352" i="17"/>
  <c r="N8351" i="17"/>
  <c r="N8350" i="17"/>
  <c r="N8349" i="17"/>
  <c r="N8348" i="17"/>
  <c r="N8347" i="17"/>
  <c r="N8346" i="17"/>
  <c r="N8345" i="17"/>
  <c r="N8344" i="17"/>
  <c r="N8343" i="17"/>
  <c r="N8342" i="17"/>
  <c r="N8341" i="17"/>
  <c r="N8340" i="17"/>
  <c r="N8339" i="17"/>
  <c r="N8338" i="17"/>
  <c r="N8337" i="17"/>
  <c r="N8336" i="17"/>
  <c r="N8335" i="17"/>
  <c r="N8334" i="17"/>
  <c r="N8333" i="17"/>
  <c r="N8332" i="17"/>
  <c r="N8331" i="17"/>
  <c r="N8330" i="17"/>
  <c r="N8329" i="17"/>
  <c r="N8328" i="17"/>
  <c r="N8327" i="17"/>
  <c r="N8326" i="17"/>
  <c r="N8325" i="17"/>
  <c r="N8324" i="17"/>
  <c r="N8323" i="17"/>
  <c r="N8322" i="17"/>
  <c r="N8321" i="17"/>
  <c r="N8320" i="17"/>
  <c r="N8319" i="17"/>
  <c r="N8318" i="17"/>
  <c r="N8317" i="17"/>
  <c r="N8316" i="17"/>
  <c r="N8315" i="17"/>
  <c r="N8314" i="17"/>
  <c r="N8313" i="17"/>
  <c r="N8312" i="17"/>
  <c r="N8311" i="17"/>
  <c r="N8310" i="17"/>
  <c r="N8309" i="17"/>
  <c r="N8308" i="17"/>
  <c r="N8307" i="17"/>
  <c r="N8306" i="17"/>
  <c r="N8305" i="17"/>
  <c r="N8304" i="17"/>
  <c r="N8303" i="17"/>
  <c r="N8302" i="17"/>
  <c r="N8301" i="17"/>
  <c r="N8300" i="17"/>
  <c r="N8299" i="17"/>
  <c r="N8298" i="17"/>
  <c r="N8297" i="17"/>
  <c r="N8296" i="17"/>
  <c r="N8295" i="17"/>
  <c r="N8294" i="17"/>
  <c r="N8293" i="17"/>
  <c r="N8292" i="17"/>
  <c r="N8291" i="17"/>
  <c r="N8290" i="17"/>
  <c r="N8289" i="17"/>
  <c r="N8288" i="17"/>
  <c r="N8287" i="17"/>
  <c r="N8286" i="17"/>
  <c r="N8285" i="17"/>
  <c r="N8284" i="17"/>
  <c r="N8283" i="17"/>
  <c r="N8282" i="17"/>
  <c r="N8281" i="17"/>
  <c r="N8280" i="17"/>
  <c r="N8279" i="17"/>
  <c r="N8278" i="17"/>
  <c r="N8277" i="17"/>
  <c r="N8276" i="17"/>
  <c r="N8275" i="17"/>
  <c r="N8274" i="17"/>
  <c r="N8273" i="17"/>
  <c r="N8272" i="17"/>
  <c r="N8271" i="17"/>
  <c r="N8270" i="17"/>
  <c r="N8269" i="17"/>
  <c r="N8268" i="17"/>
  <c r="N8267" i="17"/>
  <c r="N8266" i="17"/>
  <c r="N8265" i="17"/>
  <c r="N8264" i="17"/>
  <c r="N8263" i="17"/>
  <c r="N8262" i="17"/>
  <c r="N8261" i="17"/>
  <c r="N8260" i="17"/>
  <c r="N8259" i="17"/>
  <c r="N8258" i="17"/>
  <c r="N8257" i="17"/>
  <c r="N8256" i="17"/>
  <c r="N8255" i="17"/>
  <c r="N8254" i="17"/>
  <c r="N8253" i="17"/>
  <c r="N8252" i="17"/>
  <c r="N8251" i="17"/>
  <c r="N8250" i="17"/>
  <c r="N8249" i="17"/>
  <c r="N8248" i="17"/>
  <c r="N8247" i="17"/>
  <c r="N8246" i="17"/>
  <c r="N8245" i="17"/>
  <c r="N8244" i="17"/>
  <c r="N8243" i="17"/>
  <c r="N8242" i="17"/>
  <c r="N8241" i="17"/>
  <c r="N8240" i="17"/>
  <c r="N8239" i="17"/>
  <c r="N8238" i="17"/>
  <c r="N8237" i="17"/>
  <c r="N8236" i="17"/>
  <c r="N8235" i="17"/>
  <c r="N8234" i="17"/>
  <c r="N8233" i="17"/>
  <c r="N8232" i="17"/>
  <c r="N8231" i="17"/>
  <c r="N8230" i="17"/>
  <c r="N8229" i="17"/>
  <c r="N8228" i="17"/>
  <c r="N8227" i="17"/>
  <c r="N8226" i="17"/>
  <c r="N8225" i="17"/>
  <c r="N8224" i="17"/>
  <c r="N8223" i="17"/>
  <c r="N8222" i="17"/>
  <c r="N8221" i="17"/>
  <c r="N8220" i="17"/>
  <c r="N8219" i="17"/>
  <c r="N8218" i="17"/>
  <c r="N8217" i="17"/>
  <c r="N8216" i="17"/>
  <c r="N8215" i="17"/>
  <c r="N8214" i="17"/>
  <c r="N8213" i="17"/>
  <c r="N8212" i="17"/>
  <c r="N8211" i="17"/>
  <c r="N8210" i="17"/>
  <c r="N8209" i="17"/>
  <c r="N8208" i="17"/>
  <c r="N8207" i="17"/>
  <c r="N8206" i="17"/>
  <c r="N8205" i="17"/>
  <c r="N8204" i="17"/>
  <c r="N8203" i="17"/>
  <c r="N8202" i="17"/>
  <c r="N8201" i="17"/>
  <c r="N8200" i="17"/>
  <c r="N8199" i="17"/>
  <c r="N8198" i="17"/>
  <c r="N8197" i="17"/>
  <c r="N8196" i="17"/>
  <c r="N8195" i="17"/>
  <c r="N8194" i="17"/>
  <c r="N8193" i="17"/>
  <c r="N8192" i="17"/>
  <c r="N8191" i="17"/>
  <c r="N8190" i="17"/>
  <c r="N8189" i="17"/>
  <c r="N8188" i="17"/>
  <c r="N8187" i="17"/>
  <c r="N8186" i="17"/>
  <c r="N8185" i="17"/>
  <c r="N8184" i="17"/>
  <c r="N8183" i="17"/>
  <c r="N8182" i="17"/>
  <c r="N8181" i="17"/>
  <c r="N8180" i="17"/>
  <c r="N8179" i="17"/>
  <c r="N8178" i="17"/>
  <c r="N8177" i="17"/>
  <c r="N8176" i="17"/>
  <c r="N8175" i="17"/>
  <c r="N8174" i="17"/>
  <c r="N8173" i="17"/>
  <c r="N8172" i="17"/>
  <c r="N8171" i="17"/>
  <c r="N8170" i="17"/>
  <c r="N8169" i="17"/>
  <c r="N8168" i="17"/>
  <c r="N8167" i="17"/>
  <c r="N8166" i="17"/>
  <c r="N8165" i="17"/>
  <c r="N8164" i="17"/>
  <c r="N8163" i="17"/>
  <c r="N8162" i="17"/>
  <c r="N8161" i="17"/>
  <c r="N8160" i="17"/>
  <c r="N8159" i="17"/>
  <c r="N8158" i="17"/>
  <c r="N8157" i="17"/>
  <c r="N8156" i="17"/>
  <c r="N8155" i="17"/>
  <c r="N8154" i="17"/>
  <c r="N8153" i="17"/>
  <c r="N8152" i="17"/>
  <c r="N8151" i="17"/>
  <c r="N8150" i="17"/>
  <c r="N8149" i="17"/>
  <c r="N8148" i="17"/>
  <c r="N8147" i="17"/>
  <c r="N8146" i="17"/>
  <c r="N8145" i="17"/>
  <c r="N8144" i="17"/>
  <c r="N8143" i="17"/>
  <c r="N8142" i="17"/>
  <c r="N8141" i="17"/>
  <c r="N8140" i="17"/>
  <c r="N8139" i="17"/>
  <c r="N8138" i="17"/>
  <c r="N8137" i="17"/>
  <c r="N8136" i="17"/>
  <c r="N8135" i="17"/>
  <c r="N8134" i="17"/>
  <c r="N8133" i="17"/>
  <c r="N8132" i="17"/>
  <c r="N8131" i="17"/>
  <c r="N8130" i="17"/>
  <c r="N8129" i="17"/>
  <c r="N8128" i="17"/>
  <c r="N8127" i="17"/>
  <c r="N8126" i="17"/>
  <c r="N8125" i="17"/>
  <c r="N8124" i="17"/>
  <c r="N8123" i="17"/>
  <c r="N8122" i="17"/>
  <c r="N8121" i="17"/>
  <c r="N8120" i="17"/>
  <c r="N8119" i="17"/>
  <c r="N8118" i="17"/>
  <c r="N8117" i="17"/>
  <c r="N8116" i="17"/>
  <c r="N8115" i="17"/>
  <c r="N8114" i="17"/>
  <c r="N8113" i="17"/>
  <c r="N8112" i="17"/>
  <c r="N8111" i="17"/>
  <c r="N8110" i="17"/>
  <c r="N8109" i="17"/>
  <c r="N8108" i="17"/>
  <c r="N8107" i="17"/>
  <c r="N8106" i="17"/>
  <c r="N8105" i="17"/>
  <c r="N8104" i="17"/>
  <c r="N8103" i="17"/>
  <c r="N8102" i="17"/>
  <c r="N8101" i="17"/>
  <c r="N8100" i="17"/>
  <c r="N8099" i="17"/>
  <c r="N8098" i="17"/>
  <c r="N8097" i="17"/>
  <c r="N8096" i="17"/>
  <c r="N8095" i="17"/>
  <c r="N8094" i="17"/>
  <c r="N8093" i="17"/>
  <c r="N8092" i="17"/>
  <c r="N8091" i="17"/>
  <c r="N8090" i="17"/>
  <c r="N8089" i="17"/>
  <c r="N8088" i="17"/>
  <c r="N8087" i="17"/>
  <c r="N8086" i="17"/>
  <c r="N8085" i="17"/>
  <c r="N8084" i="17"/>
  <c r="N8083" i="17"/>
  <c r="N8082" i="17"/>
  <c r="N8081" i="17"/>
  <c r="N8080" i="17"/>
  <c r="N8079" i="17"/>
  <c r="N8078" i="17"/>
  <c r="N8077" i="17"/>
  <c r="N8076" i="17"/>
  <c r="N8075" i="17"/>
  <c r="N8074" i="17"/>
  <c r="N8073" i="17"/>
  <c r="N8072" i="17"/>
  <c r="N8071" i="17"/>
  <c r="N8070" i="17"/>
  <c r="N8069" i="17"/>
  <c r="N8068" i="17"/>
  <c r="N8067" i="17"/>
  <c r="N8066" i="17"/>
  <c r="N8065" i="17"/>
  <c r="N8064" i="17"/>
  <c r="N8063" i="17"/>
  <c r="N8062" i="17"/>
  <c r="N8061" i="17"/>
  <c r="N8060" i="17"/>
  <c r="N8059" i="17"/>
  <c r="N8058" i="17"/>
  <c r="N8057" i="17"/>
  <c r="N8056" i="17"/>
  <c r="N8055" i="17"/>
  <c r="N8054" i="17"/>
  <c r="N8053" i="17"/>
  <c r="N8052" i="17"/>
  <c r="N8051" i="17"/>
  <c r="N8050" i="17"/>
  <c r="N8049" i="17"/>
  <c r="N8048" i="17"/>
  <c r="N8047" i="17"/>
  <c r="N8046" i="17"/>
  <c r="N8045" i="17"/>
  <c r="N8044" i="17"/>
  <c r="N8043" i="17"/>
  <c r="N8042" i="17"/>
  <c r="N8041" i="17"/>
  <c r="N8040" i="17"/>
  <c r="N8039" i="17"/>
  <c r="N8038" i="17"/>
  <c r="N8037" i="17"/>
  <c r="N8036" i="17"/>
  <c r="N8035" i="17"/>
  <c r="N8034" i="17"/>
  <c r="N8033" i="17"/>
  <c r="N8032" i="17"/>
  <c r="N8031" i="17"/>
  <c r="N8030" i="17"/>
  <c r="N8029" i="17"/>
  <c r="N8028" i="17"/>
  <c r="N8027" i="17"/>
  <c r="N8026" i="17"/>
  <c r="N8025" i="17"/>
  <c r="N8024" i="17"/>
  <c r="N8023" i="17"/>
  <c r="N8022" i="17"/>
  <c r="N8021" i="17"/>
  <c r="N8020" i="17"/>
  <c r="N8019" i="17"/>
  <c r="N8018" i="17"/>
  <c r="N8017" i="17"/>
  <c r="N8016" i="17"/>
  <c r="N8015" i="17"/>
  <c r="N8014" i="17"/>
  <c r="N8013" i="17"/>
  <c r="N8012" i="17"/>
  <c r="N8011" i="17"/>
  <c r="N8010" i="17"/>
  <c r="N8009" i="17"/>
  <c r="N8008" i="17"/>
  <c r="N8007" i="17"/>
  <c r="N8006" i="17"/>
  <c r="N8005" i="17"/>
  <c r="N8004" i="17"/>
  <c r="N8003" i="17"/>
  <c r="N8002" i="17"/>
  <c r="N8001" i="17"/>
  <c r="N8000" i="17"/>
  <c r="N7999" i="17"/>
  <c r="N7998" i="17"/>
  <c r="N7997" i="17"/>
  <c r="N7996" i="17"/>
  <c r="N7995" i="17"/>
  <c r="N7994" i="17"/>
  <c r="N7993" i="17"/>
  <c r="N7992" i="17"/>
  <c r="N7991" i="17"/>
  <c r="N7990" i="17"/>
  <c r="N7989" i="17"/>
  <c r="N7988" i="17"/>
  <c r="N7987" i="17"/>
  <c r="N7986" i="17"/>
  <c r="N7985" i="17"/>
  <c r="N7984" i="17"/>
  <c r="N7983" i="17"/>
  <c r="N7982" i="17"/>
  <c r="N7981" i="17"/>
  <c r="N7980" i="17"/>
  <c r="N7979" i="17"/>
  <c r="N7978" i="17"/>
  <c r="N7977" i="17"/>
  <c r="N7976" i="17"/>
  <c r="N7975" i="17"/>
  <c r="N7974" i="17"/>
  <c r="N7973" i="17"/>
  <c r="N7972" i="17"/>
  <c r="N7971" i="17"/>
  <c r="N7970" i="17"/>
  <c r="N7969" i="17"/>
  <c r="N7968" i="17"/>
  <c r="N7967" i="17"/>
  <c r="N7966" i="17"/>
  <c r="N7965" i="17"/>
  <c r="N7964" i="17"/>
  <c r="N7963" i="17"/>
  <c r="N7962" i="17"/>
  <c r="N7961" i="17"/>
  <c r="N7960" i="17"/>
  <c r="N7959" i="17"/>
  <c r="N7958" i="17"/>
  <c r="N7957" i="17"/>
  <c r="N7956" i="17"/>
  <c r="N7955" i="17"/>
  <c r="N7954" i="17"/>
  <c r="N7953" i="17"/>
  <c r="N7952" i="17"/>
  <c r="N7951" i="17"/>
  <c r="N7950" i="17"/>
  <c r="N7949" i="17"/>
  <c r="N7948" i="17"/>
  <c r="N7947" i="17"/>
  <c r="N7946" i="17"/>
  <c r="N7945" i="17"/>
  <c r="N7944" i="17"/>
  <c r="N7943" i="17"/>
  <c r="N7942" i="17"/>
  <c r="N7941" i="17"/>
  <c r="N7940" i="17"/>
  <c r="N7939" i="17"/>
  <c r="N7938" i="17"/>
  <c r="N7937" i="17"/>
  <c r="N7936" i="17"/>
  <c r="N7935" i="17"/>
  <c r="N7934" i="17"/>
  <c r="N7933" i="17"/>
  <c r="N7932" i="17"/>
  <c r="N7931" i="17"/>
  <c r="N7930" i="17"/>
  <c r="N7929" i="17"/>
  <c r="N7928" i="17"/>
  <c r="N7927" i="17"/>
  <c r="N7926" i="17"/>
  <c r="N7925" i="17"/>
  <c r="N7924" i="17"/>
  <c r="N7923" i="17"/>
  <c r="N7922" i="17"/>
  <c r="N7921" i="17"/>
  <c r="N7920" i="17"/>
  <c r="N7919" i="17"/>
  <c r="N7918" i="17"/>
  <c r="N7917" i="17"/>
  <c r="N7916" i="17"/>
  <c r="N7915" i="17"/>
  <c r="N7914" i="17"/>
  <c r="N7913" i="17"/>
  <c r="N7912" i="17"/>
  <c r="N7911" i="17"/>
  <c r="N7910" i="17"/>
  <c r="N7909" i="17"/>
  <c r="N7908" i="17"/>
  <c r="N7907" i="17"/>
  <c r="N7906" i="17"/>
  <c r="N7905" i="17"/>
  <c r="N7904" i="17"/>
  <c r="N7903" i="17"/>
  <c r="N7902" i="17"/>
  <c r="N7901" i="17"/>
  <c r="N7900" i="17"/>
  <c r="N7899" i="17"/>
  <c r="N7898" i="17"/>
  <c r="N7897" i="17"/>
  <c r="N7896" i="17"/>
  <c r="N7895" i="17"/>
  <c r="N7894" i="17"/>
  <c r="N7893" i="17"/>
  <c r="N7892" i="17"/>
  <c r="N7891" i="17"/>
  <c r="N7890" i="17"/>
  <c r="N7889" i="17"/>
  <c r="N7888" i="17"/>
  <c r="N7887" i="17"/>
  <c r="N7886" i="17"/>
  <c r="N7885" i="17"/>
  <c r="N7884" i="17"/>
  <c r="N7883" i="17"/>
  <c r="N7882" i="17"/>
  <c r="N7881" i="17"/>
  <c r="N7880" i="17"/>
  <c r="N7879" i="17"/>
  <c r="N7878" i="17"/>
  <c r="N7877" i="17"/>
  <c r="N7876" i="17"/>
  <c r="N7875" i="17"/>
  <c r="N7874" i="17"/>
  <c r="N7873" i="17"/>
  <c r="N7872" i="17"/>
  <c r="N7871" i="17"/>
  <c r="N7870" i="17"/>
  <c r="N7869" i="17"/>
  <c r="N7868" i="17"/>
  <c r="N7867" i="17"/>
  <c r="N7866" i="17"/>
  <c r="N7865" i="17"/>
  <c r="N7864" i="17"/>
  <c r="N7863" i="17"/>
  <c r="N7862" i="17"/>
  <c r="N7861" i="17"/>
  <c r="N7860" i="17"/>
  <c r="N7859" i="17"/>
  <c r="N7858" i="17"/>
  <c r="N7857" i="17"/>
  <c r="N7856" i="17"/>
  <c r="N7855" i="17"/>
  <c r="N7854" i="17"/>
  <c r="N7853" i="17"/>
  <c r="N7852" i="17"/>
  <c r="N7851" i="17"/>
  <c r="N7850" i="17"/>
  <c r="N7849" i="17"/>
  <c r="N7848" i="17"/>
  <c r="N7847" i="17"/>
  <c r="N7846" i="17"/>
  <c r="N7845" i="17"/>
  <c r="N7844" i="17"/>
  <c r="N7843" i="17"/>
  <c r="N7842" i="17"/>
  <c r="N7841" i="17"/>
  <c r="N7840" i="17"/>
  <c r="N7839" i="17"/>
  <c r="N7838" i="17"/>
  <c r="N7837" i="17"/>
  <c r="N7836" i="17"/>
  <c r="N7835" i="17"/>
  <c r="N7834" i="17"/>
  <c r="N7833" i="17"/>
  <c r="N7832" i="17"/>
  <c r="N7831" i="17"/>
  <c r="N7830" i="17"/>
  <c r="N7829" i="17"/>
  <c r="N7828" i="17"/>
  <c r="N7827" i="17"/>
  <c r="N7826" i="17"/>
  <c r="N7825" i="17"/>
  <c r="N7824" i="17"/>
  <c r="N7823" i="17"/>
  <c r="N7822" i="17"/>
  <c r="N7821" i="17"/>
  <c r="N7820" i="17"/>
  <c r="N7819" i="17"/>
  <c r="N7818" i="17"/>
  <c r="N7817" i="17"/>
  <c r="N7816" i="17"/>
  <c r="N7815" i="17"/>
  <c r="N7814" i="17"/>
  <c r="N7813" i="17"/>
  <c r="N7812" i="17"/>
  <c r="N7811" i="17"/>
  <c r="N7810" i="17"/>
  <c r="N7809" i="17"/>
  <c r="N7808" i="17"/>
  <c r="N7807" i="17"/>
  <c r="N7806" i="17"/>
  <c r="N7805" i="17"/>
  <c r="N7804" i="17"/>
  <c r="N7803" i="17"/>
  <c r="N7802" i="17"/>
  <c r="N7801" i="17"/>
  <c r="N7800" i="17"/>
  <c r="N7799" i="17"/>
  <c r="N7798" i="17"/>
  <c r="N7797" i="17"/>
  <c r="N7796" i="17"/>
  <c r="N7795" i="17"/>
  <c r="N7794" i="17"/>
  <c r="N7793" i="17"/>
  <c r="N7792" i="17"/>
  <c r="N7791" i="17"/>
  <c r="N7790" i="17"/>
  <c r="N7789" i="17"/>
  <c r="N7788" i="17"/>
  <c r="N7787" i="17"/>
  <c r="N7786" i="17"/>
  <c r="N7785" i="17"/>
  <c r="N7784" i="17"/>
  <c r="N7783" i="17"/>
  <c r="N7782" i="17"/>
  <c r="N7781" i="17"/>
  <c r="N7780" i="17"/>
  <c r="N7779" i="17"/>
  <c r="N7778" i="17"/>
  <c r="N7777" i="17"/>
  <c r="N7776" i="17"/>
  <c r="N7775" i="17"/>
  <c r="N7774" i="17"/>
  <c r="N7773" i="17"/>
  <c r="N7772" i="17"/>
  <c r="N7771" i="17"/>
  <c r="N7770" i="17"/>
  <c r="N7769" i="17"/>
  <c r="N7768" i="17"/>
  <c r="N7767" i="17"/>
  <c r="N7766" i="17"/>
  <c r="N7765" i="17"/>
  <c r="N7764" i="17"/>
  <c r="N7763" i="17"/>
  <c r="N7762" i="17"/>
  <c r="N7761" i="17"/>
  <c r="N7760" i="17"/>
  <c r="N7759" i="17"/>
  <c r="N7758" i="17"/>
  <c r="N7757" i="17"/>
  <c r="N7756" i="17"/>
  <c r="N7755" i="17"/>
  <c r="N7754" i="17"/>
  <c r="N7753" i="17"/>
  <c r="N7752" i="17"/>
  <c r="N7751" i="17"/>
  <c r="N7750" i="17"/>
  <c r="N7749" i="17"/>
  <c r="N7748" i="17"/>
  <c r="N7747" i="17"/>
  <c r="N7746" i="17"/>
  <c r="N7745" i="17"/>
  <c r="N7744" i="17"/>
  <c r="N7743" i="17"/>
  <c r="N7742" i="17"/>
  <c r="N7741" i="17"/>
  <c r="N7740" i="17"/>
  <c r="N7739" i="17"/>
  <c r="N7738" i="17"/>
  <c r="N7737" i="17"/>
  <c r="N7736" i="17"/>
  <c r="N7735" i="17"/>
  <c r="N7734" i="17"/>
  <c r="N7733" i="17"/>
  <c r="N7732" i="17"/>
  <c r="N7731" i="17"/>
  <c r="N7730" i="17"/>
  <c r="N7729" i="17"/>
  <c r="N7728" i="17"/>
  <c r="N7727" i="17"/>
  <c r="N7726" i="17"/>
  <c r="N7725" i="17"/>
  <c r="N7724" i="17"/>
  <c r="N7723" i="17"/>
  <c r="N7722" i="17"/>
  <c r="N7721" i="17"/>
  <c r="N7720" i="17"/>
  <c r="N7719" i="17"/>
  <c r="N7718" i="17"/>
  <c r="N7717" i="17"/>
  <c r="N7716" i="17"/>
  <c r="N7715" i="17"/>
  <c r="N7714" i="17"/>
  <c r="N7713" i="17"/>
  <c r="N7712" i="17"/>
  <c r="N7711" i="17"/>
  <c r="N7710" i="17"/>
  <c r="N7709" i="17"/>
  <c r="N7708" i="17"/>
  <c r="N7707" i="17"/>
  <c r="N7706" i="17"/>
  <c r="N7705" i="17"/>
  <c r="N7704" i="17"/>
  <c r="N7703" i="17"/>
  <c r="N7702" i="17"/>
  <c r="N7701" i="17"/>
  <c r="N7700" i="17"/>
  <c r="N7699" i="17"/>
  <c r="N7698" i="17"/>
  <c r="N7697" i="17"/>
  <c r="N7696" i="17"/>
  <c r="N7695" i="17"/>
  <c r="N7694" i="17"/>
  <c r="N7693" i="17"/>
  <c r="N7692" i="17"/>
  <c r="N7691" i="17"/>
  <c r="N7690" i="17"/>
  <c r="N7689" i="17"/>
  <c r="N7688" i="17"/>
  <c r="N7687" i="17"/>
  <c r="N7686" i="17"/>
  <c r="N7685" i="17"/>
  <c r="N7684" i="17"/>
  <c r="N7683" i="17"/>
  <c r="N7682" i="17"/>
  <c r="N7681" i="17"/>
  <c r="N7680" i="17"/>
  <c r="N7679" i="17"/>
  <c r="N7678" i="17"/>
  <c r="N7677" i="17"/>
  <c r="N7676" i="17"/>
  <c r="N7675" i="17"/>
  <c r="N7674" i="17"/>
  <c r="N7673" i="17"/>
  <c r="N7672" i="17"/>
  <c r="N7671" i="17"/>
  <c r="N7670" i="17"/>
  <c r="N7669" i="17"/>
  <c r="N7668" i="17"/>
  <c r="N7667" i="17"/>
  <c r="N7666" i="17"/>
  <c r="N7665" i="17"/>
  <c r="N7664" i="17"/>
  <c r="N7663" i="17"/>
  <c r="N7662" i="17"/>
  <c r="N7661" i="17"/>
  <c r="N7660" i="17"/>
  <c r="N7659" i="17"/>
  <c r="N7658" i="17"/>
  <c r="N7657" i="17"/>
  <c r="N7656" i="17"/>
  <c r="N7655" i="17"/>
  <c r="N7654" i="17"/>
  <c r="N7653" i="17"/>
  <c r="N7652" i="17"/>
  <c r="N7651" i="17"/>
  <c r="N7650" i="17"/>
  <c r="N7649" i="17"/>
  <c r="N7648" i="17"/>
  <c r="N7647" i="17"/>
  <c r="N7646" i="17"/>
  <c r="N7645" i="17"/>
  <c r="N7644" i="17"/>
  <c r="N7643" i="17"/>
  <c r="N7642" i="17"/>
  <c r="N7641" i="17"/>
  <c r="N7640" i="17"/>
  <c r="N7639" i="17"/>
  <c r="N7638" i="17"/>
  <c r="N7637" i="17"/>
  <c r="N7636" i="17"/>
  <c r="N7635" i="17"/>
  <c r="N7634" i="17"/>
  <c r="N7633" i="17"/>
  <c r="N7632" i="17"/>
  <c r="N7631" i="17"/>
  <c r="N7630" i="17"/>
  <c r="N7629" i="17"/>
  <c r="N7628" i="17"/>
  <c r="N7627" i="17"/>
  <c r="N7626" i="17"/>
  <c r="N7625" i="17"/>
  <c r="N7624" i="17"/>
  <c r="N7623" i="17"/>
  <c r="N7622" i="17"/>
  <c r="N7621" i="17"/>
  <c r="N7620" i="17"/>
  <c r="N7619" i="17"/>
  <c r="N7618" i="17"/>
  <c r="N7617" i="17"/>
  <c r="N7616" i="17"/>
  <c r="N7615" i="17"/>
  <c r="N7614" i="17"/>
  <c r="N7613" i="17"/>
  <c r="N7612" i="17"/>
  <c r="N7611" i="17"/>
  <c r="N7610" i="17"/>
  <c r="N7609" i="17"/>
  <c r="N7608" i="17"/>
  <c r="N7607" i="17"/>
  <c r="N7606" i="17"/>
  <c r="N7605" i="17"/>
  <c r="N7604" i="17"/>
  <c r="N7603" i="17"/>
  <c r="N7602" i="17"/>
  <c r="N7601" i="17"/>
  <c r="N7600" i="17"/>
  <c r="N7599" i="17"/>
  <c r="N7598" i="17"/>
  <c r="N7597" i="17"/>
  <c r="N7596" i="17"/>
  <c r="N7595" i="17"/>
  <c r="N7594" i="17"/>
  <c r="N7593" i="17"/>
  <c r="N7592" i="17"/>
  <c r="N7591" i="17"/>
  <c r="N7590" i="17"/>
  <c r="N7589" i="17"/>
  <c r="N7588" i="17"/>
  <c r="N7587" i="17"/>
  <c r="N7586" i="17"/>
  <c r="N7585" i="17"/>
  <c r="N7584" i="17"/>
  <c r="N7583" i="17"/>
  <c r="N7582" i="17"/>
  <c r="N7581" i="17"/>
  <c r="N7580" i="17"/>
  <c r="N7579" i="17"/>
  <c r="N7578" i="17"/>
  <c r="N7577" i="17"/>
  <c r="N7576" i="17"/>
  <c r="N7575" i="17"/>
  <c r="N7574" i="17"/>
  <c r="N7573" i="17"/>
  <c r="N7572" i="17"/>
  <c r="N7571" i="17"/>
  <c r="N7570" i="17"/>
  <c r="N7569" i="17"/>
  <c r="N7568" i="17"/>
  <c r="N7567" i="17"/>
  <c r="N7566" i="17"/>
  <c r="N7565" i="17"/>
  <c r="N7564" i="17"/>
  <c r="N7563" i="17"/>
  <c r="N7562" i="17"/>
  <c r="N7561" i="17"/>
  <c r="N7560" i="17"/>
  <c r="N7559" i="17"/>
  <c r="N7558" i="17"/>
  <c r="N7557" i="17"/>
  <c r="N7556" i="17"/>
  <c r="N7555" i="17"/>
  <c r="N7554" i="17"/>
  <c r="N7553" i="17"/>
  <c r="N7552" i="17"/>
  <c r="N7551" i="17"/>
  <c r="N7550" i="17"/>
  <c r="N7549" i="17"/>
  <c r="N7548" i="17"/>
  <c r="N7547" i="17"/>
  <c r="N7546" i="17"/>
  <c r="N7545" i="17"/>
  <c r="N7544" i="17"/>
  <c r="N7543" i="17"/>
  <c r="N7542" i="17"/>
  <c r="N7541" i="17"/>
  <c r="N7540" i="17"/>
  <c r="N7539" i="17"/>
  <c r="N7538" i="17"/>
  <c r="N7537" i="17"/>
  <c r="N7536" i="17"/>
  <c r="N7535" i="17"/>
  <c r="N7534" i="17"/>
  <c r="N7533" i="17"/>
  <c r="N7532" i="17"/>
  <c r="N7531" i="17"/>
  <c r="N7530" i="17"/>
  <c r="N7529" i="17"/>
  <c r="N7528" i="17"/>
  <c r="N7527" i="17"/>
  <c r="N7526" i="17"/>
  <c r="N7525" i="17"/>
  <c r="N7524" i="17"/>
  <c r="N7523" i="17"/>
  <c r="N7522" i="17"/>
  <c r="N7521" i="17"/>
  <c r="N7520" i="17"/>
  <c r="N7519" i="17"/>
  <c r="N7518" i="17"/>
  <c r="N7517" i="17"/>
  <c r="N7516" i="17"/>
  <c r="N7515" i="17"/>
  <c r="N7514" i="17"/>
  <c r="N7513" i="17"/>
  <c r="N7512" i="17"/>
  <c r="N7511" i="17"/>
  <c r="N7510" i="17"/>
  <c r="N7509" i="17"/>
  <c r="N7508" i="17"/>
  <c r="N7507" i="17"/>
  <c r="N7506" i="17"/>
  <c r="N7505" i="17"/>
  <c r="N7504" i="17"/>
  <c r="N7503" i="17"/>
  <c r="N7502" i="17"/>
  <c r="N7501" i="17"/>
  <c r="N7500" i="17"/>
  <c r="N7499" i="17"/>
  <c r="N7498" i="17"/>
  <c r="N7497" i="17"/>
  <c r="N7496" i="17"/>
  <c r="N7495" i="17"/>
  <c r="N7494" i="17"/>
  <c r="N7493" i="17"/>
  <c r="N7492" i="17"/>
  <c r="N7491" i="17"/>
  <c r="N7490" i="17"/>
  <c r="N7489" i="17"/>
  <c r="N7488" i="17"/>
  <c r="N7487" i="17"/>
  <c r="N7486" i="17"/>
  <c r="N7485" i="17"/>
  <c r="N7484" i="17"/>
  <c r="N7483" i="17"/>
  <c r="N7482" i="17"/>
  <c r="N7481" i="17"/>
  <c r="N7480" i="17"/>
  <c r="N7479" i="17"/>
  <c r="N7478" i="17"/>
  <c r="N7477" i="17"/>
  <c r="N7476" i="17"/>
  <c r="N7475" i="17"/>
  <c r="N7474" i="17"/>
  <c r="N7473" i="17"/>
  <c r="N7472" i="17"/>
  <c r="N7471" i="17"/>
  <c r="N7470" i="17"/>
  <c r="N7469" i="17"/>
  <c r="N7468" i="17"/>
  <c r="N7467" i="17"/>
  <c r="N7466" i="17"/>
  <c r="N7465" i="17"/>
  <c r="N7464" i="17"/>
  <c r="N7463" i="17"/>
  <c r="N7462" i="17"/>
  <c r="N7461" i="17"/>
  <c r="N7460" i="17"/>
  <c r="N7459" i="17"/>
  <c r="N7458" i="17"/>
  <c r="N7457" i="17"/>
  <c r="N7456" i="17"/>
  <c r="N7455" i="17"/>
  <c r="N7454" i="17"/>
  <c r="N7453" i="17"/>
  <c r="N7452" i="17"/>
  <c r="N7451" i="17"/>
  <c r="N7450" i="17"/>
  <c r="N7449" i="17"/>
  <c r="N7448" i="17"/>
  <c r="N7447" i="17"/>
  <c r="N7446" i="17"/>
  <c r="N7445" i="17"/>
  <c r="N7444" i="17"/>
  <c r="N7443" i="17"/>
  <c r="N7442" i="17"/>
  <c r="N7441" i="17"/>
  <c r="N7440" i="17"/>
  <c r="N7439" i="17"/>
  <c r="N7438" i="17"/>
  <c r="N7437" i="17"/>
  <c r="N7436" i="17"/>
  <c r="N7435" i="17"/>
  <c r="N7434" i="17"/>
  <c r="N7433" i="17"/>
  <c r="N7432" i="17"/>
  <c r="N7431" i="17"/>
  <c r="N7430" i="17"/>
  <c r="N7429" i="17"/>
  <c r="N7428" i="17"/>
  <c r="N7427" i="17"/>
  <c r="N7426" i="17"/>
  <c r="N7425" i="17"/>
  <c r="N7424" i="17"/>
  <c r="N7423" i="17"/>
  <c r="N7422" i="17"/>
  <c r="N7421" i="17"/>
  <c r="N7420" i="17"/>
  <c r="N7419" i="17"/>
  <c r="N7418" i="17"/>
  <c r="N7417" i="17"/>
  <c r="N7416" i="17"/>
  <c r="N7415" i="17"/>
  <c r="N7414" i="17"/>
  <c r="N7413" i="17"/>
  <c r="N7412" i="17"/>
  <c r="N7411" i="17"/>
  <c r="N7410" i="17"/>
  <c r="N7409" i="17"/>
  <c r="N7408" i="17"/>
  <c r="N7407" i="17"/>
  <c r="N7406" i="17"/>
  <c r="N7405" i="17"/>
  <c r="N7404" i="17"/>
  <c r="N7403" i="17"/>
  <c r="N7402" i="17"/>
  <c r="N7401" i="17"/>
  <c r="N7400" i="17"/>
  <c r="N7399" i="17"/>
  <c r="N7398" i="17"/>
  <c r="N7397" i="17"/>
  <c r="N7396" i="17"/>
  <c r="N7395" i="17"/>
  <c r="N7394" i="17"/>
  <c r="N7393" i="17"/>
  <c r="N7392" i="17"/>
  <c r="N7391" i="17"/>
  <c r="N7390" i="17"/>
  <c r="N7389" i="17"/>
  <c r="N7388" i="17"/>
  <c r="N7387" i="17"/>
  <c r="N7386" i="17"/>
  <c r="N7385" i="17"/>
  <c r="N7384" i="17"/>
  <c r="N7383" i="17"/>
  <c r="N7382" i="17"/>
  <c r="N7381" i="17"/>
  <c r="N7380" i="17"/>
  <c r="N7379" i="17"/>
  <c r="N7378" i="17"/>
  <c r="N7377" i="17"/>
  <c r="N7376" i="17"/>
  <c r="N7375" i="17"/>
  <c r="N7374" i="17"/>
  <c r="N7373" i="17"/>
  <c r="N7372" i="17"/>
  <c r="N7371" i="17"/>
  <c r="N7370" i="17"/>
  <c r="N7369" i="17"/>
  <c r="N7368" i="17"/>
  <c r="N7367" i="17"/>
  <c r="N7366" i="17"/>
  <c r="N7365" i="17"/>
  <c r="N7364" i="17"/>
  <c r="N7363" i="17"/>
  <c r="N7362" i="17"/>
  <c r="N7361" i="17"/>
  <c r="N7360" i="17"/>
  <c r="N7359" i="17"/>
  <c r="N7358" i="17"/>
  <c r="N7357" i="17"/>
  <c r="N7356" i="17"/>
  <c r="N7355" i="17"/>
  <c r="N7354" i="17"/>
  <c r="N7353" i="17"/>
  <c r="N7352" i="17"/>
  <c r="N7351" i="17"/>
  <c r="N7350" i="17"/>
  <c r="N7349" i="17"/>
  <c r="N7348" i="17"/>
  <c r="N7347" i="17"/>
  <c r="N7346" i="17"/>
  <c r="N7345" i="17"/>
  <c r="N7344" i="17"/>
  <c r="N7343" i="17"/>
  <c r="N7342" i="17"/>
  <c r="N7341" i="17"/>
  <c r="N7340" i="17"/>
  <c r="N7339" i="17"/>
  <c r="N7338" i="17"/>
  <c r="N7337" i="17"/>
  <c r="N7336" i="17"/>
  <c r="N7335" i="17"/>
  <c r="N7334" i="17"/>
  <c r="N7333" i="17"/>
  <c r="N7332" i="17"/>
  <c r="N7331" i="17"/>
  <c r="N7330" i="17"/>
  <c r="N7329" i="17"/>
  <c r="N7328" i="17"/>
  <c r="N7327" i="17"/>
  <c r="N7326" i="17"/>
  <c r="N7325" i="17"/>
  <c r="N7324" i="17"/>
  <c r="N7323" i="17"/>
  <c r="N7322" i="17"/>
  <c r="N7321" i="17"/>
  <c r="N7320" i="17"/>
  <c r="N7319" i="17"/>
  <c r="N7318" i="17"/>
  <c r="N7317" i="17"/>
  <c r="N7316" i="17"/>
  <c r="N7315" i="17"/>
  <c r="N7314" i="17"/>
  <c r="N7313" i="17"/>
  <c r="N7312" i="17"/>
  <c r="N7311" i="17"/>
  <c r="N7310" i="17"/>
  <c r="N7309" i="17"/>
  <c r="N7308" i="17"/>
  <c r="N7307" i="17"/>
  <c r="N7306" i="17"/>
  <c r="N7305" i="17"/>
  <c r="N7304" i="17"/>
  <c r="N7303" i="17"/>
  <c r="N7302" i="17"/>
  <c r="N7301" i="17"/>
  <c r="N7300" i="17"/>
  <c r="N7299" i="17"/>
  <c r="N7298" i="17"/>
  <c r="N7297" i="17"/>
  <c r="N7296" i="17"/>
  <c r="N7295" i="17"/>
  <c r="N7294" i="17"/>
  <c r="N7293" i="17"/>
  <c r="N7292" i="17"/>
  <c r="N7291" i="17"/>
  <c r="N7290" i="17"/>
  <c r="N7289" i="17"/>
  <c r="N7288" i="17"/>
  <c r="N7287" i="17"/>
  <c r="N7286" i="17"/>
  <c r="N7285" i="17"/>
  <c r="N7284" i="17"/>
  <c r="N7283" i="17"/>
  <c r="N7282" i="17"/>
  <c r="N7281" i="17"/>
  <c r="N7280" i="17"/>
  <c r="N7279" i="17"/>
  <c r="N7278" i="17"/>
  <c r="N7277" i="17"/>
  <c r="N7276" i="17"/>
  <c r="N7275" i="17"/>
  <c r="N7274" i="17"/>
  <c r="N7273" i="17"/>
  <c r="N7272" i="17"/>
  <c r="N7271" i="17"/>
  <c r="N7270" i="17"/>
  <c r="N7269" i="17"/>
  <c r="N7268" i="17"/>
  <c r="N7267" i="17"/>
  <c r="N7266" i="17"/>
  <c r="N7265" i="17"/>
  <c r="N7264" i="17"/>
  <c r="N7263" i="17"/>
  <c r="N7262" i="17"/>
  <c r="N7261" i="17"/>
  <c r="N7260" i="17"/>
  <c r="N7259" i="17"/>
  <c r="N7258" i="17"/>
  <c r="N7257" i="17"/>
  <c r="N7256" i="17"/>
  <c r="N7255" i="17"/>
  <c r="N7254" i="17"/>
  <c r="N7253" i="17"/>
  <c r="N7252" i="17"/>
  <c r="N7251" i="17"/>
  <c r="N7250" i="17"/>
  <c r="N7249" i="17"/>
  <c r="N7248" i="17"/>
  <c r="N7247" i="17"/>
  <c r="N7246" i="17"/>
  <c r="N7245" i="17"/>
  <c r="N7244" i="17"/>
  <c r="N7243" i="17"/>
  <c r="N7242" i="17"/>
  <c r="N7241" i="17"/>
  <c r="N7240" i="17"/>
  <c r="N7239" i="17"/>
  <c r="N7238" i="17"/>
  <c r="N7237" i="17"/>
  <c r="N7236" i="17"/>
  <c r="N7235" i="17"/>
  <c r="N7234" i="17"/>
  <c r="N7233" i="17"/>
  <c r="N7232" i="17"/>
  <c r="N7231" i="17"/>
  <c r="N7230" i="17"/>
  <c r="N7229" i="17"/>
  <c r="N7228" i="17"/>
  <c r="N7227" i="17"/>
  <c r="N7226" i="17"/>
  <c r="N7225" i="17"/>
  <c r="N7224" i="17"/>
  <c r="N7223" i="17"/>
  <c r="N7222" i="17"/>
  <c r="N7221" i="17"/>
  <c r="N7220" i="17"/>
  <c r="N7219" i="17"/>
  <c r="N7218" i="17"/>
  <c r="N7217" i="17"/>
  <c r="N7216" i="17"/>
  <c r="N7215" i="17"/>
  <c r="N7214" i="17"/>
  <c r="N7213" i="17"/>
  <c r="N7212" i="17"/>
  <c r="N7211" i="17"/>
  <c r="N7210" i="17"/>
  <c r="N7209" i="17"/>
  <c r="N7208" i="17"/>
  <c r="N7207" i="17"/>
  <c r="N7206" i="17"/>
  <c r="N7205" i="17"/>
  <c r="N7204" i="17"/>
  <c r="N7203" i="17"/>
  <c r="N7202" i="17"/>
  <c r="N7201" i="17"/>
  <c r="N7200" i="17"/>
  <c r="N7199" i="17"/>
  <c r="N7198" i="17"/>
  <c r="N7197" i="17"/>
  <c r="N7196" i="17"/>
  <c r="N7195" i="17"/>
  <c r="N7194" i="17"/>
  <c r="N7193" i="17"/>
  <c r="N7192" i="17"/>
  <c r="N7191" i="17"/>
  <c r="N7190" i="17"/>
  <c r="N7189" i="17"/>
  <c r="N7188" i="17"/>
  <c r="N7187" i="17"/>
  <c r="N7186" i="17"/>
  <c r="N7185" i="17"/>
  <c r="N7184" i="17"/>
  <c r="N7183" i="17"/>
  <c r="N7182" i="17"/>
  <c r="N7181" i="17"/>
  <c r="N7180" i="17"/>
  <c r="N7179" i="17"/>
  <c r="N7178" i="17"/>
  <c r="N7177" i="17"/>
  <c r="N7176" i="17"/>
  <c r="N7175" i="17"/>
  <c r="N7174" i="17"/>
  <c r="N7173" i="17"/>
  <c r="N7172" i="17"/>
  <c r="N7171" i="17"/>
  <c r="N7170" i="17"/>
  <c r="N7169" i="17"/>
  <c r="N7168" i="17"/>
  <c r="N7167" i="17"/>
  <c r="N7166" i="17"/>
  <c r="N7165" i="17"/>
  <c r="N7164" i="17"/>
  <c r="N7163" i="17"/>
  <c r="N7162" i="17"/>
  <c r="N7161" i="17"/>
  <c r="N7160" i="17"/>
  <c r="N7159" i="17"/>
  <c r="N7158" i="17"/>
  <c r="N7157" i="17"/>
  <c r="N7156" i="17"/>
  <c r="N7155" i="17"/>
  <c r="N7154" i="17"/>
  <c r="N7153" i="17"/>
  <c r="N7152" i="17"/>
  <c r="N7151" i="17"/>
  <c r="N7150" i="17"/>
  <c r="N7149" i="17"/>
  <c r="N7148" i="17"/>
  <c r="N7147" i="17"/>
  <c r="N7146" i="17"/>
  <c r="N7145" i="17"/>
  <c r="N7144" i="17"/>
  <c r="N7143" i="17"/>
  <c r="N7142" i="17"/>
  <c r="N7141" i="17"/>
  <c r="N7140" i="17"/>
  <c r="N7139" i="17"/>
  <c r="N7138" i="17"/>
  <c r="N7137" i="17"/>
  <c r="N7136" i="17"/>
  <c r="N7135" i="17"/>
  <c r="N7134" i="17"/>
  <c r="N7133" i="17"/>
  <c r="N7132" i="17"/>
  <c r="N7131" i="17"/>
  <c r="N7130" i="17"/>
  <c r="N7129" i="17"/>
  <c r="N7128" i="17"/>
  <c r="N7127" i="17"/>
  <c r="N7126" i="17"/>
  <c r="N7125" i="17"/>
  <c r="N7124" i="17"/>
  <c r="N7123" i="17"/>
  <c r="N7122" i="17"/>
  <c r="N7121" i="17"/>
  <c r="N7120" i="17"/>
  <c r="N7119" i="17"/>
  <c r="N7118" i="17"/>
  <c r="N7117" i="17"/>
  <c r="N7116" i="17"/>
  <c r="N7115" i="17"/>
  <c r="N7114" i="17"/>
  <c r="N7113" i="17"/>
  <c r="N7112" i="17"/>
  <c r="N7111" i="17"/>
  <c r="N7110" i="17"/>
  <c r="N7109" i="17"/>
  <c r="N7108" i="17"/>
  <c r="N7107" i="17"/>
  <c r="N7106" i="17"/>
  <c r="N7105" i="17"/>
  <c r="N7104" i="17"/>
  <c r="N7103" i="17"/>
  <c r="N7102" i="17"/>
  <c r="N7101" i="17"/>
  <c r="N7100" i="17"/>
  <c r="N7099" i="17"/>
  <c r="N7098" i="17"/>
  <c r="N7097" i="17"/>
  <c r="N7096" i="17"/>
  <c r="N7095" i="17"/>
  <c r="N7094" i="17"/>
  <c r="N7093" i="17"/>
  <c r="N7092" i="17"/>
  <c r="N7091" i="17"/>
  <c r="N7090" i="17"/>
  <c r="N7089" i="17"/>
  <c r="N7088" i="17"/>
  <c r="N7087" i="17"/>
  <c r="N7086" i="17"/>
  <c r="N7085" i="17"/>
  <c r="N7084" i="17"/>
  <c r="N7083" i="17"/>
  <c r="N7082" i="17"/>
  <c r="N7081" i="17"/>
  <c r="N7080" i="17"/>
  <c r="N7079" i="17"/>
  <c r="N7078" i="17"/>
  <c r="N7077" i="17"/>
  <c r="N7076" i="17"/>
  <c r="N7075" i="17"/>
  <c r="N7074" i="17"/>
  <c r="N7073" i="17"/>
  <c r="N7072" i="17"/>
  <c r="N7071" i="17"/>
  <c r="N7070" i="17"/>
  <c r="N7069" i="17"/>
  <c r="N7068" i="17"/>
  <c r="N7067" i="17"/>
  <c r="N7066" i="17"/>
  <c r="N7065" i="17"/>
  <c r="N7064" i="17"/>
  <c r="N7063" i="17"/>
  <c r="N7062" i="17"/>
  <c r="N7061" i="17"/>
  <c r="N7060" i="17"/>
  <c r="N7059" i="17"/>
  <c r="N7058" i="17"/>
  <c r="N7057" i="17"/>
  <c r="N7056" i="17"/>
  <c r="N7055" i="17"/>
  <c r="N7054" i="17"/>
  <c r="N7053" i="17"/>
  <c r="N7052" i="17"/>
  <c r="N7051" i="17"/>
  <c r="N7050" i="17"/>
  <c r="N7049" i="17"/>
  <c r="N7048" i="17"/>
  <c r="N7047" i="17"/>
  <c r="N7046" i="17"/>
  <c r="N7045" i="17"/>
  <c r="N7044" i="17"/>
  <c r="N7043" i="17"/>
  <c r="N7042" i="17"/>
  <c r="N7041" i="17"/>
  <c r="N7040" i="17"/>
  <c r="N7039" i="17"/>
  <c r="N7038" i="17"/>
  <c r="N7037" i="17"/>
  <c r="N7036" i="17"/>
  <c r="N7035" i="17"/>
  <c r="N7034" i="17"/>
  <c r="N7033" i="17"/>
  <c r="N7032" i="17"/>
  <c r="N7031" i="17"/>
  <c r="N7030" i="17"/>
  <c r="N7029" i="17"/>
  <c r="N7028" i="17"/>
  <c r="N7027" i="17"/>
  <c r="N7026" i="17"/>
  <c r="N7025" i="17"/>
  <c r="N7024" i="17"/>
  <c r="N7023" i="17"/>
  <c r="N7022" i="17"/>
  <c r="N7021" i="17"/>
  <c r="N7020" i="17"/>
  <c r="N7019" i="17"/>
  <c r="N7018" i="17"/>
  <c r="N7017" i="17"/>
  <c r="N7016" i="17"/>
  <c r="N7015" i="17"/>
  <c r="N7014" i="17"/>
  <c r="N7013" i="17"/>
  <c r="N7012" i="17"/>
  <c r="N7011" i="17"/>
  <c r="N7010" i="17"/>
  <c r="N7009" i="17"/>
  <c r="N7008" i="17"/>
  <c r="N7007" i="17"/>
  <c r="N7006" i="17"/>
  <c r="N7005" i="17"/>
  <c r="N7004" i="17"/>
  <c r="N7003" i="17"/>
  <c r="N7002" i="17"/>
  <c r="N7001" i="17"/>
  <c r="N7000" i="17"/>
  <c r="N6999" i="17"/>
  <c r="N6998" i="17"/>
  <c r="N6997" i="17"/>
  <c r="N6996" i="17"/>
  <c r="N6995" i="17"/>
  <c r="N6994" i="17"/>
  <c r="N6993" i="17"/>
  <c r="N6992" i="17"/>
  <c r="N6991" i="17"/>
  <c r="N6990" i="17"/>
  <c r="N6989" i="17"/>
  <c r="N6988" i="17"/>
  <c r="N6987" i="17"/>
  <c r="N6986" i="17"/>
  <c r="N6985" i="17"/>
  <c r="N6984" i="17"/>
  <c r="N6983" i="17"/>
  <c r="N6982" i="17"/>
  <c r="N6981" i="17"/>
  <c r="N6980" i="17"/>
  <c r="N6979" i="17"/>
  <c r="N6978" i="17"/>
  <c r="N6977" i="17"/>
  <c r="N6976" i="17"/>
  <c r="N6975" i="17"/>
  <c r="N6974" i="17"/>
  <c r="N6973" i="17"/>
  <c r="N6972" i="17"/>
  <c r="N6971" i="17"/>
  <c r="N6970" i="17"/>
  <c r="N6969" i="17"/>
  <c r="N6968" i="17"/>
  <c r="N6967" i="17"/>
  <c r="N6966" i="17"/>
  <c r="N6965" i="17"/>
  <c r="N6964" i="17"/>
  <c r="N6963" i="17"/>
  <c r="N6962" i="17"/>
  <c r="N6961" i="17"/>
  <c r="N6960" i="17"/>
  <c r="N6959" i="17"/>
  <c r="N6958" i="17"/>
  <c r="N6957" i="17"/>
  <c r="N6956" i="17"/>
  <c r="N6955" i="17"/>
  <c r="N6954" i="17"/>
  <c r="N6953" i="17"/>
  <c r="N6952" i="17"/>
  <c r="N6951" i="17"/>
  <c r="N6950" i="17"/>
  <c r="N6949" i="17"/>
  <c r="N6948" i="17"/>
  <c r="N6947" i="17"/>
  <c r="N6946" i="17"/>
  <c r="N6945" i="17"/>
  <c r="N6944" i="17"/>
  <c r="N6943" i="17"/>
  <c r="N6942" i="17"/>
  <c r="N6941" i="17"/>
  <c r="N6940" i="17"/>
  <c r="N6939" i="17"/>
  <c r="N6938" i="17"/>
  <c r="N6937" i="17"/>
  <c r="N6936" i="17"/>
  <c r="N6935" i="17"/>
  <c r="N6934" i="17"/>
  <c r="N6933" i="17"/>
  <c r="N6932" i="17"/>
  <c r="N6931" i="17"/>
  <c r="N6930" i="17"/>
  <c r="N6929" i="17"/>
  <c r="N6928" i="17"/>
  <c r="N6927" i="17"/>
  <c r="N6926" i="17"/>
  <c r="N6925" i="17"/>
  <c r="N6924" i="17"/>
  <c r="N6923" i="17"/>
  <c r="N6922" i="17"/>
  <c r="N6921" i="17"/>
  <c r="N6920" i="17"/>
  <c r="N6919" i="17"/>
  <c r="N6918" i="17"/>
  <c r="N6917" i="17"/>
  <c r="N6916" i="17"/>
  <c r="N6915" i="17"/>
  <c r="N6914" i="17"/>
  <c r="N6913" i="17"/>
  <c r="N6912" i="17"/>
  <c r="N6911" i="17"/>
  <c r="N6910" i="17"/>
  <c r="N6909" i="17"/>
  <c r="N6908" i="17"/>
  <c r="N6907" i="17"/>
  <c r="N6906" i="17"/>
  <c r="N6905" i="17"/>
  <c r="N6904" i="17"/>
  <c r="N6903" i="17"/>
  <c r="N6902" i="17"/>
  <c r="N6901" i="17"/>
  <c r="N6900" i="17"/>
  <c r="N6899" i="17"/>
  <c r="N6898" i="17"/>
  <c r="N6897" i="17"/>
  <c r="N6896" i="17"/>
  <c r="N6895" i="17"/>
  <c r="N6894" i="17"/>
  <c r="N6893" i="17"/>
  <c r="N6892" i="17"/>
  <c r="N6891" i="17"/>
  <c r="N6890" i="17"/>
  <c r="N6889" i="17"/>
  <c r="N6888" i="17"/>
  <c r="N6887" i="17"/>
  <c r="N6886" i="17"/>
  <c r="N6885" i="17"/>
  <c r="N6884" i="17"/>
  <c r="N6883" i="17"/>
  <c r="N6882" i="17"/>
  <c r="N6881" i="17"/>
  <c r="N6880" i="17"/>
  <c r="N6879" i="17"/>
  <c r="N6878" i="17"/>
  <c r="N6877" i="17"/>
  <c r="N6876" i="17"/>
  <c r="N6875" i="17"/>
  <c r="N6874" i="17"/>
  <c r="N6873" i="17"/>
  <c r="N6872" i="17"/>
  <c r="N6871" i="17"/>
  <c r="N6870" i="17"/>
  <c r="N6869" i="17"/>
  <c r="N6868" i="17"/>
  <c r="N6867" i="17"/>
  <c r="N6866" i="17"/>
  <c r="N6865" i="17"/>
  <c r="N6864" i="17"/>
  <c r="N6863" i="17"/>
  <c r="N6862" i="17"/>
  <c r="N6861" i="17"/>
  <c r="N6860" i="17"/>
  <c r="N6859" i="17"/>
  <c r="N6858" i="17"/>
  <c r="N6857" i="17"/>
  <c r="N6856" i="17"/>
  <c r="N6855" i="17"/>
  <c r="N6854" i="17"/>
  <c r="N6853" i="17"/>
  <c r="N6852" i="17"/>
  <c r="N6851" i="17"/>
  <c r="N6850" i="17"/>
  <c r="N6849" i="17"/>
  <c r="N6848" i="17"/>
  <c r="N6847" i="17"/>
  <c r="N6846" i="17"/>
  <c r="N6845" i="17"/>
  <c r="N6844" i="17"/>
  <c r="N6843" i="17"/>
  <c r="N6842" i="17"/>
  <c r="N6841" i="17"/>
  <c r="N6840" i="17"/>
  <c r="N6839" i="17"/>
  <c r="N6838" i="17"/>
  <c r="N6837" i="17"/>
  <c r="N6836" i="17"/>
  <c r="N6835" i="17"/>
  <c r="N6834" i="17"/>
  <c r="N6833" i="17"/>
  <c r="N6832" i="17"/>
  <c r="N6831" i="17"/>
  <c r="N6830" i="17"/>
  <c r="N6829" i="17"/>
  <c r="N6828" i="17"/>
  <c r="N6827" i="17"/>
  <c r="N6826" i="17"/>
  <c r="N6825" i="17"/>
  <c r="N6824" i="17"/>
  <c r="N6823" i="17"/>
  <c r="N6822" i="17"/>
  <c r="N6821" i="17"/>
  <c r="N6820" i="17"/>
  <c r="N6819" i="17"/>
  <c r="N6818" i="17"/>
  <c r="N6817" i="17"/>
  <c r="N6816" i="17"/>
  <c r="N6815" i="17"/>
  <c r="N6814" i="17"/>
  <c r="N6813" i="17"/>
  <c r="N6812" i="17"/>
  <c r="N6811" i="17"/>
  <c r="N6810" i="17"/>
  <c r="N6809" i="17"/>
  <c r="N6808" i="17"/>
  <c r="N6807" i="17"/>
  <c r="N6806" i="17"/>
  <c r="N6805" i="17"/>
  <c r="N6804" i="17"/>
  <c r="N6803" i="17"/>
  <c r="N6802" i="17"/>
  <c r="N6801" i="17"/>
  <c r="N6800" i="17"/>
  <c r="N6799" i="17"/>
  <c r="N6798" i="17"/>
  <c r="N6797" i="17"/>
  <c r="N6796" i="17"/>
  <c r="N6795" i="17"/>
  <c r="N6794" i="17"/>
  <c r="N6793" i="17"/>
  <c r="N6792" i="17"/>
  <c r="N6791" i="17"/>
  <c r="N6790" i="17"/>
  <c r="N6789" i="17"/>
  <c r="N6788" i="17"/>
  <c r="N6787" i="17"/>
  <c r="N6786" i="17"/>
  <c r="N6785" i="17"/>
  <c r="N6784" i="17"/>
  <c r="N6783" i="17"/>
  <c r="N6782" i="17"/>
  <c r="N6781" i="17"/>
  <c r="N6780" i="17"/>
  <c r="N6779" i="17"/>
  <c r="N6778" i="17"/>
  <c r="N6777" i="17"/>
  <c r="N6776" i="17"/>
  <c r="N6775" i="17"/>
  <c r="N6774" i="17"/>
  <c r="N6773" i="17"/>
  <c r="N6772" i="17"/>
  <c r="N6771" i="17"/>
  <c r="N6770" i="17"/>
  <c r="N6769" i="17"/>
  <c r="N6768" i="17"/>
  <c r="N6767" i="17"/>
  <c r="N6766" i="17"/>
  <c r="N6765" i="17"/>
  <c r="N6764" i="17"/>
  <c r="N6763" i="17"/>
  <c r="N6762" i="17"/>
  <c r="N6761" i="17"/>
  <c r="N6760" i="17"/>
  <c r="N6759" i="17"/>
  <c r="N6758" i="17"/>
  <c r="N6757" i="17"/>
  <c r="N6756" i="17"/>
  <c r="N6755" i="17"/>
  <c r="N6754" i="17"/>
  <c r="N6753" i="17"/>
  <c r="N6752" i="17"/>
  <c r="N6751" i="17"/>
  <c r="N6750" i="17"/>
  <c r="N6749" i="17"/>
  <c r="N6748" i="17"/>
  <c r="N6747" i="17"/>
  <c r="N6746" i="17"/>
  <c r="N6745" i="17"/>
  <c r="N6744" i="17"/>
  <c r="N6743" i="17"/>
  <c r="N6742" i="17"/>
  <c r="N6741" i="17"/>
  <c r="N6740" i="17"/>
  <c r="N6739" i="17"/>
  <c r="N6738" i="17"/>
  <c r="N6737" i="17"/>
  <c r="N6736" i="17"/>
  <c r="N6735" i="17"/>
  <c r="N6734" i="17"/>
  <c r="N6733" i="17"/>
  <c r="N6732" i="17"/>
  <c r="N6731" i="17"/>
  <c r="N6730" i="17"/>
  <c r="N6729" i="17"/>
  <c r="N6728" i="17"/>
  <c r="N6727" i="17"/>
  <c r="N6726" i="17"/>
  <c r="N6725" i="17"/>
  <c r="N6724" i="17"/>
  <c r="N6723" i="17"/>
  <c r="N6722" i="17"/>
  <c r="N6721" i="17"/>
  <c r="N6720" i="17"/>
  <c r="N6719" i="17"/>
  <c r="N6718" i="17"/>
  <c r="N6717" i="17"/>
  <c r="N6716" i="17"/>
  <c r="N6715" i="17"/>
  <c r="N6714" i="17"/>
  <c r="N6713" i="17"/>
  <c r="N6712" i="17"/>
  <c r="N6711" i="17"/>
  <c r="N6710" i="17"/>
  <c r="N6709" i="17"/>
  <c r="N6708" i="17"/>
  <c r="N6707" i="17"/>
  <c r="N6706" i="17"/>
  <c r="N6705" i="17"/>
  <c r="N6704" i="17"/>
  <c r="N6703" i="17"/>
  <c r="N6702" i="17"/>
  <c r="N6701" i="17"/>
  <c r="N6700" i="17"/>
  <c r="N6699" i="17"/>
  <c r="N6698" i="17"/>
  <c r="N6697" i="17"/>
  <c r="N6696" i="17"/>
  <c r="N6695" i="17"/>
  <c r="N6694" i="17"/>
  <c r="N6693" i="17"/>
  <c r="N6692" i="17"/>
  <c r="N6691" i="17"/>
  <c r="N6690" i="17"/>
  <c r="N6689" i="17"/>
  <c r="N6688" i="17"/>
  <c r="N6687" i="17"/>
  <c r="N6686" i="17"/>
  <c r="N6685" i="17"/>
  <c r="N6684" i="17"/>
  <c r="N6683" i="17"/>
  <c r="N6682" i="17"/>
  <c r="N6681" i="17"/>
  <c r="N6680" i="17"/>
  <c r="N6679" i="17"/>
  <c r="N6678" i="17"/>
  <c r="N6677" i="17"/>
  <c r="N6676" i="17"/>
  <c r="N6675" i="17"/>
  <c r="N6674" i="17"/>
  <c r="N6673" i="17"/>
  <c r="N6672" i="17"/>
  <c r="N6671" i="17"/>
  <c r="N6670" i="17"/>
  <c r="N6669" i="17"/>
  <c r="N6668" i="17"/>
  <c r="N6667" i="17"/>
  <c r="N6666" i="17"/>
  <c r="N6665" i="17"/>
  <c r="N6664" i="17"/>
  <c r="N6663" i="17"/>
  <c r="N6662" i="17"/>
  <c r="N6661" i="17"/>
  <c r="N6660" i="17"/>
  <c r="N6659" i="17"/>
  <c r="N6658" i="17"/>
  <c r="N6657" i="17"/>
  <c r="N6656" i="17"/>
  <c r="N6655" i="17"/>
  <c r="N6654" i="17"/>
  <c r="N6653" i="17"/>
  <c r="N6652" i="17"/>
  <c r="N6651" i="17"/>
  <c r="N6650" i="17"/>
  <c r="N6649" i="17"/>
  <c r="N6648" i="17"/>
  <c r="N6647" i="17"/>
  <c r="N6646" i="17"/>
  <c r="N6645" i="17"/>
  <c r="N6644" i="17"/>
  <c r="N6643" i="17"/>
  <c r="N6642" i="17"/>
  <c r="N6641" i="17"/>
  <c r="N6640" i="17"/>
  <c r="N6639" i="17"/>
  <c r="N6638" i="17"/>
  <c r="N6637" i="17"/>
  <c r="N6636" i="17"/>
  <c r="N6635" i="17"/>
  <c r="N6634" i="17"/>
  <c r="N6633" i="17"/>
  <c r="N6632" i="17"/>
  <c r="N6631" i="17"/>
  <c r="N6630" i="17"/>
  <c r="N6629" i="17"/>
  <c r="N6628" i="17"/>
  <c r="N6627" i="17"/>
  <c r="N6626" i="17"/>
  <c r="N6625" i="17"/>
  <c r="N6624" i="17"/>
  <c r="N6623" i="17"/>
  <c r="N6622" i="17"/>
  <c r="N6621" i="17"/>
  <c r="N6620" i="17"/>
  <c r="N6619" i="17"/>
  <c r="N6618" i="17"/>
  <c r="N6617" i="17"/>
  <c r="N6616" i="17"/>
  <c r="N6615" i="17"/>
  <c r="N6614" i="17"/>
  <c r="N6613" i="17"/>
  <c r="N6612" i="17"/>
  <c r="N6611" i="17"/>
  <c r="N6610" i="17"/>
  <c r="N6609" i="17"/>
  <c r="N6608" i="17"/>
  <c r="N6607" i="17"/>
  <c r="N6606" i="17"/>
  <c r="N6605" i="17"/>
  <c r="N6604" i="17"/>
  <c r="N6603" i="17"/>
  <c r="N6602" i="17"/>
  <c r="N6601" i="17"/>
  <c r="N6600" i="17"/>
  <c r="N6599" i="17"/>
  <c r="N6598" i="17"/>
  <c r="N6597" i="17"/>
  <c r="N6596" i="17"/>
  <c r="N6595" i="17"/>
  <c r="N6594" i="17"/>
  <c r="N6593" i="17"/>
  <c r="N6592" i="17"/>
  <c r="N6591" i="17"/>
  <c r="N6590" i="17"/>
  <c r="N6589" i="17"/>
  <c r="N6588" i="17"/>
  <c r="N6587" i="17"/>
  <c r="N6586" i="17"/>
  <c r="N6585" i="17"/>
  <c r="N6584" i="17"/>
  <c r="N6583" i="17"/>
  <c r="N6582" i="17"/>
  <c r="N6581" i="17"/>
  <c r="N6580" i="17"/>
  <c r="N6579" i="17"/>
  <c r="N6578" i="17"/>
  <c r="N6577" i="17"/>
  <c r="N6576" i="17"/>
  <c r="N6575" i="17"/>
  <c r="N6574" i="17"/>
  <c r="N6573" i="17"/>
  <c r="N6572" i="17"/>
  <c r="N6571" i="17"/>
  <c r="N6570" i="17"/>
  <c r="N6569" i="17"/>
  <c r="N6568" i="17"/>
  <c r="N6567" i="17"/>
  <c r="N6566" i="17"/>
  <c r="N6565" i="17"/>
  <c r="N6564" i="17"/>
  <c r="N6563" i="17"/>
  <c r="N6562" i="17"/>
  <c r="N6561" i="17"/>
  <c r="N6560" i="17"/>
  <c r="N6559" i="17"/>
  <c r="N6558" i="17"/>
  <c r="N6557" i="17"/>
  <c r="N6556" i="17"/>
  <c r="N6555" i="17"/>
  <c r="N6554" i="17"/>
  <c r="N6553" i="17"/>
  <c r="N6552" i="17"/>
  <c r="N6551" i="17"/>
  <c r="N6550" i="17"/>
  <c r="N6549" i="17"/>
  <c r="N6548" i="17"/>
  <c r="N6547" i="17"/>
  <c r="N6546" i="17"/>
  <c r="N6545" i="17"/>
  <c r="N6544" i="17"/>
  <c r="N6543" i="17"/>
  <c r="N6542" i="17"/>
  <c r="N6541" i="17"/>
  <c r="N6540" i="17"/>
  <c r="N6539" i="17"/>
  <c r="N6538" i="17"/>
  <c r="N6537" i="17"/>
  <c r="N6536" i="17"/>
  <c r="N6535" i="17"/>
  <c r="N6534" i="17"/>
  <c r="N6533" i="17"/>
  <c r="N6532" i="17"/>
  <c r="N6531" i="17"/>
  <c r="N6530" i="17"/>
  <c r="N6529" i="17"/>
  <c r="N6528" i="17"/>
  <c r="N6527" i="17"/>
  <c r="N6526" i="17"/>
  <c r="N6525" i="17"/>
  <c r="N6524" i="17"/>
  <c r="N6523" i="17"/>
  <c r="N6522" i="17"/>
  <c r="N6521" i="17"/>
  <c r="N6520" i="17"/>
  <c r="N6519" i="17"/>
  <c r="N6518" i="17"/>
  <c r="N6517" i="17"/>
  <c r="N6516" i="17"/>
  <c r="N6515" i="17"/>
  <c r="N6514" i="17"/>
  <c r="N6513" i="17"/>
  <c r="N6512" i="17"/>
  <c r="N6511" i="17"/>
  <c r="N6510" i="17"/>
  <c r="N6509" i="17"/>
  <c r="N6508" i="17"/>
  <c r="N6507" i="17"/>
  <c r="N6506" i="17"/>
  <c r="N6505" i="17"/>
  <c r="N6504" i="17"/>
  <c r="N6503" i="17"/>
  <c r="N6502" i="17"/>
  <c r="N6501" i="17"/>
  <c r="N6500" i="17"/>
  <c r="N6499" i="17"/>
  <c r="N6498" i="17"/>
  <c r="N6497" i="17"/>
  <c r="N6496" i="17"/>
  <c r="N6495" i="17"/>
  <c r="N6494" i="17"/>
  <c r="N6493" i="17"/>
  <c r="N6492" i="17"/>
  <c r="N6491" i="17"/>
  <c r="N6490" i="17"/>
  <c r="N6489" i="17"/>
  <c r="N6488" i="17"/>
  <c r="N6487" i="17"/>
  <c r="N6486" i="17"/>
  <c r="N6485" i="17"/>
  <c r="N6484" i="17"/>
  <c r="N6483" i="17"/>
  <c r="N6482" i="17"/>
  <c r="N6481" i="17"/>
  <c r="N6480" i="17"/>
  <c r="N6479" i="17"/>
  <c r="N6478" i="17"/>
  <c r="N6477" i="17"/>
  <c r="N6476" i="17"/>
  <c r="N6475" i="17"/>
  <c r="N6474" i="17"/>
  <c r="N6473" i="17"/>
  <c r="N6472" i="17"/>
  <c r="N6471" i="17"/>
  <c r="N6470" i="17"/>
  <c r="N6469" i="17"/>
  <c r="N6468" i="17"/>
  <c r="N6467" i="17"/>
  <c r="N6466" i="17"/>
  <c r="N6465" i="17"/>
  <c r="N6464" i="17"/>
  <c r="N6463" i="17"/>
  <c r="N6462" i="17"/>
  <c r="N6461" i="17"/>
  <c r="N6460" i="17"/>
  <c r="N6459" i="17"/>
  <c r="N6458" i="17"/>
  <c r="N6457" i="17"/>
  <c r="N6456" i="17"/>
  <c r="N6455" i="17"/>
  <c r="N6454" i="17"/>
  <c r="N6453" i="17"/>
  <c r="N6452" i="17"/>
  <c r="N6451" i="17"/>
  <c r="N6450" i="17"/>
  <c r="N6449" i="17"/>
  <c r="N6448" i="17"/>
  <c r="N6447" i="17"/>
  <c r="N6446" i="17"/>
  <c r="N6445" i="17"/>
  <c r="N6444" i="17"/>
  <c r="N6443" i="17"/>
  <c r="N6442" i="17"/>
  <c r="N6441" i="17"/>
  <c r="N6440" i="17"/>
  <c r="N6439" i="17"/>
  <c r="N6438" i="17"/>
  <c r="N6437" i="17"/>
  <c r="N6436" i="17"/>
  <c r="N6435" i="17"/>
  <c r="N6434" i="17"/>
  <c r="N6433" i="17"/>
  <c r="N6432" i="17"/>
  <c r="N6431" i="17"/>
  <c r="N6430" i="17"/>
  <c r="N6429" i="17"/>
  <c r="N6428" i="17"/>
  <c r="N6427" i="17"/>
  <c r="N6426" i="17"/>
  <c r="N6425" i="17"/>
  <c r="N6424" i="17"/>
  <c r="N6423" i="17"/>
  <c r="N6422" i="17"/>
  <c r="N6421" i="17"/>
  <c r="N6420" i="17"/>
  <c r="N6419" i="17"/>
  <c r="N6418" i="17"/>
  <c r="N6417" i="17"/>
  <c r="N6416" i="17"/>
  <c r="N6415" i="17"/>
  <c r="N6414" i="17"/>
  <c r="N6413" i="17"/>
  <c r="N6412" i="17"/>
  <c r="N6411" i="17"/>
  <c r="N6410" i="17"/>
  <c r="N6409" i="17"/>
  <c r="N6408" i="17"/>
  <c r="N6407" i="17"/>
  <c r="N6406" i="17"/>
  <c r="N6405" i="17"/>
  <c r="N6404" i="17"/>
  <c r="N6403" i="17"/>
  <c r="N6402" i="17"/>
  <c r="N6401" i="17"/>
  <c r="N6400" i="17"/>
  <c r="N6399" i="17"/>
  <c r="N6398" i="17"/>
  <c r="N6397" i="17"/>
  <c r="N6396" i="17"/>
  <c r="N6395" i="17"/>
  <c r="N6394" i="17"/>
  <c r="N6393" i="17"/>
  <c r="N6392" i="17"/>
  <c r="N6391" i="17"/>
  <c r="N6390" i="17"/>
  <c r="N6389" i="17"/>
  <c r="N6388" i="17"/>
  <c r="N6387" i="17"/>
  <c r="N6386" i="17"/>
  <c r="N6385" i="17"/>
  <c r="N6384" i="17"/>
  <c r="N6383" i="17"/>
  <c r="N6382" i="17"/>
  <c r="N6381" i="17"/>
  <c r="N6380" i="17"/>
  <c r="N6379" i="17"/>
  <c r="N6378" i="17"/>
  <c r="N6377" i="17"/>
  <c r="N6376" i="17"/>
  <c r="N6375" i="17"/>
  <c r="N6374" i="17"/>
  <c r="N6373" i="17"/>
  <c r="N6372" i="17"/>
  <c r="N6371" i="17"/>
  <c r="N6370" i="17"/>
  <c r="N6369" i="17"/>
  <c r="N6368" i="17"/>
  <c r="N6367" i="17"/>
  <c r="N6366" i="17"/>
  <c r="N6365" i="17"/>
  <c r="N6364" i="17"/>
  <c r="N6363" i="17"/>
  <c r="N6362" i="17"/>
  <c r="N6361" i="17"/>
  <c r="N6360" i="17"/>
  <c r="N6359" i="17"/>
  <c r="N6358" i="17"/>
  <c r="N6357" i="17"/>
  <c r="N6356" i="17"/>
  <c r="N6355" i="17"/>
  <c r="N6354" i="17"/>
  <c r="N6353" i="17"/>
  <c r="N6352" i="17"/>
  <c r="N6351" i="17"/>
  <c r="N6350" i="17"/>
  <c r="N6349" i="17"/>
  <c r="N6348" i="17"/>
  <c r="N6347" i="17"/>
  <c r="N6346" i="17"/>
  <c r="N6345" i="17"/>
  <c r="N6344" i="17"/>
  <c r="N6343" i="17"/>
  <c r="N6342" i="17"/>
  <c r="N6341" i="17"/>
  <c r="N6340" i="17"/>
  <c r="N6339" i="17"/>
  <c r="N6338" i="17"/>
  <c r="N6337" i="17"/>
  <c r="N6336" i="17"/>
  <c r="N6335" i="17"/>
  <c r="N6334" i="17"/>
  <c r="N6333" i="17"/>
  <c r="N6332" i="17"/>
  <c r="N6331" i="17"/>
  <c r="N6330" i="17"/>
  <c r="N6329" i="17"/>
  <c r="N6328" i="17"/>
  <c r="N6327" i="17"/>
  <c r="N6326" i="17"/>
  <c r="N6325" i="17"/>
  <c r="N6324" i="17"/>
  <c r="N6323" i="17"/>
  <c r="N6322" i="17"/>
  <c r="N6321" i="17"/>
  <c r="N6320" i="17"/>
  <c r="N6319" i="17"/>
  <c r="N6318" i="17"/>
  <c r="N6317" i="17"/>
  <c r="N6316" i="17"/>
  <c r="N6315" i="17"/>
  <c r="N6314" i="17"/>
  <c r="N6313" i="17"/>
  <c r="N6312" i="17"/>
  <c r="N6311" i="17"/>
  <c r="N6310" i="17"/>
  <c r="N6309" i="17"/>
  <c r="N6308" i="17"/>
  <c r="N6307" i="17"/>
  <c r="N6306" i="17"/>
  <c r="N6305" i="17"/>
  <c r="N6304" i="17"/>
  <c r="N6303" i="17"/>
  <c r="N6302" i="17"/>
  <c r="N6301" i="17"/>
  <c r="N6300" i="17"/>
  <c r="N6299" i="17"/>
  <c r="N6298" i="17"/>
  <c r="N6297" i="17"/>
  <c r="N6296" i="17"/>
  <c r="N6295" i="17"/>
  <c r="N6294" i="17"/>
  <c r="N6293" i="17"/>
  <c r="N6292" i="17"/>
  <c r="N6291" i="17"/>
  <c r="N6290" i="17"/>
  <c r="N6289" i="17"/>
  <c r="N6288" i="17"/>
  <c r="N6287" i="17"/>
  <c r="N6286" i="17"/>
  <c r="N6285" i="17"/>
  <c r="N6284" i="17"/>
  <c r="N6283" i="17"/>
  <c r="N6282" i="17"/>
  <c r="N6281" i="17"/>
  <c r="N6280" i="17"/>
  <c r="N6279" i="17"/>
  <c r="N6278" i="17"/>
  <c r="N6277" i="17"/>
  <c r="N6276" i="17"/>
  <c r="N6275" i="17"/>
  <c r="N6274" i="17"/>
  <c r="N6273" i="17"/>
  <c r="N6272" i="17"/>
  <c r="N6271" i="17"/>
  <c r="N6270" i="17"/>
  <c r="N6269" i="17"/>
  <c r="N6268" i="17"/>
  <c r="N6267" i="17"/>
  <c r="N6266" i="17"/>
  <c r="N6265" i="17"/>
  <c r="N6264" i="17"/>
  <c r="N6263" i="17"/>
  <c r="N6262" i="17"/>
  <c r="N6261" i="17"/>
  <c r="N6260" i="17"/>
  <c r="N6259" i="17"/>
  <c r="N6258" i="17"/>
  <c r="N6257" i="17"/>
  <c r="N6256" i="17"/>
  <c r="N6255" i="17"/>
  <c r="N6254" i="17"/>
  <c r="N6253" i="17"/>
  <c r="N6252" i="17"/>
  <c r="N6251" i="17"/>
  <c r="N6250" i="17"/>
  <c r="N6249" i="17"/>
  <c r="N6248" i="17"/>
  <c r="N6247" i="17"/>
  <c r="N6246" i="17"/>
  <c r="N6245" i="17"/>
  <c r="N6244" i="17"/>
  <c r="N6243" i="17"/>
  <c r="N6242" i="17"/>
  <c r="N6241" i="17"/>
  <c r="N6240" i="17"/>
  <c r="N6239" i="17"/>
  <c r="N6238" i="17"/>
  <c r="N6237" i="17"/>
  <c r="N6236" i="17"/>
  <c r="N6235" i="17"/>
  <c r="N6234" i="17"/>
  <c r="N6233" i="17"/>
  <c r="N6232" i="17"/>
  <c r="N6231" i="17"/>
  <c r="N6230" i="17"/>
  <c r="N6229" i="17"/>
  <c r="N6228" i="17"/>
  <c r="N6227" i="17"/>
  <c r="N6226" i="17"/>
  <c r="N6225" i="17"/>
  <c r="N6224" i="17"/>
  <c r="N6223" i="17"/>
  <c r="N6222" i="17"/>
  <c r="N6221" i="17"/>
  <c r="N6220" i="17"/>
  <c r="N6219" i="17"/>
  <c r="N6218" i="17"/>
  <c r="N6217" i="17"/>
  <c r="N6216" i="17"/>
  <c r="N6215" i="17"/>
  <c r="N6214" i="17"/>
  <c r="N6213" i="17"/>
  <c r="N6212" i="17"/>
  <c r="N6211" i="17"/>
  <c r="N6210" i="17"/>
  <c r="N6209" i="17"/>
  <c r="N6208" i="17"/>
  <c r="N6207" i="17"/>
  <c r="N6206" i="17"/>
  <c r="N6205" i="17"/>
  <c r="N6204" i="17"/>
  <c r="N6203" i="17"/>
  <c r="N6202" i="17"/>
  <c r="N6201" i="17"/>
  <c r="N6200" i="17"/>
  <c r="N6199" i="17"/>
  <c r="N6198" i="17"/>
  <c r="N6197" i="17"/>
  <c r="N6196" i="17"/>
  <c r="N6195" i="17"/>
  <c r="N6194" i="17"/>
  <c r="N6193" i="17"/>
  <c r="N6192" i="17"/>
  <c r="N6191" i="17"/>
  <c r="N6190" i="17"/>
  <c r="N6189" i="17"/>
  <c r="N6188" i="17"/>
  <c r="N6187" i="17"/>
  <c r="N6186" i="17"/>
  <c r="N6185" i="17"/>
  <c r="N6184" i="17"/>
  <c r="N6183" i="17"/>
  <c r="N6182" i="17"/>
  <c r="N6181" i="17"/>
  <c r="N6180" i="17"/>
  <c r="N6179" i="17"/>
  <c r="N6178" i="17"/>
  <c r="N6177" i="17"/>
  <c r="N6176" i="17"/>
  <c r="N6175" i="17"/>
  <c r="N6174" i="17"/>
  <c r="N6173" i="17"/>
  <c r="N6172" i="17"/>
  <c r="N6171" i="17"/>
  <c r="N6170" i="17"/>
  <c r="N6169" i="17"/>
  <c r="N6168" i="17"/>
  <c r="N6167" i="17"/>
  <c r="N6166" i="17"/>
  <c r="N6165" i="17"/>
  <c r="N6164" i="17"/>
  <c r="N6163" i="17"/>
  <c r="N6162" i="17"/>
  <c r="N6161" i="17"/>
  <c r="N6160" i="17"/>
  <c r="N6159" i="17"/>
  <c r="N6158" i="17"/>
  <c r="N6157" i="17"/>
  <c r="N6156" i="17"/>
  <c r="N6155" i="17"/>
  <c r="N6154" i="17"/>
  <c r="N6153" i="17"/>
  <c r="N6152" i="17"/>
  <c r="N6151" i="17"/>
  <c r="N6150" i="17"/>
  <c r="N6149" i="17"/>
  <c r="N6148" i="17"/>
  <c r="N6147" i="17"/>
  <c r="N6146" i="17"/>
  <c r="N6145" i="17"/>
  <c r="N6144" i="17"/>
  <c r="N6143" i="17"/>
  <c r="N6142" i="17"/>
  <c r="N6141" i="17"/>
  <c r="N6140" i="17"/>
  <c r="N6139" i="17"/>
  <c r="N6138" i="17"/>
  <c r="N6137" i="17"/>
  <c r="N6136" i="17"/>
  <c r="N6135" i="17"/>
  <c r="N6134" i="17"/>
  <c r="N6133" i="17"/>
  <c r="N6132" i="17"/>
  <c r="N6131" i="17"/>
  <c r="N6130" i="17"/>
  <c r="N6129" i="17"/>
  <c r="N6128" i="17"/>
  <c r="N6127" i="17"/>
  <c r="N6126" i="17"/>
  <c r="N6125" i="17"/>
  <c r="N6124" i="17"/>
  <c r="N6123" i="17"/>
  <c r="N6122" i="17"/>
  <c r="N6121" i="17"/>
  <c r="N6120" i="17"/>
  <c r="N6119" i="17"/>
  <c r="N6118" i="17"/>
  <c r="N6117" i="17"/>
  <c r="N6116" i="17"/>
  <c r="N6115" i="17"/>
  <c r="N6114" i="17"/>
  <c r="N6113" i="17"/>
  <c r="N6112" i="17"/>
  <c r="N6111" i="17"/>
  <c r="N6110" i="17"/>
  <c r="N6109" i="17"/>
  <c r="N6108" i="17"/>
  <c r="N6107" i="17"/>
  <c r="N6106" i="17"/>
  <c r="N6105" i="17"/>
  <c r="N6104" i="17"/>
  <c r="N6103" i="17"/>
  <c r="N6102" i="17"/>
  <c r="N6101" i="17"/>
  <c r="N6100" i="17"/>
  <c r="N6099" i="17"/>
  <c r="N6098" i="17"/>
  <c r="N6097" i="17"/>
  <c r="N6096" i="17"/>
  <c r="N6095" i="17"/>
  <c r="N6094" i="17"/>
  <c r="N6093" i="17"/>
  <c r="N6092" i="17"/>
  <c r="N6091" i="17"/>
  <c r="N6090" i="17"/>
  <c r="N6089" i="17"/>
  <c r="N6088" i="17"/>
  <c r="N6087" i="17"/>
  <c r="N6086" i="17"/>
  <c r="N6085" i="17"/>
  <c r="N6084" i="17"/>
  <c r="N6083" i="17"/>
  <c r="N6082" i="17"/>
  <c r="N6081" i="17"/>
  <c r="N6080" i="17"/>
  <c r="N6079" i="17"/>
  <c r="N6078" i="17"/>
  <c r="N6077" i="17"/>
  <c r="N6076" i="17"/>
  <c r="N6075" i="17"/>
  <c r="N6074" i="17"/>
  <c r="N6073" i="17"/>
  <c r="N6072" i="17"/>
  <c r="N6071" i="17"/>
  <c r="N6070" i="17"/>
  <c r="N6069" i="17"/>
  <c r="N6068" i="17"/>
  <c r="N6067" i="17"/>
  <c r="N6066" i="17"/>
  <c r="N6065" i="17"/>
  <c r="N6064" i="17"/>
  <c r="N6063" i="17"/>
  <c r="N6062" i="17"/>
  <c r="N6061" i="17"/>
  <c r="N6060" i="17"/>
  <c r="N6059" i="17"/>
  <c r="N6058" i="17"/>
  <c r="N6057" i="17"/>
  <c r="N6056" i="17"/>
  <c r="N6055" i="17"/>
  <c r="N6054" i="17"/>
  <c r="N6053" i="17"/>
  <c r="N6052" i="17"/>
  <c r="N6051" i="17"/>
  <c r="N6050" i="17"/>
  <c r="N6049" i="17"/>
  <c r="N6048" i="17"/>
  <c r="N6047" i="17"/>
  <c r="N6046" i="17"/>
  <c r="N6045" i="17"/>
  <c r="N6044" i="17"/>
  <c r="N6043" i="17"/>
  <c r="N6042" i="17"/>
  <c r="N6041" i="17"/>
  <c r="N6040" i="17"/>
  <c r="N6039" i="17"/>
  <c r="N6038" i="17"/>
  <c r="N6037" i="17"/>
  <c r="N6036" i="17"/>
  <c r="N6035" i="17"/>
  <c r="N6034" i="17"/>
  <c r="N6033" i="17"/>
  <c r="N6032" i="17"/>
  <c r="N6031" i="17"/>
  <c r="N6030" i="17"/>
  <c r="N6029" i="17"/>
  <c r="N6028" i="17"/>
  <c r="N6027" i="17"/>
  <c r="N6026" i="17"/>
  <c r="N6025" i="17"/>
  <c r="N6024" i="17"/>
  <c r="N6023" i="17"/>
  <c r="N6022" i="17"/>
  <c r="N6021" i="17"/>
  <c r="N6020" i="17"/>
  <c r="N6019" i="17"/>
  <c r="N6018" i="17"/>
  <c r="N6017" i="17"/>
  <c r="N6016" i="17"/>
  <c r="N6015" i="17"/>
  <c r="N6014" i="17"/>
  <c r="N6013" i="17"/>
  <c r="N6012" i="17"/>
  <c r="N6011" i="17"/>
  <c r="N6010" i="17"/>
  <c r="N6009" i="17"/>
  <c r="N6008" i="17"/>
  <c r="N6007" i="17"/>
  <c r="N6006" i="17"/>
  <c r="N6005" i="17"/>
  <c r="N6004" i="17"/>
  <c r="N6003" i="17"/>
  <c r="N6002" i="17"/>
  <c r="N6001" i="17"/>
  <c r="N6000" i="17"/>
  <c r="N5999" i="17"/>
  <c r="N5998" i="17"/>
  <c r="N5997" i="17"/>
  <c r="N5996" i="17"/>
  <c r="N5995" i="17"/>
  <c r="N5994" i="17"/>
  <c r="N5993" i="17"/>
  <c r="N5992" i="17"/>
  <c r="N5991" i="17"/>
  <c r="N5990" i="17"/>
  <c r="N5989" i="17"/>
  <c r="N5988" i="17"/>
  <c r="N5987" i="17"/>
  <c r="N5986" i="17"/>
  <c r="N5985" i="17"/>
  <c r="N5984" i="17"/>
  <c r="N5983" i="17"/>
  <c r="N5982" i="17"/>
  <c r="N5981" i="17"/>
  <c r="N5980" i="17"/>
  <c r="N5979" i="17"/>
  <c r="N5978" i="17"/>
  <c r="N5977" i="17"/>
  <c r="N5976" i="17"/>
  <c r="N5975" i="17"/>
  <c r="N5974" i="17"/>
  <c r="N5973" i="17"/>
  <c r="N5972" i="17"/>
  <c r="N5971" i="17"/>
  <c r="N5970" i="17"/>
  <c r="N5969" i="17"/>
  <c r="N5968" i="17"/>
  <c r="N5967" i="17"/>
  <c r="N5966" i="17"/>
  <c r="N5965" i="17"/>
  <c r="N5964" i="17"/>
  <c r="N5963" i="17"/>
  <c r="N5962" i="17"/>
  <c r="N5961" i="17"/>
  <c r="N5960" i="17"/>
  <c r="N5959" i="17"/>
  <c r="N5958" i="17"/>
  <c r="N5957" i="17"/>
  <c r="N5956" i="17"/>
  <c r="N5955" i="17"/>
  <c r="N5954" i="17"/>
  <c r="N5953" i="17"/>
  <c r="N5952" i="17"/>
  <c r="N5951" i="17"/>
  <c r="N5950" i="17"/>
  <c r="N5949" i="17"/>
  <c r="N5948" i="17"/>
  <c r="N5947" i="17"/>
  <c r="N5946" i="17"/>
  <c r="N5945" i="17"/>
  <c r="N5944" i="17"/>
  <c r="N5943" i="17"/>
  <c r="N5942" i="17"/>
  <c r="N5941" i="17"/>
  <c r="N5940" i="17"/>
  <c r="N5939" i="17"/>
  <c r="N5938" i="17"/>
  <c r="N5937" i="17"/>
  <c r="N5936" i="17"/>
  <c r="N5935" i="17"/>
  <c r="N5934" i="17"/>
  <c r="N5933" i="17"/>
  <c r="N5932" i="17"/>
  <c r="N5931" i="17"/>
  <c r="N5930" i="17"/>
  <c r="N5929" i="17"/>
  <c r="N5928" i="17"/>
  <c r="N5927" i="17"/>
  <c r="N5926" i="17"/>
  <c r="N5925" i="17"/>
  <c r="N5924" i="17"/>
  <c r="N5923" i="17"/>
  <c r="N5922" i="17"/>
  <c r="N5921" i="17"/>
  <c r="N5920" i="17"/>
  <c r="N5919" i="17"/>
  <c r="N5918" i="17"/>
  <c r="N5917" i="17"/>
  <c r="N5916" i="17"/>
  <c r="N5915" i="17"/>
  <c r="N5914" i="17"/>
  <c r="N5913" i="17"/>
  <c r="N5912" i="17"/>
  <c r="N5911" i="17"/>
  <c r="N5910" i="17"/>
  <c r="N5909" i="17"/>
  <c r="N5908" i="17"/>
  <c r="N5907" i="17"/>
  <c r="N5906" i="17"/>
  <c r="N5905" i="17"/>
  <c r="N5904" i="17"/>
  <c r="N5903" i="17"/>
  <c r="N5902" i="17"/>
  <c r="N5901" i="17"/>
  <c r="N5900" i="17"/>
  <c r="N5899" i="17"/>
  <c r="N5898" i="17"/>
  <c r="N5897" i="17"/>
  <c r="N5896" i="17"/>
  <c r="N5895" i="17"/>
  <c r="N5894" i="17"/>
  <c r="N5893" i="17"/>
  <c r="N5892" i="17"/>
  <c r="N5891" i="17"/>
  <c r="N5890" i="17"/>
  <c r="N5889" i="17"/>
  <c r="N5888" i="17"/>
  <c r="N5887" i="17"/>
  <c r="N5886" i="17"/>
  <c r="N5885" i="17"/>
  <c r="N5884" i="17"/>
  <c r="N5883" i="17"/>
  <c r="N5882" i="17"/>
  <c r="N5881" i="17"/>
  <c r="N5880" i="17"/>
  <c r="N5879" i="17"/>
  <c r="N5878" i="17"/>
  <c r="N5877" i="17"/>
  <c r="N5876" i="17"/>
  <c r="N5875" i="17"/>
  <c r="N5874" i="17"/>
  <c r="N5873" i="17"/>
  <c r="N5872" i="17"/>
  <c r="N5871" i="17"/>
  <c r="N5870" i="17"/>
  <c r="N5869" i="17"/>
  <c r="N5868" i="17"/>
  <c r="N5867" i="17"/>
  <c r="N5866" i="17"/>
  <c r="N5865" i="17"/>
  <c r="N5864" i="17"/>
  <c r="N5863" i="17"/>
  <c r="N5862" i="17"/>
  <c r="N5861" i="17"/>
  <c r="N5860" i="17"/>
  <c r="N5859" i="17"/>
  <c r="N5858" i="17"/>
  <c r="N5857" i="17"/>
  <c r="N5856" i="17"/>
  <c r="N5855" i="17"/>
  <c r="N5854" i="17"/>
  <c r="N5853" i="17"/>
  <c r="N5852" i="17"/>
  <c r="N5851" i="17"/>
  <c r="N5850" i="17"/>
  <c r="N5849" i="17"/>
  <c r="N5848" i="17"/>
  <c r="N5847" i="17"/>
  <c r="N5846" i="17"/>
  <c r="N5845" i="17"/>
  <c r="N5844" i="17"/>
  <c r="N5843" i="17"/>
  <c r="N5842" i="17"/>
  <c r="N5841" i="17"/>
  <c r="N5840" i="17"/>
  <c r="N5839" i="17"/>
  <c r="N5838" i="17"/>
  <c r="N5837" i="17"/>
  <c r="N5836" i="17"/>
  <c r="N5835" i="17"/>
  <c r="N5834" i="17"/>
  <c r="N5833" i="17"/>
  <c r="N5832" i="17"/>
  <c r="N5831" i="17"/>
  <c r="N5830" i="17"/>
  <c r="N5829" i="17"/>
  <c r="N5828" i="17"/>
  <c r="N5827" i="17"/>
  <c r="N5826" i="17"/>
  <c r="N5825" i="17"/>
  <c r="N5824" i="17"/>
  <c r="N5823" i="17"/>
  <c r="N5822" i="17"/>
  <c r="N5821" i="17"/>
  <c r="N5820" i="17"/>
  <c r="N5819" i="17"/>
  <c r="N5818" i="17"/>
  <c r="N5817" i="17"/>
  <c r="N5816" i="17"/>
  <c r="N5815" i="17"/>
  <c r="N5814" i="17"/>
  <c r="N5813" i="17"/>
  <c r="N5812" i="17"/>
  <c r="N5811" i="17"/>
  <c r="N5810" i="17"/>
  <c r="N5809" i="17"/>
  <c r="N5808" i="17"/>
  <c r="N5807" i="17"/>
  <c r="N5806" i="17"/>
  <c r="N5805" i="17"/>
  <c r="N5804" i="17"/>
  <c r="N5803" i="17"/>
  <c r="N5802" i="17"/>
  <c r="N5801" i="17"/>
  <c r="N5800" i="17"/>
  <c r="N5799" i="17"/>
  <c r="N5798" i="17"/>
  <c r="N5797" i="17"/>
  <c r="N5796" i="17"/>
  <c r="N5795" i="17"/>
  <c r="N5794" i="17"/>
  <c r="N5793" i="17"/>
  <c r="N5792" i="17"/>
  <c r="N5791" i="17"/>
  <c r="N5790" i="17"/>
  <c r="N5789" i="17"/>
  <c r="N5788" i="17"/>
  <c r="N5787" i="17"/>
  <c r="N5786" i="17"/>
  <c r="N5785" i="17"/>
  <c r="N5784" i="17"/>
  <c r="N5783" i="17"/>
  <c r="N5782" i="17"/>
  <c r="N5781" i="17"/>
  <c r="N5780" i="17"/>
  <c r="N5779" i="17"/>
  <c r="N5778" i="17"/>
  <c r="N5777" i="17"/>
  <c r="N5776" i="17"/>
  <c r="N5775" i="17"/>
  <c r="N5774" i="17"/>
  <c r="N5773" i="17"/>
  <c r="N5772" i="17"/>
  <c r="N5771" i="17"/>
  <c r="N5770" i="17"/>
  <c r="N5769" i="17"/>
  <c r="N5768" i="17"/>
  <c r="N5767" i="17"/>
  <c r="N5766" i="17"/>
  <c r="N5765" i="17"/>
  <c r="N5764" i="17"/>
  <c r="N5763" i="17"/>
  <c r="N5762" i="17"/>
  <c r="N5761" i="17"/>
  <c r="N5760" i="17"/>
  <c r="N5759" i="17"/>
  <c r="N5758" i="17"/>
  <c r="N5757" i="17"/>
  <c r="N5756" i="17"/>
  <c r="N5755" i="17"/>
  <c r="N5754" i="17"/>
  <c r="N5753" i="17"/>
  <c r="N5752" i="17"/>
  <c r="N5751" i="17"/>
  <c r="N5750" i="17"/>
  <c r="N5749" i="17"/>
  <c r="N5748" i="17"/>
  <c r="N5747" i="17"/>
  <c r="N5746" i="17"/>
  <c r="N5745" i="17"/>
  <c r="N5744" i="17"/>
  <c r="N5743" i="17"/>
  <c r="N5742" i="17"/>
  <c r="N5741" i="17"/>
  <c r="N5740" i="17"/>
  <c r="N5739" i="17"/>
  <c r="N5738" i="17"/>
  <c r="N5737" i="17"/>
  <c r="N5736" i="17"/>
  <c r="N5735" i="17"/>
  <c r="N5734" i="17"/>
  <c r="N5733" i="17"/>
  <c r="N5732" i="17"/>
  <c r="N5731" i="17"/>
  <c r="N5730" i="17"/>
  <c r="N5729" i="17"/>
  <c r="N5728" i="17"/>
  <c r="N5727" i="17"/>
  <c r="N5726" i="17"/>
  <c r="N5725" i="17"/>
  <c r="N5724" i="17"/>
  <c r="N5723" i="17"/>
  <c r="N5722" i="17"/>
  <c r="N5721" i="17"/>
  <c r="N5720" i="17"/>
  <c r="N5719" i="17"/>
  <c r="N5718" i="17"/>
  <c r="N5717" i="17"/>
  <c r="N5716" i="17"/>
  <c r="N5715" i="17"/>
  <c r="N5714" i="17"/>
  <c r="N5713" i="17"/>
  <c r="N5712" i="17"/>
  <c r="N5711" i="17"/>
  <c r="N5710" i="17"/>
  <c r="N5709" i="17"/>
  <c r="N5708" i="17"/>
  <c r="N5707" i="17"/>
  <c r="N5706" i="17"/>
  <c r="N5705" i="17"/>
  <c r="N5704" i="17"/>
  <c r="N5703" i="17"/>
  <c r="N5702" i="17"/>
  <c r="N5701" i="17"/>
  <c r="N5700" i="17"/>
  <c r="N5699" i="17"/>
  <c r="N5698" i="17"/>
  <c r="N5697" i="17"/>
  <c r="N5696" i="17"/>
  <c r="N5695" i="17"/>
  <c r="N5694" i="17"/>
  <c r="N5693" i="17"/>
  <c r="N5692" i="17"/>
  <c r="N5691" i="17"/>
  <c r="N5690" i="17"/>
  <c r="N5689" i="17"/>
  <c r="N5688" i="17"/>
  <c r="N5687" i="17"/>
  <c r="N5686" i="17"/>
  <c r="N5685" i="17"/>
  <c r="N5684" i="17"/>
  <c r="N5683" i="17"/>
  <c r="N5682" i="17"/>
  <c r="N5681" i="17"/>
  <c r="N5680" i="17"/>
  <c r="N5679" i="17"/>
  <c r="N5678" i="17"/>
  <c r="N5677" i="17"/>
  <c r="N5676" i="17"/>
  <c r="N5675" i="17"/>
  <c r="N5674" i="17"/>
  <c r="N5673" i="17"/>
  <c r="N5672" i="17"/>
  <c r="N5671" i="17"/>
  <c r="N5670" i="17"/>
  <c r="N5669" i="17"/>
  <c r="N5668" i="17"/>
  <c r="N5667" i="17"/>
  <c r="N5666" i="17"/>
  <c r="N5665" i="17"/>
  <c r="N5664" i="17"/>
  <c r="N5663" i="17"/>
  <c r="N5662" i="17"/>
  <c r="N5661" i="17"/>
  <c r="N5660" i="17"/>
  <c r="N5659" i="17"/>
  <c r="N5658" i="17"/>
  <c r="N5657" i="17"/>
  <c r="N5656" i="17"/>
  <c r="N5655" i="17"/>
  <c r="N5654" i="17"/>
  <c r="N5653" i="17"/>
  <c r="N5652" i="17"/>
  <c r="N5651" i="17"/>
  <c r="N5650" i="17"/>
  <c r="N5649" i="17"/>
  <c r="N5648" i="17"/>
  <c r="N5647" i="17"/>
  <c r="N5646" i="17"/>
  <c r="N5645" i="17"/>
  <c r="N5644" i="17"/>
  <c r="N5643" i="17"/>
  <c r="N5642" i="17"/>
  <c r="N5641" i="17"/>
  <c r="N5640" i="17"/>
  <c r="N5639" i="17"/>
  <c r="N5638" i="17"/>
  <c r="N5637" i="17"/>
  <c r="N5636" i="17"/>
  <c r="N5635" i="17"/>
  <c r="N5634" i="17"/>
  <c r="N5633" i="17"/>
  <c r="N5632" i="17"/>
  <c r="N5631" i="17"/>
  <c r="N5630" i="17"/>
  <c r="N5629" i="17"/>
  <c r="N5628" i="17"/>
  <c r="N5627" i="17"/>
  <c r="N5626" i="17"/>
  <c r="N5625" i="17"/>
  <c r="N5624" i="17"/>
  <c r="N5623" i="17"/>
  <c r="N5622" i="17"/>
  <c r="N5621" i="17"/>
  <c r="N5620" i="17"/>
  <c r="N5619" i="17"/>
  <c r="N5618" i="17"/>
  <c r="N5617" i="17"/>
  <c r="N5616" i="17"/>
  <c r="N5615" i="17"/>
  <c r="N5614" i="17"/>
  <c r="N5613" i="17"/>
  <c r="N5612" i="17"/>
  <c r="N5611" i="17"/>
  <c r="N5610" i="17"/>
  <c r="N5609" i="17"/>
  <c r="N5608" i="17"/>
  <c r="N5607" i="17"/>
  <c r="N5606" i="17"/>
  <c r="N5605" i="17"/>
  <c r="N5604" i="17"/>
  <c r="N5603" i="17"/>
  <c r="N5602" i="17"/>
  <c r="N5601" i="17"/>
  <c r="N5600" i="17"/>
  <c r="N5599" i="17"/>
  <c r="N5598" i="17"/>
  <c r="N5597" i="17"/>
  <c r="N5596" i="17"/>
  <c r="N5595" i="17"/>
  <c r="N5594" i="17"/>
  <c r="N5593" i="17"/>
  <c r="N5592" i="17"/>
  <c r="N5591" i="17"/>
  <c r="N5590" i="17"/>
  <c r="N5589" i="17"/>
  <c r="N5588" i="17"/>
  <c r="N5587" i="17"/>
  <c r="N5586" i="17"/>
  <c r="N5585" i="17"/>
  <c r="N5584" i="17"/>
  <c r="N5583" i="17"/>
  <c r="N5582" i="17"/>
  <c r="N5581" i="17"/>
  <c r="N5580" i="17"/>
  <c r="N5579" i="17"/>
  <c r="N5578" i="17"/>
  <c r="N5577" i="17"/>
  <c r="N5576" i="17"/>
  <c r="N5575" i="17"/>
  <c r="N5574" i="17"/>
  <c r="N5573" i="17"/>
  <c r="N5572" i="17"/>
  <c r="N5571" i="17"/>
  <c r="N5570" i="17"/>
  <c r="N5569" i="17"/>
  <c r="N5568" i="17"/>
  <c r="N5567" i="17"/>
  <c r="N5566" i="17"/>
  <c r="N5565" i="17"/>
  <c r="N5564" i="17"/>
  <c r="N5563" i="17"/>
  <c r="N5562" i="17"/>
  <c r="N5561" i="17"/>
  <c r="N5560" i="17"/>
  <c r="N5559" i="17"/>
  <c r="N5558" i="17"/>
  <c r="N5557" i="17"/>
  <c r="N5556" i="17"/>
  <c r="N5555" i="17"/>
  <c r="N5554" i="17"/>
  <c r="N5553" i="17"/>
  <c r="N5552" i="17"/>
  <c r="N5551" i="17"/>
  <c r="N5550" i="17"/>
  <c r="N5549" i="17"/>
  <c r="N5548" i="17"/>
  <c r="N5547" i="17"/>
  <c r="N5546" i="17"/>
  <c r="N5545" i="17"/>
  <c r="N5544" i="17"/>
  <c r="N5543" i="17"/>
  <c r="N5542" i="17"/>
  <c r="N5541" i="17"/>
  <c r="N5540" i="17"/>
  <c r="N5539" i="17"/>
  <c r="N5538" i="17"/>
  <c r="N5537" i="17"/>
  <c r="N5536" i="17"/>
  <c r="N5535" i="17"/>
  <c r="N5534" i="17"/>
  <c r="N5533" i="17"/>
  <c r="N5532" i="17"/>
  <c r="N5531" i="17"/>
  <c r="N5530" i="17"/>
  <c r="N5529" i="17"/>
  <c r="N5528" i="17"/>
  <c r="N5527" i="17"/>
  <c r="N5526" i="17"/>
  <c r="N5525" i="17"/>
  <c r="N5524" i="17"/>
  <c r="N5523" i="17"/>
  <c r="N5522" i="17"/>
  <c r="N5521" i="17"/>
  <c r="N5520" i="17"/>
  <c r="N5519" i="17"/>
  <c r="N5518" i="17"/>
  <c r="N5517" i="17"/>
  <c r="N5516" i="17"/>
  <c r="N5515" i="17"/>
  <c r="N5514" i="17"/>
  <c r="N5513" i="17"/>
  <c r="N5512" i="17"/>
  <c r="N5511" i="17"/>
  <c r="N5510" i="17"/>
  <c r="N5509" i="17"/>
  <c r="N5508" i="17"/>
  <c r="N5507" i="17"/>
  <c r="N5506" i="17"/>
  <c r="N5505" i="17"/>
  <c r="N5504" i="17"/>
  <c r="N5503" i="17"/>
  <c r="N5502" i="17"/>
  <c r="N5501" i="17"/>
  <c r="N5500" i="17"/>
  <c r="N5499" i="17"/>
  <c r="N5498" i="17"/>
  <c r="N5497" i="17"/>
  <c r="N5496" i="17"/>
  <c r="N5495" i="17"/>
  <c r="N5494" i="17"/>
  <c r="N5493" i="17"/>
  <c r="N5492" i="17"/>
  <c r="N5491" i="17"/>
  <c r="N5490" i="17"/>
  <c r="N5489" i="17"/>
  <c r="N5488" i="17"/>
  <c r="N5487" i="17"/>
  <c r="N5486" i="17"/>
  <c r="N5485" i="17"/>
  <c r="N5484" i="17"/>
  <c r="N5483" i="17"/>
  <c r="N5482" i="17"/>
  <c r="N5481" i="17"/>
  <c r="N5480" i="17"/>
  <c r="N5479" i="17"/>
  <c r="N5478" i="17"/>
  <c r="N5477" i="17"/>
  <c r="N5476" i="17"/>
  <c r="N5475" i="17"/>
  <c r="N5474" i="17"/>
  <c r="N5473" i="17"/>
  <c r="N5472" i="17"/>
  <c r="N5471" i="17"/>
  <c r="N5470" i="17"/>
  <c r="N5469" i="17"/>
  <c r="N5468" i="17"/>
  <c r="N5467" i="17"/>
  <c r="N5466" i="17"/>
  <c r="N5465" i="17"/>
  <c r="N5464" i="17"/>
  <c r="N5463" i="17"/>
  <c r="N5462" i="17"/>
  <c r="N5461" i="17"/>
  <c r="N5460" i="17"/>
  <c r="N5459" i="17"/>
  <c r="N5458" i="17"/>
  <c r="N5457" i="17"/>
  <c r="N5456" i="17"/>
  <c r="N5455" i="17"/>
  <c r="N5454" i="17"/>
  <c r="N5453" i="17"/>
  <c r="N5452" i="17"/>
  <c r="N5451" i="17"/>
  <c r="N5450" i="17"/>
  <c r="N5449" i="17"/>
  <c r="N5448" i="17"/>
  <c r="N5447" i="17"/>
  <c r="N5446" i="17"/>
  <c r="N5445" i="17"/>
  <c r="N5444" i="17"/>
  <c r="N5443" i="17"/>
  <c r="N5442" i="17"/>
  <c r="N5441" i="17"/>
  <c r="N5440" i="17"/>
  <c r="N5439" i="17"/>
  <c r="N5438" i="17"/>
  <c r="N5437" i="17"/>
  <c r="N5436" i="17"/>
  <c r="N5435" i="17"/>
  <c r="N5434" i="17"/>
  <c r="N5433" i="17"/>
  <c r="N5432" i="17"/>
  <c r="N5431" i="17"/>
  <c r="N5430" i="17"/>
  <c r="N5429" i="17"/>
  <c r="N5428" i="17"/>
  <c r="N5427" i="17"/>
  <c r="N5426" i="17"/>
  <c r="N5425" i="17"/>
  <c r="N5424" i="17"/>
  <c r="N5423" i="17"/>
  <c r="N5422" i="17"/>
  <c r="N5421" i="17"/>
  <c r="N5420" i="17"/>
  <c r="N5419" i="17"/>
  <c r="N5418" i="17"/>
  <c r="N5417" i="17"/>
  <c r="N5416" i="17"/>
  <c r="N5415" i="17"/>
  <c r="N5414" i="17"/>
  <c r="N5413" i="17"/>
  <c r="N5412" i="17"/>
  <c r="N5411" i="17"/>
  <c r="N5410" i="17"/>
  <c r="N5409" i="17"/>
  <c r="N5408" i="17"/>
  <c r="N5407" i="17"/>
  <c r="N5406" i="17"/>
  <c r="N5405" i="17"/>
  <c r="N5404" i="17"/>
  <c r="N5403" i="17"/>
  <c r="N5402" i="17"/>
  <c r="N5401" i="17"/>
  <c r="N5400" i="17"/>
  <c r="N5399" i="17"/>
  <c r="N5398" i="17"/>
  <c r="N5397" i="17"/>
  <c r="N5396" i="17"/>
  <c r="N5395" i="17"/>
  <c r="N5394" i="17"/>
  <c r="N5393" i="17"/>
  <c r="N5392" i="17"/>
  <c r="N5391" i="17"/>
  <c r="N5390" i="17"/>
  <c r="N5389" i="17"/>
  <c r="N5388" i="17"/>
  <c r="N5387" i="17"/>
  <c r="N5386" i="17"/>
  <c r="N5385" i="17"/>
  <c r="N5384" i="17"/>
  <c r="N5383" i="17"/>
  <c r="N5382" i="17"/>
  <c r="N5381" i="17"/>
  <c r="N5380" i="17"/>
  <c r="N5379" i="17"/>
  <c r="N5378" i="17"/>
  <c r="N5377" i="17"/>
  <c r="N5376" i="17"/>
  <c r="N5375" i="17"/>
  <c r="N5374" i="17"/>
  <c r="N5373" i="17"/>
  <c r="N5372" i="17"/>
  <c r="N5371" i="17"/>
  <c r="N5370" i="17"/>
  <c r="N5369" i="17"/>
  <c r="N5368" i="17"/>
  <c r="N5367" i="17"/>
  <c r="N5366" i="17"/>
  <c r="N5365" i="17"/>
  <c r="N5364" i="17"/>
  <c r="N5363" i="17"/>
  <c r="N5362" i="17"/>
  <c r="N5361" i="17"/>
  <c r="N5360" i="17"/>
  <c r="N5359" i="17"/>
  <c r="N5358" i="17"/>
  <c r="N5357" i="17"/>
  <c r="N5356" i="17"/>
  <c r="N5355" i="17"/>
  <c r="N5354" i="17"/>
  <c r="N5353" i="17"/>
  <c r="N5352" i="17"/>
  <c r="N5351" i="17"/>
  <c r="N5350" i="17"/>
  <c r="N5349" i="17"/>
  <c r="N5348" i="17"/>
  <c r="N5347" i="17"/>
  <c r="N5346" i="17"/>
  <c r="N5345" i="17"/>
  <c r="N5344" i="17"/>
  <c r="N5343" i="17"/>
  <c r="N5342" i="17"/>
  <c r="N5341" i="17"/>
  <c r="N5340" i="17"/>
  <c r="N5339" i="17"/>
  <c r="N5338" i="17"/>
  <c r="N5337" i="17"/>
  <c r="N5336" i="17"/>
  <c r="N5335" i="17"/>
  <c r="N5334" i="17"/>
  <c r="N5333" i="17"/>
  <c r="N5332" i="17"/>
  <c r="N5331" i="17"/>
  <c r="N5330" i="17"/>
  <c r="N5329" i="17"/>
  <c r="N5328" i="17"/>
  <c r="N5327" i="17"/>
  <c r="N5326" i="17"/>
  <c r="N5325" i="17"/>
  <c r="N5324" i="17"/>
  <c r="N5323" i="17"/>
  <c r="N5322" i="17"/>
  <c r="N5321" i="17"/>
  <c r="N5320" i="17"/>
  <c r="N5319" i="17"/>
  <c r="N5318" i="17"/>
  <c r="N5317" i="17"/>
  <c r="N5316" i="17"/>
  <c r="N5315" i="17"/>
  <c r="N5314" i="17"/>
  <c r="N5313" i="17"/>
  <c r="N5312" i="17"/>
  <c r="N5311" i="17"/>
  <c r="N5310" i="17"/>
  <c r="N5309" i="17"/>
  <c r="N5308" i="17"/>
  <c r="N5307" i="17"/>
  <c r="N5306" i="17"/>
  <c r="N5305" i="17"/>
  <c r="N5304" i="17"/>
  <c r="N5303" i="17"/>
  <c r="N5302" i="17"/>
  <c r="N5301" i="17"/>
  <c r="N5300" i="17"/>
  <c r="N5299" i="17"/>
  <c r="N5298" i="17"/>
  <c r="N5297" i="17"/>
  <c r="N5296" i="17"/>
  <c r="N5295" i="17"/>
  <c r="N5294" i="17"/>
  <c r="N5293" i="17"/>
  <c r="N5292" i="17"/>
  <c r="N5291" i="17"/>
  <c r="N5290" i="17"/>
  <c r="N5289" i="17"/>
  <c r="N5288" i="17"/>
  <c r="N5287" i="17"/>
  <c r="N5286" i="17"/>
  <c r="N5285" i="17"/>
  <c r="N5284" i="17"/>
  <c r="N5283" i="17"/>
  <c r="N5282" i="17"/>
  <c r="N5281" i="17"/>
  <c r="N5280" i="17"/>
  <c r="N5279" i="17"/>
  <c r="N5278" i="17"/>
  <c r="N5277" i="17"/>
  <c r="N5276" i="17"/>
  <c r="N5275" i="17"/>
  <c r="N5274" i="17"/>
  <c r="N5273" i="17"/>
  <c r="N5272" i="17"/>
  <c r="N5271" i="17"/>
  <c r="N5270" i="17"/>
  <c r="N5269" i="17"/>
  <c r="N5268" i="17"/>
  <c r="N5267" i="17"/>
  <c r="N5266" i="17"/>
  <c r="N5265" i="17"/>
  <c r="N5264" i="17"/>
  <c r="N5263" i="17"/>
  <c r="N5262" i="17"/>
  <c r="N5261" i="17"/>
  <c r="N5260" i="17"/>
  <c r="N5259" i="17"/>
  <c r="N5258" i="17"/>
  <c r="N5257" i="17"/>
  <c r="N5256" i="17"/>
  <c r="N5255" i="17"/>
  <c r="N5254" i="17"/>
  <c r="N5253" i="17"/>
  <c r="N5252" i="17"/>
  <c r="N5251" i="17"/>
  <c r="N5250" i="17"/>
  <c r="N5249" i="17"/>
  <c r="N5248" i="17"/>
  <c r="N5247" i="17"/>
  <c r="N5246" i="17"/>
  <c r="N5245" i="17"/>
  <c r="N5244" i="17"/>
  <c r="N5243" i="17"/>
  <c r="N5242" i="17"/>
  <c r="N5241" i="17"/>
  <c r="N5240" i="17"/>
  <c r="N5239" i="17"/>
  <c r="N5238" i="17"/>
  <c r="N5237" i="17"/>
  <c r="N5236" i="17"/>
  <c r="N5235" i="17"/>
  <c r="N5234" i="17"/>
  <c r="N5233" i="17"/>
  <c r="N5232" i="17"/>
  <c r="N5231" i="17"/>
  <c r="N5230" i="17"/>
  <c r="N5229" i="17"/>
  <c r="N5228" i="17"/>
  <c r="N5227" i="17"/>
  <c r="N5226" i="17"/>
  <c r="N5225" i="17"/>
  <c r="N5224" i="17"/>
  <c r="N5223" i="17"/>
  <c r="N5222" i="17"/>
  <c r="N5221" i="17"/>
  <c r="N5220" i="17"/>
  <c r="N5219" i="17"/>
  <c r="N5218" i="17"/>
  <c r="N5217" i="17"/>
  <c r="N5216" i="17"/>
  <c r="N5215" i="17"/>
  <c r="N5214" i="17"/>
  <c r="N5213" i="17"/>
  <c r="N5212" i="17"/>
  <c r="N5211" i="17"/>
  <c r="N5210" i="17"/>
  <c r="N5209" i="17"/>
  <c r="N5208" i="17"/>
  <c r="N5207" i="17"/>
  <c r="N5206" i="17"/>
  <c r="N5205" i="17"/>
  <c r="N5204" i="17"/>
  <c r="N5203" i="17"/>
  <c r="N5202" i="17"/>
  <c r="N5201" i="17"/>
  <c r="N5200" i="17"/>
  <c r="N5199" i="17"/>
  <c r="N5198" i="17"/>
  <c r="N5197" i="17"/>
  <c r="N5196" i="17"/>
  <c r="N5195" i="17"/>
  <c r="N5194" i="17"/>
  <c r="N5193" i="17"/>
  <c r="N5192" i="17"/>
  <c r="N5191" i="17"/>
  <c r="N5190" i="17"/>
  <c r="N5189" i="17"/>
  <c r="N5188" i="17"/>
  <c r="N5187" i="17"/>
  <c r="N5186" i="17"/>
  <c r="N5185" i="17"/>
  <c r="N5184" i="17"/>
  <c r="N5183" i="17"/>
  <c r="N5182" i="17"/>
  <c r="N5181" i="17"/>
  <c r="N5180" i="17"/>
  <c r="N5179" i="17"/>
  <c r="N5178" i="17"/>
  <c r="N5177" i="17"/>
  <c r="N5176" i="17"/>
  <c r="N5175" i="17"/>
  <c r="N5174" i="17"/>
  <c r="N5173" i="17"/>
  <c r="N5172" i="17"/>
  <c r="N5171" i="17"/>
  <c r="N5170" i="17"/>
  <c r="N5169" i="17"/>
  <c r="N5168" i="17"/>
  <c r="N5167" i="17"/>
  <c r="N5166" i="17"/>
  <c r="N5165" i="17"/>
  <c r="N5164" i="17"/>
  <c r="N5163" i="17"/>
  <c r="N5162" i="17"/>
  <c r="N5161" i="17"/>
  <c r="N5160" i="17"/>
  <c r="N5159" i="17"/>
  <c r="N5158" i="17"/>
  <c r="N5157" i="17"/>
  <c r="N5156" i="17"/>
  <c r="N5155" i="17"/>
  <c r="N5154" i="17"/>
  <c r="N5153" i="17"/>
  <c r="N5152" i="17"/>
  <c r="N5151" i="17"/>
  <c r="N5150" i="17"/>
  <c r="N5149" i="17"/>
  <c r="N5148" i="17"/>
  <c r="N5147" i="17"/>
  <c r="N5146" i="17"/>
  <c r="N5145" i="17"/>
  <c r="N5144" i="17"/>
  <c r="N5143" i="17"/>
  <c r="N5142" i="17"/>
  <c r="N5141" i="17"/>
  <c r="N5140" i="17"/>
  <c r="N5139" i="17"/>
  <c r="N5138" i="17"/>
  <c r="N5137" i="17"/>
  <c r="N5136" i="17"/>
  <c r="N5135" i="17"/>
  <c r="N5134" i="17"/>
  <c r="N5133" i="17"/>
  <c r="N5132" i="17"/>
  <c r="N5131" i="17"/>
  <c r="N5130" i="17"/>
  <c r="N5129" i="17"/>
  <c r="N5128" i="17"/>
  <c r="N5127" i="17"/>
  <c r="N5126" i="17"/>
  <c r="N5125" i="17"/>
  <c r="N5124" i="17"/>
  <c r="N5123" i="17"/>
  <c r="N5122" i="17"/>
  <c r="N5121" i="17"/>
  <c r="N5120" i="17"/>
  <c r="N5119" i="17"/>
  <c r="N5118" i="17"/>
  <c r="N5117" i="17"/>
  <c r="N5116" i="17"/>
  <c r="N5115" i="17"/>
  <c r="N5114" i="17"/>
  <c r="N5113" i="17"/>
  <c r="N5112" i="17"/>
  <c r="N5111" i="17"/>
  <c r="N5110" i="17"/>
  <c r="N5109" i="17"/>
  <c r="N5108" i="17"/>
  <c r="N5107" i="17"/>
  <c r="N5106" i="17"/>
  <c r="N5105" i="17"/>
  <c r="N5104" i="17"/>
  <c r="N5103" i="17"/>
  <c r="N5102" i="17"/>
  <c r="N5101" i="17"/>
  <c r="N5100" i="17"/>
  <c r="N5099" i="17"/>
  <c r="N5098" i="17"/>
  <c r="N5097" i="17"/>
  <c r="N5096" i="17"/>
  <c r="N5095" i="17"/>
  <c r="N5094" i="17"/>
  <c r="N5093" i="17"/>
  <c r="N5092" i="17"/>
  <c r="N5091" i="17"/>
  <c r="N5090" i="17"/>
  <c r="N5089" i="17"/>
  <c r="N5088" i="17"/>
  <c r="N5087" i="17"/>
  <c r="N5086" i="17"/>
  <c r="N5085" i="17"/>
  <c r="N5084" i="17"/>
  <c r="N5083" i="17"/>
  <c r="N5082" i="17"/>
  <c r="N5081" i="17"/>
  <c r="N5080" i="17"/>
  <c r="N5079" i="17"/>
  <c r="N5078" i="17"/>
  <c r="N5077" i="17"/>
  <c r="N5076" i="17"/>
  <c r="N5075" i="17"/>
  <c r="N5074" i="17"/>
  <c r="N5073" i="17"/>
  <c r="N5072" i="17"/>
  <c r="N5071" i="17"/>
  <c r="N5070" i="17"/>
  <c r="N5069" i="17"/>
  <c r="N5068" i="17"/>
  <c r="N5067" i="17"/>
  <c r="N5066" i="17"/>
  <c r="N5065" i="17"/>
  <c r="N5064" i="17"/>
  <c r="N5063" i="17"/>
  <c r="N5062" i="17"/>
  <c r="N5061" i="17"/>
  <c r="N5060" i="17"/>
  <c r="N5059" i="17"/>
  <c r="N5058" i="17"/>
  <c r="N5057" i="17"/>
  <c r="N5056" i="17"/>
  <c r="N5055" i="17"/>
  <c r="N5054" i="17"/>
  <c r="N5053" i="17"/>
  <c r="N5052" i="17"/>
  <c r="N5051" i="17"/>
  <c r="N5050" i="17"/>
  <c r="N5049" i="17"/>
  <c r="N5048" i="17"/>
  <c r="N5047" i="17"/>
  <c r="N5046" i="17"/>
  <c r="N5045" i="17"/>
  <c r="N5044" i="17"/>
  <c r="N5043" i="17"/>
  <c r="N5042" i="17"/>
  <c r="N5041" i="17"/>
  <c r="N5040" i="17"/>
  <c r="N5039" i="17"/>
  <c r="N5038" i="17"/>
  <c r="N5037" i="17"/>
  <c r="N5036" i="17"/>
  <c r="N5035" i="17"/>
  <c r="N5034" i="17"/>
  <c r="N5033" i="17"/>
  <c r="N5032" i="17"/>
  <c r="N5031" i="17"/>
  <c r="N5030" i="17"/>
  <c r="N5029" i="17"/>
  <c r="N5028" i="17"/>
  <c r="N5027" i="17"/>
  <c r="N5026" i="17"/>
  <c r="N5025" i="17"/>
  <c r="N5024" i="17"/>
  <c r="N5023" i="17"/>
  <c r="N5022" i="17"/>
  <c r="N5021" i="17"/>
  <c r="N5020" i="17"/>
  <c r="N5019" i="17"/>
  <c r="N5018" i="17"/>
  <c r="N5017" i="17"/>
  <c r="N5016" i="17"/>
  <c r="N5015" i="17"/>
  <c r="N5014" i="17"/>
  <c r="N5013" i="17"/>
  <c r="N5012" i="17"/>
  <c r="N5011" i="17"/>
  <c r="N5010" i="17"/>
  <c r="N5009" i="17"/>
  <c r="N5008" i="17"/>
  <c r="N5007" i="17"/>
  <c r="N5006" i="17"/>
  <c r="N5005" i="17"/>
  <c r="N5004" i="17"/>
  <c r="N5003" i="17"/>
  <c r="N5002" i="17"/>
  <c r="N5001" i="17"/>
  <c r="N5000" i="17"/>
  <c r="N4999" i="17"/>
  <c r="N4998" i="17"/>
  <c r="N4997" i="17"/>
  <c r="N4996" i="17"/>
  <c r="N4995" i="17"/>
  <c r="N4994" i="17"/>
  <c r="N4993" i="17"/>
  <c r="N4992" i="17"/>
  <c r="N4991" i="17"/>
  <c r="N4990" i="17"/>
  <c r="N4989" i="17"/>
  <c r="N4988" i="17"/>
  <c r="N4987" i="17"/>
  <c r="N4986" i="17"/>
  <c r="N4985" i="17"/>
  <c r="N4984" i="17"/>
  <c r="N4983" i="17"/>
  <c r="N4982" i="17"/>
  <c r="N4981" i="17"/>
  <c r="N4980" i="17"/>
  <c r="N4979" i="17"/>
  <c r="N4978" i="17"/>
  <c r="N4977" i="17"/>
  <c r="N4976" i="17"/>
  <c r="N4975" i="17"/>
  <c r="N4974" i="17"/>
  <c r="N4973" i="17"/>
  <c r="N4972" i="17"/>
  <c r="N4971" i="17"/>
  <c r="N4970" i="17"/>
  <c r="N4969" i="17"/>
  <c r="N4968" i="17"/>
  <c r="N4967" i="17"/>
  <c r="N4966" i="17"/>
  <c r="N4965" i="17"/>
  <c r="N4964" i="17"/>
  <c r="N4963" i="17"/>
  <c r="N4962" i="17"/>
  <c r="N4961" i="17"/>
  <c r="N4960" i="17"/>
  <c r="N4959" i="17"/>
  <c r="N4958" i="17"/>
  <c r="N4957" i="17"/>
  <c r="N4956" i="17"/>
  <c r="N4955" i="17"/>
  <c r="N4954" i="17"/>
  <c r="N4953" i="17"/>
  <c r="N4952" i="17"/>
  <c r="N4951" i="17"/>
  <c r="N4950" i="17"/>
  <c r="N4949" i="17"/>
  <c r="N4948" i="17"/>
  <c r="N4947" i="17"/>
  <c r="N4946" i="17"/>
  <c r="N4945" i="17"/>
  <c r="N4944" i="17"/>
  <c r="N4943" i="17"/>
  <c r="N4942" i="17"/>
  <c r="N4941" i="17"/>
  <c r="N4940" i="17"/>
  <c r="N4939" i="17"/>
  <c r="N4938" i="17"/>
  <c r="N4937" i="17"/>
  <c r="N4936" i="17"/>
  <c r="N4935" i="17"/>
  <c r="N4934" i="17"/>
  <c r="N4933" i="17"/>
  <c r="N4932" i="17"/>
  <c r="N4931" i="17"/>
  <c r="N4930" i="17"/>
  <c r="N4929" i="17"/>
  <c r="N4928" i="17"/>
  <c r="N4927" i="17"/>
  <c r="N4926" i="17"/>
  <c r="N4925" i="17"/>
  <c r="N4924" i="17"/>
  <c r="N4923" i="17"/>
  <c r="N4922" i="17"/>
  <c r="N4921" i="17"/>
  <c r="N4920" i="17"/>
  <c r="N4919" i="17"/>
  <c r="N4918" i="17"/>
  <c r="N4917" i="17"/>
  <c r="N4916" i="17"/>
  <c r="N4915" i="17"/>
  <c r="N4914" i="17"/>
  <c r="N4913" i="17"/>
  <c r="N4912" i="17"/>
  <c r="N4911" i="17"/>
  <c r="N4910" i="17"/>
  <c r="N4909" i="17"/>
  <c r="N4908" i="17"/>
  <c r="N4907" i="17"/>
  <c r="N4906" i="17"/>
  <c r="N4905" i="17"/>
  <c r="N4904" i="17"/>
  <c r="N4903" i="17"/>
  <c r="N4902" i="17"/>
  <c r="N4901" i="17"/>
  <c r="N4900" i="17"/>
  <c r="N4899" i="17"/>
  <c r="N4898" i="17"/>
  <c r="N4897" i="17"/>
  <c r="N4896" i="17"/>
  <c r="N4895" i="17"/>
  <c r="N4894" i="17"/>
  <c r="N4893" i="17"/>
  <c r="N4892" i="17"/>
  <c r="N4891" i="17"/>
  <c r="N4890" i="17"/>
  <c r="N4889" i="17"/>
  <c r="N4888" i="17"/>
  <c r="N4887" i="17"/>
  <c r="N4886" i="17"/>
  <c r="N4885" i="17"/>
  <c r="N4884" i="17"/>
  <c r="N4883" i="17"/>
  <c r="N4882" i="17"/>
  <c r="N4881" i="17"/>
  <c r="N4880" i="17"/>
  <c r="N4879" i="17"/>
  <c r="N4878" i="17"/>
  <c r="N4877" i="17"/>
  <c r="N4876" i="17"/>
  <c r="N4875" i="17"/>
  <c r="N4874" i="17"/>
  <c r="N4873" i="17"/>
  <c r="N4872" i="17"/>
  <c r="N4871" i="17"/>
  <c r="N4870" i="17"/>
  <c r="N4869" i="17"/>
  <c r="N4868" i="17"/>
  <c r="N4867" i="17"/>
  <c r="N4866" i="17"/>
  <c r="N4865" i="17"/>
  <c r="N4864" i="17"/>
  <c r="N4863" i="17"/>
  <c r="N4862" i="17"/>
  <c r="N4861" i="17"/>
  <c r="N4860" i="17"/>
  <c r="N4859" i="17"/>
  <c r="N4858" i="17"/>
  <c r="N4857" i="17"/>
  <c r="N4856" i="17"/>
  <c r="N4855" i="17"/>
  <c r="N4854" i="17"/>
  <c r="N4853" i="17"/>
  <c r="N4852" i="17"/>
  <c r="N4851" i="17"/>
  <c r="N4850" i="17"/>
  <c r="N4849" i="17"/>
  <c r="N4848" i="17"/>
  <c r="N4847" i="17"/>
  <c r="N4846" i="17"/>
  <c r="N4845" i="17"/>
  <c r="N4844" i="17"/>
  <c r="N4843" i="17"/>
  <c r="N4842" i="17"/>
  <c r="N4841" i="17"/>
  <c r="N4840" i="17"/>
  <c r="N4839" i="17"/>
  <c r="N4838" i="17"/>
  <c r="N4837" i="17"/>
  <c r="N4836" i="17"/>
  <c r="N4835" i="17"/>
  <c r="N4834" i="17"/>
  <c r="N4833" i="17"/>
  <c r="N4832" i="17"/>
  <c r="N4831" i="17"/>
  <c r="N4830" i="17"/>
  <c r="N4829" i="17"/>
  <c r="N4828" i="17"/>
  <c r="N4827" i="17"/>
  <c r="N4826" i="17"/>
  <c r="N4825" i="17"/>
  <c r="N4824" i="17"/>
  <c r="N4823" i="17"/>
  <c r="N4822" i="17"/>
  <c r="N4821" i="17"/>
  <c r="N4820" i="17"/>
  <c r="N4819" i="17"/>
  <c r="N4818" i="17"/>
  <c r="N4817" i="17"/>
  <c r="N4816" i="17"/>
  <c r="N4815" i="17"/>
  <c r="N4814" i="17"/>
  <c r="N4813" i="17"/>
  <c r="N4812" i="17"/>
  <c r="N4811" i="17"/>
  <c r="N4810" i="17"/>
  <c r="N4809" i="17"/>
  <c r="N4808" i="17"/>
  <c r="N4807" i="17"/>
  <c r="N4806" i="17"/>
  <c r="N4805" i="17"/>
  <c r="N4804" i="17"/>
  <c r="N4803" i="17"/>
  <c r="N4802" i="17"/>
  <c r="N4801" i="17"/>
  <c r="N4800" i="17"/>
  <c r="N4799" i="17"/>
  <c r="N4798" i="17"/>
  <c r="N4797" i="17"/>
  <c r="N4796" i="17"/>
  <c r="N4795" i="17"/>
  <c r="N4794" i="17"/>
  <c r="N4793" i="17"/>
  <c r="N4792" i="17"/>
  <c r="N4791" i="17"/>
  <c r="N4790" i="17"/>
  <c r="N4789" i="17"/>
  <c r="N4788" i="17"/>
  <c r="N4787" i="17"/>
  <c r="N4786" i="17"/>
  <c r="N4785" i="17"/>
  <c r="N4784" i="17"/>
  <c r="N4783" i="17"/>
  <c r="N4782" i="17"/>
  <c r="N4781" i="17"/>
  <c r="N4780" i="17"/>
  <c r="N4779" i="17"/>
  <c r="N4778" i="17"/>
  <c r="N4777" i="17"/>
  <c r="N4776" i="17"/>
  <c r="N4775" i="17"/>
  <c r="N4774" i="17"/>
  <c r="N4773" i="17"/>
  <c r="N4772" i="17"/>
  <c r="N4771" i="17"/>
  <c r="N4770" i="17"/>
  <c r="N4769" i="17"/>
  <c r="N4768" i="17"/>
  <c r="N4767" i="17"/>
  <c r="N4766" i="17"/>
  <c r="N4765" i="17"/>
  <c r="N4764" i="17"/>
  <c r="N4763" i="17"/>
  <c r="N4762" i="17"/>
  <c r="N4761" i="17"/>
  <c r="N4760" i="17"/>
  <c r="N4759" i="17"/>
  <c r="N4758" i="17"/>
  <c r="N4757" i="17"/>
  <c r="N4756" i="17"/>
  <c r="N4755" i="17"/>
  <c r="N4754" i="17"/>
  <c r="N4753" i="17"/>
  <c r="N4752" i="17"/>
  <c r="N4751" i="17"/>
  <c r="N4750" i="17"/>
  <c r="N4749" i="17"/>
  <c r="N4748" i="17"/>
  <c r="N4747" i="17"/>
  <c r="N4746" i="17"/>
  <c r="N4745" i="17"/>
  <c r="N4744" i="17"/>
  <c r="N4743" i="17"/>
  <c r="N4742" i="17"/>
  <c r="N4741" i="17"/>
  <c r="N4740" i="17"/>
  <c r="N4739" i="17"/>
  <c r="N4738" i="17"/>
  <c r="N4737" i="17"/>
  <c r="N4736" i="17"/>
  <c r="N4735" i="17"/>
  <c r="N4734" i="17"/>
  <c r="N4733" i="17"/>
  <c r="N4732" i="17"/>
  <c r="N4731" i="17"/>
  <c r="N4730" i="17"/>
  <c r="N4729" i="17"/>
  <c r="N4728" i="17"/>
  <c r="N4727" i="17"/>
  <c r="N4726" i="17"/>
  <c r="N4725" i="17"/>
  <c r="N4724" i="17"/>
  <c r="N4723" i="17"/>
  <c r="N4722" i="17"/>
  <c r="N4721" i="17"/>
  <c r="N4720" i="17"/>
  <c r="N4719" i="17"/>
  <c r="N4718" i="17"/>
  <c r="N4717" i="17"/>
  <c r="N4716" i="17"/>
  <c r="N4715" i="17"/>
  <c r="N4714" i="17"/>
  <c r="N4713" i="17"/>
  <c r="N4712" i="17"/>
  <c r="N4711" i="17"/>
  <c r="N4710" i="17"/>
  <c r="N4709" i="17"/>
  <c r="N4708" i="17"/>
  <c r="N4707" i="17"/>
  <c r="N4706" i="17"/>
  <c r="N4705" i="17"/>
  <c r="N4704" i="17"/>
  <c r="N4703" i="17"/>
  <c r="N4702" i="17"/>
  <c r="N4701" i="17"/>
  <c r="N4700" i="17"/>
  <c r="N4699" i="17"/>
  <c r="N4698" i="17"/>
  <c r="N4697" i="17"/>
  <c r="N4696" i="17"/>
  <c r="N4695" i="17"/>
  <c r="N4694" i="17"/>
  <c r="N4693" i="17"/>
  <c r="N4692" i="17"/>
  <c r="N4691" i="17"/>
  <c r="N4690" i="17"/>
  <c r="N4689" i="17"/>
  <c r="N4688" i="17"/>
  <c r="N4687" i="17"/>
  <c r="N4686" i="17"/>
  <c r="N4685" i="17"/>
  <c r="N4684" i="17"/>
  <c r="N4683" i="17"/>
  <c r="N4682" i="17"/>
  <c r="N4681" i="17"/>
  <c r="N4680" i="17"/>
  <c r="N4679" i="17"/>
  <c r="N4678" i="17"/>
  <c r="N4677" i="17"/>
  <c r="N4676" i="17"/>
  <c r="N4675" i="17"/>
  <c r="N4674" i="17"/>
  <c r="N4673" i="17"/>
  <c r="N4672" i="17"/>
  <c r="N4671" i="17"/>
  <c r="N4670" i="17"/>
  <c r="N4669" i="17"/>
  <c r="N4668" i="17"/>
  <c r="N4667" i="17"/>
  <c r="N4666" i="17"/>
  <c r="N4665" i="17"/>
  <c r="N4664" i="17"/>
  <c r="N4663" i="17"/>
  <c r="N4662" i="17"/>
  <c r="N4661" i="17"/>
  <c r="N4660" i="17"/>
  <c r="N4659" i="17"/>
  <c r="N4658" i="17"/>
  <c r="N4657" i="17"/>
  <c r="N4656" i="17"/>
  <c r="N4655" i="17"/>
  <c r="N4654" i="17"/>
  <c r="N4653" i="17"/>
  <c r="N4652" i="17"/>
  <c r="N4651" i="17"/>
  <c r="N4650" i="17"/>
  <c r="N4649" i="17"/>
  <c r="N4648" i="17"/>
  <c r="N4647" i="17"/>
  <c r="N4646" i="17"/>
  <c r="N4645" i="17"/>
  <c r="N4644" i="17"/>
  <c r="N4643" i="17"/>
  <c r="N4642" i="17"/>
  <c r="N4641" i="17"/>
  <c r="N4640" i="17"/>
  <c r="N4639" i="17"/>
  <c r="N4638" i="17"/>
  <c r="N4637" i="17"/>
  <c r="N4636" i="17"/>
  <c r="N4635" i="17"/>
  <c r="N4634" i="17"/>
  <c r="N4633" i="17"/>
  <c r="N4632" i="17"/>
  <c r="N4631" i="17"/>
  <c r="N4630" i="17"/>
  <c r="N4629" i="17"/>
  <c r="N4628" i="17"/>
  <c r="N4627" i="17"/>
  <c r="N4626" i="17"/>
  <c r="N4625" i="17"/>
  <c r="N4624" i="17"/>
  <c r="N4623" i="17"/>
  <c r="N4622" i="17"/>
  <c r="N4621" i="17"/>
  <c r="N4620" i="17"/>
  <c r="N4619" i="17"/>
  <c r="N4618" i="17"/>
  <c r="N4617" i="17"/>
  <c r="N4616" i="17"/>
  <c r="N4615" i="17"/>
  <c r="N4614" i="17"/>
  <c r="N4613" i="17"/>
  <c r="N4612" i="17"/>
  <c r="N4611" i="17"/>
  <c r="N4610" i="17"/>
  <c r="N4609" i="17"/>
  <c r="N4608" i="17"/>
  <c r="N4607" i="17"/>
  <c r="N4606" i="17"/>
  <c r="N4605" i="17"/>
  <c r="N4604" i="17"/>
  <c r="N4603" i="17"/>
  <c r="N4602" i="17"/>
  <c r="N4601" i="17"/>
  <c r="N4600" i="17"/>
  <c r="N4599" i="17"/>
  <c r="N4598" i="17"/>
  <c r="N4597" i="17"/>
  <c r="N4596" i="17"/>
  <c r="N4595" i="17"/>
  <c r="N4594" i="17"/>
  <c r="N4593" i="17"/>
  <c r="N4592" i="17"/>
  <c r="N4591" i="17"/>
  <c r="N4590" i="17"/>
  <c r="N4589" i="17"/>
  <c r="N4588" i="17"/>
  <c r="N4587" i="17"/>
  <c r="N4586" i="17"/>
  <c r="N4585" i="17"/>
  <c r="N4584" i="17"/>
  <c r="N4583" i="17"/>
  <c r="N4582" i="17"/>
  <c r="N4581" i="17"/>
  <c r="N4580" i="17"/>
  <c r="N4579" i="17"/>
  <c r="N4578" i="17"/>
  <c r="N4577" i="17"/>
  <c r="N4576" i="17"/>
  <c r="N4575" i="17"/>
  <c r="N4574" i="17"/>
  <c r="N4573" i="17"/>
  <c r="N4572" i="17"/>
  <c r="N4571" i="17"/>
  <c r="N4570" i="17"/>
  <c r="N4569" i="17"/>
  <c r="N4568" i="17"/>
  <c r="N4567" i="17"/>
  <c r="N4566" i="17"/>
  <c r="N4565" i="17"/>
  <c r="N4564" i="17"/>
  <c r="N4563" i="17"/>
  <c r="N4562" i="17"/>
  <c r="N4561" i="17"/>
  <c r="N4560" i="17"/>
  <c r="N4559" i="17"/>
  <c r="N4558" i="17"/>
  <c r="N4557" i="17"/>
  <c r="N4556" i="17"/>
  <c r="N4555" i="17"/>
  <c r="N4554" i="17"/>
  <c r="N4553" i="17"/>
  <c r="N4552" i="17"/>
  <c r="N4551" i="17"/>
  <c r="N4550" i="17"/>
  <c r="N4549" i="17"/>
  <c r="N4548" i="17"/>
  <c r="N4547" i="17"/>
  <c r="N4546" i="17"/>
  <c r="N4545" i="17"/>
  <c r="N4544" i="17"/>
  <c r="N4543" i="17"/>
  <c r="N4542" i="17"/>
  <c r="N4541" i="17"/>
  <c r="N4540" i="17"/>
  <c r="N4539" i="17"/>
  <c r="N4538" i="17"/>
  <c r="N4537" i="17"/>
  <c r="N4536" i="17"/>
  <c r="N4535" i="17"/>
  <c r="N4534" i="17"/>
  <c r="N4533" i="17"/>
  <c r="N4532" i="17"/>
  <c r="N4531" i="17"/>
  <c r="N4530" i="17"/>
  <c r="N4529" i="17"/>
  <c r="N4528" i="17"/>
  <c r="N4527" i="17"/>
  <c r="N4526" i="17"/>
  <c r="N4525" i="17"/>
  <c r="N4524" i="17"/>
  <c r="N4523" i="17"/>
  <c r="N4522" i="17"/>
  <c r="N4521" i="17"/>
  <c r="N4520" i="17"/>
  <c r="N4519" i="17"/>
  <c r="N4518" i="17"/>
  <c r="N4517" i="17"/>
  <c r="N4516" i="17"/>
  <c r="N4515" i="17"/>
  <c r="N4514" i="17"/>
  <c r="N4513" i="17"/>
  <c r="N4512" i="17"/>
  <c r="N4511" i="17"/>
  <c r="N4510" i="17"/>
  <c r="N4509" i="17"/>
  <c r="N4508" i="17"/>
  <c r="N4507" i="17"/>
  <c r="N4506" i="17"/>
  <c r="N4505" i="17"/>
  <c r="N4504" i="17"/>
  <c r="N4503" i="17"/>
  <c r="N4502" i="17"/>
  <c r="N4501" i="17"/>
  <c r="N4500" i="17"/>
  <c r="N4499" i="17"/>
  <c r="N4498" i="17"/>
  <c r="N4497" i="17"/>
  <c r="N4496" i="17"/>
  <c r="N4495" i="17"/>
  <c r="N4494" i="17"/>
  <c r="N4493" i="17"/>
  <c r="N4492" i="17"/>
  <c r="N4491" i="17"/>
  <c r="N4490" i="17"/>
  <c r="N4489" i="17"/>
  <c r="N4488" i="17"/>
  <c r="N4487" i="17"/>
  <c r="N4486" i="17"/>
  <c r="N4485" i="17"/>
  <c r="N4484" i="17"/>
  <c r="N4483" i="17"/>
  <c r="N4482" i="17"/>
  <c r="N4481" i="17"/>
  <c r="N4480" i="17"/>
  <c r="N4479" i="17"/>
  <c r="N4478" i="17"/>
  <c r="N4477" i="17"/>
  <c r="N4476" i="17"/>
  <c r="N4475" i="17"/>
  <c r="N4474" i="17"/>
  <c r="N4473" i="17"/>
  <c r="N4472" i="17"/>
  <c r="N4471" i="17"/>
  <c r="N4470" i="17"/>
  <c r="N4469" i="17"/>
  <c r="N4468" i="17"/>
  <c r="N4467" i="17"/>
  <c r="N4466" i="17"/>
  <c r="N4465" i="17"/>
  <c r="N4464" i="17"/>
  <c r="N4463" i="17"/>
  <c r="N4462" i="17"/>
  <c r="N4461" i="17"/>
  <c r="N4460" i="17"/>
  <c r="N4459" i="17"/>
  <c r="N4458" i="17"/>
  <c r="N4457" i="17"/>
  <c r="N4456" i="17"/>
  <c r="N4455" i="17"/>
  <c r="N4454" i="17"/>
  <c r="N4453" i="17"/>
  <c r="N4452" i="17"/>
  <c r="N4451" i="17"/>
  <c r="N4450" i="17"/>
  <c r="N4449" i="17"/>
  <c r="N4448" i="17"/>
  <c r="N4447" i="17"/>
  <c r="N4446" i="17"/>
  <c r="N4445" i="17"/>
  <c r="N4444" i="17"/>
  <c r="N4443" i="17"/>
  <c r="N4442" i="17"/>
  <c r="N4441" i="17"/>
  <c r="N4440" i="17"/>
  <c r="N4439" i="17"/>
  <c r="N4438" i="17"/>
  <c r="N4437" i="17"/>
  <c r="N4436" i="17"/>
  <c r="N4435" i="17"/>
  <c r="N4434" i="17"/>
  <c r="N4433" i="17"/>
  <c r="N4432" i="17"/>
  <c r="N4431" i="17"/>
  <c r="N4430" i="17"/>
  <c r="N4429" i="17"/>
  <c r="N4428" i="17"/>
  <c r="N4427" i="17"/>
  <c r="N4426" i="17"/>
  <c r="N4425" i="17"/>
  <c r="N4424" i="17"/>
  <c r="N4423" i="17"/>
  <c r="N4422" i="17"/>
  <c r="N4421" i="17"/>
  <c r="N4420" i="17"/>
  <c r="N4419" i="17"/>
  <c r="N4418" i="17"/>
  <c r="N4417" i="17"/>
  <c r="N4416" i="17"/>
  <c r="N4415" i="17"/>
  <c r="N4414" i="17"/>
  <c r="N4413" i="17"/>
  <c r="N4412" i="17"/>
  <c r="N4411" i="17"/>
  <c r="N4410" i="17"/>
  <c r="N4409" i="17"/>
  <c r="N4408" i="17"/>
  <c r="N4407" i="17"/>
  <c r="N4406" i="17"/>
  <c r="N4405" i="17"/>
  <c r="N4404" i="17"/>
  <c r="N4403" i="17"/>
  <c r="N4402" i="17"/>
  <c r="N4401" i="17"/>
  <c r="N4400" i="17"/>
  <c r="N4399" i="17"/>
  <c r="N4398" i="17"/>
  <c r="N4397" i="17"/>
  <c r="N4396" i="17"/>
  <c r="N4395" i="17"/>
  <c r="N4394" i="17"/>
  <c r="N4393" i="17"/>
  <c r="N4392" i="17"/>
  <c r="N4391" i="17"/>
  <c r="N4390" i="17"/>
  <c r="N4389" i="17"/>
  <c r="N4388" i="17"/>
  <c r="N4387" i="17"/>
  <c r="N4386" i="17"/>
  <c r="N4385" i="17"/>
  <c r="N4384" i="17"/>
  <c r="N4383" i="17"/>
  <c r="N4382" i="17"/>
  <c r="N4381" i="17"/>
  <c r="N4380" i="17"/>
  <c r="N4379" i="17"/>
  <c r="N4378" i="17"/>
  <c r="N4377" i="17"/>
  <c r="N4376" i="17"/>
  <c r="N4375" i="17"/>
  <c r="N4374" i="17"/>
  <c r="N4373" i="17"/>
  <c r="N4372" i="17"/>
  <c r="N4371" i="17"/>
  <c r="N4370" i="17"/>
  <c r="N4369" i="17"/>
  <c r="N4368" i="17"/>
  <c r="N4367" i="17"/>
  <c r="N4366" i="17"/>
  <c r="N4365" i="17"/>
  <c r="N4364" i="17"/>
  <c r="N4363" i="17"/>
  <c r="N4362" i="17"/>
  <c r="N4361" i="17"/>
  <c r="N4360" i="17"/>
  <c r="N4359" i="17"/>
  <c r="N4358" i="17"/>
  <c r="N4357" i="17"/>
  <c r="N4356" i="17"/>
  <c r="N4355" i="17"/>
  <c r="N4354" i="17"/>
  <c r="N4353" i="17"/>
  <c r="N4352" i="17"/>
  <c r="N4351" i="17"/>
  <c r="N4350" i="17"/>
  <c r="N4349" i="17"/>
  <c r="N4348" i="17"/>
  <c r="N4347" i="17"/>
  <c r="N4346" i="17"/>
  <c r="N4345" i="17"/>
  <c r="N4344" i="17"/>
  <c r="N4343" i="17"/>
  <c r="N4342" i="17"/>
  <c r="N4341" i="17"/>
  <c r="N4340" i="17"/>
  <c r="N4339" i="17"/>
  <c r="N4338" i="17"/>
  <c r="N4337" i="17"/>
  <c r="N4336" i="17"/>
  <c r="N4335" i="17"/>
  <c r="N4334" i="17"/>
  <c r="N4333" i="17"/>
  <c r="N4332" i="17"/>
  <c r="N4331" i="17"/>
  <c r="N4330" i="17"/>
  <c r="N4329" i="17"/>
  <c r="N4328" i="17"/>
  <c r="N4327" i="17"/>
  <c r="N4326" i="17"/>
  <c r="N4325" i="17"/>
  <c r="N4324" i="17"/>
  <c r="N4323" i="17"/>
  <c r="N4322" i="17"/>
  <c r="N4321" i="17"/>
  <c r="N4320" i="17"/>
  <c r="N4319" i="17"/>
  <c r="N4318" i="17"/>
  <c r="N4317" i="17"/>
  <c r="N4316" i="17"/>
  <c r="N4315" i="17"/>
  <c r="N4314" i="17"/>
  <c r="N4313" i="17"/>
  <c r="N4312" i="17"/>
  <c r="N4311" i="17"/>
  <c r="N4310" i="17"/>
  <c r="N4309" i="17"/>
  <c r="N4308" i="17"/>
  <c r="N4307" i="17"/>
  <c r="N4306" i="17"/>
  <c r="N4305" i="17"/>
  <c r="N4304" i="17"/>
  <c r="N4303" i="17"/>
  <c r="N4302" i="17"/>
  <c r="N4301" i="17"/>
  <c r="N4300" i="17"/>
  <c r="N4299" i="17"/>
  <c r="N4298" i="17"/>
  <c r="N4297" i="17"/>
  <c r="N4296" i="17"/>
  <c r="N4295" i="17"/>
  <c r="N4294" i="17"/>
  <c r="N4293" i="17"/>
  <c r="N4292" i="17"/>
  <c r="N4291" i="17"/>
  <c r="N4290" i="17"/>
  <c r="N4289" i="17"/>
  <c r="N4288" i="17"/>
  <c r="N4287" i="17"/>
  <c r="N4286" i="17"/>
  <c r="N4285" i="17"/>
  <c r="N4284" i="17"/>
  <c r="N4283" i="17"/>
  <c r="N4282" i="17"/>
  <c r="N4281" i="17"/>
  <c r="N4280" i="17"/>
  <c r="N4279" i="17"/>
  <c r="N4278" i="17"/>
  <c r="N4277" i="17"/>
  <c r="N4276" i="17"/>
  <c r="N4275" i="17"/>
  <c r="N4274" i="17"/>
  <c r="N4273" i="17"/>
  <c r="N4272" i="17"/>
  <c r="N4271" i="17"/>
  <c r="N4270" i="17"/>
  <c r="N4269" i="17"/>
  <c r="N4268" i="17"/>
  <c r="N4267" i="17"/>
  <c r="N4266" i="17"/>
  <c r="N4265" i="17"/>
  <c r="N4264" i="17"/>
  <c r="N4263" i="17"/>
  <c r="N4262" i="17"/>
  <c r="N4261" i="17"/>
  <c r="N4260" i="17"/>
  <c r="N4259" i="17"/>
  <c r="N4258" i="17"/>
  <c r="N4257" i="17"/>
  <c r="N4256" i="17"/>
  <c r="N4255" i="17"/>
  <c r="N4254" i="17"/>
  <c r="N4253" i="17"/>
  <c r="N4252" i="17"/>
  <c r="N4251" i="17"/>
  <c r="N4250" i="17"/>
  <c r="N4249" i="17"/>
  <c r="N4248" i="17"/>
  <c r="N4247" i="17"/>
  <c r="N4246" i="17"/>
  <c r="N4245" i="17"/>
  <c r="N4244" i="17"/>
  <c r="N4243" i="17"/>
  <c r="N4242" i="17"/>
  <c r="N4241" i="17"/>
  <c r="N4240" i="17"/>
  <c r="N4239" i="17"/>
  <c r="N4238" i="17"/>
  <c r="N4237" i="17"/>
  <c r="N4236" i="17"/>
  <c r="N4235" i="17"/>
  <c r="N4234" i="17"/>
  <c r="N4233" i="17"/>
  <c r="N4232" i="17"/>
  <c r="N4231" i="17"/>
  <c r="N4230" i="17"/>
  <c r="N4229" i="17"/>
  <c r="N4228" i="17"/>
  <c r="N4227" i="17"/>
  <c r="N4226" i="17"/>
  <c r="N4225" i="17"/>
  <c r="N4224" i="17"/>
  <c r="N4223" i="17"/>
  <c r="N4222" i="17"/>
  <c r="N4221" i="17"/>
  <c r="N4220" i="17"/>
  <c r="N4219" i="17"/>
  <c r="N4218" i="17"/>
  <c r="N4217" i="17"/>
  <c r="N4216" i="17"/>
  <c r="N4215" i="17"/>
  <c r="N4214" i="17"/>
  <c r="N4213" i="17"/>
  <c r="N4212" i="17"/>
  <c r="N4211" i="17"/>
  <c r="N4210" i="17"/>
  <c r="N4209" i="17"/>
  <c r="N4208" i="17"/>
  <c r="N4207" i="17"/>
  <c r="N4206" i="17"/>
  <c r="N4205" i="17"/>
  <c r="N4204" i="17"/>
  <c r="N4203" i="17"/>
  <c r="N4202" i="17"/>
  <c r="N4201" i="17"/>
  <c r="N4200" i="17"/>
  <c r="N4199" i="17"/>
  <c r="N4198" i="17"/>
  <c r="N4197" i="17"/>
  <c r="N4196" i="17"/>
  <c r="N4195" i="17"/>
  <c r="N4194" i="17"/>
  <c r="N4193" i="17"/>
  <c r="N4192" i="17"/>
  <c r="N4191" i="17"/>
  <c r="N4190" i="17"/>
  <c r="N4189" i="17"/>
  <c r="N4188" i="17"/>
  <c r="N4187" i="17"/>
  <c r="N4186" i="17"/>
  <c r="N4185" i="17"/>
  <c r="N4184" i="17"/>
  <c r="N4183" i="17"/>
  <c r="N4182" i="17"/>
  <c r="N4181" i="17"/>
  <c r="N4180" i="17"/>
  <c r="N4179" i="17"/>
  <c r="N4178" i="17"/>
  <c r="N4177" i="17"/>
  <c r="N4176" i="17"/>
  <c r="N4175" i="17"/>
  <c r="N4174" i="17"/>
  <c r="N4173" i="17"/>
  <c r="N4172" i="17"/>
  <c r="N4171" i="17"/>
  <c r="N4170" i="17"/>
  <c r="N4169" i="17"/>
  <c r="N4168" i="17"/>
  <c r="N4167" i="17"/>
  <c r="N4166" i="17"/>
  <c r="N4165" i="17"/>
  <c r="N4164" i="17"/>
  <c r="N4163" i="17"/>
  <c r="N4162" i="17"/>
  <c r="N4161" i="17"/>
  <c r="N4160" i="17"/>
  <c r="N4159" i="17"/>
  <c r="N4158" i="17"/>
  <c r="N4157" i="17"/>
  <c r="N4156" i="17"/>
  <c r="N4155" i="17"/>
  <c r="N4154" i="17"/>
  <c r="N4153" i="17"/>
  <c r="N4152" i="17"/>
  <c r="N4151" i="17"/>
  <c r="N4150" i="17"/>
  <c r="N4149" i="17"/>
  <c r="N4148" i="17"/>
  <c r="N4147" i="17"/>
  <c r="N4146" i="17"/>
  <c r="N4145" i="17"/>
  <c r="N4144" i="17"/>
  <c r="N4143" i="17"/>
  <c r="N4142" i="17"/>
  <c r="N4141" i="17"/>
  <c r="N4140" i="17"/>
  <c r="N4139" i="17"/>
  <c r="N4138" i="17"/>
  <c r="N4137" i="17"/>
  <c r="N4136" i="17"/>
  <c r="N4135" i="17"/>
  <c r="N4134" i="17"/>
  <c r="N4133" i="17"/>
  <c r="N4132" i="17"/>
  <c r="N4131" i="17"/>
  <c r="N4130" i="17"/>
  <c r="N4129" i="17"/>
  <c r="N4128" i="17"/>
  <c r="N4127" i="17"/>
  <c r="N4126" i="17"/>
  <c r="N4125" i="17"/>
  <c r="N4124" i="17"/>
  <c r="N4123" i="17"/>
  <c r="N4122" i="17"/>
  <c r="N4121" i="17"/>
  <c r="N4120" i="17"/>
  <c r="N4119" i="17"/>
  <c r="N4118" i="17"/>
  <c r="N4117" i="17"/>
  <c r="N4116" i="17"/>
  <c r="N4115" i="17"/>
  <c r="N4114" i="17"/>
  <c r="N4113" i="17"/>
  <c r="N4112" i="17"/>
  <c r="N4111" i="17"/>
  <c r="N4110" i="17"/>
  <c r="N4109" i="17"/>
  <c r="N4108" i="17"/>
  <c r="N4107" i="17"/>
  <c r="N4106" i="17"/>
  <c r="N4105" i="17"/>
  <c r="N4104" i="17"/>
  <c r="N4103" i="17"/>
  <c r="N4102" i="17"/>
  <c r="N4101" i="17"/>
  <c r="N4100" i="17"/>
  <c r="N4099" i="17"/>
  <c r="N4098" i="17"/>
  <c r="N4097" i="17"/>
  <c r="N4096" i="17"/>
  <c r="N4095" i="17"/>
  <c r="N4094" i="17"/>
  <c r="N4093" i="17"/>
  <c r="N4092" i="17"/>
  <c r="N4091" i="17"/>
  <c r="N4090" i="17"/>
  <c r="N4089" i="17"/>
  <c r="N4088" i="17"/>
  <c r="N4087" i="17"/>
  <c r="N4086" i="17"/>
  <c r="N4085" i="17"/>
  <c r="N4084" i="17"/>
  <c r="N4083" i="17"/>
  <c r="N4082" i="17"/>
  <c r="N4081" i="17"/>
  <c r="N4080" i="17"/>
  <c r="N4079" i="17"/>
  <c r="N4078" i="17"/>
  <c r="N4077" i="17"/>
  <c r="N4076" i="17"/>
  <c r="N4075" i="17"/>
  <c r="N4074" i="17"/>
  <c r="N4073" i="17"/>
  <c r="N4072" i="17"/>
  <c r="N4071" i="17"/>
  <c r="N4070" i="17"/>
  <c r="N4069" i="17"/>
  <c r="N4068" i="17"/>
  <c r="N4067" i="17"/>
  <c r="N4066" i="17"/>
  <c r="N4065" i="17"/>
  <c r="N4064" i="17"/>
  <c r="N4063" i="17"/>
  <c r="N4062" i="17"/>
  <c r="N4061" i="17"/>
  <c r="N4060" i="17"/>
  <c r="N4059" i="17"/>
  <c r="N4058" i="17"/>
  <c r="N4057" i="17"/>
  <c r="N4056" i="17"/>
  <c r="N4055" i="17"/>
  <c r="N4054" i="17"/>
  <c r="N4053" i="17"/>
  <c r="N4052" i="17"/>
  <c r="N4051" i="17"/>
  <c r="N4050" i="17"/>
  <c r="N4049" i="17"/>
  <c r="N4048" i="17"/>
  <c r="N4047" i="17"/>
  <c r="N4046" i="17"/>
  <c r="N4045" i="17"/>
  <c r="N4044" i="17"/>
  <c r="N4043" i="17"/>
  <c r="N4042" i="17"/>
  <c r="N4041" i="17"/>
  <c r="N4040" i="17"/>
  <c r="N4039" i="17"/>
  <c r="N4038" i="17"/>
  <c r="N4037" i="17"/>
  <c r="N4036" i="17"/>
  <c r="N4035" i="17"/>
  <c r="N4034" i="17"/>
  <c r="N4033" i="17"/>
  <c r="N4032" i="17"/>
  <c r="N4031" i="17"/>
  <c r="N4030" i="17"/>
  <c r="N4029" i="17"/>
  <c r="N4028" i="17"/>
  <c r="N4027" i="17"/>
  <c r="N4026" i="17"/>
  <c r="N4025" i="17"/>
  <c r="N4024" i="17"/>
  <c r="N4023" i="17"/>
  <c r="N4022" i="17"/>
  <c r="N4021" i="17"/>
  <c r="N4020" i="17"/>
  <c r="N4019" i="17"/>
  <c r="N4018" i="17"/>
  <c r="N4017" i="17"/>
  <c r="N4016" i="17"/>
  <c r="N4015" i="17"/>
  <c r="N4014" i="17"/>
  <c r="N4013" i="17"/>
  <c r="N4012" i="17"/>
  <c r="N4011" i="17"/>
  <c r="N4010" i="17"/>
  <c r="N4009" i="17"/>
  <c r="N4008" i="17"/>
  <c r="N4007" i="17"/>
  <c r="N4006" i="17"/>
  <c r="N4005" i="17"/>
  <c r="N4004" i="17"/>
  <c r="N4003" i="17"/>
  <c r="N4002" i="17"/>
  <c r="N4001" i="17"/>
  <c r="N4000" i="17"/>
  <c r="N3999" i="17"/>
  <c r="N3998" i="17"/>
  <c r="N3997" i="17"/>
  <c r="N3996" i="17"/>
  <c r="N3995" i="17"/>
  <c r="N3994" i="17"/>
  <c r="N3993" i="17"/>
  <c r="N3992" i="17"/>
  <c r="N3991" i="17"/>
  <c r="N3990" i="17"/>
  <c r="N3989" i="17"/>
  <c r="N3988" i="17"/>
  <c r="N3987" i="17"/>
  <c r="N3986" i="17"/>
  <c r="N3985" i="17"/>
  <c r="N3984" i="17"/>
  <c r="N3983" i="17"/>
  <c r="N3982" i="17"/>
  <c r="N3981" i="17"/>
  <c r="N3980" i="17"/>
  <c r="N3979" i="17"/>
  <c r="N3978" i="17"/>
  <c r="N3977" i="17"/>
  <c r="N3976" i="17"/>
  <c r="N3975" i="17"/>
  <c r="N3974" i="17"/>
  <c r="N3973" i="17"/>
  <c r="N3972" i="17"/>
  <c r="N3971" i="17"/>
  <c r="N3970" i="17"/>
  <c r="N3969" i="17"/>
  <c r="N3968" i="17"/>
  <c r="N3967" i="17"/>
  <c r="N3966" i="17"/>
  <c r="N3965" i="17"/>
  <c r="N3964" i="17"/>
  <c r="N3963" i="17"/>
  <c r="N3962" i="17"/>
  <c r="N3961" i="17"/>
  <c r="N3960" i="17"/>
  <c r="N3959" i="17"/>
  <c r="N3958" i="17"/>
  <c r="N3957" i="17"/>
  <c r="N3956" i="17"/>
  <c r="N3955" i="17"/>
  <c r="N3954" i="17"/>
  <c r="N3953" i="17"/>
  <c r="N3952" i="17"/>
  <c r="N3951" i="17"/>
  <c r="N3950" i="17"/>
  <c r="N3949" i="17"/>
  <c r="N3948" i="17"/>
  <c r="N3947" i="17"/>
  <c r="N3946" i="17"/>
  <c r="N3945" i="17"/>
  <c r="N3944" i="17"/>
  <c r="N3943" i="17"/>
  <c r="N3942" i="17"/>
  <c r="N3941" i="17"/>
  <c r="N3940" i="17"/>
  <c r="N3939" i="17"/>
  <c r="N3938" i="17"/>
  <c r="N3937" i="17"/>
  <c r="N3936" i="17"/>
  <c r="N3935" i="17"/>
  <c r="N3934" i="17"/>
  <c r="N3933" i="17"/>
  <c r="N3932" i="17"/>
  <c r="N3931" i="17"/>
  <c r="N3930" i="17"/>
  <c r="N3929" i="17"/>
  <c r="N3928" i="17"/>
  <c r="N3927" i="17"/>
  <c r="N3926" i="17"/>
  <c r="N3925" i="17"/>
  <c r="N3924" i="17"/>
  <c r="N3923" i="17"/>
  <c r="N3922" i="17"/>
  <c r="N3921" i="17"/>
  <c r="N3920" i="17"/>
  <c r="N3919" i="17"/>
  <c r="N3918" i="17"/>
  <c r="N3917" i="17"/>
  <c r="N3916" i="17"/>
  <c r="N3915" i="17"/>
  <c r="N3914" i="17"/>
  <c r="N3913" i="17"/>
  <c r="N3912" i="17"/>
  <c r="N3911" i="17"/>
  <c r="N3910" i="17"/>
  <c r="N3909" i="17"/>
  <c r="N3908" i="17"/>
  <c r="N3907" i="17"/>
  <c r="N3906" i="17"/>
  <c r="N3905" i="17"/>
  <c r="N3904" i="17"/>
  <c r="N3903" i="17"/>
  <c r="N3902" i="17"/>
  <c r="N3901" i="17"/>
  <c r="N3900" i="17"/>
  <c r="N3899" i="17"/>
  <c r="N3898" i="17"/>
  <c r="N3897" i="17"/>
  <c r="N3896" i="17"/>
  <c r="N3895" i="17"/>
  <c r="N3894" i="17"/>
  <c r="N3893" i="17"/>
  <c r="N3892" i="17"/>
  <c r="N3891" i="17"/>
  <c r="N3890" i="17"/>
  <c r="N3889" i="17"/>
  <c r="N3888" i="17"/>
  <c r="N3887" i="17"/>
  <c r="N3886" i="17"/>
  <c r="N3885" i="17"/>
  <c r="N3884" i="17"/>
  <c r="N3883" i="17"/>
  <c r="N3882" i="17"/>
  <c r="N3881" i="17"/>
  <c r="N3880" i="17"/>
  <c r="N3879" i="17"/>
  <c r="N3878" i="17"/>
  <c r="N3877" i="17"/>
  <c r="N3876" i="17"/>
  <c r="N3875" i="17"/>
  <c r="N3874" i="17"/>
  <c r="N3873" i="17"/>
  <c r="N3872" i="17"/>
  <c r="N3871" i="17"/>
  <c r="N3870" i="17"/>
  <c r="N3869" i="17"/>
  <c r="N3868" i="17"/>
  <c r="N3867" i="17"/>
  <c r="N3866" i="17"/>
  <c r="N3865" i="17"/>
  <c r="N3864" i="17"/>
  <c r="N3863" i="17"/>
  <c r="N3862" i="17"/>
  <c r="N3861" i="17"/>
  <c r="N3860" i="17"/>
  <c r="N3859" i="17"/>
  <c r="N3858" i="17"/>
  <c r="N3857" i="17"/>
  <c r="N3856" i="17"/>
  <c r="N3855" i="17"/>
  <c r="N3854" i="17"/>
  <c r="N3853" i="17"/>
  <c r="N3852" i="17"/>
  <c r="N3851" i="17"/>
  <c r="N3850" i="17"/>
  <c r="N3849" i="17"/>
  <c r="N3848" i="17"/>
  <c r="N3847" i="17"/>
  <c r="N3846" i="17"/>
  <c r="N3845" i="17"/>
  <c r="N3844" i="17"/>
  <c r="N3843" i="17"/>
  <c r="N3842" i="17"/>
  <c r="N3841" i="17"/>
  <c r="N3840" i="17"/>
  <c r="N3839" i="17"/>
  <c r="N3838" i="17"/>
  <c r="N3837" i="17"/>
  <c r="N3836" i="17"/>
  <c r="N3835" i="17"/>
  <c r="N3834" i="17"/>
  <c r="N3833" i="17"/>
  <c r="N3832" i="17"/>
  <c r="N3831" i="17"/>
  <c r="N3830" i="17"/>
  <c r="N3829" i="17"/>
  <c r="N3828" i="17"/>
  <c r="N3827" i="17"/>
  <c r="N3826" i="17"/>
  <c r="N3825" i="17"/>
  <c r="N3824" i="17"/>
  <c r="N3823" i="17"/>
  <c r="N3822" i="17"/>
  <c r="N3821" i="17"/>
  <c r="N3820" i="17"/>
  <c r="N3819" i="17"/>
  <c r="N3818" i="17"/>
  <c r="N3817" i="17"/>
  <c r="N3816" i="17"/>
  <c r="N3815" i="17"/>
  <c r="N3814" i="17"/>
  <c r="N3813" i="17"/>
  <c r="N3812" i="17"/>
  <c r="N3811" i="17"/>
  <c r="N3810" i="17"/>
  <c r="N3809" i="17"/>
  <c r="N3808" i="17"/>
  <c r="N3807" i="17"/>
  <c r="N3806" i="17"/>
  <c r="N3805" i="17"/>
  <c r="N3804" i="17"/>
  <c r="N3803" i="17"/>
  <c r="N3802" i="17"/>
  <c r="N3801" i="17"/>
  <c r="N3800" i="17"/>
  <c r="N3799" i="17"/>
  <c r="N3798" i="17"/>
  <c r="N3797" i="17"/>
  <c r="N3796" i="17"/>
  <c r="N3795" i="17"/>
  <c r="N3794" i="17"/>
  <c r="N3793" i="17"/>
  <c r="N3792" i="17"/>
  <c r="N3791" i="17"/>
  <c r="N3790" i="17"/>
  <c r="N3789" i="17"/>
  <c r="N3788" i="17"/>
  <c r="N3787" i="17"/>
  <c r="N3786" i="17"/>
  <c r="N3785" i="17"/>
  <c r="N3784" i="17"/>
  <c r="N3783" i="17"/>
  <c r="N3782" i="17"/>
  <c r="N3781" i="17"/>
  <c r="N3780" i="17"/>
  <c r="N3779" i="17"/>
  <c r="N3778" i="17"/>
  <c r="N3777" i="17"/>
  <c r="N3776" i="17"/>
  <c r="N3775" i="17"/>
  <c r="N3774" i="17"/>
  <c r="N3773" i="17"/>
  <c r="N3772" i="17"/>
  <c r="N3771" i="17"/>
  <c r="N3770" i="17"/>
  <c r="N3769" i="17"/>
  <c r="N3768" i="17"/>
  <c r="N3767" i="17"/>
  <c r="N3766" i="17"/>
  <c r="N3765" i="17"/>
  <c r="N3764" i="17"/>
  <c r="N3763" i="17"/>
  <c r="N3762" i="17"/>
  <c r="N3761" i="17"/>
  <c r="N3760" i="17"/>
  <c r="N3759" i="17"/>
  <c r="N3758" i="17"/>
  <c r="N3757" i="17"/>
  <c r="N3756" i="17"/>
  <c r="N3755" i="17"/>
  <c r="N3754" i="17"/>
  <c r="N3753" i="17"/>
  <c r="N3752" i="17"/>
  <c r="N3751" i="17"/>
  <c r="N3750" i="17"/>
  <c r="N3749" i="17"/>
  <c r="N3748" i="17"/>
  <c r="N3747" i="17"/>
  <c r="N3746" i="17"/>
  <c r="N3745" i="17"/>
  <c r="N3744" i="17"/>
  <c r="N3743" i="17"/>
  <c r="N3742" i="17"/>
  <c r="N3741" i="17"/>
  <c r="N3740" i="17"/>
  <c r="N3739" i="17"/>
  <c r="N3738" i="17"/>
  <c r="N3737" i="17"/>
  <c r="N3736" i="17"/>
  <c r="N3735" i="17"/>
  <c r="N3734" i="17"/>
  <c r="N3733" i="17"/>
  <c r="N3732" i="17"/>
  <c r="N3731" i="17"/>
  <c r="N3730" i="17"/>
  <c r="N3729" i="17"/>
  <c r="N3728" i="17"/>
  <c r="N3727" i="17"/>
  <c r="N3726" i="17"/>
  <c r="N3725" i="17"/>
  <c r="N3724" i="17"/>
  <c r="N3723" i="17"/>
  <c r="N3722" i="17"/>
  <c r="N3721" i="17"/>
  <c r="N3720" i="17"/>
  <c r="N3719" i="17"/>
  <c r="N3718" i="17"/>
  <c r="N3717" i="17"/>
  <c r="N3716" i="17"/>
  <c r="N3715" i="17"/>
  <c r="N3714" i="17"/>
  <c r="N3713" i="17"/>
  <c r="N3712" i="17"/>
  <c r="N3711" i="17"/>
  <c r="N3710" i="17"/>
  <c r="N3709" i="17"/>
  <c r="N3708" i="17"/>
  <c r="N3707" i="17"/>
  <c r="N3706" i="17"/>
  <c r="N3705" i="17"/>
  <c r="N3704" i="17"/>
  <c r="N3703" i="17"/>
  <c r="N3702" i="17"/>
  <c r="N3701" i="17"/>
  <c r="N3700" i="17"/>
  <c r="N3699" i="17"/>
  <c r="N3698" i="17"/>
  <c r="N3697" i="17"/>
  <c r="N3696" i="17"/>
  <c r="N3695" i="17"/>
  <c r="N3694" i="17"/>
  <c r="N3693" i="17"/>
  <c r="N3692" i="17"/>
  <c r="N3691" i="17"/>
  <c r="N3690" i="17"/>
  <c r="N3689" i="17"/>
  <c r="N3688" i="17"/>
  <c r="N3687" i="17"/>
  <c r="N3686" i="17"/>
  <c r="N3685" i="17"/>
  <c r="N3684" i="17"/>
  <c r="N3683" i="17"/>
  <c r="N3682" i="17"/>
  <c r="N3681" i="17"/>
  <c r="N3680" i="17"/>
  <c r="N3679" i="17"/>
  <c r="N3678" i="17"/>
  <c r="N3677" i="17"/>
  <c r="N3676" i="17"/>
  <c r="N3675" i="17"/>
  <c r="N3674" i="17"/>
  <c r="N3673" i="17"/>
  <c r="N3672" i="17"/>
  <c r="N3671" i="17"/>
  <c r="N3670" i="17"/>
  <c r="N3669" i="17"/>
  <c r="N3668" i="17"/>
  <c r="N3667" i="17"/>
  <c r="N3666" i="17"/>
  <c r="N3665" i="17"/>
  <c r="N3664" i="17"/>
  <c r="N3663" i="17"/>
  <c r="N3662" i="17"/>
  <c r="N3661" i="17"/>
  <c r="N3660" i="17"/>
  <c r="N3659" i="17"/>
  <c r="N3658" i="17"/>
  <c r="N3657" i="17"/>
  <c r="N3656" i="17"/>
  <c r="N3655" i="17"/>
  <c r="N3654" i="17"/>
  <c r="N3653" i="17"/>
  <c r="N3652" i="17"/>
  <c r="N3651" i="17"/>
  <c r="N3650" i="17"/>
  <c r="N3649" i="17"/>
  <c r="N3648" i="17"/>
  <c r="N3647" i="17"/>
  <c r="N3646" i="17"/>
  <c r="N3645" i="17"/>
  <c r="N3644" i="17"/>
  <c r="N3643" i="17"/>
  <c r="N3642" i="17"/>
  <c r="N3641" i="17"/>
  <c r="N3640" i="17"/>
  <c r="N3639" i="17"/>
  <c r="N3638" i="17"/>
  <c r="N3637" i="17"/>
  <c r="N3636" i="17"/>
  <c r="N3635" i="17"/>
  <c r="N3634" i="17"/>
  <c r="N3633" i="17"/>
  <c r="N3632" i="17"/>
  <c r="N3631" i="17"/>
  <c r="N3630" i="17"/>
  <c r="N3629" i="17"/>
  <c r="N3628" i="17"/>
  <c r="N3627" i="17"/>
  <c r="N3626" i="17"/>
  <c r="N3625" i="17"/>
  <c r="N3624" i="17"/>
  <c r="N3623" i="17"/>
  <c r="N3622" i="17"/>
  <c r="N3621" i="17"/>
  <c r="N3620" i="17"/>
  <c r="N3619" i="17"/>
  <c r="N3618" i="17"/>
  <c r="N3617" i="17"/>
  <c r="N3616" i="17"/>
  <c r="N3615" i="17"/>
  <c r="N3614" i="17"/>
  <c r="N3613" i="17"/>
  <c r="N3612" i="17"/>
  <c r="N3611" i="17"/>
  <c r="N3610" i="17"/>
  <c r="N3609" i="17"/>
  <c r="N3608" i="17"/>
  <c r="N3607" i="17"/>
  <c r="N3606" i="17"/>
  <c r="N3605" i="17"/>
  <c r="N3604" i="17"/>
  <c r="N3603" i="17"/>
  <c r="N3602" i="17"/>
  <c r="N3601" i="17"/>
  <c r="N3600" i="17"/>
  <c r="N3599" i="17"/>
  <c r="N3598" i="17"/>
  <c r="N3597" i="17"/>
  <c r="N3596" i="17"/>
  <c r="N3595" i="17"/>
  <c r="N3594" i="17"/>
  <c r="N3593" i="17"/>
  <c r="N3592" i="17"/>
  <c r="N3591" i="17"/>
  <c r="N3590" i="17"/>
  <c r="N3589" i="17"/>
  <c r="N3588" i="17"/>
  <c r="N3587" i="17"/>
  <c r="N3586" i="17"/>
  <c r="N3585" i="17"/>
  <c r="N3584" i="17"/>
  <c r="N3583" i="17"/>
  <c r="N3582" i="17"/>
  <c r="N3581" i="17"/>
  <c r="N3580" i="17"/>
  <c r="N3579" i="17"/>
  <c r="N3578" i="17"/>
  <c r="N3577" i="17"/>
  <c r="N3576" i="17"/>
  <c r="N3575" i="17"/>
  <c r="N3574" i="17"/>
  <c r="N3573" i="17"/>
  <c r="N3572" i="17"/>
  <c r="N3571" i="17"/>
  <c r="N3570" i="17"/>
  <c r="N3569" i="17"/>
  <c r="N3568" i="17"/>
  <c r="N3567" i="17"/>
  <c r="N3566" i="17"/>
  <c r="N3565" i="17"/>
  <c r="N3564" i="17"/>
  <c r="N3563" i="17"/>
  <c r="N3562" i="17"/>
  <c r="N3561" i="17"/>
  <c r="N3560" i="17"/>
  <c r="N3559" i="17"/>
  <c r="N3558" i="17"/>
  <c r="N3557" i="17"/>
  <c r="N3556" i="17"/>
  <c r="N3555" i="17"/>
  <c r="N3554" i="17"/>
  <c r="N3553" i="17"/>
  <c r="N3552" i="17"/>
  <c r="N3551" i="17"/>
  <c r="N3550" i="17"/>
  <c r="N3549" i="17"/>
  <c r="N3548" i="17"/>
  <c r="N3547" i="17"/>
  <c r="N3546" i="17"/>
  <c r="N3545" i="17"/>
  <c r="N3544" i="17"/>
  <c r="N3543" i="17"/>
  <c r="N3542" i="17"/>
  <c r="N3541" i="17"/>
  <c r="N3540" i="17"/>
  <c r="N3539" i="17"/>
  <c r="N3538" i="17"/>
  <c r="N3537" i="17"/>
  <c r="N3536" i="17"/>
  <c r="N3535" i="17"/>
  <c r="N3534" i="17"/>
  <c r="N3533" i="17"/>
  <c r="N3532" i="17"/>
  <c r="N3531" i="17"/>
  <c r="N3530" i="17"/>
  <c r="N3529" i="17"/>
  <c r="N3528" i="17"/>
  <c r="N3527" i="17"/>
  <c r="N3526" i="17"/>
  <c r="N3525" i="17"/>
  <c r="N3524" i="17"/>
  <c r="N3523" i="17"/>
  <c r="N3522" i="17"/>
  <c r="N3521" i="17"/>
  <c r="N3520" i="17"/>
  <c r="N3519" i="17"/>
  <c r="N3518" i="17"/>
  <c r="N3517" i="17"/>
  <c r="N3516" i="17"/>
  <c r="N3515" i="17"/>
  <c r="N3514" i="17"/>
  <c r="N3513" i="17"/>
  <c r="N3512" i="17"/>
  <c r="N3511" i="17"/>
  <c r="N3510" i="17"/>
  <c r="N3509" i="17"/>
  <c r="N3508" i="17"/>
  <c r="N3507" i="17"/>
  <c r="N3506" i="17"/>
  <c r="N3505" i="17"/>
  <c r="N3504" i="17"/>
  <c r="N3503" i="17"/>
  <c r="N3502" i="17"/>
  <c r="N3501" i="17"/>
  <c r="N3500" i="17"/>
  <c r="N3499" i="17"/>
  <c r="N3498" i="17"/>
  <c r="N3497" i="17"/>
  <c r="N3496" i="17"/>
  <c r="N3495" i="17"/>
  <c r="N3494" i="17"/>
  <c r="N3493" i="17"/>
  <c r="N3492" i="17"/>
  <c r="N3491" i="17"/>
  <c r="N3490" i="17"/>
  <c r="N3489" i="17"/>
  <c r="N3488" i="17"/>
  <c r="N3487" i="17"/>
  <c r="N3486" i="17"/>
  <c r="N3485" i="17"/>
  <c r="N3484" i="17"/>
  <c r="N3483" i="17"/>
  <c r="N3482" i="17"/>
  <c r="N3481" i="17"/>
  <c r="N3480" i="17"/>
  <c r="N3479" i="17"/>
  <c r="N3478" i="17"/>
  <c r="N3477" i="17"/>
  <c r="N3476" i="17"/>
  <c r="N3475" i="17"/>
  <c r="N3474" i="17"/>
  <c r="N3473" i="17"/>
  <c r="N3472" i="17"/>
  <c r="N3471" i="17"/>
  <c r="N3470" i="17"/>
  <c r="N3469" i="17"/>
  <c r="N3468" i="17"/>
  <c r="N3467" i="17"/>
  <c r="N3466" i="17"/>
  <c r="N3465" i="17"/>
  <c r="N3464" i="17"/>
  <c r="N3463" i="17"/>
  <c r="N3462" i="17"/>
  <c r="N3461" i="17"/>
  <c r="N3460" i="17"/>
  <c r="N3459" i="17"/>
  <c r="N3458" i="17"/>
  <c r="N3457" i="17"/>
  <c r="N3456" i="17"/>
  <c r="N3455" i="17"/>
  <c r="N3454" i="17"/>
  <c r="N3453" i="17"/>
  <c r="N3452" i="17"/>
  <c r="N3451" i="17"/>
  <c r="N3450" i="17"/>
  <c r="N3449" i="17"/>
  <c r="N3448" i="17"/>
  <c r="N3447" i="17"/>
  <c r="N3446" i="17"/>
  <c r="N3445" i="17"/>
  <c r="N3444" i="17"/>
  <c r="N3443" i="17"/>
  <c r="N3442" i="17"/>
  <c r="N3441" i="17"/>
  <c r="N3440" i="17"/>
  <c r="N3439" i="17"/>
  <c r="N3438" i="17"/>
  <c r="N3437" i="17"/>
  <c r="N3436" i="17"/>
  <c r="N3435" i="17"/>
  <c r="N3434" i="17"/>
  <c r="N3433" i="17"/>
  <c r="N3432" i="17"/>
  <c r="N3431" i="17"/>
  <c r="N3430" i="17"/>
  <c r="N3429" i="17"/>
  <c r="N3428" i="17"/>
  <c r="N3427" i="17"/>
  <c r="N3426" i="17"/>
  <c r="N3425" i="17"/>
  <c r="N3424" i="17"/>
  <c r="N3423" i="17"/>
  <c r="N3422" i="17"/>
  <c r="N3421" i="17"/>
  <c r="N3420" i="17"/>
  <c r="N3419" i="17"/>
  <c r="N3418" i="17"/>
  <c r="N3417" i="17"/>
  <c r="N3416" i="17"/>
  <c r="N3415" i="17"/>
  <c r="N3414" i="17"/>
  <c r="N3413" i="17"/>
  <c r="N3412" i="17"/>
  <c r="N3411" i="17"/>
  <c r="N3410" i="17"/>
  <c r="N3409" i="17"/>
  <c r="N3408" i="17"/>
  <c r="N3407" i="17"/>
  <c r="N3406" i="17"/>
  <c r="N3405" i="17"/>
  <c r="N3404" i="17"/>
  <c r="N3403" i="17"/>
  <c r="N3402" i="17"/>
  <c r="N3401" i="17"/>
  <c r="N3400" i="17"/>
  <c r="N3399" i="17"/>
  <c r="N3398" i="17"/>
  <c r="N3397" i="17"/>
  <c r="N3396" i="17"/>
  <c r="N3395" i="17"/>
  <c r="N3394" i="17"/>
  <c r="N3393" i="17"/>
  <c r="N3392" i="17"/>
  <c r="N3391" i="17"/>
  <c r="N3390" i="17"/>
  <c r="N3389" i="17"/>
  <c r="N3388" i="17"/>
  <c r="N3387" i="17"/>
  <c r="N3386" i="17"/>
  <c r="N3385" i="17"/>
  <c r="N3384" i="17"/>
  <c r="N3383" i="17"/>
  <c r="N3382" i="17"/>
  <c r="N3381" i="17"/>
  <c r="N3380" i="17"/>
  <c r="N3379" i="17"/>
  <c r="N3378" i="17"/>
  <c r="N3377" i="17"/>
  <c r="N3376" i="17"/>
  <c r="N3375" i="17"/>
  <c r="N3374" i="17"/>
  <c r="N3373" i="17"/>
  <c r="N3372" i="17"/>
  <c r="N3371" i="17"/>
  <c r="N3370" i="17"/>
  <c r="N3369" i="17"/>
  <c r="N3368" i="17"/>
  <c r="N3367" i="17"/>
  <c r="N3366" i="17"/>
  <c r="N3365" i="17"/>
  <c r="N3364" i="17"/>
  <c r="N3363" i="17"/>
  <c r="N3362" i="17"/>
  <c r="N3361" i="17"/>
  <c r="N3360" i="17"/>
  <c r="N3359" i="17"/>
  <c r="N3358" i="17"/>
  <c r="N3357" i="17"/>
  <c r="N3356" i="17"/>
  <c r="N3355" i="17"/>
  <c r="N3354" i="17"/>
  <c r="N3353" i="17"/>
  <c r="N3352" i="17"/>
  <c r="N3351" i="17"/>
  <c r="N3350" i="17"/>
  <c r="N3349" i="17"/>
  <c r="N3348" i="17"/>
  <c r="N3347" i="17"/>
  <c r="N3346" i="17"/>
  <c r="N3345" i="17"/>
  <c r="N3344" i="17"/>
  <c r="N3343" i="17"/>
  <c r="N3342" i="17"/>
  <c r="N3341" i="17"/>
  <c r="N3340" i="17"/>
  <c r="N3339" i="17"/>
  <c r="N3338" i="17"/>
  <c r="N3337" i="17"/>
  <c r="N3336" i="17"/>
  <c r="N3335" i="17"/>
  <c r="N3334" i="17"/>
  <c r="N3333" i="17"/>
  <c r="N3332" i="17"/>
  <c r="N3331" i="17"/>
  <c r="N3330" i="17"/>
  <c r="N3329" i="17"/>
  <c r="N3328" i="17"/>
  <c r="N3327" i="17"/>
  <c r="N3326" i="17"/>
  <c r="N3325" i="17"/>
  <c r="N3324" i="17"/>
  <c r="N3323" i="17"/>
  <c r="N3322" i="17"/>
  <c r="N3321" i="17"/>
  <c r="N3320" i="17"/>
  <c r="N3319" i="17"/>
  <c r="N3318" i="17"/>
  <c r="N3317" i="17"/>
  <c r="N3316" i="17"/>
  <c r="N3315" i="17"/>
  <c r="N3314" i="17"/>
  <c r="N3313" i="17"/>
  <c r="N3312" i="17"/>
  <c r="N3311" i="17"/>
  <c r="N3310" i="17"/>
  <c r="N3309" i="17"/>
  <c r="N3308" i="17"/>
  <c r="N3307" i="17"/>
  <c r="N3306" i="17"/>
  <c r="N3305" i="17"/>
  <c r="N3304" i="17"/>
  <c r="N3303" i="17"/>
  <c r="N3302" i="17"/>
  <c r="N3301" i="17"/>
  <c r="N3300" i="17"/>
  <c r="N3299" i="17"/>
  <c r="N3298" i="17"/>
  <c r="N3297" i="17"/>
  <c r="N3296" i="17"/>
  <c r="N3295" i="17"/>
  <c r="N3294" i="17"/>
  <c r="N3293" i="17"/>
  <c r="N3292" i="17"/>
  <c r="N3291" i="17"/>
  <c r="N3290" i="17"/>
  <c r="N3289" i="17"/>
  <c r="N3288" i="17"/>
  <c r="N3287" i="17"/>
  <c r="N3286" i="17"/>
  <c r="N3285" i="17"/>
  <c r="N3284" i="17"/>
  <c r="N3283" i="17"/>
  <c r="N3282" i="17"/>
  <c r="N3281" i="17"/>
  <c r="N3280" i="17"/>
  <c r="N3279" i="17"/>
  <c r="N3278" i="17"/>
  <c r="N3277" i="17"/>
  <c r="N3276" i="17"/>
  <c r="N3275" i="17"/>
  <c r="N3274" i="17"/>
  <c r="N3273" i="17"/>
  <c r="N3272" i="17"/>
  <c r="N3271" i="17"/>
  <c r="N3270" i="17"/>
  <c r="N3269" i="17"/>
  <c r="N3268" i="17"/>
  <c r="N3267" i="17"/>
  <c r="N3266" i="17"/>
  <c r="N3265" i="17"/>
  <c r="N3264" i="17"/>
  <c r="N3263" i="17"/>
  <c r="N3262" i="17"/>
  <c r="N3261" i="17"/>
  <c r="N3260" i="17"/>
  <c r="N3259" i="17"/>
  <c r="N3258" i="17"/>
  <c r="N3257" i="17"/>
  <c r="N3256" i="17"/>
  <c r="N3255" i="17"/>
  <c r="N3254" i="17"/>
  <c r="N3253" i="17"/>
  <c r="N3252" i="17"/>
  <c r="N3251" i="17"/>
  <c r="N3250" i="17"/>
  <c r="N3249" i="17"/>
  <c r="N3248" i="17"/>
  <c r="N3247" i="17"/>
  <c r="N3246" i="17"/>
  <c r="N3245" i="17"/>
  <c r="N3244" i="17"/>
  <c r="N3243" i="17"/>
  <c r="N3242" i="17"/>
  <c r="N3241" i="17"/>
  <c r="N3240" i="17"/>
  <c r="N3239" i="17"/>
  <c r="N3238" i="17"/>
  <c r="N3237" i="17"/>
  <c r="N3236" i="17"/>
  <c r="N3235" i="17"/>
  <c r="N3234" i="17"/>
  <c r="N3233" i="17"/>
  <c r="N3232" i="17"/>
  <c r="N3231" i="17"/>
  <c r="N3230" i="17"/>
  <c r="N3229" i="17"/>
  <c r="N3228" i="17"/>
  <c r="N3227" i="17"/>
  <c r="N3226" i="17"/>
  <c r="N3225" i="17"/>
  <c r="N3224" i="17"/>
  <c r="N3223" i="17"/>
  <c r="N3222" i="17"/>
  <c r="N3221" i="17"/>
  <c r="N3220" i="17"/>
  <c r="N3219" i="17"/>
  <c r="N3218" i="17"/>
  <c r="N3217" i="17"/>
  <c r="N3216" i="17"/>
  <c r="N3215" i="17"/>
  <c r="N3214" i="17"/>
  <c r="N3213" i="17"/>
  <c r="N3212" i="17"/>
  <c r="N3211" i="17"/>
  <c r="N3210" i="17"/>
  <c r="N3209" i="17"/>
  <c r="N3208" i="17"/>
  <c r="N3207" i="17"/>
  <c r="N3206" i="17"/>
  <c r="N3205" i="17"/>
  <c r="N3204" i="17"/>
  <c r="N3203" i="17"/>
  <c r="N3202" i="17"/>
  <c r="N3201" i="17"/>
  <c r="N3200" i="17"/>
  <c r="N3199" i="17"/>
  <c r="N3198" i="17"/>
  <c r="N3197" i="17"/>
  <c r="N3196" i="17"/>
  <c r="N3195" i="17"/>
  <c r="N3194" i="17"/>
  <c r="N3193" i="17"/>
  <c r="N3192" i="17"/>
  <c r="N3191" i="17"/>
  <c r="N3190" i="17"/>
  <c r="N3189" i="17"/>
  <c r="N3188" i="17"/>
  <c r="N3187" i="17"/>
  <c r="N3186" i="17"/>
  <c r="N3185" i="17"/>
  <c r="N3184" i="17"/>
  <c r="N3183" i="17"/>
  <c r="N3182" i="17"/>
  <c r="N3181" i="17"/>
  <c r="N3180" i="17"/>
  <c r="N3179" i="17"/>
  <c r="N3178" i="17"/>
  <c r="N3177" i="17"/>
  <c r="N3176" i="17"/>
  <c r="N3175" i="17"/>
  <c r="N3174" i="17"/>
  <c r="N3173" i="17"/>
  <c r="N3172" i="17"/>
  <c r="N3171" i="17"/>
  <c r="N3170" i="17"/>
  <c r="N3169" i="17"/>
  <c r="N3168" i="17"/>
  <c r="N3167" i="17"/>
  <c r="N3166" i="17"/>
  <c r="N3165" i="17"/>
  <c r="N3164" i="17"/>
  <c r="N3163" i="17"/>
  <c r="N3162" i="17"/>
  <c r="N3161" i="17"/>
  <c r="N3160" i="17"/>
  <c r="N3159" i="17"/>
  <c r="N3158" i="17"/>
  <c r="N3157" i="17"/>
  <c r="N3156" i="17"/>
  <c r="N3155" i="17"/>
  <c r="N3154" i="17"/>
  <c r="N3153" i="17"/>
  <c r="N3152" i="17"/>
  <c r="N3151" i="17"/>
  <c r="N3150" i="17"/>
  <c r="N3149" i="17"/>
  <c r="N3148" i="17"/>
  <c r="N3147" i="17"/>
  <c r="N3146" i="17"/>
  <c r="N3145" i="17"/>
  <c r="N3144" i="17"/>
  <c r="N3143" i="17"/>
  <c r="N3142" i="17"/>
  <c r="N3141" i="17"/>
  <c r="N3140" i="17"/>
  <c r="N3139" i="17"/>
  <c r="N3138" i="17"/>
  <c r="N3137" i="17"/>
  <c r="N3136" i="17"/>
  <c r="N3135" i="17"/>
  <c r="N3134" i="17"/>
  <c r="N3133" i="17"/>
  <c r="N3132" i="17"/>
  <c r="N3131" i="17"/>
  <c r="N3130" i="17"/>
  <c r="N3129" i="17"/>
  <c r="N3128" i="17"/>
  <c r="N3127" i="17"/>
  <c r="N3126" i="17"/>
  <c r="N3125" i="17"/>
  <c r="N3124" i="17"/>
  <c r="N3123" i="17"/>
  <c r="N3122" i="17"/>
  <c r="N3121" i="17"/>
  <c r="N3120" i="17"/>
  <c r="N3119" i="17"/>
  <c r="N3118" i="17"/>
  <c r="N3117" i="17"/>
  <c r="N3116" i="17"/>
  <c r="N3115" i="17"/>
  <c r="N3114" i="17"/>
  <c r="N3113" i="17"/>
  <c r="N3112" i="17"/>
  <c r="N3111" i="17"/>
  <c r="N3110" i="17"/>
  <c r="N3109" i="17"/>
  <c r="N3108" i="17"/>
  <c r="N3107" i="17"/>
  <c r="N3106" i="17"/>
  <c r="N3105" i="17"/>
  <c r="N3104" i="17"/>
  <c r="N3103" i="17"/>
  <c r="N3102" i="17"/>
  <c r="N3101" i="17"/>
  <c r="N3100" i="17"/>
  <c r="N3099" i="17"/>
  <c r="N3098" i="17"/>
  <c r="N3097" i="17"/>
  <c r="N3096" i="17"/>
  <c r="N3095" i="17"/>
  <c r="N3094" i="17"/>
  <c r="N3093" i="17"/>
  <c r="N3092" i="17"/>
  <c r="N3091" i="17"/>
  <c r="N3090" i="17"/>
  <c r="N3089" i="17"/>
  <c r="N3088" i="17"/>
  <c r="N3087" i="17"/>
  <c r="N3086" i="17"/>
  <c r="N3085" i="17"/>
  <c r="N3084" i="17"/>
  <c r="N3083" i="17"/>
  <c r="N3082" i="17"/>
  <c r="N3081" i="17"/>
  <c r="N3080" i="17"/>
  <c r="N3079" i="17"/>
  <c r="N3078" i="17"/>
  <c r="N3077" i="17"/>
  <c r="N3076" i="17"/>
  <c r="N3075" i="17"/>
  <c r="N3074" i="17"/>
  <c r="N3073" i="17"/>
  <c r="N3072" i="17"/>
  <c r="N3071" i="17"/>
  <c r="N3070" i="17"/>
  <c r="N3069" i="17"/>
  <c r="N3068" i="17"/>
  <c r="N3067" i="17"/>
  <c r="N3066" i="17"/>
  <c r="N3065" i="17"/>
  <c r="N3064" i="17"/>
  <c r="N3063" i="17"/>
  <c r="N3062" i="17"/>
  <c r="N3061" i="17"/>
  <c r="N3060" i="17"/>
  <c r="N3059" i="17"/>
  <c r="N3058" i="17"/>
  <c r="N3057" i="17"/>
  <c r="N3056" i="17"/>
  <c r="N3055" i="17"/>
  <c r="N3054" i="17"/>
  <c r="N3053" i="17"/>
  <c r="N3052" i="17"/>
  <c r="N3051" i="17"/>
  <c r="N3050" i="17"/>
  <c r="N3049" i="17"/>
  <c r="N3048" i="17"/>
  <c r="N3047" i="17"/>
  <c r="N3046" i="17"/>
  <c r="N3045" i="17"/>
  <c r="N3044" i="17"/>
  <c r="N3043" i="17"/>
  <c r="N3042" i="17"/>
  <c r="N3041" i="17"/>
  <c r="N3040" i="17"/>
  <c r="N3039" i="17"/>
  <c r="N3038" i="17"/>
  <c r="N3037" i="17"/>
  <c r="N3036" i="17"/>
  <c r="N3035" i="17"/>
  <c r="N3034" i="17"/>
  <c r="N3033" i="17"/>
  <c r="N3032" i="17"/>
  <c r="N3031" i="17"/>
  <c r="N3030" i="17"/>
  <c r="N3029" i="17"/>
  <c r="N3028" i="17"/>
  <c r="N3027" i="17"/>
  <c r="N3026" i="17"/>
  <c r="N3025" i="17"/>
  <c r="N3024" i="17"/>
  <c r="N3023" i="17"/>
  <c r="N3022" i="17"/>
  <c r="N3021" i="17"/>
  <c r="N3020" i="17"/>
  <c r="N3019" i="17"/>
  <c r="N3018" i="17"/>
  <c r="N3017" i="17"/>
  <c r="N3016" i="17"/>
  <c r="N3015" i="17"/>
  <c r="N3014" i="17"/>
  <c r="N3013" i="17"/>
  <c r="N3012" i="17"/>
  <c r="N3011" i="17"/>
  <c r="N3010" i="17"/>
  <c r="N3009" i="17"/>
  <c r="N3008" i="17"/>
  <c r="N3007" i="17"/>
  <c r="N3006" i="17"/>
  <c r="N3005" i="17"/>
  <c r="N3004" i="17"/>
  <c r="N3003" i="17"/>
  <c r="N3002" i="17"/>
  <c r="N3001" i="17"/>
  <c r="N3000" i="17"/>
  <c r="N2999" i="17"/>
  <c r="N2998" i="17"/>
  <c r="N2997" i="17"/>
  <c r="N2996" i="17"/>
  <c r="N2995" i="17"/>
  <c r="N2994" i="17"/>
  <c r="N2993" i="17"/>
  <c r="N2992" i="17"/>
  <c r="N2991" i="17"/>
  <c r="N2990" i="17"/>
  <c r="N2989" i="17"/>
  <c r="N2988" i="17"/>
  <c r="N2987" i="17"/>
  <c r="N2986" i="17"/>
  <c r="N2985" i="17"/>
  <c r="N2984" i="17"/>
  <c r="N2983" i="17"/>
  <c r="N2982" i="17"/>
  <c r="N2981" i="17"/>
  <c r="N2980" i="17"/>
  <c r="N2979" i="17"/>
  <c r="N2978" i="17"/>
  <c r="N2977" i="17"/>
  <c r="N2976" i="17"/>
  <c r="N2975" i="17"/>
  <c r="N2974" i="17"/>
  <c r="N2973" i="17"/>
  <c r="N2972" i="17"/>
  <c r="N2971" i="17"/>
  <c r="N2970" i="17"/>
  <c r="N2969" i="17"/>
  <c r="N2968" i="17"/>
  <c r="N2967" i="17"/>
  <c r="N2966" i="17"/>
  <c r="N2965" i="17"/>
  <c r="N2964" i="17"/>
  <c r="N2963" i="17"/>
  <c r="N2962" i="17"/>
  <c r="N2961" i="17"/>
  <c r="N2960" i="17"/>
  <c r="N2959" i="17"/>
  <c r="N2958" i="17"/>
  <c r="N2957" i="17"/>
  <c r="N2956" i="17"/>
  <c r="N2955" i="17"/>
  <c r="N2954" i="17"/>
  <c r="N2953" i="17"/>
  <c r="N2952" i="17"/>
  <c r="N2951" i="17"/>
  <c r="N2950" i="17"/>
  <c r="N2949" i="17"/>
  <c r="N2948" i="17"/>
  <c r="N2947" i="17"/>
  <c r="N2946" i="17"/>
  <c r="N2945" i="17"/>
  <c r="N2944" i="17"/>
  <c r="N2943" i="17"/>
  <c r="N2942" i="17"/>
  <c r="N2941" i="17"/>
  <c r="N2940" i="17"/>
  <c r="N2939" i="17"/>
  <c r="N2938" i="17"/>
  <c r="N2937" i="17"/>
  <c r="N2936" i="17"/>
  <c r="N2935" i="17"/>
  <c r="N2934" i="17"/>
  <c r="N2933" i="17"/>
  <c r="N2932" i="17"/>
  <c r="N2931" i="17"/>
  <c r="N2930" i="17"/>
  <c r="N2929" i="17"/>
  <c r="N2928" i="17"/>
  <c r="N2927" i="17"/>
  <c r="N2926" i="17"/>
  <c r="N2925" i="17"/>
  <c r="N2924" i="17"/>
  <c r="N2923" i="17"/>
  <c r="N2922" i="17"/>
  <c r="N2921" i="17"/>
  <c r="N2920" i="17"/>
  <c r="N2919" i="17"/>
  <c r="N2918" i="17"/>
  <c r="N2917" i="17"/>
  <c r="N2916" i="17"/>
  <c r="N2915" i="17"/>
  <c r="N2914" i="17"/>
  <c r="N2913" i="17"/>
  <c r="N2912" i="17"/>
  <c r="N2911" i="17"/>
  <c r="N2910" i="17"/>
  <c r="N2909" i="17"/>
  <c r="N2908" i="17"/>
  <c r="N2907" i="17"/>
  <c r="N2906" i="17"/>
  <c r="N2905" i="17"/>
  <c r="N2904" i="17"/>
  <c r="N2903" i="17"/>
  <c r="N2902" i="17"/>
  <c r="N2901" i="17"/>
  <c r="N2900" i="17"/>
  <c r="N2899" i="17"/>
  <c r="N2898" i="17"/>
  <c r="N2897" i="17"/>
  <c r="N2896" i="17"/>
  <c r="N2895" i="17"/>
  <c r="N2894" i="17"/>
  <c r="N2893" i="17"/>
  <c r="N2892" i="17"/>
  <c r="N2891" i="17"/>
  <c r="N2890" i="17"/>
  <c r="N2889" i="17"/>
  <c r="N2888" i="17"/>
  <c r="N2887" i="17"/>
  <c r="N2886" i="17"/>
  <c r="N2885" i="17"/>
  <c r="N2884" i="17"/>
  <c r="N2883" i="17"/>
  <c r="N2882" i="17"/>
  <c r="N2881" i="17"/>
  <c r="N2880" i="17"/>
  <c r="N2879" i="17"/>
  <c r="N2878" i="17"/>
  <c r="N2877" i="17"/>
  <c r="N2876" i="17"/>
  <c r="N2875" i="17"/>
  <c r="N2874" i="17"/>
  <c r="N2873" i="17"/>
  <c r="N2872" i="17"/>
  <c r="N2871" i="17"/>
  <c r="N2870" i="17"/>
  <c r="N2869" i="17"/>
  <c r="N2868" i="17"/>
  <c r="N2867" i="17"/>
  <c r="N2866" i="17"/>
  <c r="N2865" i="17"/>
  <c r="N2864" i="17"/>
  <c r="N2863" i="17"/>
  <c r="N2862" i="17"/>
  <c r="N2861" i="17"/>
  <c r="N2860" i="17"/>
  <c r="N2859" i="17"/>
  <c r="N2858" i="17"/>
  <c r="N2857" i="17"/>
  <c r="N2856" i="17"/>
  <c r="N2855" i="17"/>
  <c r="N2854" i="17"/>
  <c r="N2853" i="17"/>
  <c r="N2852" i="17"/>
  <c r="N2851" i="17"/>
  <c r="N2850" i="17"/>
  <c r="N2849" i="17"/>
  <c r="N2848" i="17"/>
  <c r="N2847" i="17"/>
  <c r="N2846" i="17"/>
  <c r="N2845" i="17"/>
  <c r="N2844" i="17"/>
  <c r="N2843" i="17"/>
  <c r="N2842" i="17"/>
  <c r="N2841" i="17"/>
  <c r="N2840" i="17"/>
  <c r="N2839" i="17"/>
  <c r="N2838" i="17"/>
  <c r="N2837" i="17"/>
  <c r="N2836" i="17"/>
  <c r="N2835" i="17"/>
  <c r="N2834" i="17"/>
  <c r="N2833" i="17"/>
  <c r="N2832" i="17"/>
  <c r="N2831" i="17"/>
  <c r="N2830" i="17"/>
  <c r="N2829" i="17"/>
  <c r="N2828" i="17"/>
  <c r="N2827" i="17"/>
  <c r="N2826" i="17"/>
  <c r="N2825" i="17"/>
  <c r="N2824" i="17"/>
  <c r="N2823" i="17"/>
  <c r="N2822" i="17"/>
  <c r="N2821" i="17"/>
  <c r="N2820" i="17"/>
  <c r="N2819" i="17"/>
  <c r="N2818" i="17"/>
  <c r="N2817" i="17"/>
  <c r="N2816" i="17"/>
  <c r="N2815" i="17"/>
  <c r="N2814" i="17"/>
  <c r="N2813" i="17"/>
  <c r="N2812" i="17"/>
  <c r="N2811" i="17"/>
  <c r="N2810" i="17"/>
  <c r="N2809" i="17"/>
  <c r="N2808" i="17"/>
  <c r="N2807" i="17"/>
  <c r="N2806" i="17"/>
  <c r="N2805" i="17"/>
  <c r="N2804" i="17"/>
  <c r="N2803" i="17"/>
  <c r="N2802" i="17"/>
  <c r="N2801" i="17"/>
  <c r="N2800" i="17"/>
  <c r="N2799" i="17"/>
  <c r="N2798" i="17"/>
  <c r="N2797" i="17"/>
  <c r="N2796" i="17"/>
  <c r="N2795" i="17"/>
  <c r="N2794" i="17"/>
  <c r="N2793" i="17"/>
  <c r="N2792" i="17"/>
  <c r="N2791" i="17"/>
  <c r="N2790" i="17"/>
  <c r="N2789" i="17"/>
  <c r="N2788" i="17"/>
  <c r="N2787" i="17"/>
  <c r="N2786" i="17"/>
  <c r="N2785" i="17"/>
  <c r="N2784" i="17"/>
  <c r="N2783" i="17"/>
  <c r="N2782" i="17"/>
  <c r="N2781" i="17"/>
  <c r="N2780" i="17"/>
  <c r="N2779" i="17"/>
  <c r="N2778" i="17"/>
  <c r="N2777" i="17"/>
  <c r="N2776" i="17"/>
  <c r="N2775" i="17"/>
  <c r="N2774" i="17"/>
  <c r="N2773" i="17"/>
  <c r="N2772" i="17"/>
  <c r="N2771" i="17"/>
  <c r="N2770" i="17"/>
  <c r="N2769" i="17"/>
  <c r="N2768" i="17"/>
  <c r="N2767" i="17"/>
  <c r="N2766" i="17"/>
  <c r="N2765" i="17"/>
  <c r="N2764" i="17"/>
  <c r="N2763" i="17"/>
  <c r="N2762" i="17"/>
  <c r="N2761" i="17"/>
  <c r="N2760" i="17"/>
  <c r="N2759" i="17"/>
  <c r="N2758" i="17"/>
  <c r="N2757" i="17"/>
  <c r="N2756" i="17"/>
  <c r="N2755" i="17"/>
  <c r="N2754" i="17"/>
  <c r="N2753" i="17"/>
  <c r="N2752" i="17"/>
  <c r="N2751" i="17"/>
  <c r="N2750" i="17"/>
  <c r="N2749" i="17"/>
  <c r="N2748" i="17"/>
  <c r="N2747" i="17"/>
  <c r="N2746" i="17"/>
  <c r="N2745" i="17"/>
  <c r="N2744" i="17"/>
  <c r="N2743" i="17"/>
  <c r="N2742" i="17"/>
  <c r="N2741" i="17"/>
  <c r="N2740" i="17"/>
  <c r="N2739" i="17"/>
  <c r="N2738" i="17"/>
  <c r="N2737" i="17"/>
  <c r="N2736" i="17"/>
  <c r="N2735" i="17"/>
  <c r="N2734" i="17"/>
  <c r="N2733" i="17"/>
  <c r="N2732" i="17"/>
  <c r="N2731" i="17"/>
  <c r="N2730" i="17"/>
  <c r="N2729" i="17"/>
  <c r="N2728" i="17"/>
  <c r="N2727" i="17"/>
  <c r="N2726" i="17"/>
  <c r="N2725" i="17"/>
  <c r="N2724" i="17"/>
  <c r="N2723" i="17"/>
  <c r="N2722" i="17"/>
  <c r="N2721" i="17"/>
  <c r="N2720" i="17"/>
  <c r="N2719" i="17"/>
  <c r="N2718" i="17"/>
  <c r="N2717" i="17"/>
  <c r="N2716" i="17"/>
  <c r="N2715" i="17"/>
  <c r="N2714" i="17"/>
  <c r="N2713" i="17"/>
  <c r="N2712" i="17"/>
  <c r="N2711" i="17"/>
  <c r="N2710" i="17"/>
  <c r="N2709" i="17"/>
  <c r="N2708" i="17"/>
  <c r="N2707" i="17"/>
  <c r="N2706" i="17"/>
  <c r="N2705" i="17"/>
  <c r="N2704" i="17"/>
  <c r="N2703" i="17"/>
  <c r="N2702" i="17"/>
  <c r="N2701" i="17"/>
  <c r="N2700" i="17"/>
  <c r="N2699" i="17"/>
  <c r="N2698" i="17"/>
  <c r="N2697" i="17"/>
  <c r="N2696" i="17"/>
  <c r="N2695" i="17"/>
  <c r="N2694" i="17"/>
  <c r="N2693" i="17"/>
  <c r="N2692" i="17"/>
  <c r="N2691" i="17"/>
  <c r="N2690" i="17"/>
  <c r="N2689" i="17"/>
  <c r="N2688" i="17"/>
  <c r="N2687" i="17"/>
  <c r="N2686" i="17"/>
  <c r="N2685" i="17"/>
  <c r="N2684" i="17"/>
  <c r="N2683" i="17"/>
  <c r="N2682" i="17"/>
  <c r="N2681" i="17"/>
  <c r="N2680" i="17"/>
  <c r="N2679" i="17"/>
  <c r="N2678" i="17"/>
  <c r="N2677" i="17"/>
  <c r="N2676" i="17"/>
  <c r="N2675" i="17"/>
  <c r="N2674" i="17"/>
  <c r="N2673" i="17"/>
  <c r="N2672" i="17"/>
  <c r="N2671" i="17"/>
  <c r="N2670" i="17"/>
  <c r="N2669" i="17"/>
  <c r="N2668" i="17"/>
  <c r="N2667" i="17"/>
  <c r="N2666" i="17"/>
  <c r="N2665" i="17"/>
  <c r="N2664" i="17"/>
  <c r="N2663" i="17"/>
  <c r="N2662" i="17"/>
  <c r="N2661" i="17"/>
  <c r="N2660" i="17"/>
  <c r="N2659" i="17"/>
  <c r="N2658" i="17"/>
  <c r="N2657" i="17"/>
  <c r="N2656" i="17"/>
  <c r="N2655" i="17"/>
  <c r="N2654" i="17"/>
  <c r="N2653" i="17"/>
  <c r="N2652" i="17"/>
  <c r="N2651" i="17"/>
  <c r="N2650" i="17"/>
  <c r="N2649" i="17"/>
  <c r="N2648" i="17"/>
  <c r="N2647" i="17"/>
  <c r="N2646" i="17"/>
  <c r="N2645" i="17"/>
  <c r="N2644" i="17"/>
  <c r="N2643" i="17"/>
  <c r="N2642" i="17"/>
  <c r="N2641" i="17"/>
  <c r="N2640" i="17"/>
  <c r="N2639" i="17"/>
  <c r="N2638" i="17"/>
  <c r="N2637" i="17"/>
  <c r="N2636" i="17"/>
  <c r="N2635" i="17"/>
  <c r="N2634" i="17"/>
  <c r="N2633" i="17"/>
  <c r="N2632" i="17"/>
  <c r="N2631" i="17"/>
  <c r="N2630" i="17"/>
  <c r="N2629" i="17"/>
  <c r="N2628" i="17"/>
  <c r="N2627" i="17"/>
  <c r="N2626" i="17"/>
  <c r="N2625" i="17"/>
  <c r="N2624" i="17"/>
  <c r="N2623" i="17"/>
  <c r="N2622" i="17"/>
  <c r="N2621" i="17"/>
  <c r="N2620" i="17"/>
  <c r="N2619" i="17"/>
  <c r="N2618" i="17"/>
  <c r="N2617" i="17"/>
  <c r="N2616" i="17"/>
  <c r="N2615" i="17"/>
  <c r="N2614" i="17"/>
  <c r="N2613" i="17"/>
  <c r="N2612" i="17"/>
  <c r="N2611" i="17"/>
  <c r="N2610" i="17"/>
  <c r="N2609" i="17"/>
  <c r="N2608" i="17"/>
  <c r="N2607" i="17"/>
  <c r="N2606" i="17"/>
  <c r="N2605" i="17"/>
  <c r="N2604" i="17"/>
  <c r="N2603" i="17"/>
  <c r="N2602" i="17"/>
  <c r="N2601" i="17"/>
  <c r="N2600" i="17"/>
  <c r="N2599" i="17"/>
  <c r="N2598" i="17"/>
  <c r="N2597" i="17"/>
  <c r="N2596" i="17"/>
  <c r="N2595" i="17"/>
  <c r="N2594" i="17"/>
  <c r="N2593" i="17"/>
  <c r="N2592" i="17"/>
  <c r="N2591" i="17"/>
  <c r="N2590" i="17"/>
  <c r="N2589" i="17"/>
  <c r="N2588" i="17"/>
  <c r="N2587" i="17"/>
  <c r="N2586" i="17"/>
  <c r="N2585" i="17"/>
  <c r="N2584" i="17"/>
  <c r="N2583" i="17"/>
  <c r="N2582" i="17"/>
  <c r="N2581" i="17"/>
  <c r="N2580" i="17"/>
  <c r="N2579" i="17"/>
  <c r="N2578" i="17"/>
  <c r="N2577" i="17"/>
  <c r="N2576" i="17"/>
  <c r="N2575" i="17"/>
  <c r="N2574" i="17"/>
  <c r="N2573" i="17"/>
  <c r="N2572" i="17"/>
  <c r="N2571" i="17"/>
  <c r="N2570" i="17"/>
  <c r="N2569" i="17"/>
  <c r="N2568" i="17"/>
  <c r="N2567" i="17"/>
  <c r="N2566" i="17"/>
  <c r="N2565" i="17"/>
  <c r="N2564" i="17"/>
  <c r="N2563" i="17"/>
  <c r="N2562" i="17"/>
  <c r="N2561" i="17"/>
  <c r="N2560" i="17"/>
  <c r="N2559" i="17"/>
  <c r="N2558" i="17"/>
  <c r="N2557" i="17"/>
  <c r="N2556" i="17"/>
  <c r="N2555" i="17"/>
  <c r="N2554" i="17"/>
  <c r="N2553" i="17"/>
  <c r="N2552" i="17"/>
  <c r="N2551" i="17"/>
  <c r="N2550" i="17"/>
  <c r="N2549" i="17"/>
  <c r="N2548" i="17"/>
  <c r="N2547" i="17"/>
  <c r="N2546" i="17"/>
  <c r="N2545" i="17"/>
  <c r="N2544" i="17"/>
  <c r="N2543" i="17"/>
  <c r="N2542" i="17"/>
  <c r="N2541" i="17"/>
  <c r="N2540" i="17"/>
  <c r="N2539" i="17"/>
  <c r="N2538" i="17"/>
  <c r="N2537" i="17"/>
  <c r="N2536" i="17"/>
  <c r="N2535" i="17"/>
  <c r="N2534" i="17"/>
  <c r="N2533" i="17"/>
  <c r="N2532" i="17"/>
  <c r="N2531" i="17"/>
  <c r="N2530" i="17"/>
  <c r="N2529" i="17"/>
  <c r="N2528" i="17"/>
  <c r="N2527" i="17"/>
  <c r="N2526" i="17"/>
  <c r="N2525" i="17"/>
  <c r="N2524" i="17"/>
  <c r="N2523" i="17"/>
  <c r="N2522" i="17"/>
  <c r="N2521" i="17"/>
  <c r="N2520" i="17"/>
  <c r="N2519" i="17"/>
  <c r="N2518" i="17"/>
  <c r="N2517" i="17"/>
  <c r="N2516" i="17"/>
  <c r="N2515" i="17"/>
  <c r="N2514" i="17"/>
  <c r="N2513" i="17"/>
  <c r="N2512" i="17"/>
  <c r="N2511" i="17"/>
  <c r="N2510" i="17"/>
  <c r="N2509" i="17"/>
  <c r="N2508" i="17"/>
  <c r="N2507" i="17"/>
  <c r="N2506" i="17"/>
  <c r="N2505" i="17"/>
  <c r="N2504" i="17"/>
  <c r="N2503" i="17"/>
  <c r="N2502" i="17"/>
  <c r="N2501" i="17"/>
  <c r="N2500" i="17"/>
  <c r="N2499" i="17"/>
  <c r="N2498" i="17"/>
  <c r="N2497" i="17"/>
  <c r="N2496" i="17"/>
  <c r="N2495" i="17"/>
  <c r="N2494" i="17"/>
  <c r="N2493" i="17"/>
  <c r="N2492" i="17"/>
  <c r="N2491" i="17"/>
  <c r="N2490" i="17"/>
  <c r="N2489" i="17"/>
  <c r="N2488" i="17"/>
  <c r="N2487" i="17"/>
  <c r="N2486" i="17"/>
  <c r="N2485" i="17"/>
  <c r="N2484" i="17"/>
  <c r="N2483" i="17"/>
  <c r="N2482" i="17"/>
  <c r="N2481" i="17"/>
  <c r="N2480" i="17"/>
  <c r="N2479" i="17"/>
  <c r="N2478" i="17"/>
  <c r="N2477" i="17"/>
  <c r="N2476" i="17"/>
  <c r="N2475" i="17"/>
  <c r="N2474" i="17"/>
  <c r="N2473" i="17"/>
  <c r="N2472" i="17"/>
  <c r="N2471" i="17"/>
  <c r="N2470" i="17"/>
  <c r="N2469" i="17"/>
  <c r="N2468" i="17"/>
  <c r="N2467" i="17"/>
  <c r="N2466" i="17"/>
  <c r="N2465" i="17"/>
  <c r="N2464" i="17"/>
  <c r="N2463" i="17"/>
  <c r="N2462" i="17"/>
  <c r="N2461" i="17"/>
  <c r="N2460" i="17"/>
  <c r="N2459" i="17"/>
  <c r="N2458" i="17"/>
  <c r="N2457" i="17"/>
  <c r="N2456" i="17"/>
  <c r="N2455" i="17"/>
  <c r="N2454" i="17"/>
  <c r="N2453" i="17"/>
  <c r="N2452" i="17"/>
  <c r="N2451" i="17"/>
  <c r="N2450" i="17"/>
  <c r="N2449" i="17"/>
  <c r="N2448" i="17"/>
  <c r="N2447" i="17"/>
  <c r="N2446" i="17"/>
  <c r="N2445" i="17"/>
  <c r="N2444" i="17"/>
  <c r="N2443" i="17"/>
  <c r="N2442" i="17"/>
  <c r="N2441" i="17"/>
  <c r="N2440" i="17"/>
  <c r="N2439" i="17"/>
  <c r="N2438" i="17"/>
  <c r="N2437" i="17"/>
  <c r="N2436" i="17"/>
  <c r="N2435" i="17"/>
  <c r="N2434" i="17"/>
  <c r="N2433" i="17"/>
  <c r="N2432" i="17"/>
  <c r="N2431" i="17"/>
  <c r="N2430" i="17"/>
  <c r="N2429" i="17"/>
  <c r="N2428" i="17"/>
  <c r="N2427" i="17"/>
  <c r="N2426" i="17"/>
  <c r="N2425" i="17"/>
  <c r="N2424" i="17"/>
  <c r="N2423" i="17"/>
  <c r="N2422" i="17"/>
  <c r="N2421" i="17"/>
  <c r="N2420" i="17"/>
  <c r="N2419" i="17"/>
  <c r="N2418" i="17"/>
  <c r="N2417" i="17"/>
  <c r="N2416" i="17"/>
  <c r="N2415" i="17"/>
  <c r="N2414" i="17"/>
  <c r="N2413" i="17"/>
  <c r="N2412" i="17"/>
  <c r="N2411" i="17"/>
  <c r="N2410" i="17"/>
  <c r="N2409" i="17"/>
  <c r="N2408" i="17"/>
  <c r="N2407" i="17"/>
  <c r="N2406" i="17"/>
  <c r="N2405" i="17"/>
  <c r="N2404" i="17"/>
  <c r="N2403" i="17"/>
  <c r="N2402" i="17"/>
  <c r="N2401" i="17"/>
  <c r="N2400" i="17"/>
  <c r="N2399" i="17"/>
  <c r="N2398" i="17"/>
  <c r="N2397" i="17"/>
  <c r="N2396" i="17"/>
  <c r="N2395" i="17"/>
  <c r="N2394" i="17"/>
  <c r="N2393" i="17"/>
  <c r="N2392" i="17"/>
  <c r="N2391" i="17"/>
  <c r="N2390" i="17"/>
  <c r="N2389" i="17"/>
  <c r="N2388" i="17"/>
  <c r="N2387" i="17"/>
  <c r="N2386" i="17"/>
  <c r="N2385" i="17"/>
  <c r="N2384" i="17"/>
  <c r="N2383" i="17"/>
  <c r="N2382" i="17"/>
  <c r="N2381" i="17"/>
  <c r="N2380" i="17"/>
  <c r="N2379" i="17"/>
  <c r="N2378" i="17"/>
  <c r="N2377" i="17"/>
  <c r="N2376" i="17"/>
  <c r="N2375" i="17"/>
  <c r="N2374" i="17"/>
  <c r="N2373" i="17"/>
  <c r="N2372" i="17"/>
  <c r="N2371" i="17"/>
  <c r="N2370" i="17"/>
  <c r="N2369" i="17"/>
  <c r="N2368" i="17"/>
  <c r="N2367" i="17"/>
  <c r="N2366" i="17"/>
  <c r="N2365" i="17"/>
  <c r="N2364" i="17"/>
  <c r="N2363" i="17"/>
  <c r="N2362" i="17"/>
  <c r="N2361" i="17"/>
  <c r="N2360" i="17"/>
  <c r="N2359" i="17"/>
  <c r="N2358" i="17"/>
  <c r="N2357" i="17"/>
  <c r="N2356" i="17"/>
  <c r="N2355" i="17"/>
  <c r="N2354" i="17"/>
  <c r="N2353" i="17"/>
  <c r="N2352" i="17"/>
  <c r="N2351" i="17"/>
  <c r="N2350" i="17"/>
  <c r="N2349" i="17"/>
  <c r="N2348" i="17"/>
  <c r="N2347" i="17"/>
  <c r="N2346" i="17"/>
  <c r="N2345" i="17"/>
  <c r="N2344" i="17"/>
  <c r="N2343" i="17"/>
  <c r="N2342" i="17"/>
  <c r="N2341" i="17"/>
  <c r="N2340" i="17"/>
  <c r="N2339" i="17"/>
  <c r="N2338" i="17"/>
  <c r="N2337" i="17"/>
  <c r="N2336" i="17"/>
  <c r="N2335" i="17"/>
  <c r="N2334" i="17"/>
  <c r="N2333" i="17"/>
  <c r="N2332" i="17"/>
  <c r="N2331" i="17"/>
  <c r="N2330" i="17"/>
  <c r="N2329" i="17"/>
  <c r="N2328" i="17"/>
  <c r="N2327" i="17"/>
  <c r="N2326" i="17"/>
  <c r="N2325" i="17"/>
  <c r="N2324" i="17"/>
  <c r="N2323" i="17"/>
  <c r="N2322" i="17"/>
  <c r="N2321" i="17"/>
  <c r="N2320" i="17"/>
  <c r="N2319" i="17"/>
  <c r="N2318" i="17"/>
  <c r="N2317" i="17"/>
  <c r="N2316" i="17"/>
  <c r="N2315" i="17"/>
  <c r="N2314" i="17"/>
  <c r="N2313" i="17"/>
  <c r="N2312" i="17"/>
  <c r="N2311" i="17"/>
  <c r="N2310" i="17"/>
  <c r="N2309" i="17"/>
  <c r="N2308" i="17"/>
  <c r="N2307" i="17"/>
  <c r="N2306" i="17"/>
  <c r="N2305" i="17"/>
  <c r="N2304" i="17"/>
  <c r="N2303" i="17"/>
  <c r="N2302" i="17"/>
  <c r="N2301" i="17"/>
  <c r="N2300" i="17"/>
  <c r="N2299" i="17"/>
  <c r="N2298" i="17"/>
  <c r="N2297" i="17"/>
  <c r="N2296" i="17"/>
  <c r="N2295" i="17"/>
  <c r="N2294" i="17"/>
  <c r="N2293" i="17"/>
  <c r="N2292" i="17"/>
  <c r="N2291" i="17"/>
  <c r="N2290" i="17"/>
  <c r="N2289" i="17"/>
  <c r="N2288" i="17"/>
  <c r="N2287" i="17"/>
  <c r="N2286" i="17"/>
  <c r="N2285" i="17"/>
  <c r="N2284" i="17"/>
  <c r="N2283" i="17"/>
  <c r="N2282" i="17"/>
  <c r="N2281" i="17"/>
  <c r="N2280" i="17"/>
  <c r="N2279" i="17"/>
  <c r="N2278" i="17"/>
  <c r="N2277" i="17"/>
  <c r="N2276" i="17"/>
  <c r="N2275" i="17"/>
  <c r="N2274" i="17"/>
  <c r="N2273" i="17"/>
  <c r="N2272" i="17"/>
  <c r="N2271" i="17"/>
  <c r="N2270" i="17"/>
  <c r="N2269" i="17"/>
  <c r="N2268" i="17"/>
  <c r="N2267" i="17"/>
  <c r="N2266" i="17"/>
  <c r="N2265" i="17"/>
  <c r="N2264" i="17"/>
  <c r="N2263" i="17"/>
  <c r="N2262" i="17"/>
  <c r="N2261" i="17"/>
  <c r="N2260" i="17"/>
  <c r="N2259" i="17"/>
  <c r="N2258" i="17"/>
  <c r="N2257" i="17"/>
  <c r="N2256" i="17"/>
  <c r="N2255" i="17"/>
  <c r="N2254" i="17"/>
  <c r="N2253" i="17"/>
  <c r="N2252" i="17"/>
  <c r="N2251" i="17"/>
  <c r="N2250" i="17"/>
  <c r="N2249" i="17"/>
  <c r="N2248" i="17"/>
  <c r="N2247" i="17"/>
  <c r="N2246" i="17"/>
  <c r="N2245" i="17"/>
  <c r="N2244" i="17"/>
  <c r="N2243" i="17"/>
  <c r="N2242" i="17"/>
  <c r="N2241" i="17"/>
  <c r="N2240" i="17"/>
  <c r="N2239" i="17"/>
  <c r="N2238" i="17"/>
  <c r="N2237" i="17"/>
  <c r="N2236" i="17"/>
  <c r="N2235" i="17"/>
  <c r="N2234" i="17"/>
  <c r="N2233" i="17"/>
  <c r="N2232" i="17"/>
  <c r="N2231" i="17"/>
  <c r="N2230" i="17"/>
  <c r="N2229" i="17"/>
  <c r="N2228" i="17"/>
  <c r="N2227" i="17"/>
  <c r="N2226" i="17"/>
  <c r="N2225" i="17"/>
  <c r="N2224" i="17"/>
  <c r="N2223" i="17"/>
  <c r="N2222" i="17"/>
  <c r="N2221" i="17"/>
  <c r="N2220" i="17"/>
  <c r="N2219" i="17"/>
  <c r="N2218" i="17"/>
  <c r="N2217" i="17"/>
  <c r="N2216" i="17"/>
  <c r="N2215" i="17"/>
  <c r="N2214" i="17"/>
  <c r="N2213" i="17"/>
  <c r="N2212" i="17"/>
  <c r="N2211" i="17"/>
  <c r="N2210" i="17"/>
  <c r="N2209" i="17"/>
  <c r="N2208" i="17"/>
  <c r="N2207" i="17"/>
  <c r="N2206" i="17"/>
  <c r="N2205" i="17"/>
  <c r="N2204" i="17"/>
  <c r="N2203" i="17"/>
  <c r="N2202" i="17"/>
  <c r="N2201" i="17"/>
  <c r="N2200" i="17"/>
  <c r="N2199" i="17"/>
  <c r="N2198" i="17"/>
  <c r="N2197" i="17"/>
  <c r="N2196" i="17"/>
  <c r="N2195" i="17"/>
  <c r="N2194" i="17"/>
  <c r="N2193" i="17"/>
  <c r="N2192" i="17"/>
  <c r="N2191" i="17"/>
  <c r="N2190" i="17"/>
  <c r="N2189" i="17"/>
  <c r="N2188" i="17"/>
  <c r="N2187" i="17"/>
  <c r="N2186" i="17"/>
  <c r="N2185" i="17"/>
  <c r="N2184" i="17"/>
  <c r="N2183" i="17"/>
  <c r="N2182" i="17"/>
  <c r="N2181" i="17"/>
  <c r="N2180" i="17"/>
  <c r="N2179" i="17"/>
  <c r="N2178" i="17"/>
  <c r="N2177" i="17"/>
  <c r="N2176" i="17"/>
  <c r="N2175" i="17"/>
  <c r="N2174" i="17"/>
  <c r="N2173" i="17"/>
  <c r="N2172" i="17"/>
  <c r="N2171" i="17"/>
  <c r="N2170" i="17"/>
  <c r="N2169" i="17"/>
  <c r="N2168" i="17"/>
  <c r="N2167" i="17"/>
  <c r="N2166" i="17"/>
  <c r="N2165" i="17"/>
  <c r="N2164" i="17"/>
  <c r="N2163" i="17"/>
  <c r="N2162" i="17"/>
  <c r="N2161" i="17"/>
  <c r="N2160" i="17"/>
  <c r="N2159" i="17"/>
  <c r="N2158" i="17"/>
  <c r="N2157" i="17"/>
  <c r="N2156" i="17"/>
  <c r="N2155" i="17"/>
  <c r="N2154" i="17"/>
  <c r="N2153" i="17"/>
  <c r="N2152" i="17"/>
  <c r="N2151" i="17"/>
  <c r="N2150" i="17"/>
  <c r="N2149" i="17"/>
  <c r="N2148" i="17"/>
  <c r="N2147" i="17"/>
  <c r="N2146" i="17"/>
  <c r="N2145" i="17"/>
  <c r="N2144" i="17"/>
  <c r="N2143" i="17"/>
  <c r="N2142" i="17"/>
  <c r="N2141" i="17"/>
  <c r="N2140" i="17"/>
  <c r="N2139" i="17"/>
  <c r="N2138" i="17"/>
  <c r="N2137" i="17"/>
  <c r="N2136" i="17"/>
  <c r="N2135" i="17"/>
  <c r="N2134" i="17"/>
  <c r="N2133" i="17"/>
  <c r="N2132" i="17"/>
  <c r="N2131" i="17"/>
  <c r="N2130" i="17"/>
  <c r="N2129" i="17"/>
  <c r="N2128" i="17"/>
  <c r="N2127" i="17"/>
  <c r="N2126" i="17"/>
  <c r="N2125" i="17"/>
  <c r="N2124" i="17"/>
  <c r="N2123" i="17"/>
  <c r="N2122" i="17"/>
  <c r="N2121" i="17"/>
  <c r="N2120" i="17"/>
  <c r="N2119" i="17"/>
  <c r="N2118" i="17"/>
  <c r="N2117" i="17"/>
  <c r="N2116" i="17"/>
  <c r="N2115" i="17"/>
  <c r="N2114" i="17"/>
  <c r="N2113" i="17"/>
  <c r="N2112" i="17"/>
  <c r="N2111" i="17"/>
  <c r="N2110" i="17"/>
  <c r="N2109" i="17"/>
  <c r="N2108" i="17"/>
  <c r="N2107" i="17"/>
  <c r="N2106" i="17"/>
  <c r="N2105" i="17"/>
  <c r="N2104" i="17"/>
  <c r="N2103" i="17"/>
  <c r="N2102" i="17"/>
  <c r="N2101" i="17"/>
  <c r="N2100" i="17"/>
  <c r="N2099" i="17"/>
  <c r="N2098" i="17"/>
  <c r="N2097" i="17"/>
  <c r="N2096" i="17"/>
  <c r="N2095" i="17"/>
  <c r="N2094" i="17"/>
  <c r="N2093" i="17"/>
  <c r="N2092" i="17"/>
  <c r="N2091" i="17"/>
  <c r="N2090" i="17"/>
  <c r="N2089" i="17"/>
  <c r="N2088" i="17"/>
  <c r="N2087" i="17"/>
  <c r="N2086" i="17"/>
  <c r="N2085" i="17"/>
  <c r="N2084" i="17"/>
  <c r="N2083" i="17"/>
  <c r="N2082" i="17"/>
  <c r="N2081" i="17"/>
  <c r="N2080" i="17"/>
  <c r="N2079" i="17"/>
  <c r="N2078" i="17"/>
  <c r="N2077" i="17"/>
  <c r="N2076" i="17"/>
  <c r="N2075" i="17"/>
  <c r="N2074" i="17"/>
  <c r="N2073" i="17"/>
  <c r="N2072" i="17"/>
  <c r="N2071" i="17"/>
  <c r="N2070" i="17"/>
  <c r="N2069" i="17"/>
  <c r="N2068" i="17"/>
  <c r="N2067" i="17"/>
  <c r="N2066" i="17"/>
  <c r="N2065" i="17"/>
  <c r="N2064" i="17"/>
  <c r="N2063" i="17"/>
  <c r="N2062" i="17"/>
  <c r="N2061" i="17"/>
  <c r="N2060" i="17"/>
  <c r="N2059" i="17"/>
  <c r="N2058" i="17"/>
  <c r="N2057" i="17"/>
  <c r="N2056" i="17"/>
  <c r="N2055" i="17"/>
  <c r="N2054" i="17"/>
  <c r="N2053" i="17"/>
  <c r="N2052" i="17"/>
  <c r="N2051" i="17"/>
  <c r="N2050" i="17"/>
  <c r="N2049" i="17"/>
  <c r="N2048" i="17"/>
  <c r="N2047" i="17"/>
  <c r="N2046" i="17"/>
  <c r="N2045" i="17"/>
  <c r="N2044" i="17"/>
  <c r="N2043" i="17"/>
  <c r="N2042" i="17"/>
  <c r="N2041" i="17"/>
  <c r="N2040" i="17"/>
  <c r="N2039" i="17"/>
  <c r="N2038" i="17"/>
  <c r="N2037" i="17"/>
  <c r="N2036" i="17"/>
  <c r="N2035" i="17"/>
  <c r="N2034" i="17"/>
  <c r="N2033" i="17"/>
  <c r="N2032" i="17"/>
  <c r="N2031" i="17"/>
  <c r="N2030" i="17"/>
  <c r="N2029" i="17"/>
  <c r="N2028" i="17"/>
  <c r="N2027" i="17"/>
  <c r="N2026" i="17"/>
  <c r="N2025" i="17"/>
  <c r="N2024" i="17"/>
  <c r="N2023" i="17"/>
  <c r="N2022" i="17"/>
  <c r="N2021" i="17"/>
  <c r="N2020" i="17"/>
  <c r="N2019" i="17"/>
  <c r="N2018" i="17"/>
  <c r="N2017" i="17"/>
  <c r="N2016" i="17"/>
  <c r="N2015" i="17"/>
  <c r="N2014" i="17"/>
  <c r="N2013" i="17"/>
  <c r="N2012" i="17"/>
  <c r="N2011" i="17"/>
  <c r="N2010" i="17"/>
  <c r="N2009" i="17"/>
  <c r="N2008" i="17"/>
  <c r="N2007" i="17"/>
  <c r="N2006" i="17"/>
  <c r="N2005" i="17"/>
  <c r="N2004" i="17"/>
  <c r="N2003" i="17"/>
  <c r="N2002" i="17"/>
  <c r="N2001" i="17"/>
  <c r="N2000" i="17"/>
  <c r="N1999" i="17"/>
  <c r="N1998" i="17"/>
  <c r="N1997" i="17"/>
  <c r="N1996" i="17"/>
  <c r="N1995" i="17"/>
  <c r="N1994" i="17"/>
  <c r="N1993" i="17"/>
  <c r="N1992" i="17"/>
  <c r="N1991" i="17"/>
  <c r="N1990" i="17"/>
  <c r="N1989" i="17"/>
  <c r="N1988" i="17"/>
  <c r="N1987" i="17"/>
  <c r="N1986" i="17"/>
  <c r="N1985" i="17"/>
  <c r="N1984" i="17"/>
  <c r="N1983" i="17"/>
  <c r="N1982" i="17"/>
  <c r="N1981" i="17"/>
  <c r="N1980" i="17"/>
  <c r="N1979" i="17"/>
  <c r="N1978" i="17"/>
  <c r="N1977" i="17"/>
  <c r="N1976" i="17"/>
  <c r="N1975" i="17"/>
  <c r="N1974" i="17"/>
  <c r="N1973" i="17"/>
  <c r="N1972" i="17"/>
  <c r="N1971" i="17"/>
  <c r="N1970" i="17"/>
  <c r="N1969" i="17"/>
  <c r="N1968" i="17"/>
  <c r="N1967" i="17"/>
  <c r="N1966" i="17"/>
  <c r="N1965" i="17"/>
  <c r="N1964" i="17"/>
  <c r="N1963" i="17"/>
  <c r="N1962" i="17"/>
  <c r="N1961" i="17"/>
  <c r="N1960" i="17"/>
  <c r="N1959" i="17"/>
  <c r="N1958" i="17"/>
  <c r="N1957" i="17"/>
  <c r="N1956" i="17"/>
  <c r="N1955" i="17"/>
  <c r="N1954" i="17"/>
  <c r="N1953" i="17"/>
  <c r="N1952" i="17"/>
  <c r="N1951" i="17"/>
  <c r="N1950" i="17"/>
  <c r="N1949" i="17"/>
  <c r="N1948" i="17"/>
  <c r="N1947" i="17"/>
  <c r="N1946" i="17"/>
  <c r="N1945" i="17"/>
  <c r="N1944" i="17"/>
  <c r="N1943" i="17"/>
  <c r="N1942" i="17"/>
  <c r="N1941" i="17"/>
  <c r="N1940" i="17"/>
  <c r="N1939" i="17"/>
  <c r="N1938" i="17"/>
  <c r="N1937" i="17"/>
  <c r="N1936" i="17"/>
  <c r="N1935" i="17"/>
  <c r="N1934" i="17"/>
  <c r="N1933" i="17"/>
  <c r="N1932" i="17"/>
  <c r="N1931" i="17"/>
  <c r="N1930" i="17"/>
  <c r="N1929" i="17"/>
  <c r="N1928" i="17"/>
  <c r="N1927" i="17"/>
  <c r="N1926" i="17"/>
  <c r="N1925" i="17"/>
  <c r="N1924" i="17"/>
  <c r="N1923" i="17"/>
  <c r="N1922" i="17"/>
  <c r="N1921" i="17"/>
  <c r="N1920" i="17"/>
  <c r="N1919" i="17"/>
  <c r="N1918" i="17"/>
  <c r="N1917" i="17"/>
  <c r="N1916" i="17"/>
  <c r="N1915" i="17"/>
  <c r="N1914" i="17"/>
  <c r="N1913" i="17"/>
  <c r="N1912" i="17"/>
  <c r="N1911" i="17"/>
  <c r="N1910" i="17"/>
  <c r="N1909" i="17"/>
  <c r="N1908" i="17"/>
  <c r="N1907" i="17"/>
  <c r="N1906" i="17"/>
  <c r="N1905" i="17"/>
  <c r="N1904" i="17"/>
  <c r="N1903" i="17"/>
  <c r="N1902" i="17"/>
  <c r="N1901" i="17"/>
  <c r="N1900" i="17"/>
  <c r="N1899" i="17"/>
  <c r="N1898" i="17"/>
  <c r="N1897" i="17"/>
  <c r="N1896" i="17"/>
  <c r="N1895" i="17"/>
  <c r="N1894" i="17"/>
  <c r="N1893" i="17"/>
  <c r="N1892" i="17"/>
  <c r="N1891" i="17"/>
  <c r="N1890" i="17"/>
  <c r="N1889" i="17"/>
  <c r="N1888" i="17"/>
  <c r="N1887" i="17"/>
  <c r="N1886" i="17"/>
  <c r="N1885" i="17"/>
  <c r="N1884" i="17"/>
  <c r="N1883" i="17"/>
  <c r="N1882" i="17"/>
  <c r="N1881" i="17"/>
  <c r="N1880" i="17"/>
  <c r="N1879" i="17"/>
  <c r="N1878" i="17"/>
  <c r="N1877" i="17"/>
  <c r="N1876" i="17"/>
  <c r="N1875" i="17"/>
  <c r="N1874" i="17"/>
  <c r="N1873" i="17"/>
  <c r="N1872" i="17"/>
  <c r="N1871" i="17"/>
  <c r="N1870" i="17"/>
  <c r="N1869" i="17"/>
  <c r="N1868" i="17"/>
  <c r="N1867" i="17"/>
  <c r="N1866" i="17"/>
  <c r="N1865" i="17"/>
  <c r="N1864" i="17"/>
  <c r="N1863" i="17"/>
  <c r="N1862" i="17"/>
  <c r="N1861" i="17"/>
  <c r="N1860" i="17"/>
  <c r="N1859" i="17"/>
  <c r="N1858" i="17"/>
  <c r="N1857" i="17"/>
  <c r="N1856" i="17"/>
  <c r="N1855" i="17"/>
  <c r="N1854" i="17"/>
  <c r="N1853" i="17"/>
  <c r="N1852" i="17"/>
  <c r="N1851" i="17"/>
  <c r="N1850" i="17"/>
  <c r="N1849" i="17"/>
  <c r="N1848" i="17"/>
  <c r="N1847" i="17"/>
  <c r="N1846" i="17"/>
  <c r="N1845" i="17"/>
  <c r="N1844" i="17"/>
  <c r="N1843" i="17"/>
  <c r="N1842" i="17"/>
  <c r="N1841" i="17"/>
  <c r="N1840" i="17"/>
  <c r="N1839" i="17"/>
  <c r="N1838" i="17"/>
  <c r="N1837" i="17"/>
  <c r="N1836" i="17"/>
  <c r="N1835" i="17"/>
  <c r="N1834" i="17"/>
  <c r="N1833" i="17"/>
  <c r="N1832" i="17"/>
  <c r="N1831" i="17"/>
  <c r="N1830" i="17"/>
  <c r="N1829" i="17"/>
  <c r="N1828" i="17"/>
  <c r="N1827" i="17"/>
  <c r="N1826" i="17"/>
  <c r="N1825" i="17"/>
  <c r="N1824" i="17"/>
  <c r="N1823" i="17"/>
  <c r="N1822" i="17"/>
  <c r="N1821" i="17"/>
  <c r="N1820" i="17"/>
  <c r="N1819" i="17"/>
  <c r="N1818" i="17"/>
  <c r="N1817" i="17"/>
  <c r="N1816" i="17"/>
  <c r="N1815" i="17"/>
  <c r="N1814" i="17"/>
  <c r="N1813" i="17"/>
  <c r="N1812" i="17"/>
  <c r="N1811" i="17"/>
  <c r="N1810" i="17"/>
  <c r="N1809" i="17"/>
  <c r="N1808" i="17"/>
  <c r="N1807" i="17"/>
  <c r="N1806" i="17"/>
  <c r="N1805" i="17"/>
  <c r="N1804" i="17"/>
  <c r="N1803" i="17"/>
  <c r="N1802" i="17"/>
  <c r="N1801" i="17"/>
  <c r="N1800" i="17"/>
  <c r="N1799" i="17"/>
  <c r="N1798" i="17"/>
  <c r="N1797" i="17"/>
  <c r="N1796" i="17"/>
  <c r="N1795" i="17"/>
  <c r="N1794" i="17"/>
  <c r="N1793" i="17"/>
  <c r="N1792" i="17"/>
  <c r="N1791" i="17"/>
  <c r="N1790" i="17"/>
  <c r="N1789" i="17"/>
  <c r="N1788" i="17"/>
  <c r="N1787" i="17"/>
  <c r="N1786" i="17"/>
  <c r="N1785" i="17"/>
  <c r="N1784" i="17"/>
  <c r="N1783" i="17"/>
  <c r="N1782" i="17"/>
  <c r="N1781" i="17"/>
  <c r="N1780" i="17"/>
  <c r="N1779" i="17"/>
  <c r="N1778" i="17"/>
  <c r="N1777" i="17"/>
  <c r="N1776" i="17"/>
  <c r="N1775" i="17"/>
  <c r="N1774" i="17"/>
  <c r="N1773" i="17"/>
  <c r="N1772" i="17"/>
  <c r="N1771" i="17"/>
  <c r="N1770" i="17"/>
  <c r="N1769" i="17"/>
  <c r="N1768" i="17"/>
  <c r="N1767" i="17"/>
  <c r="N1766" i="17"/>
  <c r="N1765" i="17"/>
  <c r="N1764" i="17"/>
  <c r="N1763" i="17"/>
  <c r="N1762" i="17"/>
  <c r="N1761" i="17"/>
  <c r="N1760" i="17"/>
  <c r="N1759" i="17"/>
  <c r="N1758" i="17"/>
  <c r="N1757" i="17"/>
  <c r="N1756" i="17"/>
  <c r="N1755" i="17"/>
  <c r="N1754" i="17"/>
  <c r="N1753" i="17"/>
  <c r="N1752" i="17"/>
  <c r="N1751" i="17"/>
  <c r="N1750" i="17"/>
  <c r="N1749" i="17"/>
  <c r="N1748" i="17"/>
  <c r="N1747" i="17"/>
  <c r="N1746" i="17"/>
  <c r="N1745" i="17"/>
  <c r="N1744" i="17"/>
  <c r="N1743" i="17"/>
  <c r="N1742" i="17"/>
  <c r="N1741" i="17"/>
  <c r="N1740" i="17"/>
  <c r="N1739" i="17"/>
  <c r="N1738" i="17"/>
  <c r="N1737" i="17"/>
  <c r="N1736" i="17"/>
  <c r="N1735" i="17"/>
  <c r="N1734" i="17"/>
  <c r="N1733" i="17"/>
  <c r="N1732" i="17"/>
  <c r="N1731" i="17"/>
  <c r="N1730" i="17"/>
  <c r="N1729" i="17"/>
  <c r="N1728" i="17"/>
  <c r="N1727" i="17"/>
  <c r="N1726" i="17"/>
  <c r="N1725" i="17"/>
  <c r="N1724" i="17"/>
  <c r="N1723" i="17"/>
  <c r="N1722" i="17"/>
  <c r="N1721" i="17"/>
  <c r="N1720" i="17"/>
  <c r="N1719" i="17"/>
  <c r="N1718" i="17"/>
  <c r="N1717" i="17"/>
  <c r="N1716" i="17"/>
  <c r="N1715" i="17"/>
  <c r="N1714" i="17"/>
  <c r="N1713" i="17"/>
  <c r="N1712" i="17"/>
  <c r="N1711" i="17"/>
  <c r="N1710" i="17"/>
  <c r="N1709" i="17"/>
  <c r="N1708" i="17"/>
  <c r="N1707" i="17"/>
  <c r="N1706" i="17"/>
  <c r="N1705" i="17"/>
  <c r="N1704" i="17"/>
  <c r="N1703" i="17"/>
  <c r="N1702" i="17"/>
  <c r="N1701" i="17"/>
  <c r="N1700" i="17"/>
  <c r="N1699" i="17"/>
  <c r="N1698" i="17"/>
  <c r="N1697" i="17"/>
  <c r="N1696" i="17"/>
  <c r="N1695" i="17"/>
  <c r="N1694" i="17"/>
  <c r="N1693" i="17"/>
  <c r="N1692" i="17"/>
  <c r="N1691" i="17"/>
  <c r="N1690" i="17"/>
  <c r="N1689" i="17"/>
  <c r="N1688" i="17"/>
  <c r="N1687" i="17"/>
  <c r="N1686" i="17"/>
  <c r="N1685" i="17"/>
  <c r="N1684" i="17"/>
  <c r="N1683" i="17"/>
  <c r="N1682" i="17"/>
  <c r="N1681" i="17"/>
  <c r="N1680" i="17"/>
  <c r="N1679" i="17"/>
  <c r="N1678" i="17"/>
  <c r="N1677" i="17"/>
  <c r="N1676" i="17"/>
  <c r="N1675" i="17"/>
  <c r="N1674" i="17"/>
  <c r="N1673" i="17"/>
  <c r="N1672" i="17"/>
  <c r="N1671" i="17"/>
  <c r="N1670" i="17"/>
  <c r="N1669" i="17"/>
  <c r="N1668" i="17"/>
  <c r="N1667" i="17"/>
  <c r="N1666" i="17"/>
  <c r="N1665" i="17"/>
  <c r="N1664" i="17"/>
  <c r="N1663" i="17"/>
  <c r="N1662" i="17"/>
  <c r="N1661" i="17"/>
  <c r="N1660" i="17"/>
  <c r="N1659" i="17"/>
  <c r="N1658" i="17"/>
  <c r="N1657" i="17"/>
  <c r="N1656" i="17"/>
  <c r="N1655" i="17"/>
  <c r="N1654" i="17"/>
  <c r="N1653" i="17"/>
  <c r="N1652" i="17"/>
  <c r="N1651" i="17"/>
  <c r="N1650" i="17"/>
  <c r="N1649" i="17"/>
  <c r="N1648" i="17"/>
  <c r="N1647" i="17"/>
  <c r="N1646" i="17"/>
  <c r="N1645" i="17"/>
  <c r="N1644" i="17"/>
  <c r="N1643" i="17"/>
  <c r="N1642" i="17"/>
  <c r="N1641" i="17"/>
  <c r="N1640" i="17"/>
  <c r="N1639" i="17"/>
  <c r="N1638" i="17"/>
  <c r="N1637" i="17"/>
  <c r="N1636" i="17"/>
  <c r="N1635" i="17"/>
  <c r="N1634" i="17"/>
  <c r="N1633" i="17"/>
  <c r="N1632" i="17"/>
  <c r="N1631" i="17"/>
  <c r="N1630" i="17"/>
  <c r="N1629" i="17"/>
  <c r="N1628" i="17"/>
  <c r="N1627" i="17"/>
  <c r="N1626" i="17"/>
  <c r="N1625" i="17"/>
  <c r="N1624" i="17"/>
  <c r="N1623" i="17"/>
  <c r="N1622" i="17"/>
  <c r="N1621" i="17"/>
  <c r="N1620" i="17"/>
  <c r="N1619" i="17"/>
  <c r="N1618" i="17"/>
  <c r="N1617" i="17"/>
  <c r="N1616" i="17"/>
  <c r="N1615" i="17"/>
  <c r="N1614" i="17"/>
  <c r="N1613" i="17"/>
  <c r="N1612" i="17"/>
  <c r="N1611" i="17"/>
  <c r="N1610" i="17"/>
  <c r="N1609" i="17"/>
  <c r="N1608" i="17"/>
  <c r="N1607" i="17"/>
  <c r="N1606" i="17"/>
  <c r="N1605" i="17"/>
  <c r="N1604" i="17"/>
  <c r="N1603" i="17"/>
  <c r="N1602" i="17"/>
  <c r="N1601" i="17"/>
  <c r="N1600" i="17"/>
  <c r="N1599" i="17"/>
  <c r="N1598" i="17"/>
  <c r="N1597" i="17"/>
  <c r="N1596" i="17"/>
  <c r="N1595" i="17"/>
  <c r="N1594" i="17"/>
  <c r="N1593" i="17"/>
  <c r="N1592" i="17"/>
  <c r="N1591" i="17"/>
  <c r="N1590" i="17"/>
  <c r="N1589" i="17"/>
  <c r="N1588" i="17"/>
  <c r="N1587" i="17"/>
  <c r="N1586" i="17"/>
  <c r="N1585" i="17"/>
  <c r="N1584" i="17"/>
  <c r="N1583" i="17"/>
  <c r="N1582" i="17"/>
  <c r="N1581" i="17"/>
  <c r="N1580" i="17"/>
  <c r="N1579" i="17"/>
  <c r="N1578" i="17"/>
  <c r="N1577" i="17"/>
  <c r="N1576" i="17"/>
  <c r="N1575" i="17"/>
  <c r="N1574" i="17"/>
  <c r="N1573" i="17"/>
  <c r="N1572" i="17"/>
  <c r="N1571" i="17"/>
  <c r="N1570" i="17"/>
  <c r="N1569" i="17"/>
  <c r="N1568" i="17"/>
  <c r="N1567" i="17"/>
  <c r="N1566" i="17"/>
  <c r="N1565" i="17"/>
  <c r="N1564" i="17"/>
  <c r="N1563" i="17"/>
  <c r="N1562" i="17"/>
  <c r="N1561" i="17"/>
  <c r="N1560" i="17"/>
  <c r="N1559" i="17"/>
  <c r="N1558" i="17"/>
  <c r="N1557" i="17"/>
  <c r="N1556" i="17"/>
  <c r="N1555" i="17"/>
  <c r="N1554" i="17"/>
  <c r="N1553" i="17"/>
  <c r="N1552" i="17"/>
  <c r="N1551" i="17"/>
  <c r="N1550" i="17"/>
  <c r="N1549" i="17"/>
  <c r="N1548" i="17"/>
  <c r="N1547" i="17"/>
  <c r="N1546" i="17"/>
  <c r="N1545" i="17"/>
  <c r="N1544" i="17"/>
  <c r="N1543" i="17"/>
  <c r="N1542" i="17"/>
  <c r="N1541" i="17"/>
  <c r="N1540" i="17"/>
  <c r="N1539" i="17"/>
  <c r="N1538" i="17"/>
  <c r="N1537" i="17"/>
  <c r="N1536" i="17"/>
  <c r="N1535" i="17"/>
  <c r="N1534" i="17"/>
  <c r="N1533" i="17"/>
  <c r="N1532" i="17"/>
  <c r="N1531" i="17"/>
  <c r="N1530" i="17"/>
  <c r="N1529" i="17"/>
  <c r="N1528" i="17"/>
  <c r="N1527" i="17"/>
  <c r="N1526" i="17"/>
  <c r="N1525" i="17"/>
  <c r="N1524" i="17"/>
  <c r="N1523" i="17"/>
  <c r="N1522" i="17"/>
  <c r="N1521" i="17"/>
  <c r="N1520" i="17"/>
  <c r="N1519" i="17"/>
  <c r="N1518" i="17"/>
  <c r="N1517" i="17"/>
  <c r="N1516" i="17"/>
  <c r="N1515" i="17"/>
  <c r="N1514" i="17"/>
  <c r="N1513" i="17"/>
  <c r="N1512" i="17"/>
  <c r="N1511" i="17"/>
  <c r="N1510" i="17"/>
  <c r="N1509" i="17"/>
  <c r="N1508" i="17"/>
  <c r="N1507" i="17"/>
  <c r="N1506" i="17"/>
  <c r="N1505" i="17"/>
  <c r="N1504" i="17"/>
  <c r="N1503" i="17"/>
  <c r="N1502" i="17"/>
  <c r="N1501" i="17"/>
  <c r="N1500" i="17"/>
  <c r="N1499" i="17"/>
  <c r="N1498" i="17"/>
  <c r="N1497" i="17"/>
  <c r="N1496" i="17"/>
  <c r="N1495" i="17"/>
  <c r="N1494" i="17"/>
  <c r="N1493" i="17"/>
  <c r="N1492" i="17"/>
  <c r="N1491" i="17"/>
  <c r="N1490" i="17"/>
  <c r="N1489" i="17"/>
  <c r="N1488" i="17"/>
  <c r="N1487" i="17"/>
  <c r="N1486" i="17"/>
  <c r="N1485" i="17"/>
  <c r="N1484" i="17"/>
  <c r="N1483" i="17"/>
  <c r="N1482" i="17"/>
  <c r="N1481" i="17"/>
  <c r="N1480" i="17"/>
  <c r="N1479" i="17"/>
  <c r="N1478" i="17"/>
  <c r="N1477" i="17"/>
  <c r="N1476" i="17"/>
  <c r="N1475" i="17"/>
  <c r="N1474" i="17"/>
  <c r="N1473" i="17"/>
  <c r="N1472" i="17"/>
  <c r="N1471" i="17"/>
  <c r="N1470" i="17"/>
  <c r="N1469" i="17"/>
  <c r="N1468" i="17"/>
  <c r="N1467" i="17"/>
  <c r="N1466" i="17"/>
  <c r="N1465" i="17"/>
  <c r="N1464" i="17"/>
  <c r="N1463" i="17"/>
  <c r="N1462" i="17"/>
  <c r="N1461" i="17"/>
  <c r="N1460" i="17"/>
  <c r="N1459" i="17"/>
  <c r="N1458" i="17"/>
  <c r="N1457" i="17"/>
  <c r="N1456" i="17"/>
  <c r="N1455" i="17"/>
  <c r="N1454" i="17"/>
  <c r="N1453" i="17"/>
  <c r="N1452" i="17"/>
  <c r="N1451" i="17"/>
  <c r="N1450" i="17"/>
  <c r="N1449" i="17"/>
  <c r="N1448" i="17"/>
  <c r="N1447" i="17"/>
  <c r="N1446" i="17"/>
  <c r="N1445" i="17"/>
  <c r="N1444" i="17"/>
  <c r="N1443" i="17"/>
  <c r="N1442" i="17"/>
  <c r="N1441" i="17"/>
  <c r="N1440" i="17"/>
  <c r="N1439" i="17"/>
  <c r="N1438" i="17"/>
  <c r="N1437" i="17"/>
  <c r="N1436" i="17"/>
  <c r="N1435" i="17"/>
  <c r="N1434" i="17"/>
  <c r="N1433" i="17"/>
  <c r="N1432" i="17"/>
  <c r="N1431" i="17"/>
  <c r="N1430" i="17"/>
  <c r="N1429" i="17"/>
  <c r="N1428" i="17"/>
  <c r="N1427" i="17"/>
  <c r="N1426" i="17"/>
  <c r="N1425" i="17"/>
  <c r="N1424" i="17"/>
  <c r="N1423" i="17"/>
  <c r="N1422" i="17"/>
  <c r="N1421" i="17"/>
  <c r="N1420" i="17"/>
  <c r="N1419" i="17"/>
  <c r="N1418" i="17"/>
  <c r="N1417" i="17"/>
  <c r="N1416" i="17"/>
  <c r="N1415" i="17"/>
  <c r="N1414" i="17"/>
  <c r="N1413" i="17"/>
  <c r="N1412" i="17"/>
  <c r="N1411" i="17"/>
  <c r="N1410" i="17"/>
  <c r="N1409" i="17"/>
  <c r="N1408" i="17"/>
  <c r="N1407" i="17"/>
  <c r="N1406" i="17"/>
  <c r="N1405" i="17"/>
  <c r="N1404" i="17"/>
  <c r="N1403" i="17"/>
  <c r="N1402" i="17"/>
  <c r="N1401" i="17"/>
  <c r="N1400" i="17"/>
  <c r="N1399" i="17"/>
  <c r="N1398" i="17"/>
  <c r="N1397" i="17"/>
  <c r="N1396" i="17"/>
  <c r="N1395" i="17"/>
  <c r="N1394" i="17"/>
  <c r="N1393" i="17"/>
  <c r="N1392" i="17"/>
  <c r="N1391" i="17"/>
  <c r="N1390" i="17"/>
  <c r="N1389" i="17"/>
  <c r="N1388" i="17"/>
  <c r="N1387" i="17"/>
  <c r="N1386" i="17"/>
  <c r="N1385" i="17"/>
  <c r="N1384" i="17"/>
  <c r="N1383" i="17"/>
  <c r="N1382" i="17"/>
  <c r="N1381" i="17"/>
  <c r="N1380" i="17"/>
  <c r="N1379" i="17"/>
  <c r="N1378" i="17"/>
  <c r="N1377" i="17"/>
  <c r="N1376" i="17"/>
  <c r="N1375" i="17"/>
  <c r="N1374" i="17"/>
  <c r="N1373" i="17"/>
  <c r="N1372" i="17"/>
  <c r="N1371" i="17"/>
  <c r="N1370" i="17"/>
  <c r="N1369" i="17"/>
  <c r="N1368" i="17"/>
  <c r="N1367" i="17"/>
  <c r="N1366" i="17"/>
  <c r="N1365" i="17"/>
  <c r="N1364" i="17"/>
  <c r="N1363" i="17"/>
  <c r="N1362" i="17"/>
  <c r="N1361" i="17"/>
  <c r="N1360" i="17"/>
  <c r="N1359" i="17"/>
  <c r="N1358" i="17"/>
  <c r="N1357" i="17"/>
  <c r="N1356" i="17"/>
  <c r="N1355" i="17"/>
  <c r="N1354" i="17"/>
  <c r="N1353" i="17"/>
  <c r="N1352" i="17"/>
  <c r="N1351" i="17"/>
  <c r="N1350" i="17"/>
  <c r="N1349" i="17"/>
  <c r="N1348" i="17"/>
  <c r="N1347" i="17"/>
  <c r="N1346" i="17"/>
  <c r="N1345" i="17"/>
  <c r="N1344" i="17"/>
  <c r="N1343" i="17"/>
  <c r="N1342" i="17"/>
  <c r="N1341" i="17"/>
  <c r="N1340" i="17"/>
  <c r="N1339" i="17"/>
  <c r="N1338" i="17"/>
  <c r="N1337" i="17"/>
  <c r="N1336" i="17"/>
  <c r="N1335" i="17"/>
  <c r="N1334" i="17"/>
  <c r="N1333" i="17"/>
  <c r="N1332" i="17"/>
  <c r="N1331" i="17"/>
  <c r="N1330" i="17"/>
  <c r="N1329" i="17"/>
  <c r="N1328" i="17"/>
  <c r="N1327" i="17"/>
  <c r="N1326" i="17"/>
  <c r="N1325" i="17"/>
  <c r="N1324" i="17"/>
  <c r="N1323" i="17"/>
  <c r="N1322" i="17"/>
  <c r="N1321" i="17"/>
  <c r="N1320" i="17"/>
  <c r="N1319" i="17"/>
  <c r="N1318" i="17"/>
  <c r="N1317" i="17"/>
  <c r="N1316" i="17"/>
  <c r="N1315" i="17"/>
  <c r="N1314" i="17"/>
  <c r="N1313" i="17"/>
  <c r="N1312" i="17"/>
  <c r="N1311" i="17"/>
  <c r="N1310" i="17"/>
  <c r="N1309" i="17"/>
  <c r="N1308" i="17"/>
  <c r="N1307" i="17"/>
  <c r="N1306" i="17"/>
  <c r="N1305" i="17"/>
  <c r="N1304" i="17"/>
  <c r="N1303" i="17"/>
  <c r="N1302" i="17"/>
  <c r="N1301" i="17"/>
  <c r="N1300" i="17"/>
  <c r="N1299" i="17"/>
  <c r="N1298" i="17"/>
  <c r="N1297" i="17"/>
  <c r="N1296" i="17"/>
  <c r="N1295" i="17"/>
  <c r="N1294" i="17"/>
  <c r="N1293" i="17"/>
  <c r="N1292" i="17"/>
  <c r="N1291" i="17"/>
  <c r="N1290" i="17"/>
  <c r="N1289" i="17"/>
  <c r="N1288" i="17"/>
  <c r="N1287" i="17"/>
  <c r="N1286" i="17"/>
  <c r="N1285" i="17"/>
  <c r="N1284" i="17"/>
  <c r="N1283" i="17"/>
  <c r="N1282" i="17"/>
  <c r="N1281" i="17"/>
  <c r="N1280" i="17"/>
  <c r="N1279" i="17"/>
  <c r="N1278" i="17"/>
  <c r="N1277" i="17"/>
  <c r="N1276" i="17"/>
  <c r="N1275" i="17"/>
  <c r="N1274" i="17"/>
  <c r="N1273" i="17"/>
  <c r="N1272" i="17"/>
  <c r="N1271" i="17"/>
  <c r="N1270" i="17"/>
  <c r="N1269" i="17"/>
  <c r="N1268" i="17"/>
  <c r="N1267" i="17"/>
  <c r="N1266" i="17"/>
  <c r="N1265" i="17"/>
  <c r="N1264" i="17"/>
  <c r="N1263" i="17"/>
  <c r="N1262" i="17"/>
  <c r="N1261" i="17"/>
  <c r="N1260" i="17"/>
  <c r="N1259" i="17"/>
  <c r="N1258" i="17"/>
  <c r="N1257" i="17"/>
  <c r="N1256" i="17"/>
  <c r="N1255" i="17"/>
  <c r="N1254" i="17"/>
  <c r="N1253" i="17"/>
  <c r="N1252" i="17"/>
  <c r="N1251" i="17"/>
  <c r="N1250" i="17"/>
  <c r="N1249" i="17"/>
  <c r="N1248" i="17"/>
  <c r="N1247" i="17"/>
  <c r="N1246" i="17"/>
  <c r="N1245" i="17"/>
  <c r="N1244" i="17"/>
  <c r="N1243" i="17"/>
  <c r="N1242" i="17"/>
  <c r="N1241" i="17"/>
  <c r="N1240" i="17"/>
  <c r="N1239" i="17"/>
  <c r="N1238" i="17"/>
  <c r="N1237" i="17"/>
  <c r="N1236" i="17"/>
  <c r="N1235" i="17"/>
  <c r="N1234" i="17"/>
  <c r="N1233" i="17"/>
  <c r="N1232" i="17"/>
  <c r="N1231" i="17"/>
  <c r="N1230" i="17"/>
  <c r="N1229" i="17"/>
  <c r="N1228" i="17"/>
  <c r="N1227" i="17"/>
  <c r="N1226" i="17"/>
  <c r="N1225" i="17"/>
  <c r="N1224" i="17"/>
  <c r="N1223" i="17"/>
  <c r="N1222" i="17"/>
  <c r="N1221" i="17"/>
  <c r="N1220" i="17"/>
  <c r="N1219" i="17"/>
  <c r="N1218" i="17"/>
  <c r="N1217" i="17"/>
  <c r="N1216" i="17"/>
  <c r="N1215" i="17"/>
  <c r="N1214" i="17"/>
  <c r="N1213" i="17"/>
  <c r="N1212" i="17"/>
  <c r="N1211" i="17"/>
  <c r="N1210" i="17"/>
  <c r="N1209" i="17"/>
  <c r="N1208" i="17"/>
  <c r="N1207" i="17"/>
  <c r="N1206" i="17"/>
  <c r="N1205" i="17"/>
  <c r="N1204" i="17"/>
  <c r="N1203" i="17"/>
  <c r="N1202" i="17"/>
  <c r="N1201" i="17"/>
  <c r="N1200" i="17"/>
  <c r="N1199" i="17"/>
  <c r="N1198" i="17"/>
  <c r="N1197" i="17"/>
  <c r="N1196" i="17"/>
  <c r="N1195" i="17"/>
  <c r="N1194" i="17"/>
  <c r="N1193" i="17"/>
  <c r="N1192" i="17"/>
  <c r="N1191" i="17"/>
  <c r="N1190" i="17"/>
  <c r="N1189" i="17"/>
  <c r="N1188" i="17"/>
  <c r="N1187" i="17"/>
  <c r="N1186" i="17"/>
  <c r="N1185" i="17"/>
  <c r="N1184" i="17"/>
  <c r="N1183" i="17"/>
  <c r="N1182" i="17"/>
  <c r="N1181" i="17"/>
  <c r="N1180" i="17"/>
  <c r="N1179" i="17"/>
  <c r="N1178" i="17"/>
  <c r="N1177" i="17"/>
  <c r="N1176" i="17"/>
  <c r="N1175" i="17"/>
  <c r="N1174" i="17"/>
  <c r="N1173" i="17"/>
  <c r="N1172" i="17"/>
  <c r="N1171" i="17"/>
  <c r="N1170" i="17"/>
  <c r="N1169" i="17"/>
  <c r="N1168" i="17"/>
  <c r="N1167" i="17"/>
  <c r="N1166" i="17"/>
  <c r="N1165" i="17"/>
  <c r="N1164" i="17"/>
  <c r="N1163" i="17"/>
  <c r="N1162" i="17"/>
  <c r="N1161" i="17"/>
  <c r="N1160" i="17"/>
  <c r="N1159" i="17"/>
  <c r="N1158" i="17"/>
  <c r="N1157" i="17"/>
  <c r="N1156" i="17"/>
  <c r="N1155" i="17"/>
  <c r="N1154" i="17"/>
  <c r="N1153" i="17"/>
  <c r="N1152" i="17"/>
  <c r="N1151" i="17"/>
  <c r="N1150" i="17"/>
  <c r="N1149" i="17"/>
  <c r="N1148" i="17"/>
  <c r="N1147" i="17"/>
  <c r="N1146" i="17"/>
  <c r="N1145" i="17"/>
  <c r="N1144" i="17"/>
  <c r="N1143" i="17"/>
  <c r="N1142" i="17"/>
  <c r="N1141" i="17"/>
  <c r="N1140" i="17"/>
  <c r="N1139" i="17"/>
  <c r="N1138" i="17"/>
  <c r="N1137" i="17"/>
  <c r="N1136" i="17"/>
  <c r="N1135" i="17"/>
  <c r="N1134" i="17"/>
  <c r="N1133" i="17"/>
  <c r="N1132" i="17"/>
  <c r="N1131" i="17"/>
  <c r="N1130" i="17"/>
  <c r="N1129" i="17"/>
  <c r="N1128" i="17"/>
  <c r="N1127" i="17"/>
  <c r="N1126" i="17"/>
  <c r="N1125" i="17"/>
  <c r="N1124" i="17"/>
  <c r="N1123" i="17"/>
  <c r="N1122" i="17"/>
  <c r="N1121" i="17"/>
  <c r="N1120" i="17"/>
  <c r="N1119" i="17"/>
  <c r="N1118" i="17"/>
  <c r="N1117" i="17"/>
  <c r="N1116" i="17"/>
  <c r="N1115" i="17"/>
  <c r="N1114" i="17"/>
  <c r="N1113" i="17"/>
  <c r="N1112" i="17"/>
  <c r="N1111" i="17"/>
  <c r="N1110" i="17"/>
  <c r="N1109" i="17"/>
  <c r="N1108" i="17"/>
  <c r="N1107" i="17"/>
  <c r="N1106" i="17"/>
  <c r="N1105" i="17"/>
  <c r="N1104" i="17"/>
  <c r="N1103" i="17"/>
  <c r="N1102" i="17"/>
  <c r="N1101" i="17"/>
  <c r="N1100" i="17"/>
  <c r="N1099" i="17"/>
  <c r="N1098" i="17"/>
  <c r="N1097" i="17"/>
  <c r="N1096" i="17"/>
  <c r="N1095" i="17"/>
  <c r="N1094" i="17"/>
  <c r="N1093" i="17"/>
  <c r="N1092" i="17"/>
  <c r="N1091" i="17"/>
  <c r="N1090" i="17"/>
  <c r="N1089" i="17"/>
  <c r="N1088" i="17"/>
  <c r="N1087" i="17"/>
  <c r="N1086" i="17"/>
  <c r="N1085" i="17"/>
  <c r="N1084" i="17"/>
  <c r="N1083" i="17"/>
  <c r="N1082" i="17"/>
  <c r="N1081" i="17"/>
  <c r="N1080" i="17"/>
  <c r="N1079" i="17"/>
  <c r="N1078" i="17"/>
  <c r="N1077" i="17"/>
  <c r="N1076" i="17"/>
  <c r="N1075" i="17"/>
  <c r="N1074" i="17"/>
  <c r="N1073" i="17"/>
  <c r="N1072" i="17"/>
  <c r="N1071" i="17"/>
  <c r="N1070" i="17"/>
  <c r="N1069" i="17"/>
  <c r="N1068" i="17"/>
  <c r="N1067" i="17"/>
  <c r="N1066" i="17"/>
  <c r="N1065" i="17"/>
  <c r="N1064" i="17"/>
  <c r="N1063" i="17"/>
  <c r="N1062" i="17"/>
  <c r="N1061" i="17"/>
  <c r="N1060" i="17"/>
  <c r="N1059" i="17"/>
  <c r="N1058" i="17"/>
  <c r="N1057" i="17"/>
  <c r="N1056" i="17"/>
  <c r="N1055" i="17"/>
  <c r="N1054" i="17"/>
  <c r="N1053" i="17"/>
  <c r="N1052" i="17"/>
  <c r="N1051" i="17"/>
  <c r="N1050" i="17"/>
  <c r="N1049" i="17"/>
  <c r="N1048" i="17"/>
  <c r="N1047" i="17"/>
  <c r="N1046" i="17"/>
  <c r="N1045" i="17"/>
  <c r="N1044" i="17"/>
  <c r="N1043" i="17"/>
  <c r="N1042" i="17"/>
  <c r="N1041" i="17"/>
  <c r="N1040" i="17"/>
  <c r="N1039" i="17"/>
  <c r="N1038" i="17"/>
  <c r="N1037" i="17"/>
  <c r="N1036" i="17"/>
  <c r="N1035" i="17"/>
  <c r="N1034" i="17"/>
  <c r="N1033" i="17"/>
  <c r="N1032" i="17"/>
  <c r="N1031" i="17"/>
  <c r="N1030" i="17"/>
  <c r="N1029" i="17"/>
  <c r="N1028" i="17"/>
  <c r="N1027" i="17"/>
  <c r="N1026" i="17"/>
  <c r="N1025" i="17"/>
  <c r="N1024" i="17"/>
  <c r="N1023" i="17"/>
  <c r="N1022" i="17"/>
  <c r="N1021" i="17"/>
  <c r="N1020" i="17"/>
  <c r="N1019" i="17"/>
  <c r="N1018" i="17"/>
  <c r="N1017" i="17"/>
  <c r="N1016" i="17"/>
  <c r="N1015" i="17"/>
  <c r="N1014" i="17"/>
  <c r="N1013" i="17"/>
  <c r="N1012" i="17"/>
  <c r="N1011" i="17"/>
  <c r="N1010" i="17"/>
  <c r="N1009" i="17"/>
  <c r="N1008" i="17"/>
  <c r="N1007" i="17"/>
  <c r="N1006" i="17"/>
  <c r="N1005" i="17"/>
  <c r="N1004" i="17"/>
  <c r="N1003" i="17"/>
  <c r="N1002" i="17"/>
  <c r="N1001" i="17"/>
  <c r="N1000" i="17"/>
  <c r="N999" i="17"/>
  <c r="N998" i="17"/>
  <c r="N997" i="17"/>
  <c r="N996" i="17"/>
  <c r="N995" i="17"/>
  <c r="N994" i="17"/>
  <c r="N993" i="17"/>
  <c r="N992" i="17"/>
  <c r="N991" i="17"/>
  <c r="N990" i="17"/>
  <c r="N989" i="17"/>
  <c r="N988" i="17"/>
  <c r="N987" i="17"/>
  <c r="N986" i="17"/>
  <c r="N985" i="17"/>
  <c r="N984" i="17"/>
  <c r="N983" i="17"/>
  <c r="N982" i="17"/>
  <c r="N981" i="17"/>
  <c r="N980" i="17"/>
  <c r="N979" i="17"/>
  <c r="N978" i="17"/>
  <c r="N977" i="17"/>
  <c r="N976" i="17"/>
  <c r="N975" i="17"/>
  <c r="N974" i="17"/>
  <c r="N973" i="17"/>
  <c r="N972" i="17"/>
  <c r="N971" i="17"/>
  <c r="N970" i="17"/>
  <c r="N969" i="17"/>
  <c r="N968" i="17"/>
  <c r="N967" i="17"/>
  <c r="N966" i="17"/>
  <c r="N965" i="17"/>
  <c r="N964" i="17"/>
  <c r="N963" i="17"/>
  <c r="N962" i="17"/>
  <c r="N961" i="17"/>
  <c r="N960" i="17"/>
  <c r="N959" i="17"/>
  <c r="N958" i="17"/>
  <c r="N957" i="17"/>
  <c r="N956" i="17"/>
  <c r="N955" i="17"/>
  <c r="N954" i="17"/>
  <c r="N953" i="17"/>
  <c r="N952" i="17"/>
  <c r="N951" i="17"/>
  <c r="N950" i="17"/>
  <c r="N949" i="17"/>
  <c r="N948" i="17"/>
  <c r="N947" i="17"/>
  <c r="N946" i="17"/>
  <c r="N945" i="17"/>
  <c r="N944" i="17"/>
  <c r="N943" i="17"/>
  <c r="N942" i="17"/>
  <c r="N941" i="17"/>
  <c r="N940" i="17"/>
  <c r="N939" i="17"/>
  <c r="N938" i="17"/>
  <c r="N937" i="17"/>
  <c r="N936" i="17"/>
  <c r="N935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2" i="17"/>
  <c r="N921" i="17"/>
  <c r="N920" i="17"/>
  <c r="N919" i="17"/>
  <c r="N918" i="17"/>
  <c r="N917" i="17"/>
  <c r="N916" i="17"/>
  <c r="N915" i="17"/>
  <c r="N914" i="17"/>
  <c r="N913" i="17"/>
  <c r="N912" i="17"/>
  <c r="N911" i="17"/>
  <c r="N910" i="17"/>
  <c r="N909" i="17"/>
  <c r="N908" i="17"/>
  <c r="N907" i="17"/>
  <c r="N906" i="17"/>
  <c r="N905" i="17"/>
  <c r="N904" i="17"/>
  <c r="N903" i="17"/>
  <c r="N902" i="17"/>
  <c r="N901" i="17"/>
  <c r="N900" i="17"/>
  <c r="N899" i="17"/>
  <c r="N898" i="17"/>
  <c r="N897" i="17"/>
  <c r="N896" i="17"/>
  <c r="N895" i="17"/>
  <c r="N894" i="17"/>
  <c r="N893" i="17"/>
  <c r="N892" i="17"/>
  <c r="N891" i="17"/>
  <c r="N890" i="17"/>
  <c r="N889" i="17"/>
  <c r="N888" i="17"/>
  <c r="N887" i="17"/>
  <c r="N886" i="17"/>
  <c r="N885" i="17"/>
  <c r="N884" i="17"/>
  <c r="N883" i="17"/>
  <c r="N882" i="17"/>
  <c r="N881" i="17"/>
  <c r="N880" i="17"/>
  <c r="N879" i="17"/>
  <c r="N878" i="17"/>
  <c r="N877" i="17"/>
  <c r="N876" i="17"/>
  <c r="N875" i="17"/>
  <c r="N874" i="17"/>
  <c r="N873" i="17"/>
  <c r="N872" i="17"/>
  <c r="N871" i="17"/>
  <c r="N870" i="17"/>
  <c r="N869" i="17"/>
  <c r="N868" i="17"/>
  <c r="N867" i="17"/>
  <c r="N866" i="17"/>
  <c r="N865" i="17"/>
  <c r="N864" i="17"/>
  <c r="N863" i="17"/>
  <c r="N862" i="17"/>
  <c r="N861" i="17"/>
  <c r="N860" i="17"/>
  <c r="N859" i="17"/>
  <c r="N858" i="17"/>
  <c r="N857" i="17"/>
  <c r="N856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3" i="17"/>
  <c r="N842" i="17"/>
  <c r="N841" i="17"/>
  <c r="N840" i="17"/>
  <c r="N839" i="17"/>
  <c r="N838" i="17"/>
  <c r="N837" i="17"/>
  <c r="N836" i="17"/>
  <c r="N835" i="17"/>
  <c r="N834" i="17"/>
  <c r="N833" i="17"/>
  <c r="N832" i="17"/>
  <c r="N831" i="17"/>
  <c r="N830" i="17"/>
  <c r="N829" i="17"/>
  <c r="N828" i="17"/>
  <c r="N827" i="17"/>
  <c r="N826" i="17"/>
  <c r="N825" i="17"/>
  <c r="N824" i="17"/>
  <c r="N823" i="17"/>
  <c r="N822" i="17"/>
  <c r="N821" i="17"/>
  <c r="N820" i="17"/>
  <c r="N819" i="17"/>
  <c r="N818" i="17"/>
  <c r="N817" i="17"/>
  <c r="N816" i="17"/>
  <c r="N815" i="17"/>
  <c r="N814" i="17"/>
  <c r="N813" i="17"/>
  <c r="N812" i="17"/>
  <c r="N811" i="17"/>
  <c r="N810" i="17"/>
  <c r="N809" i="17"/>
  <c r="N808" i="17"/>
  <c r="N807" i="17"/>
  <c r="N806" i="17"/>
  <c r="N805" i="17"/>
  <c r="N804" i="17"/>
  <c r="N803" i="17"/>
  <c r="N802" i="17"/>
  <c r="N801" i="17"/>
  <c r="N800" i="17"/>
  <c r="N799" i="17"/>
  <c r="N798" i="17"/>
  <c r="N797" i="17"/>
  <c r="N796" i="17"/>
  <c r="N795" i="17"/>
  <c r="N794" i="17"/>
  <c r="N793" i="17"/>
  <c r="N792" i="17"/>
  <c r="N791" i="17"/>
  <c r="N790" i="17"/>
  <c r="N789" i="17"/>
  <c r="N788" i="17"/>
  <c r="N787" i="17"/>
  <c r="N786" i="17"/>
  <c r="N785" i="17"/>
  <c r="N784" i="17"/>
  <c r="N783" i="17"/>
  <c r="N782" i="17"/>
  <c r="N781" i="17"/>
  <c r="N780" i="17"/>
  <c r="N779" i="17"/>
  <c r="N778" i="17"/>
  <c r="N777" i="17"/>
  <c r="N776" i="17"/>
  <c r="N775" i="17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N665" i="17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M19998" i="17"/>
  <c r="M19997" i="17"/>
  <c r="M19996" i="17"/>
  <c r="M19995" i="17"/>
  <c r="M19994" i="17"/>
  <c r="M19993" i="17"/>
  <c r="M19992" i="17"/>
  <c r="M19991" i="17"/>
  <c r="M19990" i="17"/>
  <c r="M19989" i="17"/>
  <c r="M19988" i="17"/>
  <c r="M19987" i="17"/>
  <c r="M19986" i="17"/>
  <c r="M19985" i="17"/>
  <c r="M19984" i="17"/>
  <c r="M19983" i="17"/>
  <c r="M19982" i="17"/>
  <c r="M19981" i="17"/>
  <c r="M19980" i="17"/>
  <c r="M19979" i="17"/>
  <c r="M19978" i="17"/>
  <c r="M19977" i="17"/>
  <c r="M19976" i="17"/>
  <c r="M19975" i="17"/>
  <c r="M19974" i="17"/>
  <c r="M19973" i="17"/>
  <c r="M19972" i="17"/>
  <c r="M19971" i="17"/>
  <c r="M19970" i="17"/>
  <c r="M19969" i="17"/>
  <c r="M19968" i="17"/>
  <c r="M19967" i="17"/>
  <c r="M19966" i="17"/>
  <c r="M19965" i="17"/>
  <c r="M19964" i="17"/>
  <c r="M19963" i="17"/>
  <c r="M19962" i="17"/>
  <c r="M19961" i="17"/>
  <c r="M19960" i="17"/>
  <c r="M19959" i="17"/>
  <c r="M19958" i="17"/>
  <c r="M19957" i="17"/>
  <c r="M19956" i="17"/>
  <c r="M19955" i="17"/>
  <c r="M19954" i="17"/>
  <c r="M19953" i="17"/>
  <c r="M19952" i="17"/>
  <c r="M19951" i="17"/>
  <c r="M19950" i="17"/>
  <c r="M19949" i="17"/>
  <c r="M19948" i="17"/>
  <c r="M19947" i="17"/>
  <c r="M19946" i="17"/>
  <c r="M19945" i="17"/>
  <c r="M19944" i="17"/>
  <c r="M19943" i="17"/>
  <c r="M19942" i="17"/>
  <c r="M19941" i="17"/>
  <c r="M19940" i="17"/>
  <c r="M19939" i="17"/>
  <c r="M19938" i="17"/>
  <c r="M19937" i="17"/>
  <c r="M19936" i="17"/>
  <c r="M19935" i="17"/>
  <c r="M19934" i="17"/>
  <c r="M19933" i="17"/>
  <c r="M19932" i="17"/>
  <c r="M19931" i="17"/>
  <c r="M19930" i="17"/>
  <c r="M19929" i="17"/>
  <c r="M19928" i="17"/>
  <c r="M19927" i="17"/>
  <c r="M19926" i="17"/>
  <c r="M19925" i="17"/>
  <c r="M19924" i="17"/>
  <c r="M19923" i="17"/>
  <c r="M19922" i="17"/>
  <c r="M19921" i="17"/>
  <c r="M19920" i="17"/>
  <c r="M19919" i="17"/>
  <c r="M19918" i="17"/>
  <c r="M19917" i="17"/>
  <c r="M19916" i="17"/>
  <c r="M19915" i="17"/>
  <c r="M19914" i="17"/>
  <c r="M19913" i="17"/>
  <c r="M19912" i="17"/>
  <c r="M19911" i="17"/>
  <c r="M19910" i="17"/>
  <c r="M19909" i="17"/>
  <c r="M19908" i="17"/>
  <c r="M19907" i="17"/>
  <c r="M19906" i="17"/>
  <c r="M19905" i="17"/>
  <c r="M19904" i="17"/>
  <c r="M19903" i="17"/>
  <c r="M19902" i="17"/>
  <c r="M19901" i="17"/>
  <c r="M19900" i="17"/>
  <c r="M19899" i="17"/>
  <c r="M19898" i="17"/>
  <c r="M19897" i="17"/>
  <c r="M19896" i="17"/>
  <c r="M19895" i="17"/>
  <c r="M19894" i="17"/>
  <c r="M19893" i="17"/>
  <c r="M19892" i="17"/>
  <c r="M19891" i="17"/>
  <c r="M19890" i="17"/>
  <c r="M19889" i="17"/>
  <c r="M19888" i="17"/>
  <c r="M19887" i="17"/>
  <c r="M19886" i="17"/>
  <c r="M19885" i="17"/>
  <c r="M19884" i="17"/>
  <c r="M19883" i="17"/>
  <c r="M19882" i="17"/>
  <c r="M19881" i="17"/>
  <c r="M19880" i="17"/>
  <c r="M19879" i="17"/>
  <c r="M19878" i="17"/>
  <c r="M19877" i="17"/>
  <c r="M19876" i="17"/>
  <c r="M19875" i="17"/>
  <c r="M19874" i="17"/>
  <c r="M19873" i="17"/>
  <c r="M19872" i="17"/>
  <c r="M19871" i="17"/>
  <c r="M19870" i="17"/>
  <c r="M19869" i="17"/>
  <c r="M19868" i="17"/>
  <c r="M19867" i="17"/>
  <c r="M19866" i="17"/>
  <c r="M19865" i="17"/>
  <c r="M19864" i="17"/>
  <c r="M19863" i="17"/>
  <c r="M19862" i="17"/>
  <c r="M19861" i="17"/>
  <c r="M19860" i="17"/>
  <c r="M19859" i="17"/>
  <c r="M19858" i="17"/>
  <c r="M19857" i="17"/>
  <c r="M19856" i="17"/>
  <c r="M19855" i="17"/>
  <c r="M19854" i="17"/>
  <c r="M19853" i="17"/>
  <c r="M19852" i="17"/>
  <c r="M19851" i="17"/>
  <c r="M19850" i="17"/>
  <c r="M19849" i="17"/>
  <c r="M19848" i="17"/>
  <c r="M19847" i="17"/>
  <c r="M19846" i="17"/>
  <c r="M19845" i="17"/>
  <c r="M19844" i="17"/>
  <c r="M19843" i="17"/>
  <c r="M19842" i="17"/>
  <c r="M19841" i="17"/>
  <c r="M19840" i="17"/>
  <c r="M19839" i="17"/>
  <c r="M19838" i="17"/>
  <c r="M19837" i="17"/>
  <c r="M19836" i="17"/>
  <c r="M19835" i="17"/>
  <c r="M19834" i="17"/>
  <c r="M19833" i="17"/>
  <c r="M19832" i="17"/>
  <c r="M19831" i="17"/>
  <c r="M19830" i="17"/>
  <c r="M19829" i="17"/>
  <c r="M19828" i="17"/>
  <c r="M19827" i="17"/>
  <c r="M19826" i="17"/>
  <c r="M19825" i="17"/>
  <c r="M19824" i="17"/>
  <c r="M19823" i="17"/>
  <c r="M19822" i="17"/>
  <c r="M19821" i="17"/>
  <c r="M19820" i="17"/>
  <c r="M19819" i="17"/>
  <c r="M19818" i="17"/>
  <c r="M19817" i="17"/>
  <c r="M19816" i="17"/>
  <c r="M19815" i="17"/>
  <c r="M19814" i="17"/>
  <c r="M19813" i="17"/>
  <c r="M19812" i="17"/>
  <c r="M19811" i="17"/>
  <c r="M19810" i="17"/>
  <c r="M19809" i="17"/>
  <c r="M19808" i="17"/>
  <c r="M19807" i="17"/>
  <c r="M19806" i="17"/>
  <c r="M19805" i="17"/>
  <c r="M19804" i="17"/>
  <c r="M19803" i="17"/>
  <c r="M19802" i="17"/>
  <c r="M19801" i="17"/>
  <c r="M19800" i="17"/>
  <c r="M19799" i="17"/>
  <c r="M19798" i="17"/>
  <c r="M19797" i="17"/>
  <c r="M19796" i="17"/>
  <c r="M19795" i="17"/>
  <c r="M19794" i="17"/>
  <c r="M19793" i="17"/>
  <c r="M19792" i="17"/>
  <c r="M19791" i="17"/>
  <c r="M19790" i="17"/>
  <c r="M19789" i="17"/>
  <c r="M19788" i="17"/>
  <c r="M19787" i="17"/>
  <c r="M19786" i="17"/>
  <c r="M19785" i="17"/>
  <c r="M19784" i="17"/>
  <c r="M19783" i="17"/>
  <c r="M19782" i="17"/>
  <c r="M19781" i="17"/>
  <c r="M19780" i="17"/>
  <c r="M19779" i="17"/>
  <c r="M19778" i="17"/>
  <c r="M19777" i="17"/>
  <c r="M19776" i="17"/>
  <c r="M19775" i="17"/>
  <c r="M19774" i="17"/>
  <c r="M19773" i="17"/>
  <c r="M19772" i="17"/>
  <c r="M19771" i="17"/>
  <c r="M19770" i="17"/>
  <c r="M19769" i="17"/>
  <c r="M19768" i="17"/>
  <c r="M19767" i="17"/>
  <c r="M19766" i="17"/>
  <c r="M19765" i="17"/>
  <c r="M19764" i="17"/>
  <c r="M19763" i="17"/>
  <c r="M19762" i="17"/>
  <c r="M19761" i="17"/>
  <c r="M19760" i="17"/>
  <c r="M19759" i="17"/>
  <c r="M19758" i="17"/>
  <c r="M19757" i="17"/>
  <c r="M19756" i="17"/>
  <c r="M19755" i="17"/>
  <c r="M19754" i="17"/>
  <c r="M19753" i="17"/>
  <c r="M19752" i="17"/>
  <c r="M19751" i="17"/>
  <c r="M19750" i="17"/>
  <c r="M19749" i="17"/>
  <c r="M19748" i="17"/>
  <c r="M19747" i="17"/>
  <c r="M19746" i="17"/>
  <c r="M19745" i="17"/>
  <c r="M19744" i="17"/>
  <c r="M19743" i="17"/>
  <c r="M19742" i="17"/>
  <c r="M19741" i="17"/>
  <c r="M19740" i="17"/>
  <c r="M19739" i="17"/>
  <c r="M19738" i="17"/>
  <c r="M19737" i="17"/>
  <c r="M19736" i="17"/>
  <c r="M19735" i="17"/>
  <c r="M19734" i="17"/>
  <c r="M19733" i="17"/>
  <c r="M19732" i="17"/>
  <c r="M19731" i="17"/>
  <c r="M19730" i="17"/>
  <c r="M19729" i="17"/>
  <c r="M19728" i="17"/>
  <c r="M19727" i="17"/>
  <c r="M19726" i="17"/>
  <c r="M19725" i="17"/>
  <c r="M19724" i="17"/>
  <c r="M19723" i="17"/>
  <c r="M19722" i="17"/>
  <c r="M19721" i="17"/>
  <c r="M19720" i="17"/>
  <c r="M19719" i="17"/>
  <c r="M19718" i="17"/>
  <c r="M19717" i="17"/>
  <c r="M19716" i="17"/>
  <c r="M19715" i="17"/>
  <c r="M19714" i="17"/>
  <c r="M19713" i="17"/>
  <c r="M19712" i="17"/>
  <c r="M19711" i="17"/>
  <c r="M19710" i="17"/>
  <c r="M19709" i="17"/>
  <c r="M19708" i="17"/>
  <c r="M19707" i="17"/>
  <c r="M19706" i="17"/>
  <c r="M19705" i="17"/>
  <c r="M19704" i="17"/>
  <c r="M19703" i="17"/>
  <c r="M19702" i="17"/>
  <c r="M19701" i="17"/>
  <c r="M19700" i="17"/>
  <c r="M19699" i="17"/>
  <c r="M19698" i="17"/>
  <c r="M19697" i="17"/>
  <c r="M19696" i="17"/>
  <c r="M19695" i="17"/>
  <c r="M19694" i="17"/>
  <c r="M19693" i="17"/>
  <c r="M19692" i="17"/>
  <c r="M19691" i="17"/>
  <c r="M19690" i="17"/>
  <c r="M19689" i="17"/>
  <c r="M19688" i="17"/>
  <c r="M19687" i="17"/>
  <c r="M19686" i="17"/>
  <c r="M19685" i="17"/>
  <c r="M19684" i="17"/>
  <c r="M19683" i="17"/>
  <c r="M19682" i="17"/>
  <c r="M19681" i="17"/>
  <c r="M19680" i="17"/>
  <c r="M19679" i="17"/>
  <c r="M19678" i="17"/>
  <c r="M19677" i="17"/>
  <c r="M19676" i="17"/>
  <c r="M19675" i="17"/>
  <c r="M19674" i="17"/>
  <c r="M19673" i="17"/>
  <c r="M19672" i="17"/>
  <c r="M19671" i="17"/>
  <c r="M19670" i="17"/>
  <c r="M19669" i="17"/>
  <c r="M19668" i="17"/>
  <c r="M19667" i="17"/>
  <c r="M19666" i="17"/>
  <c r="M19665" i="17"/>
  <c r="M19664" i="17"/>
  <c r="M19663" i="17"/>
  <c r="M19662" i="17"/>
  <c r="M19661" i="17"/>
  <c r="M19660" i="17"/>
  <c r="M19659" i="17"/>
  <c r="M19658" i="17"/>
  <c r="M19657" i="17"/>
  <c r="M19656" i="17"/>
  <c r="M19655" i="17"/>
  <c r="M19654" i="17"/>
  <c r="M19653" i="17"/>
  <c r="M19652" i="17"/>
  <c r="M19651" i="17"/>
  <c r="M19650" i="17"/>
  <c r="M19649" i="17"/>
  <c r="M19648" i="17"/>
  <c r="M19647" i="17"/>
  <c r="M19646" i="17"/>
  <c r="M19645" i="17"/>
  <c r="M19644" i="17"/>
  <c r="M19643" i="17"/>
  <c r="M19642" i="17"/>
  <c r="M19641" i="17"/>
  <c r="M19640" i="17"/>
  <c r="M19639" i="17"/>
  <c r="M19638" i="17"/>
  <c r="M19637" i="17"/>
  <c r="M19636" i="17"/>
  <c r="M19635" i="17"/>
  <c r="M19634" i="17"/>
  <c r="M19633" i="17"/>
  <c r="M19632" i="17"/>
  <c r="M19631" i="17"/>
  <c r="M19630" i="17"/>
  <c r="M19629" i="17"/>
  <c r="M19628" i="17"/>
  <c r="M19627" i="17"/>
  <c r="M19626" i="17"/>
  <c r="M19625" i="17"/>
  <c r="M19624" i="17"/>
  <c r="M19623" i="17"/>
  <c r="M19622" i="17"/>
  <c r="M19621" i="17"/>
  <c r="M19620" i="17"/>
  <c r="M19619" i="17"/>
  <c r="M19618" i="17"/>
  <c r="M19617" i="17"/>
  <c r="M19616" i="17"/>
  <c r="M19615" i="17"/>
  <c r="M19614" i="17"/>
  <c r="M19613" i="17"/>
  <c r="M19612" i="17"/>
  <c r="M19611" i="17"/>
  <c r="M19610" i="17"/>
  <c r="M19609" i="17"/>
  <c r="M19608" i="17"/>
  <c r="M19607" i="17"/>
  <c r="M19606" i="17"/>
  <c r="M19605" i="17"/>
  <c r="M19604" i="17"/>
  <c r="M19603" i="17"/>
  <c r="M19602" i="17"/>
  <c r="M19601" i="17"/>
  <c r="M19600" i="17"/>
  <c r="M19599" i="17"/>
  <c r="M19598" i="17"/>
  <c r="M19597" i="17"/>
  <c r="M19596" i="17"/>
  <c r="M19595" i="17"/>
  <c r="M19594" i="17"/>
  <c r="M19593" i="17"/>
  <c r="M19592" i="17"/>
  <c r="M19591" i="17"/>
  <c r="M19590" i="17"/>
  <c r="M19589" i="17"/>
  <c r="M19588" i="17"/>
  <c r="M19587" i="17"/>
  <c r="M19586" i="17"/>
  <c r="M19585" i="17"/>
  <c r="M19584" i="17"/>
  <c r="M19583" i="17"/>
  <c r="M19582" i="17"/>
  <c r="M19581" i="17"/>
  <c r="M19580" i="17"/>
  <c r="M19579" i="17"/>
  <c r="M19578" i="17"/>
  <c r="M19577" i="17"/>
  <c r="M19576" i="17"/>
  <c r="M19575" i="17"/>
  <c r="M19574" i="17"/>
  <c r="M19573" i="17"/>
  <c r="M19572" i="17"/>
  <c r="M19571" i="17"/>
  <c r="M19570" i="17"/>
  <c r="M19569" i="17"/>
  <c r="M19568" i="17"/>
  <c r="M19567" i="17"/>
  <c r="M19566" i="17"/>
  <c r="M19565" i="17"/>
  <c r="M19564" i="17"/>
  <c r="M19563" i="17"/>
  <c r="M19562" i="17"/>
  <c r="M19561" i="17"/>
  <c r="M19560" i="17"/>
  <c r="M19559" i="17"/>
  <c r="M19558" i="17"/>
  <c r="M19557" i="17"/>
  <c r="M19556" i="17"/>
  <c r="M19555" i="17"/>
  <c r="M19554" i="17"/>
  <c r="M19553" i="17"/>
  <c r="M19552" i="17"/>
  <c r="M19551" i="17"/>
  <c r="M19550" i="17"/>
  <c r="M19549" i="17"/>
  <c r="M19548" i="17"/>
  <c r="M19547" i="17"/>
  <c r="M19546" i="17"/>
  <c r="M19545" i="17"/>
  <c r="M19544" i="17"/>
  <c r="M19543" i="17"/>
  <c r="M19542" i="17"/>
  <c r="M19541" i="17"/>
  <c r="M19540" i="17"/>
  <c r="M19539" i="17"/>
  <c r="M19538" i="17"/>
  <c r="M19537" i="17"/>
  <c r="M19536" i="17"/>
  <c r="M19535" i="17"/>
  <c r="M19534" i="17"/>
  <c r="M19533" i="17"/>
  <c r="M19532" i="17"/>
  <c r="M19531" i="17"/>
  <c r="M19530" i="17"/>
  <c r="M19529" i="17"/>
  <c r="M19528" i="17"/>
  <c r="M19527" i="17"/>
  <c r="M19526" i="17"/>
  <c r="M19525" i="17"/>
  <c r="M19524" i="17"/>
  <c r="M19523" i="17"/>
  <c r="M19522" i="17"/>
  <c r="M19521" i="17"/>
  <c r="M19520" i="17"/>
  <c r="M19519" i="17"/>
  <c r="M19518" i="17"/>
  <c r="M19517" i="17"/>
  <c r="M19516" i="17"/>
  <c r="M19515" i="17"/>
  <c r="M19514" i="17"/>
  <c r="M19513" i="17"/>
  <c r="M19512" i="17"/>
  <c r="M19511" i="17"/>
  <c r="M19510" i="17"/>
  <c r="M19509" i="17"/>
  <c r="M19508" i="17"/>
  <c r="M19507" i="17"/>
  <c r="M19506" i="17"/>
  <c r="M19505" i="17"/>
  <c r="M19504" i="17"/>
  <c r="M19503" i="17"/>
  <c r="M19502" i="17"/>
  <c r="M19501" i="17"/>
  <c r="M19500" i="17"/>
  <c r="M19499" i="17"/>
  <c r="M19498" i="17"/>
  <c r="M19497" i="17"/>
  <c r="M19496" i="17"/>
  <c r="M19495" i="17"/>
  <c r="M19494" i="17"/>
  <c r="M19493" i="17"/>
  <c r="M19492" i="17"/>
  <c r="M19491" i="17"/>
  <c r="M19490" i="17"/>
  <c r="M19489" i="17"/>
  <c r="M19488" i="17"/>
  <c r="M19487" i="17"/>
  <c r="M19486" i="17"/>
  <c r="M19485" i="17"/>
  <c r="M19484" i="17"/>
  <c r="M19483" i="17"/>
  <c r="M19482" i="17"/>
  <c r="M19481" i="17"/>
  <c r="M19480" i="17"/>
  <c r="M19479" i="17"/>
  <c r="M19478" i="17"/>
  <c r="M19477" i="17"/>
  <c r="M19476" i="17"/>
  <c r="M19475" i="17"/>
  <c r="M19474" i="17"/>
  <c r="M19473" i="17"/>
  <c r="M19472" i="17"/>
  <c r="M19471" i="17"/>
  <c r="M19470" i="17"/>
  <c r="M19469" i="17"/>
  <c r="M19468" i="17"/>
  <c r="M19467" i="17"/>
  <c r="M19466" i="17"/>
  <c r="M19465" i="17"/>
  <c r="M19464" i="17"/>
  <c r="M19463" i="17"/>
  <c r="M19462" i="17"/>
  <c r="M19461" i="17"/>
  <c r="M19460" i="17"/>
  <c r="M19459" i="17"/>
  <c r="M19458" i="17"/>
  <c r="M19457" i="17"/>
  <c r="M19456" i="17"/>
  <c r="M19455" i="17"/>
  <c r="M19454" i="17"/>
  <c r="M19453" i="17"/>
  <c r="M19452" i="17"/>
  <c r="M19451" i="17"/>
  <c r="M19450" i="17"/>
  <c r="M19449" i="17"/>
  <c r="M19448" i="17"/>
  <c r="M19447" i="17"/>
  <c r="M19446" i="17"/>
  <c r="M19445" i="17"/>
  <c r="M19444" i="17"/>
  <c r="M19443" i="17"/>
  <c r="M19442" i="17"/>
  <c r="M19441" i="17"/>
  <c r="M19440" i="17"/>
  <c r="M19439" i="17"/>
  <c r="M19438" i="17"/>
  <c r="M19437" i="17"/>
  <c r="M19436" i="17"/>
  <c r="M19435" i="17"/>
  <c r="M19434" i="17"/>
  <c r="M19433" i="17"/>
  <c r="M19432" i="17"/>
  <c r="M19431" i="17"/>
  <c r="M19430" i="17"/>
  <c r="M19429" i="17"/>
  <c r="M19428" i="17"/>
  <c r="M19427" i="17"/>
  <c r="M19426" i="17"/>
  <c r="M19425" i="17"/>
  <c r="M19424" i="17"/>
  <c r="M19423" i="17"/>
  <c r="M19422" i="17"/>
  <c r="M19421" i="17"/>
  <c r="M19420" i="17"/>
  <c r="M19419" i="17"/>
  <c r="M19418" i="17"/>
  <c r="M19417" i="17"/>
  <c r="M19416" i="17"/>
  <c r="M19415" i="17"/>
  <c r="M19414" i="17"/>
  <c r="M19413" i="17"/>
  <c r="M19412" i="17"/>
  <c r="M19411" i="17"/>
  <c r="M19410" i="17"/>
  <c r="M19409" i="17"/>
  <c r="M19408" i="17"/>
  <c r="M19407" i="17"/>
  <c r="M19406" i="17"/>
  <c r="M19405" i="17"/>
  <c r="M19404" i="17"/>
  <c r="M19403" i="17"/>
  <c r="M19402" i="17"/>
  <c r="M19401" i="17"/>
  <c r="M19400" i="17"/>
  <c r="M19399" i="17"/>
  <c r="M19398" i="17"/>
  <c r="M19397" i="17"/>
  <c r="M19396" i="17"/>
  <c r="M19395" i="17"/>
  <c r="M19394" i="17"/>
  <c r="M19393" i="17"/>
  <c r="M19392" i="17"/>
  <c r="M19391" i="17"/>
  <c r="M19390" i="17"/>
  <c r="M19389" i="17"/>
  <c r="M19388" i="17"/>
  <c r="M19387" i="17"/>
  <c r="M19386" i="17"/>
  <c r="M19385" i="17"/>
  <c r="M19384" i="17"/>
  <c r="M19383" i="17"/>
  <c r="M19382" i="17"/>
  <c r="M19381" i="17"/>
  <c r="M19380" i="17"/>
  <c r="M19379" i="17"/>
  <c r="M19378" i="17"/>
  <c r="M19377" i="17"/>
  <c r="M19376" i="17"/>
  <c r="M19375" i="17"/>
  <c r="M19374" i="17"/>
  <c r="M19373" i="17"/>
  <c r="M19372" i="17"/>
  <c r="M19371" i="17"/>
  <c r="M19370" i="17"/>
  <c r="M19369" i="17"/>
  <c r="M19368" i="17"/>
  <c r="M19367" i="17"/>
  <c r="M19366" i="17"/>
  <c r="M19365" i="17"/>
  <c r="M19364" i="17"/>
  <c r="M19363" i="17"/>
  <c r="M19362" i="17"/>
  <c r="M19361" i="17"/>
  <c r="M19360" i="17"/>
  <c r="M19359" i="17"/>
  <c r="M19358" i="17"/>
  <c r="M19357" i="17"/>
  <c r="M19356" i="17"/>
  <c r="M19355" i="17"/>
  <c r="M19354" i="17"/>
  <c r="M19353" i="17"/>
  <c r="M19352" i="17"/>
  <c r="M19351" i="17"/>
  <c r="M19350" i="17"/>
  <c r="M19349" i="17"/>
  <c r="M19348" i="17"/>
  <c r="M19347" i="17"/>
  <c r="M19346" i="17"/>
  <c r="M19345" i="17"/>
  <c r="M19344" i="17"/>
  <c r="M19343" i="17"/>
  <c r="M19342" i="17"/>
  <c r="M19341" i="17"/>
  <c r="M19340" i="17"/>
  <c r="M19339" i="17"/>
  <c r="M19338" i="17"/>
  <c r="M19337" i="17"/>
  <c r="M19336" i="17"/>
  <c r="M19335" i="17"/>
  <c r="M19334" i="17"/>
  <c r="M19333" i="17"/>
  <c r="M19332" i="17"/>
  <c r="M19331" i="17"/>
  <c r="M19330" i="17"/>
  <c r="M19329" i="17"/>
  <c r="M19328" i="17"/>
  <c r="M19327" i="17"/>
  <c r="M19326" i="17"/>
  <c r="M19325" i="17"/>
  <c r="M19324" i="17"/>
  <c r="M19323" i="17"/>
  <c r="M19322" i="17"/>
  <c r="M19321" i="17"/>
  <c r="M19320" i="17"/>
  <c r="M19319" i="17"/>
  <c r="M19318" i="17"/>
  <c r="M19317" i="17"/>
  <c r="M19316" i="17"/>
  <c r="M19315" i="17"/>
  <c r="M19314" i="17"/>
  <c r="M19313" i="17"/>
  <c r="M19312" i="17"/>
  <c r="M19311" i="17"/>
  <c r="M19310" i="17"/>
  <c r="M19309" i="17"/>
  <c r="M19308" i="17"/>
  <c r="M19307" i="17"/>
  <c r="M19306" i="17"/>
  <c r="M19305" i="17"/>
  <c r="M19304" i="17"/>
  <c r="M19303" i="17"/>
  <c r="M19302" i="17"/>
  <c r="M19301" i="17"/>
  <c r="M19300" i="17"/>
  <c r="M19299" i="17"/>
  <c r="M19298" i="17"/>
  <c r="M19297" i="17"/>
  <c r="M19296" i="17"/>
  <c r="M19295" i="17"/>
  <c r="M19294" i="17"/>
  <c r="M19293" i="17"/>
  <c r="M19292" i="17"/>
  <c r="M19291" i="17"/>
  <c r="M19290" i="17"/>
  <c r="M19289" i="17"/>
  <c r="M19288" i="17"/>
  <c r="M19287" i="17"/>
  <c r="M19286" i="17"/>
  <c r="M19285" i="17"/>
  <c r="M19284" i="17"/>
  <c r="M19283" i="17"/>
  <c r="M19282" i="17"/>
  <c r="M19281" i="17"/>
  <c r="M19280" i="17"/>
  <c r="M19279" i="17"/>
  <c r="M19278" i="17"/>
  <c r="M19277" i="17"/>
  <c r="M19276" i="17"/>
  <c r="M19275" i="17"/>
  <c r="M19274" i="17"/>
  <c r="M19273" i="17"/>
  <c r="M19272" i="17"/>
  <c r="M19271" i="17"/>
  <c r="M19270" i="17"/>
  <c r="M19269" i="17"/>
  <c r="M19268" i="17"/>
  <c r="M19267" i="17"/>
  <c r="M19266" i="17"/>
  <c r="M19265" i="17"/>
  <c r="M19264" i="17"/>
  <c r="M19263" i="17"/>
  <c r="M19262" i="17"/>
  <c r="M19261" i="17"/>
  <c r="M19260" i="17"/>
  <c r="M19259" i="17"/>
  <c r="M19258" i="17"/>
  <c r="M19257" i="17"/>
  <c r="M19256" i="17"/>
  <c r="M19255" i="17"/>
  <c r="M19254" i="17"/>
  <c r="M19253" i="17"/>
  <c r="M19252" i="17"/>
  <c r="M19251" i="17"/>
  <c r="M19250" i="17"/>
  <c r="M19249" i="17"/>
  <c r="M19248" i="17"/>
  <c r="M19247" i="17"/>
  <c r="M19246" i="17"/>
  <c r="M19245" i="17"/>
  <c r="M19244" i="17"/>
  <c r="M19243" i="17"/>
  <c r="M19242" i="17"/>
  <c r="M19241" i="17"/>
  <c r="M19240" i="17"/>
  <c r="M19239" i="17"/>
  <c r="M19238" i="17"/>
  <c r="M19237" i="17"/>
  <c r="M19236" i="17"/>
  <c r="M19235" i="17"/>
  <c r="M19234" i="17"/>
  <c r="M19233" i="17"/>
  <c r="M19232" i="17"/>
  <c r="M19231" i="17"/>
  <c r="M19230" i="17"/>
  <c r="M19229" i="17"/>
  <c r="M19228" i="17"/>
  <c r="M19227" i="17"/>
  <c r="M19226" i="17"/>
  <c r="M19225" i="17"/>
  <c r="M19224" i="17"/>
  <c r="M19223" i="17"/>
  <c r="M19222" i="17"/>
  <c r="M19221" i="17"/>
  <c r="M19220" i="17"/>
  <c r="M19219" i="17"/>
  <c r="M19218" i="17"/>
  <c r="M19217" i="17"/>
  <c r="M19216" i="17"/>
  <c r="M19215" i="17"/>
  <c r="M19214" i="17"/>
  <c r="M19213" i="17"/>
  <c r="M19212" i="17"/>
  <c r="M19211" i="17"/>
  <c r="M19210" i="17"/>
  <c r="M19209" i="17"/>
  <c r="M19208" i="17"/>
  <c r="M19207" i="17"/>
  <c r="M19206" i="17"/>
  <c r="M19205" i="17"/>
  <c r="M19204" i="17"/>
  <c r="M19203" i="17"/>
  <c r="M19202" i="17"/>
  <c r="M19201" i="17"/>
  <c r="M19200" i="17"/>
  <c r="M19199" i="17"/>
  <c r="M19198" i="17"/>
  <c r="M19197" i="17"/>
  <c r="M19196" i="17"/>
  <c r="M19195" i="17"/>
  <c r="M19194" i="17"/>
  <c r="M19193" i="17"/>
  <c r="M19192" i="17"/>
  <c r="M19191" i="17"/>
  <c r="M19190" i="17"/>
  <c r="M19189" i="17"/>
  <c r="M19188" i="17"/>
  <c r="M19187" i="17"/>
  <c r="M19186" i="17"/>
  <c r="M19185" i="17"/>
  <c r="M19184" i="17"/>
  <c r="M19183" i="17"/>
  <c r="M19182" i="17"/>
  <c r="M19181" i="17"/>
  <c r="M19180" i="17"/>
  <c r="M19179" i="17"/>
  <c r="M19178" i="17"/>
  <c r="M19177" i="17"/>
  <c r="M19176" i="17"/>
  <c r="M19175" i="17"/>
  <c r="M19174" i="17"/>
  <c r="M19173" i="17"/>
  <c r="M19172" i="17"/>
  <c r="M19171" i="17"/>
  <c r="M19170" i="17"/>
  <c r="M19169" i="17"/>
  <c r="M19168" i="17"/>
  <c r="M19167" i="17"/>
  <c r="M19166" i="17"/>
  <c r="M19165" i="17"/>
  <c r="M19164" i="17"/>
  <c r="M19163" i="17"/>
  <c r="M19162" i="17"/>
  <c r="M19161" i="17"/>
  <c r="M19160" i="17"/>
  <c r="M19159" i="17"/>
  <c r="M19158" i="17"/>
  <c r="M19157" i="17"/>
  <c r="M19156" i="17"/>
  <c r="M19155" i="17"/>
  <c r="M19154" i="17"/>
  <c r="M19153" i="17"/>
  <c r="M19152" i="17"/>
  <c r="M19151" i="17"/>
  <c r="M19150" i="17"/>
  <c r="M19149" i="17"/>
  <c r="M19148" i="17"/>
  <c r="M19147" i="17"/>
  <c r="M19146" i="17"/>
  <c r="M19145" i="17"/>
  <c r="M19144" i="17"/>
  <c r="M19143" i="17"/>
  <c r="M19142" i="17"/>
  <c r="M19141" i="17"/>
  <c r="M19140" i="17"/>
  <c r="M19139" i="17"/>
  <c r="M19138" i="17"/>
  <c r="M19137" i="17"/>
  <c r="M19136" i="17"/>
  <c r="M19135" i="17"/>
  <c r="M19134" i="17"/>
  <c r="M19133" i="17"/>
  <c r="M19132" i="17"/>
  <c r="M19131" i="17"/>
  <c r="M19130" i="17"/>
  <c r="M19129" i="17"/>
  <c r="M19128" i="17"/>
  <c r="M19127" i="17"/>
  <c r="M19126" i="17"/>
  <c r="M19125" i="17"/>
  <c r="M19124" i="17"/>
  <c r="M19123" i="17"/>
  <c r="M19122" i="17"/>
  <c r="M19121" i="17"/>
  <c r="M19120" i="17"/>
  <c r="M19119" i="17"/>
  <c r="M19118" i="17"/>
  <c r="M19117" i="17"/>
  <c r="M19116" i="17"/>
  <c r="M19115" i="17"/>
  <c r="M19114" i="17"/>
  <c r="M19113" i="17"/>
  <c r="M19112" i="17"/>
  <c r="M19111" i="17"/>
  <c r="M19110" i="17"/>
  <c r="M19109" i="17"/>
  <c r="M19108" i="17"/>
  <c r="M19107" i="17"/>
  <c r="M19106" i="17"/>
  <c r="M19105" i="17"/>
  <c r="M19104" i="17"/>
  <c r="M19103" i="17"/>
  <c r="M19102" i="17"/>
  <c r="M19101" i="17"/>
  <c r="M19100" i="17"/>
  <c r="M19099" i="17"/>
  <c r="M19098" i="17"/>
  <c r="M19097" i="17"/>
  <c r="M19096" i="17"/>
  <c r="M19095" i="17"/>
  <c r="M19094" i="17"/>
  <c r="M19093" i="17"/>
  <c r="M19092" i="17"/>
  <c r="M19091" i="17"/>
  <c r="M19090" i="17"/>
  <c r="M19089" i="17"/>
  <c r="M19088" i="17"/>
  <c r="M19087" i="17"/>
  <c r="M19086" i="17"/>
  <c r="M19085" i="17"/>
  <c r="M19084" i="17"/>
  <c r="M19083" i="17"/>
  <c r="M19082" i="17"/>
  <c r="M19081" i="17"/>
  <c r="M19080" i="17"/>
  <c r="M19079" i="17"/>
  <c r="M19078" i="17"/>
  <c r="M19077" i="17"/>
  <c r="M19076" i="17"/>
  <c r="M19075" i="17"/>
  <c r="M19074" i="17"/>
  <c r="M19073" i="17"/>
  <c r="M19072" i="17"/>
  <c r="M19071" i="17"/>
  <c r="M19070" i="17"/>
  <c r="M19069" i="17"/>
  <c r="M19068" i="17"/>
  <c r="M19067" i="17"/>
  <c r="M19066" i="17"/>
  <c r="M19065" i="17"/>
  <c r="M19064" i="17"/>
  <c r="M19063" i="17"/>
  <c r="M19062" i="17"/>
  <c r="M19061" i="17"/>
  <c r="M19060" i="17"/>
  <c r="M19059" i="17"/>
  <c r="M19058" i="17"/>
  <c r="M19057" i="17"/>
  <c r="M19056" i="17"/>
  <c r="M19055" i="17"/>
  <c r="M19054" i="17"/>
  <c r="M19053" i="17"/>
  <c r="M19052" i="17"/>
  <c r="M19051" i="17"/>
  <c r="M19050" i="17"/>
  <c r="M19049" i="17"/>
  <c r="M19048" i="17"/>
  <c r="M19047" i="17"/>
  <c r="M19046" i="17"/>
  <c r="M19045" i="17"/>
  <c r="M19044" i="17"/>
  <c r="M19043" i="17"/>
  <c r="M19042" i="17"/>
  <c r="M19041" i="17"/>
  <c r="M19040" i="17"/>
  <c r="M19039" i="17"/>
  <c r="M19038" i="17"/>
  <c r="M19037" i="17"/>
  <c r="M19036" i="17"/>
  <c r="M19035" i="17"/>
  <c r="M19034" i="17"/>
  <c r="M19033" i="17"/>
  <c r="M19032" i="17"/>
  <c r="M19031" i="17"/>
  <c r="M19030" i="17"/>
  <c r="M19029" i="17"/>
  <c r="M19028" i="17"/>
  <c r="M19027" i="17"/>
  <c r="M19026" i="17"/>
  <c r="M19025" i="17"/>
  <c r="M19024" i="17"/>
  <c r="M19023" i="17"/>
  <c r="M19022" i="17"/>
  <c r="M19021" i="17"/>
  <c r="M19020" i="17"/>
  <c r="M19019" i="17"/>
  <c r="M19018" i="17"/>
  <c r="M19017" i="17"/>
  <c r="M19016" i="17"/>
  <c r="M19015" i="17"/>
  <c r="M19014" i="17"/>
  <c r="M19013" i="17"/>
  <c r="M19012" i="17"/>
  <c r="M19011" i="17"/>
  <c r="M19010" i="17"/>
  <c r="M19009" i="17"/>
  <c r="M19008" i="17"/>
  <c r="M19007" i="17"/>
  <c r="M19006" i="17"/>
  <c r="M19005" i="17"/>
  <c r="M19004" i="17"/>
  <c r="M19003" i="17"/>
  <c r="M19002" i="17"/>
  <c r="M19001" i="17"/>
  <c r="M19000" i="17"/>
  <c r="M18999" i="17"/>
  <c r="M18998" i="17"/>
  <c r="M18997" i="17"/>
  <c r="M18996" i="17"/>
  <c r="M18995" i="17"/>
  <c r="M18994" i="17"/>
  <c r="M18993" i="17"/>
  <c r="M18992" i="17"/>
  <c r="M18991" i="17"/>
  <c r="M18990" i="17"/>
  <c r="M18989" i="17"/>
  <c r="M18988" i="17"/>
  <c r="M18987" i="17"/>
  <c r="M18986" i="17"/>
  <c r="M18985" i="17"/>
  <c r="M18984" i="17"/>
  <c r="M18983" i="17"/>
  <c r="M18982" i="17"/>
  <c r="M18981" i="17"/>
  <c r="M18980" i="17"/>
  <c r="M18979" i="17"/>
  <c r="M18978" i="17"/>
  <c r="M18977" i="17"/>
  <c r="M18976" i="17"/>
  <c r="M18975" i="17"/>
  <c r="M18974" i="17"/>
  <c r="M18973" i="17"/>
  <c r="M18972" i="17"/>
  <c r="M18971" i="17"/>
  <c r="M18970" i="17"/>
  <c r="M18969" i="17"/>
  <c r="M18968" i="17"/>
  <c r="M18967" i="17"/>
  <c r="M18966" i="17"/>
  <c r="M18965" i="17"/>
  <c r="M18964" i="17"/>
  <c r="M18963" i="17"/>
  <c r="M18962" i="17"/>
  <c r="M18961" i="17"/>
  <c r="M18960" i="17"/>
  <c r="M18959" i="17"/>
  <c r="M18958" i="17"/>
  <c r="M18957" i="17"/>
  <c r="M18956" i="17"/>
  <c r="M18955" i="17"/>
  <c r="M18954" i="17"/>
  <c r="M18953" i="17"/>
  <c r="M18952" i="17"/>
  <c r="M18951" i="17"/>
  <c r="M18950" i="17"/>
  <c r="M18949" i="17"/>
  <c r="M18948" i="17"/>
  <c r="M18947" i="17"/>
  <c r="M18946" i="17"/>
  <c r="M18945" i="17"/>
  <c r="M18944" i="17"/>
  <c r="M18943" i="17"/>
  <c r="M18942" i="17"/>
  <c r="M18941" i="17"/>
  <c r="M18940" i="17"/>
  <c r="M18939" i="17"/>
  <c r="M18938" i="17"/>
  <c r="M18937" i="17"/>
  <c r="M18936" i="17"/>
  <c r="M18935" i="17"/>
  <c r="M18934" i="17"/>
  <c r="M18933" i="17"/>
  <c r="M18932" i="17"/>
  <c r="M18931" i="17"/>
  <c r="M18930" i="17"/>
  <c r="M18929" i="17"/>
  <c r="M18928" i="17"/>
  <c r="M18927" i="17"/>
  <c r="M18926" i="17"/>
  <c r="M18925" i="17"/>
  <c r="M18924" i="17"/>
  <c r="M18923" i="17"/>
  <c r="M18922" i="17"/>
  <c r="M18921" i="17"/>
  <c r="M18920" i="17"/>
  <c r="M18919" i="17"/>
  <c r="M18918" i="17"/>
  <c r="M18917" i="17"/>
  <c r="M18916" i="17"/>
  <c r="M18915" i="17"/>
  <c r="M18914" i="17"/>
  <c r="M18913" i="17"/>
  <c r="M18912" i="17"/>
  <c r="M18911" i="17"/>
  <c r="M18910" i="17"/>
  <c r="M18909" i="17"/>
  <c r="M18908" i="17"/>
  <c r="M18907" i="17"/>
  <c r="M18906" i="17"/>
  <c r="M18905" i="17"/>
  <c r="M18904" i="17"/>
  <c r="M18903" i="17"/>
  <c r="M18902" i="17"/>
  <c r="M18901" i="17"/>
  <c r="M18900" i="17"/>
  <c r="M18899" i="17"/>
  <c r="M18898" i="17"/>
  <c r="M18897" i="17"/>
  <c r="M18896" i="17"/>
  <c r="M18895" i="17"/>
  <c r="M18894" i="17"/>
  <c r="M18893" i="17"/>
  <c r="M18892" i="17"/>
  <c r="M18891" i="17"/>
  <c r="M18890" i="17"/>
  <c r="M18889" i="17"/>
  <c r="M18888" i="17"/>
  <c r="M18887" i="17"/>
  <c r="M18886" i="17"/>
  <c r="M18885" i="17"/>
  <c r="M18884" i="17"/>
  <c r="M18883" i="17"/>
  <c r="M18882" i="17"/>
  <c r="M18881" i="17"/>
  <c r="M18880" i="17"/>
  <c r="M18879" i="17"/>
  <c r="M18878" i="17"/>
  <c r="M18877" i="17"/>
  <c r="M18876" i="17"/>
  <c r="M18875" i="17"/>
  <c r="M18874" i="17"/>
  <c r="M18873" i="17"/>
  <c r="M18872" i="17"/>
  <c r="M18871" i="17"/>
  <c r="M18870" i="17"/>
  <c r="M18869" i="17"/>
  <c r="M18868" i="17"/>
  <c r="M18867" i="17"/>
  <c r="M18866" i="17"/>
  <c r="M18865" i="17"/>
  <c r="M18864" i="17"/>
  <c r="M18863" i="17"/>
  <c r="M18862" i="17"/>
  <c r="M18861" i="17"/>
  <c r="M18860" i="17"/>
  <c r="M18859" i="17"/>
  <c r="M18858" i="17"/>
  <c r="M18857" i="17"/>
  <c r="M18856" i="17"/>
  <c r="M18855" i="17"/>
  <c r="M18854" i="17"/>
  <c r="M18853" i="17"/>
  <c r="M18852" i="17"/>
  <c r="M18851" i="17"/>
  <c r="M18850" i="17"/>
  <c r="M18849" i="17"/>
  <c r="M18848" i="17"/>
  <c r="M18847" i="17"/>
  <c r="M18846" i="17"/>
  <c r="M18845" i="17"/>
  <c r="M18844" i="17"/>
  <c r="M18843" i="17"/>
  <c r="M18842" i="17"/>
  <c r="M18841" i="17"/>
  <c r="M18840" i="17"/>
  <c r="M18839" i="17"/>
  <c r="M18838" i="17"/>
  <c r="M18837" i="17"/>
  <c r="M18836" i="17"/>
  <c r="M18835" i="17"/>
  <c r="M18834" i="17"/>
  <c r="M18833" i="17"/>
  <c r="M18832" i="17"/>
  <c r="M18831" i="17"/>
  <c r="M18830" i="17"/>
  <c r="M18829" i="17"/>
  <c r="M18828" i="17"/>
  <c r="M18827" i="17"/>
  <c r="M18826" i="17"/>
  <c r="M18825" i="17"/>
  <c r="M18824" i="17"/>
  <c r="M18823" i="17"/>
  <c r="M18822" i="17"/>
  <c r="M18821" i="17"/>
  <c r="M18820" i="17"/>
  <c r="M18819" i="17"/>
  <c r="M18818" i="17"/>
  <c r="M18817" i="17"/>
  <c r="M18816" i="17"/>
  <c r="M18815" i="17"/>
  <c r="M18814" i="17"/>
  <c r="M18813" i="17"/>
  <c r="M18812" i="17"/>
  <c r="M18811" i="17"/>
  <c r="M18810" i="17"/>
  <c r="M18809" i="17"/>
  <c r="M18808" i="17"/>
  <c r="M18807" i="17"/>
  <c r="M18806" i="17"/>
  <c r="M18805" i="17"/>
  <c r="M18804" i="17"/>
  <c r="M18803" i="17"/>
  <c r="M18802" i="17"/>
  <c r="M18801" i="17"/>
  <c r="M18800" i="17"/>
  <c r="M18799" i="17"/>
  <c r="M18798" i="17"/>
  <c r="M18797" i="17"/>
  <c r="M18796" i="17"/>
  <c r="M18795" i="17"/>
  <c r="M18794" i="17"/>
  <c r="M18793" i="17"/>
  <c r="M18792" i="17"/>
  <c r="M18791" i="17"/>
  <c r="M18790" i="17"/>
  <c r="M18789" i="17"/>
  <c r="M18788" i="17"/>
  <c r="M18787" i="17"/>
  <c r="M18786" i="17"/>
  <c r="M18785" i="17"/>
  <c r="M18784" i="17"/>
  <c r="M18783" i="17"/>
  <c r="M18782" i="17"/>
  <c r="M18781" i="17"/>
  <c r="M18780" i="17"/>
  <c r="M18779" i="17"/>
  <c r="M18778" i="17"/>
  <c r="M18777" i="17"/>
  <c r="M18776" i="17"/>
  <c r="M18775" i="17"/>
  <c r="M18774" i="17"/>
  <c r="M18773" i="17"/>
  <c r="M18772" i="17"/>
  <c r="M18771" i="17"/>
  <c r="M18770" i="17"/>
  <c r="M18769" i="17"/>
  <c r="M18768" i="17"/>
  <c r="M18767" i="17"/>
  <c r="M18766" i="17"/>
  <c r="M18765" i="17"/>
  <c r="M18764" i="17"/>
  <c r="M18763" i="17"/>
  <c r="M18762" i="17"/>
  <c r="M18761" i="17"/>
  <c r="M18760" i="17"/>
  <c r="M18759" i="17"/>
  <c r="M18758" i="17"/>
  <c r="M18757" i="17"/>
  <c r="M18756" i="17"/>
  <c r="M18755" i="17"/>
  <c r="M18754" i="17"/>
  <c r="M18753" i="17"/>
  <c r="M18752" i="17"/>
  <c r="M18751" i="17"/>
  <c r="M18750" i="17"/>
  <c r="M18749" i="17"/>
  <c r="M18748" i="17"/>
  <c r="M18747" i="17"/>
  <c r="M18746" i="17"/>
  <c r="M18745" i="17"/>
  <c r="M18744" i="17"/>
  <c r="M18743" i="17"/>
  <c r="M18742" i="17"/>
  <c r="M18741" i="17"/>
  <c r="M18740" i="17"/>
  <c r="M18739" i="17"/>
  <c r="M18738" i="17"/>
  <c r="M18737" i="17"/>
  <c r="M18736" i="17"/>
  <c r="M18735" i="17"/>
  <c r="M18734" i="17"/>
  <c r="M18733" i="17"/>
  <c r="M18732" i="17"/>
  <c r="M18731" i="17"/>
  <c r="M18730" i="17"/>
  <c r="M18729" i="17"/>
  <c r="M18728" i="17"/>
  <c r="M18727" i="17"/>
  <c r="M18726" i="17"/>
  <c r="M18725" i="17"/>
  <c r="M18724" i="17"/>
  <c r="M18723" i="17"/>
  <c r="M18722" i="17"/>
  <c r="M18721" i="17"/>
  <c r="M18720" i="17"/>
  <c r="M18719" i="17"/>
  <c r="M18718" i="17"/>
  <c r="M18717" i="17"/>
  <c r="M18716" i="17"/>
  <c r="M18715" i="17"/>
  <c r="M18714" i="17"/>
  <c r="M18713" i="17"/>
  <c r="M18712" i="17"/>
  <c r="M18711" i="17"/>
  <c r="M18710" i="17"/>
  <c r="M18709" i="17"/>
  <c r="M18708" i="17"/>
  <c r="M18707" i="17"/>
  <c r="M18706" i="17"/>
  <c r="M18705" i="17"/>
  <c r="M18704" i="17"/>
  <c r="M18703" i="17"/>
  <c r="M18702" i="17"/>
  <c r="M18701" i="17"/>
  <c r="M18700" i="17"/>
  <c r="M18699" i="17"/>
  <c r="M18698" i="17"/>
  <c r="M18697" i="17"/>
  <c r="M18696" i="17"/>
  <c r="M18695" i="17"/>
  <c r="M18694" i="17"/>
  <c r="M18693" i="17"/>
  <c r="M18692" i="17"/>
  <c r="M18691" i="17"/>
  <c r="M18690" i="17"/>
  <c r="M18689" i="17"/>
  <c r="M18688" i="17"/>
  <c r="M18687" i="17"/>
  <c r="M18686" i="17"/>
  <c r="M18685" i="17"/>
  <c r="M18684" i="17"/>
  <c r="M18683" i="17"/>
  <c r="M18682" i="17"/>
  <c r="M18681" i="17"/>
  <c r="M18680" i="17"/>
  <c r="M18679" i="17"/>
  <c r="M18678" i="17"/>
  <c r="M18677" i="17"/>
  <c r="M18676" i="17"/>
  <c r="M18675" i="17"/>
  <c r="M18674" i="17"/>
  <c r="M18673" i="17"/>
  <c r="M18672" i="17"/>
  <c r="M18671" i="17"/>
  <c r="M18670" i="17"/>
  <c r="M18669" i="17"/>
  <c r="M18668" i="17"/>
  <c r="M18667" i="17"/>
  <c r="M18666" i="17"/>
  <c r="M18665" i="17"/>
  <c r="M18664" i="17"/>
  <c r="M18663" i="17"/>
  <c r="M18662" i="17"/>
  <c r="M18661" i="17"/>
  <c r="M18660" i="17"/>
  <c r="M18659" i="17"/>
  <c r="M18658" i="17"/>
  <c r="M18657" i="17"/>
  <c r="M18656" i="17"/>
  <c r="M18655" i="17"/>
  <c r="M18654" i="17"/>
  <c r="M18653" i="17"/>
  <c r="M18652" i="17"/>
  <c r="M18651" i="17"/>
  <c r="M18650" i="17"/>
  <c r="M18649" i="17"/>
  <c r="M18648" i="17"/>
  <c r="M18647" i="17"/>
  <c r="M18646" i="17"/>
  <c r="M18645" i="17"/>
  <c r="M18644" i="17"/>
  <c r="M18643" i="17"/>
  <c r="M18642" i="17"/>
  <c r="M18641" i="17"/>
  <c r="M18640" i="17"/>
  <c r="M18639" i="17"/>
  <c r="M18638" i="17"/>
  <c r="M18637" i="17"/>
  <c r="M18636" i="17"/>
  <c r="M18635" i="17"/>
  <c r="M18634" i="17"/>
  <c r="M18633" i="17"/>
  <c r="M18632" i="17"/>
  <c r="M18631" i="17"/>
  <c r="M18630" i="17"/>
  <c r="M18629" i="17"/>
  <c r="M18628" i="17"/>
  <c r="M18627" i="17"/>
  <c r="M18626" i="17"/>
  <c r="M18625" i="17"/>
  <c r="M18624" i="17"/>
  <c r="M18623" i="17"/>
  <c r="M18622" i="17"/>
  <c r="M18621" i="17"/>
  <c r="M18620" i="17"/>
  <c r="M18619" i="17"/>
  <c r="M18618" i="17"/>
  <c r="M18617" i="17"/>
  <c r="M18616" i="17"/>
  <c r="M18615" i="17"/>
  <c r="M18614" i="17"/>
  <c r="M18613" i="17"/>
  <c r="M18612" i="17"/>
  <c r="M18611" i="17"/>
  <c r="M18610" i="17"/>
  <c r="M18609" i="17"/>
  <c r="M18608" i="17"/>
  <c r="M18607" i="17"/>
  <c r="M18606" i="17"/>
  <c r="M18605" i="17"/>
  <c r="M18604" i="17"/>
  <c r="M18603" i="17"/>
  <c r="M18602" i="17"/>
  <c r="M18601" i="17"/>
  <c r="M18600" i="17"/>
  <c r="M18599" i="17"/>
  <c r="M18598" i="17"/>
  <c r="M18597" i="17"/>
  <c r="M18596" i="17"/>
  <c r="M18595" i="17"/>
  <c r="M18594" i="17"/>
  <c r="M18593" i="17"/>
  <c r="M18592" i="17"/>
  <c r="M18591" i="17"/>
  <c r="M18590" i="17"/>
  <c r="M18589" i="17"/>
  <c r="M18588" i="17"/>
  <c r="M18587" i="17"/>
  <c r="M18586" i="17"/>
  <c r="M18585" i="17"/>
  <c r="M18584" i="17"/>
  <c r="M18583" i="17"/>
  <c r="M18582" i="17"/>
  <c r="M18581" i="17"/>
  <c r="M18580" i="17"/>
  <c r="M18579" i="17"/>
  <c r="M18578" i="17"/>
  <c r="M18577" i="17"/>
  <c r="M18576" i="17"/>
  <c r="M18575" i="17"/>
  <c r="M18574" i="17"/>
  <c r="M18573" i="17"/>
  <c r="M18572" i="17"/>
  <c r="M18571" i="17"/>
  <c r="M18570" i="17"/>
  <c r="M18569" i="17"/>
  <c r="M18568" i="17"/>
  <c r="M18567" i="17"/>
  <c r="M18566" i="17"/>
  <c r="M18565" i="17"/>
  <c r="M18564" i="17"/>
  <c r="M18563" i="17"/>
  <c r="M18562" i="17"/>
  <c r="M18561" i="17"/>
  <c r="M18560" i="17"/>
  <c r="M18559" i="17"/>
  <c r="M18558" i="17"/>
  <c r="M18557" i="17"/>
  <c r="M18556" i="17"/>
  <c r="M18555" i="17"/>
  <c r="M18554" i="17"/>
  <c r="M18553" i="17"/>
  <c r="M18552" i="17"/>
  <c r="M18551" i="17"/>
  <c r="M18550" i="17"/>
  <c r="M18549" i="17"/>
  <c r="M18548" i="17"/>
  <c r="M18547" i="17"/>
  <c r="M18546" i="17"/>
  <c r="M18545" i="17"/>
  <c r="M18544" i="17"/>
  <c r="M18543" i="17"/>
  <c r="M18542" i="17"/>
  <c r="M18541" i="17"/>
  <c r="M18540" i="17"/>
  <c r="M18539" i="17"/>
  <c r="M18538" i="17"/>
  <c r="M18537" i="17"/>
  <c r="M18536" i="17"/>
  <c r="M18535" i="17"/>
  <c r="M18534" i="17"/>
  <c r="M18533" i="17"/>
  <c r="M18532" i="17"/>
  <c r="M18531" i="17"/>
  <c r="M18530" i="17"/>
  <c r="M18529" i="17"/>
  <c r="M18528" i="17"/>
  <c r="M18527" i="17"/>
  <c r="M18526" i="17"/>
  <c r="M18525" i="17"/>
  <c r="M18524" i="17"/>
  <c r="M18523" i="17"/>
  <c r="M18522" i="17"/>
  <c r="M18521" i="17"/>
  <c r="M18520" i="17"/>
  <c r="M18519" i="17"/>
  <c r="M18518" i="17"/>
  <c r="M18517" i="17"/>
  <c r="M18516" i="17"/>
  <c r="M18515" i="17"/>
  <c r="M18514" i="17"/>
  <c r="M18513" i="17"/>
  <c r="M18512" i="17"/>
  <c r="M18511" i="17"/>
  <c r="M18510" i="17"/>
  <c r="M18509" i="17"/>
  <c r="M18508" i="17"/>
  <c r="M18507" i="17"/>
  <c r="M18506" i="17"/>
  <c r="M18505" i="17"/>
  <c r="M18504" i="17"/>
  <c r="M18503" i="17"/>
  <c r="M18502" i="17"/>
  <c r="M18501" i="17"/>
  <c r="M18500" i="17"/>
  <c r="M18499" i="17"/>
  <c r="M18498" i="17"/>
  <c r="M18497" i="17"/>
  <c r="M18496" i="17"/>
  <c r="M18495" i="17"/>
  <c r="M18494" i="17"/>
  <c r="M18493" i="17"/>
  <c r="M18492" i="17"/>
  <c r="M18491" i="17"/>
  <c r="M18490" i="17"/>
  <c r="M18489" i="17"/>
  <c r="M18488" i="17"/>
  <c r="M18487" i="17"/>
  <c r="M18486" i="17"/>
  <c r="M18485" i="17"/>
  <c r="M18484" i="17"/>
  <c r="M18483" i="17"/>
  <c r="M18482" i="17"/>
  <c r="M18481" i="17"/>
  <c r="M18480" i="17"/>
  <c r="M18479" i="17"/>
  <c r="M18478" i="17"/>
  <c r="M18477" i="17"/>
  <c r="M18476" i="17"/>
  <c r="M18475" i="17"/>
  <c r="M18474" i="17"/>
  <c r="M18473" i="17"/>
  <c r="M18472" i="17"/>
  <c r="M18471" i="17"/>
  <c r="M18470" i="17"/>
  <c r="M18469" i="17"/>
  <c r="M18468" i="17"/>
  <c r="M18467" i="17"/>
  <c r="M18466" i="17"/>
  <c r="M18465" i="17"/>
  <c r="M18464" i="17"/>
  <c r="M18463" i="17"/>
  <c r="M18462" i="17"/>
  <c r="M18461" i="17"/>
  <c r="M18460" i="17"/>
  <c r="M18459" i="17"/>
  <c r="M18458" i="17"/>
  <c r="M18457" i="17"/>
  <c r="M18456" i="17"/>
  <c r="M18455" i="17"/>
  <c r="M18454" i="17"/>
  <c r="M18453" i="17"/>
  <c r="M18452" i="17"/>
  <c r="M18451" i="17"/>
  <c r="M18450" i="17"/>
  <c r="M18449" i="17"/>
  <c r="M18448" i="17"/>
  <c r="M18447" i="17"/>
  <c r="M18446" i="17"/>
  <c r="M18445" i="17"/>
  <c r="M18444" i="17"/>
  <c r="M18443" i="17"/>
  <c r="M18442" i="17"/>
  <c r="M18441" i="17"/>
  <c r="M18440" i="17"/>
  <c r="M18439" i="17"/>
  <c r="M18438" i="17"/>
  <c r="M18437" i="17"/>
  <c r="M18436" i="17"/>
  <c r="M18435" i="17"/>
  <c r="M18434" i="17"/>
  <c r="M18433" i="17"/>
  <c r="M18432" i="17"/>
  <c r="M18431" i="17"/>
  <c r="M18430" i="17"/>
  <c r="M18429" i="17"/>
  <c r="M18428" i="17"/>
  <c r="M18427" i="17"/>
  <c r="M18426" i="17"/>
  <c r="M18425" i="17"/>
  <c r="M18424" i="17"/>
  <c r="M18423" i="17"/>
  <c r="M18422" i="17"/>
  <c r="M18421" i="17"/>
  <c r="M18420" i="17"/>
  <c r="M18419" i="17"/>
  <c r="M18418" i="17"/>
  <c r="M18417" i="17"/>
  <c r="M18416" i="17"/>
  <c r="M18415" i="17"/>
  <c r="M18414" i="17"/>
  <c r="M18413" i="17"/>
  <c r="M18412" i="17"/>
  <c r="M18411" i="17"/>
  <c r="M18410" i="17"/>
  <c r="M18409" i="17"/>
  <c r="M18408" i="17"/>
  <c r="M18407" i="17"/>
  <c r="M18406" i="17"/>
  <c r="M18405" i="17"/>
  <c r="M18404" i="17"/>
  <c r="M18403" i="17"/>
  <c r="M18402" i="17"/>
  <c r="M18401" i="17"/>
  <c r="M18400" i="17"/>
  <c r="M18399" i="17"/>
  <c r="M18398" i="17"/>
  <c r="M18397" i="17"/>
  <c r="M18396" i="17"/>
  <c r="M18395" i="17"/>
  <c r="M18394" i="17"/>
  <c r="M18393" i="17"/>
  <c r="M18392" i="17"/>
  <c r="M18391" i="17"/>
  <c r="M18390" i="17"/>
  <c r="M18389" i="17"/>
  <c r="M18388" i="17"/>
  <c r="M18387" i="17"/>
  <c r="M18386" i="17"/>
  <c r="M18385" i="17"/>
  <c r="M18384" i="17"/>
  <c r="M18383" i="17"/>
  <c r="M18382" i="17"/>
  <c r="M18381" i="17"/>
  <c r="M18380" i="17"/>
  <c r="M18379" i="17"/>
  <c r="M18378" i="17"/>
  <c r="M18377" i="17"/>
  <c r="M18376" i="17"/>
  <c r="M18375" i="17"/>
  <c r="M18374" i="17"/>
  <c r="M18373" i="17"/>
  <c r="M18372" i="17"/>
  <c r="M18371" i="17"/>
  <c r="M18370" i="17"/>
  <c r="M18369" i="17"/>
  <c r="M18368" i="17"/>
  <c r="M18367" i="17"/>
  <c r="M18366" i="17"/>
  <c r="M18365" i="17"/>
  <c r="M18364" i="17"/>
  <c r="M18363" i="17"/>
  <c r="M18362" i="17"/>
  <c r="M18361" i="17"/>
  <c r="M18360" i="17"/>
  <c r="M18359" i="17"/>
  <c r="M18358" i="17"/>
  <c r="M18357" i="17"/>
  <c r="M18356" i="17"/>
  <c r="M18355" i="17"/>
  <c r="M18354" i="17"/>
  <c r="M18353" i="17"/>
  <c r="M18352" i="17"/>
  <c r="M18351" i="17"/>
  <c r="M18350" i="17"/>
  <c r="M18349" i="17"/>
  <c r="M18348" i="17"/>
  <c r="M18347" i="17"/>
  <c r="M18346" i="17"/>
  <c r="M18345" i="17"/>
  <c r="M18344" i="17"/>
  <c r="M18343" i="17"/>
  <c r="M18342" i="17"/>
  <c r="M18341" i="17"/>
  <c r="M18340" i="17"/>
  <c r="M18339" i="17"/>
  <c r="M18338" i="17"/>
  <c r="M18337" i="17"/>
  <c r="M18336" i="17"/>
  <c r="M18335" i="17"/>
  <c r="M18334" i="17"/>
  <c r="M18333" i="17"/>
  <c r="M18332" i="17"/>
  <c r="M18331" i="17"/>
  <c r="M18330" i="17"/>
  <c r="M18329" i="17"/>
  <c r="M18328" i="17"/>
  <c r="M18327" i="17"/>
  <c r="M18326" i="17"/>
  <c r="M18325" i="17"/>
  <c r="M18324" i="17"/>
  <c r="M18323" i="17"/>
  <c r="M18322" i="17"/>
  <c r="M18321" i="17"/>
  <c r="M18320" i="17"/>
  <c r="M18319" i="17"/>
  <c r="M18318" i="17"/>
  <c r="M18317" i="17"/>
  <c r="M18316" i="17"/>
  <c r="M18315" i="17"/>
  <c r="M18314" i="17"/>
  <c r="M18313" i="17"/>
  <c r="M18312" i="17"/>
  <c r="M18311" i="17"/>
  <c r="M18310" i="17"/>
  <c r="M18309" i="17"/>
  <c r="M18308" i="17"/>
  <c r="M18307" i="17"/>
  <c r="M18306" i="17"/>
  <c r="M18305" i="17"/>
  <c r="M18304" i="17"/>
  <c r="M18303" i="17"/>
  <c r="M18302" i="17"/>
  <c r="M18301" i="17"/>
  <c r="M18300" i="17"/>
  <c r="M18299" i="17"/>
  <c r="M18298" i="17"/>
  <c r="M18297" i="17"/>
  <c r="M18296" i="17"/>
  <c r="M18295" i="17"/>
  <c r="M18294" i="17"/>
  <c r="M18293" i="17"/>
  <c r="M18292" i="17"/>
  <c r="M18291" i="17"/>
  <c r="M18290" i="17"/>
  <c r="M18289" i="17"/>
  <c r="M18288" i="17"/>
  <c r="M18287" i="17"/>
  <c r="M18286" i="17"/>
  <c r="M18285" i="17"/>
  <c r="M18284" i="17"/>
  <c r="M18283" i="17"/>
  <c r="M18282" i="17"/>
  <c r="M18281" i="17"/>
  <c r="M18280" i="17"/>
  <c r="M18279" i="17"/>
  <c r="M18278" i="17"/>
  <c r="M18277" i="17"/>
  <c r="M18276" i="17"/>
  <c r="M18275" i="17"/>
  <c r="M18274" i="17"/>
  <c r="M18273" i="17"/>
  <c r="M18272" i="17"/>
  <c r="M18271" i="17"/>
  <c r="M18270" i="17"/>
  <c r="M18269" i="17"/>
  <c r="M18268" i="17"/>
  <c r="M18267" i="17"/>
  <c r="M18266" i="17"/>
  <c r="M18265" i="17"/>
  <c r="M18264" i="17"/>
  <c r="M18263" i="17"/>
  <c r="M18262" i="17"/>
  <c r="M18261" i="17"/>
  <c r="M18260" i="17"/>
  <c r="M18259" i="17"/>
  <c r="M18258" i="17"/>
  <c r="M18257" i="17"/>
  <c r="M18256" i="17"/>
  <c r="M18255" i="17"/>
  <c r="M18254" i="17"/>
  <c r="M18253" i="17"/>
  <c r="M18252" i="17"/>
  <c r="M18251" i="17"/>
  <c r="M18250" i="17"/>
  <c r="M18249" i="17"/>
  <c r="M18248" i="17"/>
  <c r="M18247" i="17"/>
  <c r="M18246" i="17"/>
  <c r="M18245" i="17"/>
  <c r="M18244" i="17"/>
  <c r="M18243" i="17"/>
  <c r="M18242" i="17"/>
  <c r="M18241" i="17"/>
  <c r="M18240" i="17"/>
  <c r="M18239" i="17"/>
  <c r="M18238" i="17"/>
  <c r="M18237" i="17"/>
  <c r="M18236" i="17"/>
  <c r="M18235" i="17"/>
  <c r="M18234" i="17"/>
  <c r="M18233" i="17"/>
  <c r="M18232" i="17"/>
  <c r="M18231" i="17"/>
  <c r="M18230" i="17"/>
  <c r="M18229" i="17"/>
  <c r="M18228" i="17"/>
  <c r="M18227" i="17"/>
  <c r="M18226" i="17"/>
  <c r="M18225" i="17"/>
  <c r="M18224" i="17"/>
  <c r="M18223" i="17"/>
  <c r="M18222" i="17"/>
  <c r="M18221" i="17"/>
  <c r="M18220" i="17"/>
  <c r="M18219" i="17"/>
  <c r="M18218" i="17"/>
  <c r="M18217" i="17"/>
  <c r="M18216" i="17"/>
  <c r="M18215" i="17"/>
  <c r="M18214" i="17"/>
  <c r="M18213" i="17"/>
  <c r="M18212" i="17"/>
  <c r="M18211" i="17"/>
  <c r="M18210" i="17"/>
  <c r="M18209" i="17"/>
  <c r="M18208" i="17"/>
  <c r="M18207" i="17"/>
  <c r="M18206" i="17"/>
  <c r="M18205" i="17"/>
  <c r="M18204" i="17"/>
  <c r="M18203" i="17"/>
  <c r="M18202" i="17"/>
  <c r="M18201" i="17"/>
  <c r="M18200" i="17"/>
  <c r="M18199" i="17"/>
  <c r="M18198" i="17"/>
  <c r="M18197" i="17"/>
  <c r="M18196" i="17"/>
  <c r="M18195" i="17"/>
  <c r="M18194" i="17"/>
  <c r="M18193" i="17"/>
  <c r="M18192" i="17"/>
  <c r="M18191" i="17"/>
  <c r="M18190" i="17"/>
  <c r="M18189" i="17"/>
  <c r="M18188" i="17"/>
  <c r="M18187" i="17"/>
  <c r="M18186" i="17"/>
  <c r="M18185" i="17"/>
  <c r="M18184" i="17"/>
  <c r="M18183" i="17"/>
  <c r="M18182" i="17"/>
  <c r="M18181" i="17"/>
  <c r="M18180" i="17"/>
  <c r="M18179" i="17"/>
  <c r="M18178" i="17"/>
  <c r="M18177" i="17"/>
  <c r="M18176" i="17"/>
  <c r="M18175" i="17"/>
  <c r="M18174" i="17"/>
  <c r="M18173" i="17"/>
  <c r="M18172" i="17"/>
  <c r="M18171" i="17"/>
  <c r="M18170" i="17"/>
  <c r="M18169" i="17"/>
  <c r="M18168" i="17"/>
  <c r="M18167" i="17"/>
  <c r="M18166" i="17"/>
  <c r="M18165" i="17"/>
  <c r="M18164" i="17"/>
  <c r="M18163" i="17"/>
  <c r="M18162" i="17"/>
  <c r="M18161" i="17"/>
  <c r="M18160" i="17"/>
  <c r="M18159" i="17"/>
  <c r="M18158" i="17"/>
  <c r="M18157" i="17"/>
  <c r="M18156" i="17"/>
  <c r="M18155" i="17"/>
  <c r="M18154" i="17"/>
  <c r="M18153" i="17"/>
  <c r="M18152" i="17"/>
  <c r="M18151" i="17"/>
  <c r="M18150" i="17"/>
  <c r="M18149" i="17"/>
  <c r="M18148" i="17"/>
  <c r="M18147" i="17"/>
  <c r="M18146" i="17"/>
  <c r="M18145" i="17"/>
  <c r="M18144" i="17"/>
  <c r="M18143" i="17"/>
  <c r="M18142" i="17"/>
  <c r="M18141" i="17"/>
  <c r="M18140" i="17"/>
  <c r="M18139" i="17"/>
  <c r="M18138" i="17"/>
  <c r="M18137" i="17"/>
  <c r="M18136" i="17"/>
  <c r="M18135" i="17"/>
  <c r="M18134" i="17"/>
  <c r="M18133" i="17"/>
  <c r="M18132" i="17"/>
  <c r="M18131" i="17"/>
  <c r="M18130" i="17"/>
  <c r="M18129" i="17"/>
  <c r="M18128" i="17"/>
  <c r="M18127" i="17"/>
  <c r="M18126" i="17"/>
  <c r="M18125" i="17"/>
  <c r="M18124" i="17"/>
  <c r="M18123" i="17"/>
  <c r="M18122" i="17"/>
  <c r="M18121" i="17"/>
  <c r="M18120" i="17"/>
  <c r="M18119" i="17"/>
  <c r="M18118" i="17"/>
  <c r="M18117" i="17"/>
  <c r="M18116" i="17"/>
  <c r="M18115" i="17"/>
  <c r="M18114" i="17"/>
  <c r="M18113" i="17"/>
  <c r="M18112" i="17"/>
  <c r="M18111" i="17"/>
  <c r="M18110" i="17"/>
  <c r="M18109" i="17"/>
  <c r="M18108" i="17"/>
  <c r="M18107" i="17"/>
  <c r="M18106" i="17"/>
  <c r="M18105" i="17"/>
  <c r="M18104" i="17"/>
  <c r="M18103" i="17"/>
  <c r="M18102" i="17"/>
  <c r="M18101" i="17"/>
  <c r="M18100" i="17"/>
  <c r="M18099" i="17"/>
  <c r="M18098" i="17"/>
  <c r="M18097" i="17"/>
  <c r="M18096" i="17"/>
  <c r="M18095" i="17"/>
  <c r="M18094" i="17"/>
  <c r="M18093" i="17"/>
  <c r="M18092" i="17"/>
  <c r="M18091" i="17"/>
  <c r="M18090" i="17"/>
  <c r="M18089" i="17"/>
  <c r="M18088" i="17"/>
  <c r="M18087" i="17"/>
  <c r="M18086" i="17"/>
  <c r="M18085" i="17"/>
  <c r="M18084" i="17"/>
  <c r="M18083" i="17"/>
  <c r="M18082" i="17"/>
  <c r="M18081" i="17"/>
  <c r="M18080" i="17"/>
  <c r="M18079" i="17"/>
  <c r="M18078" i="17"/>
  <c r="M18077" i="17"/>
  <c r="M18076" i="17"/>
  <c r="M18075" i="17"/>
  <c r="M18074" i="17"/>
  <c r="M18073" i="17"/>
  <c r="M18072" i="17"/>
  <c r="M18071" i="17"/>
  <c r="M18070" i="17"/>
  <c r="M18069" i="17"/>
  <c r="M18068" i="17"/>
  <c r="M18067" i="17"/>
  <c r="M18066" i="17"/>
  <c r="M18065" i="17"/>
  <c r="M18064" i="17"/>
  <c r="M18063" i="17"/>
  <c r="M18062" i="17"/>
  <c r="M18061" i="17"/>
  <c r="M18060" i="17"/>
  <c r="M18059" i="17"/>
  <c r="M18058" i="17"/>
  <c r="M18057" i="17"/>
  <c r="M18056" i="17"/>
  <c r="M18055" i="17"/>
  <c r="M18054" i="17"/>
  <c r="M18053" i="17"/>
  <c r="M18052" i="17"/>
  <c r="M18051" i="17"/>
  <c r="M18050" i="17"/>
  <c r="M18049" i="17"/>
  <c r="M18048" i="17"/>
  <c r="M18047" i="17"/>
  <c r="M18046" i="17"/>
  <c r="M18045" i="17"/>
  <c r="M18044" i="17"/>
  <c r="M18043" i="17"/>
  <c r="M18042" i="17"/>
  <c r="M18041" i="17"/>
  <c r="M18040" i="17"/>
  <c r="M18039" i="17"/>
  <c r="M18038" i="17"/>
  <c r="M18037" i="17"/>
  <c r="M18036" i="17"/>
  <c r="M18035" i="17"/>
  <c r="M18034" i="17"/>
  <c r="M18033" i="17"/>
  <c r="M18032" i="17"/>
  <c r="M18031" i="17"/>
  <c r="M18030" i="17"/>
  <c r="M18029" i="17"/>
  <c r="M18028" i="17"/>
  <c r="M18027" i="17"/>
  <c r="M18026" i="17"/>
  <c r="M18025" i="17"/>
  <c r="M18024" i="17"/>
  <c r="M18023" i="17"/>
  <c r="M18022" i="17"/>
  <c r="M18021" i="17"/>
  <c r="M18020" i="17"/>
  <c r="M18019" i="17"/>
  <c r="M18018" i="17"/>
  <c r="M18017" i="17"/>
  <c r="M18016" i="17"/>
  <c r="M18015" i="17"/>
  <c r="M18014" i="17"/>
  <c r="M18013" i="17"/>
  <c r="M18012" i="17"/>
  <c r="M18011" i="17"/>
  <c r="M18010" i="17"/>
  <c r="M18009" i="17"/>
  <c r="M18008" i="17"/>
  <c r="M18007" i="17"/>
  <c r="M18006" i="17"/>
  <c r="M18005" i="17"/>
  <c r="M18004" i="17"/>
  <c r="M18003" i="17"/>
  <c r="M18002" i="17"/>
  <c r="M18001" i="17"/>
  <c r="M18000" i="17"/>
  <c r="M17999" i="17"/>
  <c r="M17998" i="17"/>
  <c r="M17997" i="17"/>
  <c r="M17996" i="17"/>
  <c r="M17995" i="17"/>
  <c r="M17994" i="17"/>
  <c r="M17993" i="17"/>
  <c r="M17992" i="17"/>
  <c r="M17991" i="17"/>
  <c r="M17990" i="17"/>
  <c r="M17989" i="17"/>
  <c r="M17988" i="17"/>
  <c r="M17987" i="17"/>
  <c r="M17986" i="17"/>
  <c r="M17985" i="17"/>
  <c r="M17984" i="17"/>
  <c r="M17983" i="17"/>
  <c r="M17982" i="17"/>
  <c r="M17981" i="17"/>
  <c r="M17980" i="17"/>
  <c r="M17979" i="17"/>
  <c r="M17978" i="17"/>
  <c r="M17977" i="17"/>
  <c r="M17976" i="17"/>
  <c r="M17975" i="17"/>
  <c r="M17974" i="17"/>
  <c r="M17973" i="17"/>
  <c r="M17972" i="17"/>
  <c r="M17971" i="17"/>
  <c r="M17970" i="17"/>
  <c r="M17969" i="17"/>
  <c r="M17968" i="17"/>
  <c r="M17967" i="17"/>
  <c r="M17966" i="17"/>
  <c r="M17965" i="17"/>
  <c r="M17964" i="17"/>
  <c r="M17963" i="17"/>
  <c r="M17962" i="17"/>
  <c r="M17961" i="17"/>
  <c r="M17960" i="17"/>
  <c r="M17959" i="17"/>
  <c r="M17958" i="17"/>
  <c r="M17957" i="17"/>
  <c r="M17956" i="17"/>
  <c r="M17955" i="17"/>
  <c r="M17954" i="17"/>
  <c r="M17953" i="17"/>
  <c r="M17952" i="17"/>
  <c r="M17951" i="17"/>
  <c r="M17950" i="17"/>
  <c r="M17949" i="17"/>
  <c r="M17948" i="17"/>
  <c r="M17947" i="17"/>
  <c r="M17946" i="17"/>
  <c r="M17945" i="17"/>
  <c r="M17944" i="17"/>
  <c r="M17943" i="17"/>
  <c r="M17942" i="17"/>
  <c r="M17941" i="17"/>
  <c r="M17940" i="17"/>
  <c r="M17939" i="17"/>
  <c r="M17938" i="17"/>
  <c r="M17937" i="17"/>
  <c r="M17936" i="17"/>
  <c r="M17935" i="17"/>
  <c r="M17934" i="17"/>
  <c r="M17933" i="17"/>
  <c r="M17932" i="17"/>
  <c r="M17931" i="17"/>
  <c r="M17930" i="17"/>
  <c r="M17929" i="17"/>
  <c r="M17928" i="17"/>
  <c r="M17927" i="17"/>
  <c r="M17926" i="17"/>
  <c r="M17925" i="17"/>
  <c r="M17924" i="17"/>
  <c r="M17923" i="17"/>
  <c r="M17922" i="17"/>
  <c r="M17921" i="17"/>
  <c r="M17920" i="17"/>
  <c r="M17919" i="17"/>
  <c r="M17918" i="17"/>
  <c r="M17917" i="17"/>
  <c r="M17916" i="17"/>
  <c r="M17915" i="17"/>
  <c r="M17914" i="17"/>
  <c r="M17913" i="17"/>
  <c r="M17912" i="17"/>
  <c r="M17911" i="17"/>
  <c r="M17910" i="17"/>
  <c r="M17909" i="17"/>
  <c r="M17908" i="17"/>
  <c r="M17907" i="17"/>
  <c r="M17906" i="17"/>
  <c r="M17905" i="17"/>
  <c r="M17904" i="17"/>
  <c r="M17903" i="17"/>
  <c r="M17902" i="17"/>
  <c r="M17901" i="17"/>
  <c r="M17900" i="17"/>
  <c r="M17899" i="17"/>
  <c r="M17898" i="17"/>
  <c r="M17897" i="17"/>
  <c r="M17896" i="17"/>
  <c r="M17895" i="17"/>
  <c r="M17894" i="17"/>
  <c r="M17893" i="17"/>
  <c r="M17892" i="17"/>
  <c r="M17891" i="17"/>
  <c r="M17890" i="17"/>
  <c r="M17889" i="17"/>
  <c r="M17888" i="17"/>
  <c r="M17887" i="17"/>
  <c r="M17886" i="17"/>
  <c r="M17885" i="17"/>
  <c r="M17884" i="17"/>
  <c r="M17883" i="17"/>
  <c r="M17882" i="17"/>
  <c r="M17881" i="17"/>
  <c r="M17880" i="17"/>
  <c r="M17879" i="17"/>
  <c r="M17878" i="17"/>
  <c r="M17877" i="17"/>
  <c r="M17876" i="17"/>
  <c r="M17875" i="17"/>
  <c r="M17874" i="17"/>
  <c r="M17873" i="17"/>
  <c r="M17872" i="17"/>
  <c r="M17871" i="17"/>
  <c r="M17870" i="17"/>
  <c r="M17869" i="17"/>
  <c r="M17868" i="17"/>
  <c r="M17867" i="17"/>
  <c r="M17866" i="17"/>
  <c r="M17865" i="17"/>
  <c r="M17864" i="17"/>
  <c r="M17863" i="17"/>
  <c r="M17862" i="17"/>
  <c r="M17861" i="17"/>
  <c r="M17860" i="17"/>
  <c r="M17859" i="17"/>
  <c r="M17858" i="17"/>
  <c r="M17857" i="17"/>
  <c r="M17856" i="17"/>
  <c r="M17855" i="17"/>
  <c r="M17854" i="17"/>
  <c r="M17853" i="17"/>
  <c r="M17852" i="17"/>
  <c r="M17851" i="17"/>
  <c r="M17850" i="17"/>
  <c r="M17849" i="17"/>
  <c r="M17848" i="17"/>
  <c r="M17847" i="17"/>
  <c r="M17846" i="17"/>
  <c r="M17845" i="17"/>
  <c r="M17844" i="17"/>
  <c r="M17843" i="17"/>
  <c r="M17842" i="17"/>
  <c r="M17841" i="17"/>
  <c r="M17840" i="17"/>
  <c r="M17839" i="17"/>
  <c r="M17838" i="17"/>
  <c r="M17837" i="17"/>
  <c r="M17836" i="17"/>
  <c r="M17835" i="17"/>
  <c r="M17834" i="17"/>
  <c r="M17833" i="17"/>
  <c r="M17832" i="17"/>
  <c r="M17831" i="17"/>
  <c r="M17830" i="17"/>
  <c r="M17829" i="17"/>
  <c r="M17828" i="17"/>
  <c r="M17827" i="17"/>
  <c r="M17826" i="17"/>
  <c r="M17825" i="17"/>
  <c r="M17824" i="17"/>
  <c r="M17823" i="17"/>
  <c r="M17822" i="17"/>
  <c r="M17821" i="17"/>
  <c r="M17820" i="17"/>
  <c r="M17819" i="17"/>
  <c r="M17818" i="17"/>
  <c r="M17817" i="17"/>
  <c r="M17816" i="17"/>
  <c r="M17815" i="17"/>
  <c r="M17814" i="17"/>
  <c r="M17813" i="17"/>
  <c r="M17812" i="17"/>
  <c r="M17811" i="17"/>
  <c r="M17810" i="17"/>
  <c r="M17809" i="17"/>
  <c r="M17808" i="17"/>
  <c r="M17807" i="17"/>
  <c r="M17806" i="17"/>
  <c r="M17805" i="17"/>
  <c r="M17804" i="17"/>
  <c r="M17803" i="17"/>
  <c r="M17802" i="17"/>
  <c r="M17801" i="17"/>
  <c r="M17800" i="17"/>
  <c r="M17799" i="17"/>
  <c r="M17798" i="17"/>
  <c r="M17797" i="17"/>
  <c r="M17796" i="17"/>
  <c r="M17795" i="17"/>
  <c r="M17794" i="17"/>
  <c r="M17793" i="17"/>
  <c r="M17792" i="17"/>
  <c r="M17791" i="17"/>
  <c r="M17790" i="17"/>
  <c r="M17789" i="17"/>
  <c r="M17788" i="17"/>
  <c r="M17787" i="17"/>
  <c r="M17786" i="17"/>
  <c r="M17785" i="17"/>
  <c r="M17784" i="17"/>
  <c r="M17783" i="17"/>
  <c r="M17782" i="17"/>
  <c r="M17781" i="17"/>
  <c r="M17780" i="17"/>
  <c r="M17779" i="17"/>
  <c r="M17778" i="17"/>
  <c r="M17777" i="17"/>
  <c r="M17776" i="17"/>
  <c r="M17775" i="17"/>
  <c r="M17774" i="17"/>
  <c r="M17773" i="17"/>
  <c r="M17772" i="17"/>
  <c r="M17771" i="17"/>
  <c r="M17770" i="17"/>
  <c r="M17769" i="17"/>
  <c r="M17768" i="17"/>
  <c r="M17767" i="17"/>
  <c r="M17766" i="17"/>
  <c r="M17765" i="17"/>
  <c r="M17764" i="17"/>
  <c r="M17763" i="17"/>
  <c r="M17762" i="17"/>
  <c r="M17761" i="17"/>
  <c r="M17760" i="17"/>
  <c r="M17759" i="17"/>
  <c r="M17758" i="17"/>
  <c r="M17757" i="17"/>
  <c r="M17756" i="17"/>
  <c r="M17755" i="17"/>
  <c r="M17754" i="17"/>
  <c r="M17753" i="17"/>
  <c r="M17752" i="17"/>
  <c r="M17751" i="17"/>
  <c r="M17750" i="17"/>
  <c r="M17749" i="17"/>
  <c r="M17748" i="17"/>
  <c r="M17747" i="17"/>
  <c r="M17746" i="17"/>
  <c r="M17745" i="17"/>
  <c r="M17744" i="17"/>
  <c r="M17743" i="17"/>
  <c r="M17742" i="17"/>
  <c r="M17741" i="17"/>
  <c r="M17740" i="17"/>
  <c r="M17739" i="17"/>
  <c r="M17738" i="17"/>
  <c r="M17737" i="17"/>
  <c r="M17736" i="17"/>
  <c r="M17735" i="17"/>
  <c r="M17734" i="17"/>
  <c r="M17733" i="17"/>
  <c r="M17732" i="17"/>
  <c r="M17731" i="17"/>
  <c r="M17730" i="17"/>
  <c r="M17729" i="17"/>
  <c r="M17728" i="17"/>
  <c r="M17727" i="17"/>
  <c r="M17726" i="17"/>
  <c r="M17725" i="17"/>
  <c r="M17724" i="17"/>
  <c r="M17723" i="17"/>
  <c r="M17722" i="17"/>
  <c r="M17721" i="17"/>
  <c r="M17720" i="17"/>
  <c r="M17719" i="17"/>
  <c r="M17718" i="17"/>
  <c r="M17717" i="17"/>
  <c r="M17716" i="17"/>
  <c r="M17715" i="17"/>
  <c r="M17714" i="17"/>
  <c r="M17713" i="17"/>
  <c r="M17712" i="17"/>
  <c r="M17711" i="17"/>
  <c r="M17710" i="17"/>
  <c r="M17709" i="17"/>
  <c r="M17708" i="17"/>
  <c r="M17707" i="17"/>
  <c r="M17706" i="17"/>
  <c r="M17705" i="17"/>
  <c r="M17704" i="17"/>
  <c r="M17703" i="17"/>
  <c r="M17702" i="17"/>
  <c r="M17701" i="17"/>
  <c r="M17700" i="17"/>
  <c r="M17699" i="17"/>
  <c r="M17698" i="17"/>
  <c r="M17697" i="17"/>
  <c r="M17696" i="17"/>
  <c r="M17695" i="17"/>
  <c r="M17694" i="17"/>
  <c r="M17693" i="17"/>
  <c r="M17692" i="17"/>
  <c r="M17691" i="17"/>
  <c r="M17690" i="17"/>
  <c r="M17689" i="17"/>
  <c r="M17688" i="17"/>
  <c r="M17687" i="17"/>
  <c r="M17686" i="17"/>
  <c r="M17685" i="17"/>
  <c r="M17684" i="17"/>
  <c r="M17683" i="17"/>
  <c r="M17682" i="17"/>
  <c r="M17681" i="17"/>
  <c r="M17680" i="17"/>
  <c r="M17679" i="17"/>
  <c r="M17678" i="17"/>
  <c r="M17677" i="17"/>
  <c r="M17676" i="17"/>
  <c r="M17675" i="17"/>
  <c r="M17674" i="17"/>
  <c r="M17673" i="17"/>
  <c r="M17672" i="17"/>
  <c r="M17671" i="17"/>
  <c r="M17670" i="17"/>
  <c r="M17669" i="17"/>
  <c r="M17668" i="17"/>
  <c r="M17667" i="17"/>
  <c r="M17666" i="17"/>
  <c r="M17665" i="17"/>
  <c r="M17664" i="17"/>
  <c r="M17663" i="17"/>
  <c r="M17662" i="17"/>
  <c r="M17661" i="17"/>
  <c r="M17660" i="17"/>
  <c r="M17659" i="17"/>
  <c r="M17658" i="17"/>
  <c r="M17657" i="17"/>
  <c r="M17656" i="17"/>
  <c r="M17655" i="17"/>
  <c r="M17654" i="17"/>
  <c r="M17653" i="17"/>
  <c r="M17652" i="17"/>
  <c r="M17651" i="17"/>
  <c r="M17650" i="17"/>
  <c r="M17649" i="17"/>
  <c r="M17648" i="17"/>
  <c r="M17647" i="17"/>
  <c r="M17646" i="17"/>
  <c r="M17645" i="17"/>
  <c r="M17644" i="17"/>
  <c r="M17643" i="17"/>
  <c r="M17642" i="17"/>
  <c r="M17641" i="17"/>
  <c r="M17640" i="17"/>
  <c r="M17639" i="17"/>
  <c r="M17638" i="17"/>
  <c r="M17637" i="17"/>
  <c r="M17636" i="17"/>
  <c r="M17635" i="17"/>
  <c r="M17634" i="17"/>
  <c r="M17633" i="17"/>
  <c r="M17632" i="17"/>
  <c r="M17631" i="17"/>
  <c r="M17630" i="17"/>
  <c r="M17629" i="17"/>
  <c r="M17628" i="17"/>
  <c r="M17627" i="17"/>
  <c r="M17626" i="17"/>
  <c r="M17625" i="17"/>
  <c r="M17624" i="17"/>
  <c r="M17623" i="17"/>
  <c r="M17622" i="17"/>
  <c r="M17621" i="17"/>
  <c r="M17620" i="17"/>
  <c r="M17619" i="17"/>
  <c r="M17618" i="17"/>
  <c r="M17617" i="17"/>
  <c r="M17616" i="17"/>
  <c r="M17615" i="17"/>
  <c r="M17614" i="17"/>
  <c r="M17613" i="17"/>
  <c r="M17612" i="17"/>
  <c r="M17611" i="17"/>
  <c r="M17610" i="17"/>
  <c r="M17609" i="17"/>
  <c r="M17608" i="17"/>
  <c r="M17607" i="17"/>
  <c r="M17606" i="17"/>
  <c r="M17605" i="17"/>
  <c r="M17604" i="17"/>
  <c r="M17603" i="17"/>
  <c r="M17602" i="17"/>
  <c r="M17601" i="17"/>
  <c r="M17600" i="17"/>
  <c r="M17599" i="17"/>
  <c r="M17598" i="17"/>
  <c r="M17597" i="17"/>
  <c r="M17596" i="17"/>
  <c r="M17595" i="17"/>
  <c r="M17594" i="17"/>
  <c r="M17593" i="17"/>
  <c r="M17592" i="17"/>
  <c r="M17591" i="17"/>
  <c r="M17590" i="17"/>
  <c r="M17589" i="17"/>
  <c r="M17588" i="17"/>
  <c r="M17587" i="17"/>
  <c r="M17586" i="17"/>
  <c r="M17585" i="17"/>
  <c r="M17584" i="17"/>
  <c r="M17583" i="17"/>
  <c r="M17582" i="17"/>
  <c r="M17581" i="17"/>
  <c r="M17580" i="17"/>
  <c r="M17579" i="17"/>
  <c r="M17578" i="17"/>
  <c r="M17577" i="17"/>
  <c r="M17576" i="17"/>
  <c r="M17575" i="17"/>
  <c r="M17574" i="17"/>
  <c r="M17573" i="17"/>
  <c r="M17572" i="17"/>
  <c r="M17571" i="17"/>
  <c r="M17570" i="17"/>
  <c r="M17569" i="17"/>
  <c r="M17568" i="17"/>
  <c r="M17567" i="17"/>
  <c r="M17566" i="17"/>
  <c r="M17565" i="17"/>
  <c r="M17564" i="17"/>
  <c r="M17563" i="17"/>
  <c r="M17562" i="17"/>
  <c r="M17561" i="17"/>
  <c r="M17560" i="17"/>
  <c r="M17559" i="17"/>
  <c r="M17558" i="17"/>
  <c r="M17557" i="17"/>
  <c r="M17556" i="17"/>
  <c r="M17555" i="17"/>
  <c r="M17554" i="17"/>
  <c r="M17553" i="17"/>
  <c r="M17552" i="17"/>
  <c r="M17551" i="17"/>
  <c r="M17550" i="17"/>
  <c r="M17549" i="17"/>
  <c r="M17548" i="17"/>
  <c r="M17547" i="17"/>
  <c r="M17546" i="17"/>
  <c r="M17545" i="17"/>
  <c r="M17544" i="17"/>
  <c r="M17543" i="17"/>
  <c r="M17542" i="17"/>
  <c r="M17541" i="17"/>
  <c r="M17540" i="17"/>
  <c r="M17539" i="17"/>
  <c r="M17538" i="17"/>
  <c r="M17537" i="17"/>
  <c r="M17536" i="17"/>
  <c r="M17535" i="17"/>
  <c r="M17534" i="17"/>
  <c r="M17533" i="17"/>
  <c r="M17532" i="17"/>
  <c r="M17531" i="17"/>
  <c r="M17530" i="17"/>
  <c r="M17529" i="17"/>
  <c r="M17528" i="17"/>
  <c r="M17527" i="17"/>
  <c r="M17526" i="17"/>
  <c r="M17525" i="17"/>
  <c r="M17524" i="17"/>
  <c r="M17523" i="17"/>
  <c r="M17522" i="17"/>
  <c r="M17521" i="17"/>
  <c r="M17520" i="17"/>
  <c r="M17519" i="17"/>
  <c r="M17518" i="17"/>
  <c r="M17517" i="17"/>
  <c r="M17516" i="17"/>
  <c r="M17515" i="17"/>
  <c r="M17514" i="17"/>
  <c r="M17513" i="17"/>
  <c r="M17512" i="17"/>
  <c r="M17511" i="17"/>
  <c r="M17510" i="17"/>
  <c r="M17509" i="17"/>
  <c r="M17508" i="17"/>
  <c r="M17507" i="17"/>
  <c r="M17506" i="17"/>
  <c r="M17505" i="17"/>
  <c r="M17504" i="17"/>
  <c r="M17503" i="17"/>
  <c r="M17502" i="17"/>
  <c r="M17501" i="17"/>
  <c r="M17500" i="17"/>
  <c r="M17499" i="17"/>
  <c r="M17498" i="17"/>
  <c r="M17497" i="17"/>
  <c r="M17496" i="17"/>
  <c r="M17495" i="17"/>
  <c r="M17494" i="17"/>
  <c r="M17493" i="17"/>
  <c r="M17492" i="17"/>
  <c r="M17491" i="17"/>
  <c r="M17490" i="17"/>
  <c r="M17489" i="17"/>
  <c r="M17488" i="17"/>
  <c r="M17487" i="17"/>
  <c r="M17486" i="17"/>
  <c r="M17485" i="17"/>
  <c r="M17484" i="17"/>
  <c r="M17483" i="17"/>
  <c r="M17482" i="17"/>
  <c r="M17481" i="17"/>
  <c r="M17480" i="17"/>
  <c r="M17479" i="17"/>
  <c r="M17478" i="17"/>
  <c r="M17477" i="17"/>
  <c r="M17476" i="17"/>
  <c r="M17475" i="17"/>
  <c r="M17474" i="17"/>
  <c r="M17473" i="17"/>
  <c r="M17472" i="17"/>
  <c r="M17471" i="17"/>
  <c r="M17470" i="17"/>
  <c r="M17469" i="17"/>
  <c r="M17468" i="17"/>
  <c r="M17467" i="17"/>
  <c r="M17466" i="17"/>
  <c r="M17465" i="17"/>
  <c r="M17464" i="17"/>
  <c r="M17463" i="17"/>
  <c r="M17462" i="17"/>
  <c r="M17461" i="17"/>
  <c r="M17460" i="17"/>
  <c r="M17459" i="17"/>
  <c r="M17458" i="17"/>
  <c r="M17457" i="17"/>
  <c r="M17456" i="17"/>
  <c r="M17455" i="17"/>
  <c r="M17454" i="17"/>
  <c r="M17453" i="17"/>
  <c r="M17452" i="17"/>
  <c r="M17451" i="17"/>
  <c r="M17450" i="17"/>
  <c r="M17449" i="17"/>
  <c r="M17448" i="17"/>
  <c r="M17447" i="17"/>
  <c r="M17446" i="17"/>
  <c r="M17445" i="17"/>
  <c r="M17444" i="17"/>
  <c r="M17443" i="17"/>
  <c r="M17442" i="17"/>
  <c r="M17441" i="17"/>
  <c r="M17440" i="17"/>
  <c r="M17439" i="17"/>
  <c r="M17438" i="17"/>
  <c r="M17437" i="17"/>
  <c r="M17436" i="17"/>
  <c r="M17435" i="17"/>
  <c r="M17434" i="17"/>
  <c r="M17433" i="17"/>
  <c r="M17432" i="17"/>
  <c r="M17431" i="17"/>
  <c r="M17430" i="17"/>
  <c r="M17429" i="17"/>
  <c r="M17428" i="17"/>
  <c r="M17427" i="17"/>
  <c r="M17426" i="17"/>
  <c r="M17425" i="17"/>
  <c r="M17424" i="17"/>
  <c r="M17423" i="17"/>
  <c r="M17422" i="17"/>
  <c r="M17421" i="17"/>
  <c r="M17420" i="17"/>
  <c r="M17419" i="17"/>
  <c r="M17418" i="17"/>
  <c r="M17417" i="17"/>
  <c r="M17416" i="17"/>
  <c r="M17415" i="17"/>
  <c r="M17414" i="17"/>
  <c r="M17413" i="17"/>
  <c r="M17412" i="17"/>
  <c r="M17411" i="17"/>
  <c r="M17410" i="17"/>
  <c r="M17409" i="17"/>
  <c r="M17408" i="17"/>
  <c r="M17407" i="17"/>
  <c r="M17406" i="17"/>
  <c r="M17405" i="17"/>
  <c r="M17404" i="17"/>
  <c r="M17403" i="17"/>
  <c r="M17402" i="17"/>
  <c r="M17401" i="17"/>
  <c r="M17400" i="17"/>
  <c r="M17399" i="17"/>
  <c r="M17398" i="17"/>
  <c r="M17397" i="17"/>
  <c r="M17396" i="17"/>
  <c r="M17395" i="17"/>
  <c r="M17394" i="17"/>
  <c r="M17393" i="17"/>
  <c r="M17392" i="17"/>
  <c r="M17391" i="17"/>
  <c r="M17390" i="17"/>
  <c r="M17389" i="17"/>
  <c r="M17388" i="17"/>
  <c r="M17387" i="17"/>
  <c r="M17386" i="17"/>
  <c r="M17385" i="17"/>
  <c r="M17384" i="17"/>
  <c r="M17383" i="17"/>
  <c r="M17382" i="17"/>
  <c r="M17381" i="17"/>
  <c r="M17380" i="17"/>
  <c r="M17379" i="17"/>
  <c r="M17378" i="17"/>
  <c r="M17377" i="17"/>
  <c r="M17376" i="17"/>
  <c r="M17375" i="17"/>
  <c r="M17374" i="17"/>
  <c r="M17373" i="17"/>
  <c r="M17372" i="17"/>
  <c r="M17371" i="17"/>
  <c r="M17370" i="17"/>
  <c r="M17369" i="17"/>
  <c r="M17368" i="17"/>
  <c r="M17367" i="17"/>
  <c r="M17366" i="17"/>
  <c r="M17365" i="17"/>
  <c r="M17364" i="17"/>
  <c r="M17363" i="17"/>
  <c r="M17362" i="17"/>
  <c r="M17361" i="17"/>
  <c r="M17360" i="17"/>
  <c r="M17359" i="17"/>
  <c r="M17358" i="17"/>
  <c r="M17357" i="17"/>
  <c r="M17356" i="17"/>
  <c r="M17355" i="17"/>
  <c r="M17354" i="17"/>
  <c r="M17353" i="17"/>
  <c r="M17352" i="17"/>
  <c r="M17351" i="17"/>
  <c r="M17350" i="17"/>
  <c r="M17349" i="17"/>
  <c r="M17348" i="17"/>
  <c r="M17347" i="17"/>
  <c r="M17346" i="17"/>
  <c r="M17345" i="17"/>
  <c r="M17344" i="17"/>
  <c r="M17343" i="17"/>
  <c r="M17342" i="17"/>
  <c r="M17341" i="17"/>
  <c r="M17340" i="17"/>
  <c r="M17339" i="17"/>
  <c r="M17338" i="17"/>
  <c r="M17337" i="17"/>
  <c r="M17336" i="17"/>
  <c r="M17335" i="17"/>
  <c r="M17334" i="17"/>
  <c r="M17333" i="17"/>
  <c r="M17332" i="17"/>
  <c r="M17331" i="17"/>
  <c r="M17330" i="17"/>
  <c r="M17329" i="17"/>
  <c r="M17328" i="17"/>
  <c r="M17327" i="17"/>
  <c r="M17326" i="17"/>
  <c r="M17325" i="17"/>
  <c r="M17324" i="17"/>
  <c r="M17323" i="17"/>
  <c r="M17322" i="17"/>
  <c r="M17321" i="17"/>
  <c r="M17320" i="17"/>
  <c r="M17319" i="17"/>
  <c r="M17318" i="17"/>
  <c r="M17317" i="17"/>
  <c r="M17316" i="17"/>
  <c r="M17315" i="17"/>
  <c r="M17314" i="17"/>
  <c r="M17313" i="17"/>
  <c r="M17312" i="17"/>
  <c r="M17311" i="17"/>
  <c r="M17310" i="17"/>
  <c r="M17309" i="17"/>
  <c r="M17308" i="17"/>
  <c r="M17307" i="17"/>
  <c r="M17306" i="17"/>
  <c r="M17305" i="17"/>
  <c r="M17304" i="17"/>
  <c r="M17303" i="17"/>
  <c r="M17302" i="17"/>
  <c r="M17301" i="17"/>
  <c r="M17300" i="17"/>
  <c r="M17299" i="17"/>
  <c r="M17298" i="17"/>
  <c r="M17297" i="17"/>
  <c r="M17296" i="17"/>
  <c r="M17295" i="17"/>
  <c r="M17294" i="17"/>
  <c r="M17293" i="17"/>
  <c r="M17292" i="17"/>
  <c r="M17291" i="17"/>
  <c r="M17290" i="17"/>
  <c r="M17289" i="17"/>
  <c r="M17288" i="17"/>
  <c r="M17287" i="17"/>
  <c r="M17286" i="17"/>
  <c r="M17285" i="17"/>
  <c r="M17284" i="17"/>
  <c r="M17283" i="17"/>
  <c r="M17282" i="17"/>
  <c r="M17281" i="17"/>
  <c r="M17280" i="17"/>
  <c r="M17279" i="17"/>
  <c r="M17278" i="17"/>
  <c r="M17277" i="17"/>
  <c r="M17276" i="17"/>
  <c r="M17275" i="17"/>
  <c r="M17274" i="17"/>
  <c r="M17273" i="17"/>
  <c r="M17272" i="17"/>
  <c r="M17271" i="17"/>
  <c r="M17270" i="17"/>
  <c r="M17269" i="17"/>
  <c r="M17268" i="17"/>
  <c r="M17267" i="17"/>
  <c r="M17266" i="17"/>
  <c r="M17265" i="17"/>
  <c r="M17264" i="17"/>
  <c r="M17263" i="17"/>
  <c r="M17262" i="17"/>
  <c r="M17261" i="17"/>
  <c r="M17260" i="17"/>
  <c r="M17259" i="17"/>
  <c r="M17258" i="17"/>
  <c r="M17257" i="17"/>
  <c r="M17256" i="17"/>
  <c r="M17255" i="17"/>
  <c r="M17254" i="17"/>
  <c r="M17253" i="17"/>
  <c r="M17252" i="17"/>
  <c r="M17251" i="17"/>
  <c r="M17250" i="17"/>
  <c r="M17249" i="17"/>
  <c r="M17248" i="17"/>
  <c r="M17247" i="17"/>
  <c r="M17246" i="17"/>
  <c r="M17245" i="17"/>
  <c r="M17244" i="17"/>
  <c r="M17243" i="17"/>
  <c r="M17242" i="17"/>
  <c r="M17241" i="17"/>
  <c r="M17240" i="17"/>
  <c r="M17239" i="17"/>
  <c r="M17238" i="17"/>
  <c r="M17237" i="17"/>
  <c r="M17236" i="17"/>
  <c r="M17235" i="17"/>
  <c r="M17234" i="17"/>
  <c r="M17233" i="17"/>
  <c r="M17232" i="17"/>
  <c r="M17231" i="17"/>
  <c r="M17230" i="17"/>
  <c r="M17229" i="17"/>
  <c r="M17228" i="17"/>
  <c r="M17227" i="17"/>
  <c r="M17226" i="17"/>
  <c r="M17225" i="17"/>
  <c r="M17224" i="17"/>
  <c r="M17223" i="17"/>
  <c r="M17222" i="17"/>
  <c r="M17221" i="17"/>
  <c r="M17220" i="17"/>
  <c r="M17219" i="17"/>
  <c r="M17218" i="17"/>
  <c r="M17217" i="17"/>
  <c r="M17216" i="17"/>
  <c r="M17215" i="17"/>
  <c r="M17214" i="17"/>
  <c r="M17213" i="17"/>
  <c r="M17212" i="17"/>
  <c r="M17211" i="17"/>
  <c r="M17210" i="17"/>
  <c r="M17209" i="17"/>
  <c r="M17208" i="17"/>
  <c r="M17207" i="17"/>
  <c r="M17206" i="17"/>
  <c r="M17205" i="17"/>
  <c r="M17204" i="17"/>
  <c r="M17203" i="17"/>
  <c r="M17202" i="17"/>
  <c r="M17201" i="17"/>
  <c r="M17200" i="17"/>
  <c r="M17199" i="17"/>
  <c r="M17198" i="17"/>
  <c r="M17197" i="17"/>
  <c r="M17196" i="17"/>
  <c r="M17195" i="17"/>
  <c r="M17194" i="17"/>
  <c r="M17193" i="17"/>
  <c r="M17192" i="17"/>
  <c r="M17191" i="17"/>
  <c r="M17190" i="17"/>
  <c r="M17189" i="17"/>
  <c r="M17188" i="17"/>
  <c r="M17187" i="17"/>
  <c r="M17186" i="17"/>
  <c r="M17185" i="17"/>
  <c r="M17184" i="17"/>
  <c r="M17183" i="17"/>
  <c r="M17182" i="17"/>
  <c r="M17181" i="17"/>
  <c r="M17180" i="17"/>
  <c r="M17179" i="17"/>
  <c r="M17178" i="17"/>
  <c r="M17177" i="17"/>
  <c r="M17176" i="17"/>
  <c r="M17175" i="17"/>
  <c r="M17174" i="17"/>
  <c r="M17173" i="17"/>
  <c r="M17172" i="17"/>
  <c r="M17171" i="17"/>
  <c r="M17170" i="17"/>
  <c r="M17169" i="17"/>
  <c r="M17168" i="17"/>
  <c r="M17167" i="17"/>
  <c r="M17166" i="17"/>
  <c r="M17165" i="17"/>
  <c r="M17164" i="17"/>
  <c r="M17163" i="17"/>
  <c r="M17162" i="17"/>
  <c r="M17161" i="17"/>
  <c r="M17160" i="17"/>
  <c r="M17159" i="17"/>
  <c r="M17158" i="17"/>
  <c r="M17157" i="17"/>
  <c r="M17156" i="17"/>
  <c r="M17155" i="17"/>
  <c r="M17154" i="17"/>
  <c r="M17153" i="17"/>
  <c r="M17152" i="17"/>
  <c r="M17151" i="17"/>
  <c r="M17150" i="17"/>
  <c r="M17149" i="17"/>
  <c r="M17148" i="17"/>
  <c r="M17147" i="17"/>
  <c r="M17146" i="17"/>
  <c r="M17145" i="17"/>
  <c r="M17144" i="17"/>
  <c r="M17143" i="17"/>
  <c r="M17142" i="17"/>
  <c r="M17141" i="17"/>
  <c r="M17140" i="17"/>
  <c r="M17139" i="17"/>
  <c r="M17138" i="17"/>
  <c r="M17137" i="17"/>
  <c r="M17136" i="17"/>
  <c r="M17135" i="17"/>
  <c r="M17134" i="17"/>
  <c r="M17133" i="17"/>
  <c r="M17132" i="17"/>
  <c r="M17131" i="17"/>
  <c r="M17130" i="17"/>
  <c r="M17129" i="17"/>
  <c r="M17128" i="17"/>
  <c r="M17127" i="17"/>
  <c r="M17126" i="17"/>
  <c r="M17125" i="17"/>
  <c r="M17124" i="17"/>
  <c r="M17123" i="17"/>
  <c r="M17122" i="17"/>
  <c r="M17121" i="17"/>
  <c r="M17120" i="17"/>
  <c r="M17119" i="17"/>
  <c r="M17118" i="17"/>
  <c r="M17117" i="17"/>
  <c r="M17116" i="17"/>
  <c r="M17115" i="17"/>
  <c r="M17114" i="17"/>
  <c r="M17113" i="17"/>
  <c r="M17112" i="17"/>
  <c r="M17111" i="17"/>
  <c r="M17110" i="17"/>
  <c r="M17109" i="17"/>
  <c r="M17108" i="17"/>
  <c r="M17107" i="17"/>
  <c r="M17106" i="17"/>
  <c r="M17105" i="17"/>
  <c r="M17104" i="17"/>
  <c r="M17103" i="17"/>
  <c r="M17102" i="17"/>
  <c r="M17101" i="17"/>
  <c r="M17100" i="17"/>
  <c r="M17099" i="17"/>
  <c r="M17098" i="17"/>
  <c r="M17097" i="17"/>
  <c r="M17096" i="17"/>
  <c r="M17095" i="17"/>
  <c r="M17094" i="17"/>
  <c r="M17093" i="17"/>
  <c r="M17092" i="17"/>
  <c r="M17091" i="17"/>
  <c r="M17090" i="17"/>
  <c r="M17089" i="17"/>
  <c r="M17088" i="17"/>
  <c r="M17087" i="17"/>
  <c r="M17086" i="17"/>
  <c r="M17085" i="17"/>
  <c r="M17084" i="17"/>
  <c r="M17083" i="17"/>
  <c r="M17082" i="17"/>
  <c r="M17081" i="17"/>
  <c r="M17080" i="17"/>
  <c r="M17079" i="17"/>
  <c r="M17078" i="17"/>
  <c r="M17077" i="17"/>
  <c r="M17076" i="17"/>
  <c r="M17075" i="17"/>
  <c r="M17074" i="17"/>
  <c r="M17073" i="17"/>
  <c r="M17072" i="17"/>
  <c r="M17071" i="17"/>
  <c r="M17070" i="17"/>
  <c r="M17069" i="17"/>
  <c r="M17068" i="17"/>
  <c r="M17067" i="17"/>
  <c r="M17066" i="17"/>
  <c r="M17065" i="17"/>
  <c r="M17064" i="17"/>
  <c r="M17063" i="17"/>
  <c r="M17062" i="17"/>
  <c r="M17061" i="17"/>
  <c r="M17060" i="17"/>
  <c r="M17059" i="17"/>
  <c r="M17058" i="17"/>
  <c r="M17057" i="17"/>
  <c r="M17056" i="17"/>
  <c r="M17055" i="17"/>
  <c r="M17054" i="17"/>
  <c r="M17053" i="17"/>
  <c r="M17052" i="17"/>
  <c r="M17051" i="17"/>
  <c r="M17050" i="17"/>
  <c r="M17049" i="17"/>
  <c r="M17048" i="17"/>
  <c r="M17047" i="17"/>
  <c r="M17046" i="17"/>
  <c r="M17045" i="17"/>
  <c r="M17044" i="17"/>
  <c r="M17043" i="17"/>
  <c r="M17042" i="17"/>
  <c r="M17041" i="17"/>
  <c r="M17040" i="17"/>
  <c r="M17039" i="17"/>
  <c r="M17038" i="17"/>
  <c r="M17037" i="17"/>
  <c r="M17036" i="17"/>
  <c r="M17035" i="17"/>
  <c r="M17034" i="17"/>
  <c r="M17033" i="17"/>
  <c r="M17032" i="17"/>
  <c r="M17031" i="17"/>
  <c r="M17030" i="17"/>
  <c r="M17029" i="17"/>
  <c r="M17028" i="17"/>
  <c r="M17027" i="17"/>
  <c r="M17026" i="17"/>
  <c r="M17025" i="17"/>
  <c r="M17024" i="17"/>
  <c r="M17023" i="17"/>
  <c r="M17022" i="17"/>
  <c r="M17021" i="17"/>
  <c r="M17020" i="17"/>
  <c r="M17019" i="17"/>
  <c r="M17018" i="17"/>
  <c r="M17017" i="17"/>
  <c r="M17016" i="17"/>
  <c r="M17015" i="17"/>
  <c r="M17014" i="17"/>
  <c r="M17013" i="17"/>
  <c r="M17012" i="17"/>
  <c r="M17011" i="17"/>
  <c r="M17010" i="17"/>
  <c r="M17009" i="17"/>
  <c r="M17008" i="17"/>
  <c r="M17007" i="17"/>
  <c r="M17006" i="17"/>
  <c r="M17005" i="17"/>
  <c r="M17004" i="17"/>
  <c r="M17003" i="17"/>
  <c r="M17002" i="17"/>
  <c r="M17001" i="17"/>
  <c r="M17000" i="17"/>
  <c r="M16999" i="17"/>
  <c r="M16998" i="17"/>
  <c r="M16997" i="17"/>
  <c r="M16996" i="17"/>
  <c r="M16995" i="17"/>
  <c r="M16994" i="17"/>
  <c r="M16993" i="17"/>
  <c r="M16992" i="17"/>
  <c r="M16991" i="17"/>
  <c r="M16990" i="17"/>
  <c r="M16989" i="17"/>
  <c r="M16988" i="17"/>
  <c r="M16987" i="17"/>
  <c r="M16986" i="17"/>
  <c r="M16985" i="17"/>
  <c r="M16984" i="17"/>
  <c r="M16983" i="17"/>
  <c r="M16982" i="17"/>
  <c r="M16981" i="17"/>
  <c r="M16980" i="17"/>
  <c r="M16979" i="17"/>
  <c r="M16978" i="17"/>
  <c r="M16977" i="17"/>
  <c r="M16976" i="17"/>
  <c r="M16975" i="17"/>
  <c r="M16974" i="17"/>
  <c r="M16973" i="17"/>
  <c r="M16972" i="17"/>
  <c r="M16971" i="17"/>
  <c r="M16970" i="17"/>
  <c r="M16969" i="17"/>
  <c r="M16968" i="17"/>
  <c r="M16967" i="17"/>
  <c r="M16966" i="17"/>
  <c r="M16965" i="17"/>
  <c r="M16964" i="17"/>
  <c r="M16963" i="17"/>
  <c r="M16962" i="17"/>
  <c r="M16961" i="17"/>
  <c r="M16960" i="17"/>
  <c r="M16959" i="17"/>
  <c r="M16958" i="17"/>
  <c r="M16957" i="17"/>
  <c r="M16956" i="17"/>
  <c r="M16955" i="17"/>
  <c r="M16954" i="17"/>
  <c r="M16953" i="17"/>
  <c r="M16952" i="17"/>
  <c r="M16951" i="17"/>
  <c r="M16950" i="17"/>
  <c r="M16949" i="17"/>
  <c r="M16948" i="17"/>
  <c r="M16947" i="17"/>
  <c r="M16946" i="17"/>
  <c r="M16945" i="17"/>
  <c r="M16944" i="17"/>
  <c r="M16943" i="17"/>
  <c r="M16942" i="17"/>
  <c r="M16941" i="17"/>
  <c r="M16940" i="17"/>
  <c r="M16939" i="17"/>
  <c r="M16938" i="17"/>
  <c r="M16937" i="17"/>
  <c r="M16936" i="17"/>
  <c r="M16935" i="17"/>
  <c r="M16934" i="17"/>
  <c r="M16933" i="17"/>
  <c r="M16932" i="17"/>
  <c r="M16931" i="17"/>
  <c r="M16930" i="17"/>
  <c r="M16929" i="17"/>
  <c r="M16928" i="17"/>
  <c r="M16927" i="17"/>
  <c r="M16926" i="17"/>
  <c r="M16925" i="17"/>
  <c r="M16924" i="17"/>
  <c r="M16923" i="17"/>
  <c r="M16922" i="17"/>
  <c r="M16921" i="17"/>
  <c r="M16920" i="17"/>
  <c r="M16919" i="17"/>
  <c r="M16918" i="17"/>
  <c r="M16917" i="17"/>
  <c r="M16916" i="17"/>
  <c r="M16915" i="17"/>
  <c r="M16914" i="17"/>
  <c r="M16913" i="17"/>
  <c r="M16912" i="17"/>
  <c r="M16911" i="17"/>
  <c r="M16910" i="17"/>
  <c r="M16909" i="17"/>
  <c r="M16908" i="17"/>
  <c r="M16907" i="17"/>
  <c r="M16906" i="17"/>
  <c r="M16905" i="17"/>
  <c r="M16904" i="17"/>
  <c r="M16903" i="17"/>
  <c r="M16902" i="17"/>
  <c r="M16901" i="17"/>
  <c r="M16900" i="17"/>
  <c r="M16899" i="17"/>
  <c r="M16898" i="17"/>
  <c r="M16897" i="17"/>
  <c r="M16896" i="17"/>
  <c r="M16895" i="17"/>
  <c r="M16894" i="17"/>
  <c r="M16893" i="17"/>
  <c r="M16892" i="17"/>
  <c r="M16891" i="17"/>
  <c r="M16890" i="17"/>
  <c r="M16889" i="17"/>
  <c r="M16888" i="17"/>
  <c r="M16887" i="17"/>
  <c r="M16886" i="17"/>
  <c r="M16885" i="17"/>
  <c r="M16884" i="17"/>
  <c r="M16883" i="17"/>
  <c r="M16882" i="17"/>
  <c r="M16881" i="17"/>
  <c r="M16880" i="17"/>
  <c r="M16879" i="17"/>
  <c r="M16878" i="17"/>
  <c r="M16877" i="17"/>
  <c r="M16876" i="17"/>
  <c r="M16875" i="17"/>
  <c r="M16874" i="17"/>
  <c r="M16873" i="17"/>
  <c r="M16872" i="17"/>
  <c r="M16871" i="17"/>
  <c r="M16870" i="17"/>
  <c r="M16869" i="17"/>
  <c r="M16868" i="17"/>
  <c r="M16867" i="17"/>
  <c r="M16866" i="17"/>
  <c r="M16865" i="17"/>
  <c r="M16864" i="17"/>
  <c r="M16863" i="17"/>
  <c r="M16862" i="17"/>
  <c r="M16861" i="17"/>
  <c r="M16860" i="17"/>
  <c r="M16859" i="17"/>
  <c r="M16858" i="17"/>
  <c r="M16857" i="17"/>
  <c r="M16856" i="17"/>
  <c r="M16855" i="17"/>
  <c r="M16854" i="17"/>
  <c r="M16853" i="17"/>
  <c r="M16852" i="17"/>
  <c r="M16851" i="17"/>
  <c r="M16850" i="17"/>
  <c r="M16849" i="17"/>
  <c r="M16848" i="17"/>
  <c r="M16847" i="17"/>
  <c r="M16846" i="17"/>
  <c r="M16845" i="17"/>
  <c r="M16844" i="17"/>
  <c r="M16843" i="17"/>
  <c r="M16842" i="17"/>
  <c r="M16841" i="17"/>
  <c r="M16840" i="17"/>
  <c r="M16839" i="17"/>
  <c r="M16838" i="17"/>
  <c r="M16837" i="17"/>
  <c r="M16836" i="17"/>
  <c r="M16835" i="17"/>
  <c r="M16834" i="17"/>
  <c r="M16833" i="17"/>
  <c r="M16832" i="17"/>
  <c r="M16831" i="17"/>
  <c r="M16830" i="17"/>
  <c r="M16829" i="17"/>
  <c r="M16828" i="17"/>
  <c r="M16827" i="17"/>
  <c r="M16826" i="17"/>
  <c r="M16825" i="17"/>
  <c r="M16824" i="17"/>
  <c r="M16823" i="17"/>
  <c r="M16822" i="17"/>
  <c r="M16821" i="17"/>
  <c r="M16820" i="17"/>
  <c r="M16819" i="17"/>
  <c r="M16818" i="17"/>
  <c r="M16817" i="17"/>
  <c r="M16816" i="17"/>
  <c r="M16815" i="17"/>
  <c r="M16814" i="17"/>
  <c r="M16813" i="17"/>
  <c r="M16812" i="17"/>
  <c r="M16811" i="17"/>
  <c r="M16810" i="17"/>
  <c r="M16809" i="17"/>
  <c r="M16808" i="17"/>
  <c r="M16807" i="17"/>
  <c r="M16806" i="17"/>
  <c r="M16805" i="17"/>
  <c r="M16804" i="17"/>
  <c r="M16803" i="17"/>
  <c r="M16802" i="17"/>
  <c r="M16801" i="17"/>
  <c r="M16800" i="17"/>
  <c r="M16799" i="17"/>
  <c r="M16798" i="17"/>
  <c r="M16797" i="17"/>
  <c r="M16796" i="17"/>
  <c r="M16795" i="17"/>
  <c r="M16794" i="17"/>
  <c r="M16793" i="17"/>
  <c r="M16792" i="17"/>
  <c r="M16791" i="17"/>
  <c r="M16790" i="17"/>
  <c r="M16789" i="17"/>
  <c r="M16788" i="17"/>
  <c r="M16787" i="17"/>
  <c r="M16786" i="17"/>
  <c r="M16785" i="17"/>
  <c r="M16784" i="17"/>
  <c r="M16783" i="17"/>
  <c r="M16782" i="17"/>
  <c r="M16781" i="17"/>
  <c r="M16780" i="17"/>
  <c r="M16779" i="17"/>
  <c r="M16778" i="17"/>
  <c r="M16777" i="17"/>
  <c r="M16776" i="17"/>
  <c r="M16775" i="17"/>
  <c r="M16774" i="17"/>
  <c r="M16773" i="17"/>
  <c r="M16772" i="17"/>
  <c r="M16771" i="17"/>
  <c r="M16770" i="17"/>
  <c r="M16769" i="17"/>
  <c r="M16768" i="17"/>
  <c r="M16767" i="17"/>
  <c r="M16766" i="17"/>
  <c r="M16765" i="17"/>
  <c r="M16764" i="17"/>
  <c r="M16763" i="17"/>
  <c r="M16762" i="17"/>
  <c r="M16761" i="17"/>
  <c r="M16760" i="17"/>
  <c r="M16759" i="17"/>
  <c r="M16758" i="17"/>
  <c r="M16757" i="17"/>
  <c r="M16756" i="17"/>
  <c r="M16755" i="17"/>
  <c r="M16754" i="17"/>
  <c r="M16753" i="17"/>
  <c r="M16752" i="17"/>
  <c r="M16751" i="17"/>
  <c r="M16750" i="17"/>
  <c r="M16749" i="17"/>
  <c r="M16748" i="17"/>
  <c r="M16747" i="17"/>
  <c r="M16746" i="17"/>
  <c r="M16745" i="17"/>
  <c r="M16744" i="17"/>
  <c r="M16743" i="17"/>
  <c r="M16742" i="17"/>
  <c r="M16741" i="17"/>
  <c r="M16740" i="17"/>
  <c r="M16739" i="17"/>
  <c r="M16738" i="17"/>
  <c r="M16737" i="17"/>
  <c r="M16736" i="17"/>
  <c r="M16735" i="17"/>
  <c r="M16734" i="17"/>
  <c r="M16733" i="17"/>
  <c r="M16732" i="17"/>
  <c r="M16731" i="17"/>
  <c r="M16730" i="17"/>
  <c r="M16729" i="17"/>
  <c r="M16728" i="17"/>
  <c r="M16727" i="17"/>
  <c r="M16726" i="17"/>
  <c r="M16725" i="17"/>
  <c r="M16724" i="17"/>
  <c r="M16723" i="17"/>
  <c r="M16722" i="17"/>
  <c r="M16721" i="17"/>
  <c r="M16720" i="17"/>
  <c r="M16719" i="17"/>
  <c r="M16718" i="17"/>
  <c r="M16717" i="17"/>
  <c r="M16716" i="17"/>
  <c r="M16715" i="17"/>
  <c r="M16714" i="17"/>
  <c r="M16713" i="17"/>
  <c r="M16712" i="17"/>
  <c r="M16711" i="17"/>
  <c r="M16710" i="17"/>
  <c r="M16709" i="17"/>
  <c r="M16708" i="17"/>
  <c r="M16707" i="17"/>
  <c r="M16706" i="17"/>
  <c r="M16705" i="17"/>
  <c r="M16704" i="17"/>
  <c r="M16703" i="17"/>
  <c r="M16702" i="17"/>
  <c r="M16701" i="17"/>
  <c r="M16700" i="17"/>
  <c r="M16699" i="17"/>
  <c r="M16698" i="17"/>
  <c r="M16697" i="17"/>
  <c r="M16696" i="17"/>
  <c r="M16695" i="17"/>
  <c r="M16694" i="17"/>
  <c r="M16693" i="17"/>
  <c r="M16692" i="17"/>
  <c r="M16691" i="17"/>
  <c r="M16690" i="17"/>
  <c r="M16689" i="17"/>
  <c r="M16688" i="17"/>
  <c r="M16687" i="17"/>
  <c r="M16686" i="17"/>
  <c r="M16685" i="17"/>
  <c r="M16684" i="17"/>
  <c r="M16683" i="17"/>
  <c r="M16682" i="17"/>
  <c r="M16681" i="17"/>
  <c r="M16680" i="17"/>
  <c r="M16679" i="17"/>
  <c r="M16678" i="17"/>
  <c r="M16677" i="17"/>
  <c r="M16676" i="17"/>
  <c r="M16675" i="17"/>
  <c r="M16674" i="17"/>
  <c r="M16673" i="17"/>
  <c r="M16672" i="17"/>
  <c r="M16671" i="17"/>
  <c r="M16670" i="17"/>
  <c r="M16669" i="17"/>
  <c r="M16668" i="17"/>
  <c r="M16667" i="17"/>
  <c r="M16666" i="17"/>
  <c r="M16665" i="17"/>
  <c r="M16664" i="17"/>
  <c r="M16663" i="17"/>
  <c r="M16662" i="17"/>
  <c r="M16661" i="17"/>
  <c r="M16660" i="17"/>
  <c r="M16659" i="17"/>
  <c r="M16658" i="17"/>
  <c r="M16657" i="17"/>
  <c r="M16656" i="17"/>
  <c r="M16655" i="17"/>
  <c r="M16654" i="17"/>
  <c r="M16653" i="17"/>
  <c r="M16652" i="17"/>
  <c r="M16651" i="17"/>
  <c r="M16650" i="17"/>
  <c r="M16649" i="17"/>
  <c r="M16648" i="17"/>
  <c r="M16647" i="17"/>
  <c r="M16646" i="17"/>
  <c r="M16645" i="17"/>
  <c r="M16644" i="17"/>
  <c r="M16643" i="17"/>
  <c r="M16642" i="17"/>
  <c r="M16641" i="17"/>
  <c r="M16640" i="17"/>
  <c r="M16639" i="17"/>
  <c r="M16638" i="17"/>
  <c r="M16637" i="17"/>
  <c r="M16636" i="17"/>
  <c r="M16635" i="17"/>
  <c r="M16634" i="17"/>
  <c r="M16633" i="17"/>
  <c r="M16632" i="17"/>
  <c r="M16631" i="17"/>
  <c r="M16630" i="17"/>
  <c r="M16629" i="17"/>
  <c r="M16628" i="17"/>
  <c r="M16627" i="17"/>
  <c r="M16626" i="17"/>
  <c r="M16625" i="17"/>
  <c r="M16624" i="17"/>
  <c r="M16623" i="17"/>
  <c r="M16622" i="17"/>
  <c r="M16621" i="17"/>
  <c r="M16620" i="17"/>
  <c r="M16619" i="17"/>
  <c r="M16618" i="17"/>
  <c r="M16617" i="17"/>
  <c r="M16616" i="17"/>
  <c r="M16615" i="17"/>
  <c r="M16614" i="17"/>
  <c r="M16613" i="17"/>
  <c r="M16612" i="17"/>
  <c r="M16611" i="17"/>
  <c r="M16610" i="17"/>
  <c r="M16609" i="17"/>
  <c r="M16608" i="17"/>
  <c r="M16607" i="17"/>
  <c r="M16606" i="17"/>
  <c r="M16605" i="17"/>
  <c r="M16604" i="17"/>
  <c r="M16603" i="17"/>
  <c r="M16602" i="17"/>
  <c r="M16601" i="17"/>
  <c r="M16600" i="17"/>
  <c r="M16599" i="17"/>
  <c r="M16598" i="17"/>
  <c r="M16597" i="17"/>
  <c r="M16596" i="17"/>
  <c r="M16595" i="17"/>
  <c r="M16594" i="17"/>
  <c r="M16593" i="17"/>
  <c r="M16592" i="17"/>
  <c r="M16591" i="17"/>
  <c r="M16590" i="17"/>
  <c r="M16589" i="17"/>
  <c r="M16588" i="17"/>
  <c r="M16587" i="17"/>
  <c r="M16586" i="17"/>
  <c r="M16585" i="17"/>
  <c r="M16584" i="17"/>
  <c r="M16583" i="17"/>
  <c r="M16582" i="17"/>
  <c r="M16581" i="17"/>
  <c r="M16580" i="17"/>
  <c r="M16579" i="17"/>
  <c r="M16578" i="17"/>
  <c r="M16577" i="17"/>
  <c r="M16576" i="17"/>
  <c r="M16575" i="17"/>
  <c r="M16574" i="17"/>
  <c r="M16573" i="17"/>
  <c r="M16572" i="17"/>
  <c r="M16571" i="17"/>
  <c r="M16570" i="17"/>
  <c r="M16569" i="17"/>
  <c r="M16568" i="17"/>
  <c r="M16567" i="17"/>
  <c r="M16566" i="17"/>
  <c r="M16565" i="17"/>
  <c r="M16564" i="17"/>
  <c r="M16563" i="17"/>
  <c r="M16562" i="17"/>
  <c r="M16561" i="17"/>
  <c r="M16560" i="17"/>
  <c r="M16559" i="17"/>
  <c r="M16558" i="17"/>
  <c r="M16557" i="17"/>
  <c r="M16556" i="17"/>
  <c r="M16555" i="17"/>
  <c r="M16554" i="17"/>
  <c r="M16553" i="17"/>
  <c r="M16552" i="17"/>
  <c r="M16551" i="17"/>
  <c r="M16550" i="17"/>
  <c r="M16549" i="17"/>
  <c r="M16548" i="17"/>
  <c r="M16547" i="17"/>
  <c r="M16546" i="17"/>
  <c r="M16545" i="17"/>
  <c r="M16544" i="17"/>
  <c r="M16543" i="17"/>
  <c r="M16542" i="17"/>
  <c r="M16541" i="17"/>
  <c r="M16540" i="17"/>
  <c r="M16539" i="17"/>
  <c r="M16538" i="17"/>
  <c r="M16537" i="17"/>
  <c r="M16536" i="17"/>
  <c r="M16535" i="17"/>
  <c r="M16534" i="17"/>
  <c r="M16533" i="17"/>
  <c r="M16532" i="17"/>
  <c r="M16531" i="17"/>
  <c r="M16530" i="17"/>
  <c r="M16529" i="17"/>
  <c r="M16528" i="17"/>
  <c r="M16527" i="17"/>
  <c r="M16526" i="17"/>
  <c r="M16525" i="17"/>
  <c r="M16524" i="17"/>
  <c r="M16523" i="17"/>
  <c r="M16522" i="17"/>
  <c r="M16521" i="17"/>
  <c r="M16520" i="17"/>
  <c r="M16519" i="17"/>
  <c r="M16518" i="17"/>
  <c r="M16517" i="17"/>
  <c r="M16516" i="17"/>
  <c r="M16515" i="17"/>
  <c r="M16514" i="17"/>
  <c r="M16513" i="17"/>
  <c r="M16512" i="17"/>
  <c r="M16511" i="17"/>
  <c r="M16510" i="17"/>
  <c r="M16509" i="17"/>
  <c r="M16508" i="17"/>
  <c r="M16507" i="17"/>
  <c r="M16506" i="17"/>
  <c r="M16505" i="17"/>
  <c r="M16504" i="17"/>
  <c r="M16503" i="17"/>
  <c r="M16502" i="17"/>
  <c r="M16501" i="17"/>
  <c r="M16500" i="17"/>
  <c r="M16499" i="17"/>
  <c r="M16498" i="17"/>
  <c r="M16497" i="17"/>
  <c r="M16496" i="17"/>
  <c r="M16495" i="17"/>
  <c r="M16494" i="17"/>
  <c r="M16493" i="17"/>
  <c r="M16492" i="17"/>
  <c r="M16491" i="17"/>
  <c r="M16490" i="17"/>
  <c r="M16489" i="17"/>
  <c r="M16488" i="17"/>
  <c r="M16487" i="17"/>
  <c r="M16486" i="17"/>
  <c r="M16485" i="17"/>
  <c r="M16484" i="17"/>
  <c r="M16483" i="17"/>
  <c r="M16482" i="17"/>
  <c r="M16481" i="17"/>
  <c r="M16480" i="17"/>
  <c r="M16479" i="17"/>
  <c r="M16478" i="17"/>
  <c r="M16477" i="17"/>
  <c r="M16476" i="17"/>
  <c r="M16475" i="17"/>
  <c r="M16474" i="17"/>
  <c r="M16473" i="17"/>
  <c r="M16472" i="17"/>
  <c r="M16471" i="17"/>
  <c r="M16470" i="17"/>
  <c r="M16469" i="17"/>
  <c r="M16468" i="17"/>
  <c r="M16467" i="17"/>
  <c r="M16466" i="17"/>
  <c r="M16465" i="17"/>
  <c r="M16464" i="17"/>
  <c r="M16463" i="17"/>
  <c r="M16462" i="17"/>
  <c r="M16461" i="17"/>
  <c r="M16460" i="17"/>
  <c r="M16459" i="17"/>
  <c r="M16458" i="17"/>
  <c r="M16457" i="17"/>
  <c r="M16456" i="17"/>
  <c r="M16455" i="17"/>
  <c r="M16454" i="17"/>
  <c r="M16453" i="17"/>
  <c r="M16452" i="17"/>
  <c r="M16451" i="17"/>
  <c r="M16450" i="17"/>
  <c r="M16449" i="17"/>
  <c r="M16448" i="17"/>
  <c r="M16447" i="17"/>
  <c r="M16446" i="17"/>
  <c r="M16445" i="17"/>
  <c r="M16444" i="17"/>
  <c r="M16443" i="17"/>
  <c r="M16442" i="17"/>
  <c r="M16441" i="17"/>
  <c r="M16440" i="17"/>
  <c r="M16439" i="17"/>
  <c r="M16438" i="17"/>
  <c r="M16437" i="17"/>
  <c r="M16436" i="17"/>
  <c r="M16435" i="17"/>
  <c r="M16434" i="17"/>
  <c r="M16433" i="17"/>
  <c r="M16432" i="17"/>
  <c r="M16431" i="17"/>
  <c r="M16430" i="17"/>
  <c r="M16429" i="17"/>
  <c r="M16428" i="17"/>
  <c r="M16427" i="17"/>
  <c r="M16426" i="17"/>
  <c r="M16425" i="17"/>
  <c r="M16424" i="17"/>
  <c r="M16423" i="17"/>
  <c r="M16422" i="17"/>
  <c r="M16421" i="17"/>
  <c r="M16420" i="17"/>
  <c r="M16419" i="17"/>
  <c r="M16418" i="17"/>
  <c r="M16417" i="17"/>
  <c r="M16416" i="17"/>
  <c r="M16415" i="17"/>
  <c r="M16414" i="17"/>
  <c r="M16413" i="17"/>
  <c r="M16412" i="17"/>
  <c r="M16411" i="17"/>
  <c r="M16410" i="17"/>
  <c r="M16409" i="17"/>
  <c r="M16408" i="17"/>
  <c r="M16407" i="17"/>
  <c r="M16406" i="17"/>
  <c r="M16405" i="17"/>
  <c r="M16404" i="17"/>
  <c r="M16403" i="17"/>
  <c r="M16402" i="17"/>
  <c r="M16401" i="17"/>
  <c r="M16400" i="17"/>
  <c r="M16399" i="17"/>
  <c r="M16398" i="17"/>
  <c r="M16397" i="17"/>
  <c r="M16396" i="17"/>
  <c r="M16395" i="17"/>
  <c r="M16394" i="17"/>
  <c r="M16393" i="17"/>
  <c r="M16392" i="17"/>
  <c r="M16391" i="17"/>
  <c r="M16390" i="17"/>
  <c r="M16389" i="17"/>
  <c r="M16388" i="17"/>
  <c r="M16387" i="17"/>
  <c r="M16386" i="17"/>
  <c r="M16385" i="17"/>
  <c r="M16384" i="17"/>
  <c r="M16383" i="17"/>
  <c r="M16382" i="17"/>
  <c r="M16381" i="17"/>
  <c r="M16380" i="17"/>
  <c r="M16379" i="17"/>
  <c r="M16378" i="17"/>
  <c r="M16377" i="17"/>
  <c r="M16376" i="17"/>
  <c r="M16375" i="17"/>
  <c r="M16374" i="17"/>
  <c r="M16373" i="17"/>
  <c r="M16372" i="17"/>
  <c r="M16371" i="17"/>
  <c r="M16370" i="17"/>
  <c r="M16369" i="17"/>
  <c r="M16368" i="17"/>
  <c r="M16367" i="17"/>
  <c r="M16366" i="17"/>
  <c r="M16365" i="17"/>
  <c r="M16364" i="17"/>
  <c r="M16363" i="17"/>
  <c r="M16362" i="17"/>
  <c r="M16361" i="17"/>
  <c r="M16360" i="17"/>
  <c r="M16359" i="17"/>
  <c r="M16358" i="17"/>
  <c r="M16357" i="17"/>
  <c r="M16356" i="17"/>
  <c r="M16355" i="17"/>
  <c r="M16354" i="17"/>
  <c r="M16353" i="17"/>
  <c r="M16352" i="17"/>
  <c r="M16351" i="17"/>
  <c r="M16350" i="17"/>
  <c r="M16349" i="17"/>
  <c r="M16348" i="17"/>
  <c r="M16347" i="17"/>
  <c r="M16346" i="17"/>
  <c r="M16345" i="17"/>
  <c r="M16344" i="17"/>
  <c r="M16343" i="17"/>
  <c r="M16342" i="17"/>
  <c r="M16341" i="17"/>
  <c r="M16340" i="17"/>
  <c r="M16339" i="17"/>
  <c r="M16338" i="17"/>
  <c r="M16337" i="17"/>
  <c r="M16336" i="17"/>
  <c r="M16335" i="17"/>
  <c r="M16334" i="17"/>
  <c r="M16333" i="17"/>
  <c r="M16332" i="17"/>
  <c r="M16331" i="17"/>
  <c r="M16330" i="17"/>
  <c r="M16329" i="17"/>
  <c r="M16328" i="17"/>
  <c r="M16327" i="17"/>
  <c r="M16326" i="17"/>
  <c r="M16325" i="17"/>
  <c r="M16324" i="17"/>
  <c r="M16323" i="17"/>
  <c r="M16322" i="17"/>
  <c r="M16321" i="17"/>
  <c r="M16320" i="17"/>
  <c r="M16319" i="17"/>
  <c r="M16318" i="17"/>
  <c r="M16317" i="17"/>
  <c r="M16316" i="17"/>
  <c r="M16315" i="17"/>
  <c r="M16314" i="17"/>
  <c r="M16313" i="17"/>
  <c r="M16312" i="17"/>
  <c r="M16311" i="17"/>
  <c r="M16310" i="17"/>
  <c r="M16309" i="17"/>
  <c r="M16308" i="17"/>
  <c r="M16307" i="17"/>
  <c r="M16306" i="17"/>
  <c r="M16305" i="17"/>
  <c r="M16304" i="17"/>
  <c r="M16303" i="17"/>
  <c r="M16302" i="17"/>
  <c r="M16301" i="17"/>
  <c r="M16300" i="17"/>
  <c r="M16299" i="17"/>
  <c r="M16298" i="17"/>
  <c r="M16297" i="17"/>
  <c r="M16296" i="17"/>
  <c r="M16295" i="17"/>
  <c r="M16294" i="17"/>
  <c r="M16293" i="17"/>
  <c r="M16292" i="17"/>
  <c r="M16291" i="17"/>
  <c r="M16290" i="17"/>
  <c r="M16289" i="17"/>
  <c r="M16288" i="17"/>
  <c r="M16287" i="17"/>
  <c r="M16286" i="17"/>
  <c r="M16285" i="17"/>
  <c r="M16284" i="17"/>
  <c r="M16283" i="17"/>
  <c r="M16282" i="17"/>
  <c r="M16281" i="17"/>
  <c r="M16280" i="17"/>
  <c r="M16279" i="17"/>
  <c r="M16278" i="17"/>
  <c r="M16277" i="17"/>
  <c r="M16276" i="17"/>
  <c r="M16275" i="17"/>
  <c r="M16274" i="17"/>
  <c r="M16273" i="17"/>
  <c r="M16272" i="17"/>
  <c r="M16271" i="17"/>
  <c r="M16270" i="17"/>
  <c r="M16269" i="17"/>
  <c r="M16268" i="17"/>
  <c r="M16267" i="17"/>
  <c r="M16266" i="17"/>
  <c r="M16265" i="17"/>
  <c r="M16264" i="17"/>
  <c r="M16263" i="17"/>
  <c r="M16262" i="17"/>
  <c r="M16261" i="17"/>
  <c r="M16260" i="17"/>
  <c r="M16259" i="17"/>
  <c r="M16258" i="17"/>
  <c r="M16257" i="17"/>
  <c r="M16256" i="17"/>
  <c r="M16255" i="17"/>
  <c r="M16254" i="17"/>
  <c r="M16253" i="17"/>
  <c r="M16252" i="17"/>
  <c r="M16251" i="17"/>
  <c r="M16250" i="17"/>
  <c r="M16249" i="17"/>
  <c r="M16248" i="17"/>
  <c r="M16247" i="17"/>
  <c r="M16246" i="17"/>
  <c r="M16245" i="17"/>
  <c r="M16244" i="17"/>
  <c r="M16243" i="17"/>
  <c r="M16242" i="17"/>
  <c r="M16241" i="17"/>
  <c r="M16240" i="17"/>
  <c r="M16239" i="17"/>
  <c r="M16238" i="17"/>
  <c r="M16237" i="17"/>
  <c r="M16236" i="17"/>
  <c r="M16235" i="17"/>
  <c r="M16234" i="17"/>
  <c r="M16233" i="17"/>
  <c r="M16232" i="17"/>
  <c r="M16231" i="17"/>
  <c r="M16230" i="17"/>
  <c r="M16229" i="17"/>
  <c r="M16228" i="17"/>
  <c r="M16227" i="17"/>
  <c r="M16226" i="17"/>
  <c r="M16225" i="17"/>
  <c r="M16224" i="17"/>
  <c r="M16223" i="17"/>
  <c r="M16222" i="17"/>
  <c r="M16221" i="17"/>
  <c r="M16220" i="17"/>
  <c r="M16219" i="17"/>
  <c r="M16218" i="17"/>
  <c r="M16217" i="17"/>
  <c r="M16216" i="17"/>
  <c r="M16215" i="17"/>
  <c r="M16214" i="17"/>
  <c r="M16213" i="17"/>
  <c r="M16212" i="17"/>
  <c r="M16211" i="17"/>
  <c r="M16210" i="17"/>
  <c r="M16209" i="17"/>
  <c r="M16208" i="17"/>
  <c r="M16207" i="17"/>
  <c r="M16206" i="17"/>
  <c r="M16205" i="17"/>
  <c r="M16204" i="17"/>
  <c r="M16203" i="17"/>
  <c r="M16202" i="17"/>
  <c r="M16201" i="17"/>
  <c r="M16200" i="17"/>
  <c r="M16199" i="17"/>
  <c r="M16198" i="17"/>
  <c r="M16197" i="17"/>
  <c r="M16196" i="17"/>
  <c r="M16195" i="17"/>
  <c r="M16194" i="17"/>
  <c r="M16193" i="17"/>
  <c r="M16192" i="17"/>
  <c r="M16191" i="17"/>
  <c r="M16190" i="17"/>
  <c r="M16189" i="17"/>
  <c r="M16188" i="17"/>
  <c r="M16187" i="17"/>
  <c r="M16186" i="17"/>
  <c r="M16185" i="17"/>
  <c r="M16184" i="17"/>
  <c r="M16183" i="17"/>
  <c r="M16182" i="17"/>
  <c r="M16181" i="17"/>
  <c r="M16180" i="17"/>
  <c r="M16179" i="17"/>
  <c r="M16178" i="17"/>
  <c r="M16177" i="17"/>
  <c r="M16176" i="17"/>
  <c r="M16175" i="17"/>
  <c r="M16174" i="17"/>
  <c r="M16173" i="17"/>
  <c r="M16172" i="17"/>
  <c r="M16171" i="17"/>
  <c r="M16170" i="17"/>
  <c r="M16169" i="17"/>
  <c r="M16168" i="17"/>
  <c r="M16167" i="17"/>
  <c r="M16166" i="17"/>
  <c r="M16165" i="17"/>
  <c r="M16164" i="17"/>
  <c r="M16163" i="17"/>
  <c r="M16162" i="17"/>
  <c r="M16161" i="17"/>
  <c r="M16160" i="17"/>
  <c r="M16159" i="17"/>
  <c r="M16158" i="17"/>
  <c r="M16157" i="17"/>
  <c r="M16156" i="17"/>
  <c r="M16155" i="17"/>
  <c r="M16154" i="17"/>
  <c r="M16153" i="17"/>
  <c r="M16152" i="17"/>
  <c r="M16151" i="17"/>
  <c r="M16150" i="17"/>
  <c r="M16149" i="17"/>
  <c r="M16148" i="17"/>
  <c r="M16147" i="17"/>
  <c r="M16146" i="17"/>
  <c r="M16145" i="17"/>
  <c r="M16144" i="17"/>
  <c r="M16143" i="17"/>
  <c r="M16142" i="17"/>
  <c r="M16141" i="17"/>
  <c r="M16140" i="17"/>
  <c r="M16139" i="17"/>
  <c r="M16138" i="17"/>
  <c r="M16137" i="17"/>
  <c r="M16136" i="17"/>
  <c r="M16135" i="17"/>
  <c r="M16134" i="17"/>
  <c r="M16133" i="17"/>
  <c r="M16132" i="17"/>
  <c r="M16131" i="17"/>
  <c r="M16130" i="17"/>
  <c r="M16129" i="17"/>
  <c r="M16128" i="17"/>
  <c r="M16127" i="17"/>
  <c r="M16126" i="17"/>
  <c r="M16125" i="17"/>
  <c r="M16124" i="17"/>
  <c r="M16123" i="17"/>
  <c r="M16122" i="17"/>
  <c r="M16121" i="17"/>
  <c r="M16120" i="17"/>
  <c r="M16119" i="17"/>
  <c r="M16118" i="17"/>
  <c r="M16117" i="17"/>
  <c r="M16116" i="17"/>
  <c r="M16115" i="17"/>
  <c r="M16114" i="17"/>
  <c r="M16113" i="17"/>
  <c r="M16112" i="17"/>
  <c r="M16111" i="17"/>
  <c r="M16110" i="17"/>
  <c r="M16109" i="17"/>
  <c r="M16108" i="17"/>
  <c r="M16107" i="17"/>
  <c r="M16106" i="17"/>
  <c r="M16105" i="17"/>
  <c r="M16104" i="17"/>
  <c r="M16103" i="17"/>
  <c r="M16102" i="17"/>
  <c r="M16101" i="17"/>
  <c r="M16100" i="17"/>
  <c r="M16099" i="17"/>
  <c r="M16098" i="17"/>
  <c r="M16097" i="17"/>
  <c r="M16096" i="17"/>
  <c r="M16095" i="17"/>
  <c r="M16094" i="17"/>
  <c r="M16093" i="17"/>
  <c r="M16092" i="17"/>
  <c r="M16091" i="17"/>
  <c r="M16090" i="17"/>
  <c r="M16089" i="17"/>
  <c r="M16088" i="17"/>
  <c r="M16087" i="17"/>
  <c r="M16086" i="17"/>
  <c r="M16085" i="17"/>
  <c r="M16084" i="17"/>
  <c r="M16083" i="17"/>
  <c r="M16082" i="17"/>
  <c r="M16081" i="17"/>
  <c r="M16080" i="17"/>
  <c r="M16079" i="17"/>
  <c r="M16078" i="17"/>
  <c r="M16077" i="17"/>
  <c r="M16076" i="17"/>
  <c r="M16075" i="17"/>
  <c r="M16074" i="17"/>
  <c r="M16073" i="17"/>
  <c r="M16072" i="17"/>
  <c r="M16071" i="17"/>
  <c r="M16070" i="17"/>
  <c r="M16069" i="17"/>
  <c r="M16068" i="17"/>
  <c r="M16067" i="17"/>
  <c r="M16066" i="17"/>
  <c r="M16065" i="17"/>
  <c r="M16064" i="17"/>
  <c r="M16063" i="17"/>
  <c r="M16062" i="17"/>
  <c r="M16061" i="17"/>
  <c r="M16060" i="17"/>
  <c r="M16059" i="17"/>
  <c r="M16058" i="17"/>
  <c r="M16057" i="17"/>
  <c r="M16056" i="17"/>
  <c r="M16055" i="17"/>
  <c r="M16054" i="17"/>
  <c r="M16053" i="17"/>
  <c r="M16052" i="17"/>
  <c r="M16051" i="17"/>
  <c r="M16050" i="17"/>
  <c r="M16049" i="17"/>
  <c r="M16048" i="17"/>
  <c r="M16047" i="17"/>
  <c r="M16046" i="17"/>
  <c r="M16045" i="17"/>
  <c r="M16044" i="17"/>
  <c r="M16043" i="17"/>
  <c r="M16042" i="17"/>
  <c r="M16041" i="17"/>
  <c r="M16040" i="17"/>
  <c r="M16039" i="17"/>
  <c r="M16038" i="17"/>
  <c r="M16037" i="17"/>
  <c r="M16036" i="17"/>
  <c r="M16035" i="17"/>
  <c r="M16034" i="17"/>
  <c r="M16033" i="17"/>
  <c r="M16032" i="17"/>
  <c r="M16031" i="17"/>
  <c r="M16030" i="17"/>
  <c r="M16029" i="17"/>
  <c r="M16028" i="17"/>
  <c r="M16027" i="17"/>
  <c r="M16026" i="17"/>
  <c r="M16025" i="17"/>
  <c r="M16024" i="17"/>
  <c r="M16023" i="17"/>
  <c r="M16022" i="17"/>
  <c r="M16021" i="17"/>
  <c r="M16020" i="17"/>
  <c r="M16019" i="17"/>
  <c r="M16018" i="17"/>
  <c r="M16017" i="17"/>
  <c r="M16016" i="17"/>
  <c r="M16015" i="17"/>
  <c r="M16014" i="17"/>
  <c r="M16013" i="17"/>
  <c r="M16012" i="17"/>
  <c r="M16011" i="17"/>
  <c r="M16010" i="17"/>
  <c r="M16009" i="17"/>
  <c r="M16008" i="17"/>
  <c r="M16007" i="17"/>
  <c r="M16006" i="17"/>
  <c r="M16005" i="17"/>
  <c r="M16004" i="17"/>
  <c r="M16003" i="17"/>
  <c r="M16002" i="17"/>
  <c r="M16001" i="17"/>
  <c r="M16000" i="17"/>
  <c r="M15999" i="17"/>
  <c r="M15998" i="17"/>
  <c r="M15997" i="17"/>
  <c r="M15996" i="17"/>
  <c r="M15995" i="17"/>
  <c r="M15994" i="17"/>
  <c r="M15993" i="17"/>
  <c r="M15992" i="17"/>
  <c r="M15991" i="17"/>
  <c r="M15990" i="17"/>
  <c r="M15989" i="17"/>
  <c r="M15988" i="17"/>
  <c r="M15987" i="17"/>
  <c r="M15986" i="17"/>
  <c r="M15985" i="17"/>
  <c r="M15984" i="17"/>
  <c r="M15983" i="17"/>
  <c r="M15982" i="17"/>
  <c r="M15981" i="17"/>
  <c r="M15980" i="17"/>
  <c r="M15979" i="17"/>
  <c r="M15978" i="17"/>
  <c r="M15977" i="17"/>
  <c r="M15976" i="17"/>
  <c r="M15975" i="17"/>
  <c r="M15974" i="17"/>
  <c r="M15973" i="17"/>
  <c r="M15972" i="17"/>
  <c r="M15971" i="17"/>
  <c r="M15970" i="17"/>
  <c r="M15969" i="17"/>
  <c r="M15968" i="17"/>
  <c r="M15967" i="17"/>
  <c r="M15966" i="17"/>
  <c r="M15965" i="17"/>
  <c r="M15964" i="17"/>
  <c r="M15963" i="17"/>
  <c r="M15962" i="17"/>
  <c r="M15961" i="17"/>
  <c r="M15960" i="17"/>
  <c r="M15959" i="17"/>
  <c r="M15958" i="17"/>
  <c r="M15957" i="17"/>
  <c r="M15956" i="17"/>
  <c r="M15955" i="17"/>
  <c r="M15954" i="17"/>
  <c r="M15953" i="17"/>
  <c r="M15952" i="17"/>
  <c r="M15951" i="17"/>
  <c r="M15950" i="17"/>
  <c r="M15949" i="17"/>
  <c r="M15948" i="17"/>
  <c r="M15947" i="17"/>
  <c r="M15946" i="17"/>
  <c r="M15945" i="17"/>
  <c r="M15944" i="17"/>
  <c r="M15943" i="17"/>
  <c r="M15942" i="17"/>
  <c r="M15941" i="17"/>
  <c r="M15940" i="17"/>
  <c r="M15939" i="17"/>
  <c r="M15938" i="17"/>
  <c r="M15937" i="17"/>
  <c r="M15936" i="17"/>
  <c r="M15935" i="17"/>
  <c r="M15934" i="17"/>
  <c r="M15933" i="17"/>
  <c r="M15932" i="17"/>
  <c r="M15931" i="17"/>
  <c r="M15930" i="17"/>
  <c r="M15929" i="17"/>
  <c r="M15928" i="17"/>
  <c r="M15927" i="17"/>
  <c r="M15926" i="17"/>
  <c r="M15925" i="17"/>
  <c r="M15924" i="17"/>
  <c r="M15923" i="17"/>
  <c r="M15922" i="17"/>
  <c r="M15921" i="17"/>
  <c r="M15920" i="17"/>
  <c r="M15919" i="17"/>
  <c r="M15918" i="17"/>
  <c r="M15917" i="17"/>
  <c r="M15916" i="17"/>
  <c r="M15915" i="17"/>
  <c r="M15914" i="17"/>
  <c r="M15913" i="17"/>
  <c r="M15912" i="17"/>
  <c r="M15911" i="17"/>
  <c r="M15910" i="17"/>
  <c r="M15909" i="17"/>
  <c r="M15908" i="17"/>
  <c r="M15907" i="17"/>
  <c r="M15906" i="17"/>
  <c r="M15905" i="17"/>
  <c r="M15904" i="17"/>
  <c r="M15903" i="17"/>
  <c r="M15902" i="17"/>
  <c r="M15901" i="17"/>
  <c r="M15900" i="17"/>
  <c r="M15899" i="17"/>
  <c r="M15898" i="17"/>
  <c r="M15897" i="17"/>
  <c r="M15896" i="17"/>
  <c r="M15895" i="17"/>
  <c r="M15894" i="17"/>
  <c r="M15893" i="17"/>
  <c r="M15892" i="17"/>
  <c r="M15891" i="17"/>
  <c r="M15890" i="17"/>
  <c r="M15889" i="17"/>
  <c r="M15888" i="17"/>
  <c r="M15887" i="17"/>
  <c r="M15886" i="17"/>
  <c r="M15885" i="17"/>
  <c r="M15884" i="17"/>
  <c r="M15883" i="17"/>
  <c r="M15882" i="17"/>
  <c r="M15881" i="17"/>
  <c r="M15880" i="17"/>
  <c r="M15879" i="17"/>
  <c r="M15878" i="17"/>
  <c r="M15877" i="17"/>
  <c r="M15876" i="17"/>
  <c r="M15875" i="17"/>
  <c r="M15874" i="17"/>
  <c r="M15873" i="17"/>
  <c r="M15872" i="17"/>
  <c r="M15871" i="17"/>
  <c r="M15870" i="17"/>
  <c r="M15869" i="17"/>
  <c r="M15868" i="17"/>
  <c r="M15867" i="17"/>
  <c r="M15866" i="17"/>
  <c r="M15865" i="17"/>
  <c r="M15864" i="17"/>
  <c r="M15863" i="17"/>
  <c r="M15862" i="17"/>
  <c r="M15861" i="17"/>
  <c r="M15860" i="17"/>
  <c r="M15859" i="17"/>
  <c r="M15858" i="17"/>
  <c r="M15857" i="17"/>
  <c r="M15856" i="17"/>
  <c r="M15855" i="17"/>
  <c r="M15854" i="17"/>
  <c r="M15853" i="17"/>
  <c r="M15852" i="17"/>
  <c r="M15851" i="17"/>
  <c r="M15850" i="17"/>
  <c r="M15849" i="17"/>
  <c r="M15848" i="17"/>
  <c r="M15847" i="17"/>
  <c r="M15846" i="17"/>
  <c r="M15845" i="17"/>
  <c r="M15844" i="17"/>
  <c r="M15843" i="17"/>
  <c r="M15842" i="17"/>
  <c r="M15841" i="17"/>
  <c r="M15840" i="17"/>
  <c r="M15839" i="17"/>
  <c r="M15838" i="17"/>
  <c r="M15837" i="17"/>
  <c r="M15836" i="17"/>
  <c r="M15835" i="17"/>
  <c r="M15834" i="17"/>
  <c r="M15833" i="17"/>
  <c r="M15832" i="17"/>
  <c r="M15831" i="17"/>
  <c r="M15830" i="17"/>
  <c r="M15829" i="17"/>
  <c r="M15828" i="17"/>
  <c r="M15827" i="17"/>
  <c r="M15826" i="17"/>
  <c r="M15825" i="17"/>
  <c r="M15824" i="17"/>
  <c r="M15823" i="17"/>
  <c r="M15822" i="17"/>
  <c r="M15821" i="17"/>
  <c r="M15820" i="17"/>
  <c r="M15819" i="17"/>
  <c r="M15818" i="17"/>
  <c r="M15817" i="17"/>
  <c r="M15816" i="17"/>
  <c r="M15815" i="17"/>
  <c r="M15814" i="17"/>
  <c r="M15813" i="17"/>
  <c r="M15812" i="17"/>
  <c r="M15811" i="17"/>
  <c r="M15810" i="17"/>
  <c r="M15809" i="17"/>
  <c r="M15808" i="17"/>
  <c r="M15807" i="17"/>
  <c r="M15806" i="17"/>
  <c r="M15805" i="17"/>
  <c r="M15804" i="17"/>
  <c r="M15803" i="17"/>
  <c r="M15802" i="17"/>
  <c r="M15801" i="17"/>
  <c r="M15800" i="17"/>
  <c r="M15799" i="17"/>
  <c r="M15798" i="17"/>
  <c r="M15797" i="17"/>
  <c r="M15796" i="17"/>
  <c r="M15795" i="17"/>
  <c r="M15794" i="17"/>
  <c r="M15793" i="17"/>
  <c r="M15792" i="17"/>
  <c r="M15791" i="17"/>
  <c r="M15790" i="17"/>
  <c r="M15789" i="17"/>
  <c r="M15788" i="17"/>
  <c r="M15787" i="17"/>
  <c r="M15786" i="17"/>
  <c r="M15785" i="17"/>
  <c r="M15784" i="17"/>
  <c r="M15783" i="17"/>
  <c r="M15782" i="17"/>
  <c r="M15781" i="17"/>
  <c r="M15780" i="17"/>
  <c r="M15779" i="17"/>
  <c r="M15778" i="17"/>
  <c r="M15777" i="17"/>
  <c r="M15776" i="17"/>
  <c r="M15775" i="17"/>
  <c r="M15774" i="17"/>
  <c r="M15773" i="17"/>
  <c r="M15772" i="17"/>
  <c r="M15771" i="17"/>
  <c r="M15770" i="17"/>
  <c r="M15769" i="17"/>
  <c r="M15768" i="17"/>
  <c r="M15767" i="17"/>
  <c r="M15766" i="17"/>
  <c r="M15765" i="17"/>
  <c r="M15764" i="17"/>
  <c r="M15763" i="17"/>
  <c r="M15762" i="17"/>
  <c r="M15761" i="17"/>
  <c r="M15760" i="17"/>
  <c r="M15759" i="17"/>
  <c r="M15758" i="17"/>
  <c r="M15757" i="17"/>
  <c r="M15756" i="17"/>
  <c r="M15755" i="17"/>
  <c r="M15754" i="17"/>
  <c r="M15753" i="17"/>
  <c r="M15752" i="17"/>
  <c r="M15751" i="17"/>
  <c r="M15750" i="17"/>
  <c r="M15749" i="17"/>
  <c r="M15748" i="17"/>
  <c r="M15747" i="17"/>
  <c r="M15746" i="17"/>
  <c r="M15745" i="17"/>
  <c r="M15744" i="17"/>
  <c r="M15743" i="17"/>
  <c r="M15742" i="17"/>
  <c r="M15741" i="17"/>
  <c r="M15740" i="17"/>
  <c r="M15739" i="17"/>
  <c r="M15738" i="17"/>
  <c r="M15737" i="17"/>
  <c r="M15736" i="17"/>
  <c r="M15735" i="17"/>
  <c r="M15734" i="17"/>
  <c r="M15733" i="17"/>
  <c r="M15732" i="17"/>
  <c r="M15731" i="17"/>
  <c r="M15730" i="17"/>
  <c r="M15729" i="17"/>
  <c r="M15728" i="17"/>
  <c r="M15727" i="17"/>
  <c r="M15726" i="17"/>
  <c r="M15725" i="17"/>
  <c r="M15724" i="17"/>
  <c r="M15723" i="17"/>
  <c r="M15722" i="17"/>
  <c r="M15721" i="17"/>
  <c r="M15720" i="17"/>
  <c r="M15719" i="17"/>
  <c r="M15718" i="17"/>
  <c r="M15717" i="17"/>
  <c r="M15716" i="17"/>
  <c r="M15715" i="17"/>
  <c r="M15714" i="17"/>
  <c r="M15713" i="17"/>
  <c r="M15712" i="17"/>
  <c r="M15711" i="17"/>
  <c r="M15710" i="17"/>
  <c r="M15709" i="17"/>
  <c r="M15708" i="17"/>
  <c r="M15707" i="17"/>
  <c r="M15706" i="17"/>
  <c r="M15705" i="17"/>
  <c r="M15704" i="17"/>
  <c r="M15703" i="17"/>
  <c r="M15702" i="17"/>
  <c r="M15701" i="17"/>
  <c r="M15700" i="17"/>
  <c r="M15699" i="17"/>
  <c r="M15698" i="17"/>
  <c r="M15697" i="17"/>
  <c r="M15696" i="17"/>
  <c r="M15695" i="17"/>
  <c r="M15694" i="17"/>
  <c r="M15693" i="17"/>
  <c r="M15692" i="17"/>
  <c r="M15691" i="17"/>
  <c r="M15690" i="17"/>
  <c r="M15689" i="17"/>
  <c r="M15688" i="17"/>
  <c r="M15687" i="17"/>
  <c r="M15686" i="17"/>
  <c r="M15685" i="17"/>
  <c r="M15684" i="17"/>
  <c r="M15683" i="17"/>
  <c r="M15682" i="17"/>
  <c r="M15681" i="17"/>
  <c r="M15680" i="17"/>
  <c r="M15679" i="17"/>
  <c r="M15678" i="17"/>
  <c r="M15677" i="17"/>
  <c r="M15676" i="17"/>
  <c r="M15675" i="17"/>
  <c r="M15674" i="17"/>
  <c r="M15673" i="17"/>
  <c r="M15672" i="17"/>
  <c r="M15671" i="17"/>
  <c r="M15670" i="17"/>
  <c r="M15669" i="17"/>
  <c r="M15668" i="17"/>
  <c r="M15667" i="17"/>
  <c r="M15666" i="17"/>
  <c r="M15665" i="17"/>
  <c r="M15664" i="17"/>
  <c r="M15663" i="17"/>
  <c r="M15662" i="17"/>
  <c r="M15661" i="17"/>
  <c r="M15660" i="17"/>
  <c r="M15659" i="17"/>
  <c r="M15658" i="17"/>
  <c r="M15657" i="17"/>
  <c r="M15656" i="17"/>
  <c r="M15655" i="17"/>
  <c r="M15654" i="17"/>
  <c r="M15653" i="17"/>
  <c r="M15652" i="17"/>
  <c r="M15651" i="17"/>
  <c r="M15650" i="17"/>
  <c r="M15649" i="17"/>
  <c r="M15648" i="17"/>
  <c r="M15647" i="17"/>
  <c r="M15646" i="17"/>
  <c r="M15645" i="17"/>
  <c r="M15644" i="17"/>
  <c r="M15643" i="17"/>
  <c r="M15642" i="17"/>
  <c r="M15641" i="17"/>
  <c r="M15640" i="17"/>
  <c r="M15639" i="17"/>
  <c r="M15638" i="17"/>
  <c r="M15637" i="17"/>
  <c r="M15636" i="17"/>
  <c r="M15635" i="17"/>
  <c r="M15634" i="17"/>
  <c r="M15633" i="17"/>
  <c r="M15632" i="17"/>
  <c r="M15631" i="17"/>
  <c r="M15630" i="17"/>
  <c r="M15629" i="17"/>
  <c r="M15628" i="17"/>
  <c r="M15627" i="17"/>
  <c r="M15626" i="17"/>
  <c r="M15625" i="17"/>
  <c r="M15624" i="17"/>
  <c r="M15623" i="17"/>
  <c r="M15622" i="17"/>
  <c r="M15621" i="17"/>
  <c r="M15620" i="17"/>
  <c r="M15619" i="17"/>
  <c r="M15618" i="17"/>
  <c r="M15617" i="17"/>
  <c r="M15616" i="17"/>
  <c r="M15615" i="17"/>
  <c r="M15614" i="17"/>
  <c r="M15613" i="17"/>
  <c r="M15612" i="17"/>
  <c r="M15611" i="17"/>
  <c r="M15610" i="17"/>
  <c r="M15609" i="17"/>
  <c r="M15608" i="17"/>
  <c r="M15607" i="17"/>
  <c r="M15606" i="17"/>
  <c r="M15605" i="17"/>
  <c r="M15604" i="17"/>
  <c r="M15603" i="17"/>
  <c r="M15602" i="17"/>
  <c r="M15601" i="17"/>
  <c r="M15600" i="17"/>
  <c r="M15599" i="17"/>
  <c r="M15598" i="17"/>
  <c r="M15597" i="17"/>
  <c r="M15596" i="17"/>
  <c r="M15595" i="17"/>
  <c r="M15594" i="17"/>
  <c r="M15593" i="17"/>
  <c r="M15592" i="17"/>
  <c r="M15591" i="17"/>
  <c r="M15590" i="17"/>
  <c r="M15589" i="17"/>
  <c r="M15588" i="17"/>
  <c r="M15587" i="17"/>
  <c r="M15586" i="17"/>
  <c r="M15585" i="17"/>
  <c r="M15584" i="17"/>
  <c r="M15583" i="17"/>
  <c r="M15582" i="17"/>
  <c r="M15581" i="17"/>
  <c r="M15580" i="17"/>
  <c r="M15579" i="17"/>
  <c r="M15578" i="17"/>
  <c r="M15577" i="17"/>
  <c r="M15576" i="17"/>
  <c r="M15575" i="17"/>
  <c r="M15574" i="17"/>
  <c r="M15573" i="17"/>
  <c r="M15572" i="17"/>
  <c r="M15571" i="17"/>
  <c r="M15570" i="17"/>
  <c r="M15569" i="17"/>
  <c r="M15568" i="17"/>
  <c r="M15567" i="17"/>
  <c r="M15566" i="17"/>
  <c r="M15565" i="17"/>
  <c r="M15564" i="17"/>
  <c r="M15563" i="17"/>
  <c r="M15562" i="17"/>
  <c r="M15561" i="17"/>
  <c r="M15560" i="17"/>
  <c r="M15559" i="17"/>
  <c r="M15558" i="17"/>
  <c r="M15557" i="17"/>
  <c r="M15556" i="17"/>
  <c r="M15555" i="17"/>
  <c r="M15554" i="17"/>
  <c r="M15553" i="17"/>
  <c r="M15552" i="17"/>
  <c r="M15551" i="17"/>
  <c r="M15550" i="17"/>
  <c r="M15549" i="17"/>
  <c r="M15548" i="17"/>
  <c r="M15547" i="17"/>
  <c r="M15546" i="17"/>
  <c r="M15545" i="17"/>
  <c r="M15544" i="17"/>
  <c r="M15543" i="17"/>
  <c r="M15542" i="17"/>
  <c r="M15541" i="17"/>
  <c r="M15540" i="17"/>
  <c r="M15539" i="17"/>
  <c r="M15538" i="17"/>
  <c r="M15537" i="17"/>
  <c r="M15536" i="17"/>
  <c r="M15535" i="17"/>
  <c r="M15534" i="17"/>
  <c r="M15533" i="17"/>
  <c r="M15532" i="17"/>
  <c r="M15531" i="17"/>
  <c r="M15530" i="17"/>
  <c r="M15529" i="17"/>
  <c r="M15528" i="17"/>
  <c r="M15527" i="17"/>
  <c r="M15526" i="17"/>
  <c r="M15525" i="17"/>
  <c r="M15524" i="17"/>
  <c r="M15523" i="17"/>
  <c r="M15522" i="17"/>
  <c r="M15521" i="17"/>
  <c r="M15520" i="17"/>
  <c r="M15519" i="17"/>
  <c r="M15518" i="17"/>
  <c r="M15517" i="17"/>
  <c r="M15516" i="17"/>
  <c r="M15515" i="17"/>
  <c r="M15514" i="17"/>
  <c r="M15513" i="17"/>
  <c r="M15512" i="17"/>
  <c r="M15511" i="17"/>
  <c r="M15510" i="17"/>
  <c r="M15509" i="17"/>
  <c r="M15508" i="17"/>
  <c r="M15507" i="17"/>
  <c r="M15506" i="17"/>
  <c r="M15505" i="17"/>
  <c r="M15504" i="17"/>
  <c r="M15503" i="17"/>
  <c r="M15502" i="17"/>
  <c r="M15501" i="17"/>
  <c r="M15500" i="17"/>
  <c r="M15499" i="17"/>
  <c r="M15498" i="17"/>
  <c r="M15497" i="17"/>
  <c r="M15496" i="17"/>
  <c r="M15495" i="17"/>
  <c r="M15494" i="17"/>
  <c r="M15493" i="17"/>
  <c r="M15492" i="17"/>
  <c r="M15491" i="17"/>
  <c r="M15490" i="17"/>
  <c r="M15489" i="17"/>
  <c r="M15488" i="17"/>
  <c r="M15487" i="17"/>
  <c r="M15486" i="17"/>
  <c r="M15485" i="17"/>
  <c r="M15484" i="17"/>
  <c r="M15483" i="17"/>
  <c r="M15482" i="17"/>
  <c r="M15481" i="17"/>
  <c r="M15480" i="17"/>
  <c r="M15479" i="17"/>
  <c r="M15478" i="17"/>
  <c r="M15477" i="17"/>
  <c r="M15476" i="17"/>
  <c r="M15475" i="17"/>
  <c r="M15474" i="17"/>
  <c r="M15473" i="17"/>
  <c r="M15472" i="17"/>
  <c r="M15471" i="17"/>
  <c r="M15470" i="17"/>
  <c r="M15469" i="17"/>
  <c r="M15468" i="17"/>
  <c r="M15467" i="17"/>
  <c r="M15466" i="17"/>
  <c r="M15465" i="17"/>
  <c r="M15464" i="17"/>
  <c r="M15463" i="17"/>
  <c r="M15462" i="17"/>
  <c r="M15461" i="17"/>
  <c r="M15460" i="17"/>
  <c r="M15459" i="17"/>
  <c r="M15458" i="17"/>
  <c r="M15457" i="17"/>
  <c r="M15456" i="17"/>
  <c r="M15455" i="17"/>
  <c r="M15454" i="17"/>
  <c r="M15453" i="17"/>
  <c r="M15452" i="17"/>
  <c r="M15451" i="17"/>
  <c r="M15450" i="17"/>
  <c r="M15449" i="17"/>
  <c r="M15448" i="17"/>
  <c r="M15447" i="17"/>
  <c r="M15446" i="17"/>
  <c r="M15445" i="17"/>
  <c r="M15444" i="17"/>
  <c r="M15443" i="17"/>
  <c r="M15442" i="17"/>
  <c r="M15441" i="17"/>
  <c r="M15440" i="17"/>
  <c r="M15439" i="17"/>
  <c r="M15438" i="17"/>
  <c r="M15437" i="17"/>
  <c r="M15436" i="17"/>
  <c r="M15435" i="17"/>
  <c r="M15434" i="17"/>
  <c r="M15433" i="17"/>
  <c r="M15432" i="17"/>
  <c r="M15431" i="17"/>
  <c r="M15430" i="17"/>
  <c r="M15429" i="17"/>
  <c r="M15428" i="17"/>
  <c r="M15427" i="17"/>
  <c r="M15426" i="17"/>
  <c r="M15425" i="17"/>
  <c r="M15424" i="17"/>
  <c r="M15423" i="17"/>
  <c r="M15422" i="17"/>
  <c r="M15421" i="17"/>
  <c r="M15420" i="17"/>
  <c r="M15419" i="17"/>
  <c r="M15418" i="17"/>
  <c r="M15417" i="17"/>
  <c r="M15416" i="17"/>
  <c r="M15415" i="17"/>
  <c r="M15414" i="17"/>
  <c r="M15413" i="17"/>
  <c r="M15412" i="17"/>
  <c r="M15411" i="17"/>
  <c r="M15410" i="17"/>
  <c r="M15409" i="17"/>
  <c r="M15408" i="17"/>
  <c r="M15407" i="17"/>
  <c r="M15406" i="17"/>
  <c r="M15405" i="17"/>
  <c r="M15404" i="17"/>
  <c r="M15403" i="17"/>
  <c r="M15402" i="17"/>
  <c r="M15401" i="17"/>
  <c r="M15400" i="17"/>
  <c r="M15399" i="17"/>
  <c r="M15398" i="17"/>
  <c r="M15397" i="17"/>
  <c r="M15396" i="17"/>
  <c r="M15395" i="17"/>
  <c r="M15394" i="17"/>
  <c r="M15393" i="17"/>
  <c r="M15392" i="17"/>
  <c r="M15391" i="17"/>
  <c r="M15390" i="17"/>
  <c r="M15389" i="17"/>
  <c r="M15388" i="17"/>
  <c r="M15387" i="17"/>
  <c r="M15386" i="17"/>
  <c r="M15385" i="17"/>
  <c r="M15384" i="17"/>
  <c r="M15383" i="17"/>
  <c r="M15382" i="17"/>
  <c r="M15381" i="17"/>
  <c r="M15380" i="17"/>
  <c r="M15379" i="17"/>
  <c r="M15378" i="17"/>
  <c r="M15377" i="17"/>
  <c r="M15376" i="17"/>
  <c r="M15375" i="17"/>
  <c r="M15374" i="17"/>
  <c r="M15373" i="17"/>
  <c r="M15372" i="17"/>
  <c r="M15371" i="17"/>
  <c r="M15370" i="17"/>
  <c r="M15369" i="17"/>
  <c r="M15368" i="17"/>
  <c r="M15367" i="17"/>
  <c r="M15366" i="17"/>
  <c r="M15365" i="17"/>
  <c r="M15364" i="17"/>
  <c r="M15363" i="17"/>
  <c r="M15362" i="17"/>
  <c r="M15361" i="17"/>
  <c r="M15360" i="17"/>
  <c r="M15359" i="17"/>
  <c r="M15358" i="17"/>
  <c r="M15357" i="17"/>
  <c r="M15356" i="17"/>
  <c r="M15355" i="17"/>
  <c r="M15354" i="17"/>
  <c r="M15353" i="17"/>
  <c r="M15352" i="17"/>
  <c r="M15351" i="17"/>
  <c r="M15350" i="17"/>
  <c r="M15349" i="17"/>
  <c r="M15348" i="17"/>
  <c r="M15347" i="17"/>
  <c r="M15346" i="17"/>
  <c r="M15345" i="17"/>
  <c r="M15344" i="17"/>
  <c r="M15343" i="17"/>
  <c r="M15342" i="17"/>
  <c r="M15341" i="17"/>
  <c r="M15340" i="17"/>
  <c r="M15339" i="17"/>
  <c r="M15338" i="17"/>
  <c r="M15337" i="17"/>
  <c r="M15336" i="17"/>
  <c r="M15335" i="17"/>
  <c r="M15334" i="17"/>
  <c r="M15333" i="17"/>
  <c r="M15332" i="17"/>
  <c r="M15331" i="17"/>
  <c r="M15330" i="17"/>
  <c r="M15329" i="17"/>
  <c r="M15328" i="17"/>
  <c r="M15327" i="17"/>
  <c r="M15326" i="17"/>
  <c r="M15325" i="17"/>
  <c r="M15324" i="17"/>
  <c r="M15323" i="17"/>
  <c r="M15322" i="17"/>
  <c r="M15321" i="17"/>
  <c r="M15320" i="17"/>
  <c r="M15319" i="17"/>
  <c r="M15318" i="17"/>
  <c r="M15317" i="17"/>
  <c r="M15316" i="17"/>
  <c r="M15315" i="17"/>
  <c r="M15314" i="17"/>
  <c r="M15313" i="17"/>
  <c r="M15312" i="17"/>
  <c r="M15311" i="17"/>
  <c r="M15310" i="17"/>
  <c r="M15309" i="17"/>
  <c r="M15308" i="17"/>
  <c r="M15307" i="17"/>
  <c r="M15306" i="17"/>
  <c r="M15305" i="17"/>
  <c r="M15304" i="17"/>
  <c r="M15303" i="17"/>
  <c r="M15302" i="17"/>
  <c r="M15301" i="17"/>
  <c r="M15300" i="17"/>
  <c r="M15299" i="17"/>
  <c r="M15298" i="17"/>
  <c r="M15297" i="17"/>
  <c r="M15296" i="17"/>
  <c r="M15295" i="17"/>
  <c r="M15294" i="17"/>
  <c r="M15293" i="17"/>
  <c r="M15292" i="17"/>
  <c r="M15291" i="17"/>
  <c r="M15290" i="17"/>
  <c r="M15289" i="17"/>
  <c r="M15288" i="17"/>
  <c r="M15287" i="17"/>
  <c r="M15286" i="17"/>
  <c r="M15285" i="17"/>
  <c r="M15284" i="17"/>
  <c r="M15283" i="17"/>
  <c r="M15282" i="17"/>
  <c r="M15281" i="17"/>
  <c r="M15280" i="17"/>
  <c r="M15279" i="17"/>
  <c r="M15278" i="17"/>
  <c r="M15277" i="17"/>
  <c r="M15276" i="17"/>
  <c r="M15275" i="17"/>
  <c r="M15274" i="17"/>
  <c r="M15273" i="17"/>
  <c r="M15272" i="17"/>
  <c r="M15271" i="17"/>
  <c r="M15270" i="17"/>
  <c r="M15269" i="17"/>
  <c r="M15268" i="17"/>
  <c r="M15267" i="17"/>
  <c r="M15266" i="17"/>
  <c r="M15265" i="17"/>
  <c r="M15264" i="17"/>
  <c r="M15263" i="17"/>
  <c r="M15262" i="17"/>
  <c r="M15261" i="17"/>
  <c r="M15260" i="17"/>
  <c r="M15259" i="17"/>
  <c r="M15258" i="17"/>
  <c r="M15257" i="17"/>
  <c r="M15256" i="17"/>
  <c r="M15255" i="17"/>
  <c r="M15254" i="17"/>
  <c r="M15253" i="17"/>
  <c r="M15252" i="17"/>
  <c r="M15251" i="17"/>
  <c r="M15250" i="17"/>
  <c r="M15249" i="17"/>
  <c r="M15248" i="17"/>
  <c r="M15247" i="17"/>
  <c r="M15246" i="17"/>
  <c r="M15245" i="17"/>
  <c r="M15244" i="17"/>
  <c r="M15243" i="17"/>
  <c r="M15242" i="17"/>
  <c r="M15241" i="17"/>
  <c r="M15240" i="17"/>
  <c r="M15239" i="17"/>
  <c r="M15238" i="17"/>
  <c r="M15237" i="17"/>
  <c r="M15236" i="17"/>
  <c r="M15235" i="17"/>
  <c r="M15234" i="17"/>
  <c r="M15233" i="17"/>
  <c r="M15232" i="17"/>
  <c r="M15231" i="17"/>
  <c r="M15230" i="17"/>
  <c r="M15229" i="17"/>
  <c r="M15228" i="17"/>
  <c r="M15227" i="17"/>
  <c r="M15226" i="17"/>
  <c r="M15225" i="17"/>
  <c r="M15224" i="17"/>
  <c r="M15223" i="17"/>
  <c r="M15222" i="17"/>
  <c r="M15221" i="17"/>
  <c r="M15220" i="17"/>
  <c r="M15219" i="17"/>
  <c r="M15218" i="17"/>
  <c r="M15217" i="17"/>
  <c r="M15216" i="17"/>
  <c r="M15215" i="17"/>
  <c r="M15214" i="17"/>
  <c r="M15213" i="17"/>
  <c r="M15212" i="17"/>
  <c r="M15211" i="17"/>
  <c r="M15210" i="17"/>
  <c r="M15209" i="17"/>
  <c r="M15208" i="17"/>
  <c r="M15207" i="17"/>
  <c r="M15206" i="17"/>
  <c r="M15205" i="17"/>
  <c r="M15204" i="17"/>
  <c r="M15203" i="17"/>
  <c r="M15202" i="17"/>
  <c r="M15201" i="17"/>
  <c r="M15200" i="17"/>
  <c r="M15199" i="17"/>
  <c r="M15198" i="17"/>
  <c r="M15197" i="17"/>
  <c r="M15196" i="17"/>
  <c r="M15195" i="17"/>
  <c r="M15194" i="17"/>
  <c r="M15193" i="17"/>
  <c r="M15192" i="17"/>
  <c r="M15191" i="17"/>
  <c r="M15190" i="17"/>
  <c r="M15189" i="17"/>
  <c r="M15188" i="17"/>
  <c r="M15187" i="17"/>
  <c r="M15186" i="17"/>
  <c r="M15185" i="17"/>
  <c r="M15184" i="17"/>
  <c r="M15183" i="17"/>
  <c r="M15182" i="17"/>
  <c r="M15181" i="17"/>
  <c r="M15180" i="17"/>
  <c r="M15179" i="17"/>
  <c r="M15178" i="17"/>
  <c r="M15177" i="17"/>
  <c r="M15176" i="17"/>
  <c r="M15175" i="17"/>
  <c r="M15174" i="17"/>
  <c r="M15173" i="17"/>
  <c r="M15172" i="17"/>
  <c r="M15171" i="17"/>
  <c r="M15170" i="17"/>
  <c r="M15169" i="17"/>
  <c r="M15168" i="17"/>
  <c r="M15167" i="17"/>
  <c r="M15166" i="17"/>
  <c r="M15165" i="17"/>
  <c r="M15164" i="17"/>
  <c r="M15163" i="17"/>
  <c r="M15162" i="17"/>
  <c r="M15161" i="17"/>
  <c r="M15160" i="17"/>
  <c r="M15159" i="17"/>
  <c r="M15158" i="17"/>
  <c r="M15157" i="17"/>
  <c r="M15156" i="17"/>
  <c r="M15155" i="17"/>
  <c r="M15154" i="17"/>
  <c r="M15153" i="17"/>
  <c r="M15152" i="17"/>
  <c r="M15151" i="17"/>
  <c r="M15150" i="17"/>
  <c r="M15149" i="17"/>
  <c r="M15148" i="17"/>
  <c r="M15147" i="17"/>
  <c r="M15146" i="17"/>
  <c r="M15145" i="17"/>
  <c r="M15144" i="17"/>
  <c r="M15143" i="17"/>
  <c r="M15142" i="17"/>
  <c r="M15141" i="17"/>
  <c r="M15140" i="17"/>
  <c r="M15139" i="17"/>
  <c r="M15138" i="17"/>
  <c r="M15137" i="17"/>
  <c r="M15136" i="17"/>
  <c r="M15135" i="17"/>
  <c r="M15134" i="17"/>
  <c r="M15133" i="17"/>
  <c r="M15132" i="17"/>
  <c r="M15131" i="17"/>
  <c r="M15130" i="17"/>
  <c r="M15129" i="17"/>
  <c r="M15128" i="17"/>
  <c r="M15127" i="17"/>
  <c r="M15126" i="17"/>
  <c r="M15125" i="17"/>
  <c r="M15124" i="17"/>
  <c r="M15123" i="17"/>
  <c r="M15122" i="17"/>
  <c r="M15121" i="17"/>
  <c r="M15120" i="17"/>
  <c r="M15119" i="17"/>
  <c r="M15118" i="17"/>
  <c r="M15117" i="17"/>
  <c r="M15116" i="17"/>
  <c r="M15115" i="17"/>
  <c r="M15114" i="17"/>
  <c r="M15113" i="17"/>
  <c r="M15112" i="17"/>
  <c r="M15111" i="17"/>
  <c r="M15110" i="17"/>
  <c r="M15109" i="17"/>
  <c r="M15108" i="17"/>
  <c r="M15107" i="17"/>
  <c r="M15106" i="17"/>
  <c r="M15105" i="17"/>
  <c r="M15104" i="17"/>
  <c r="M15103" i="17"/>
  <c r="M15102" i="17"/>
  <c r="M15101" i="17"/>
  <c r="M15100" i="17"/>
  <c r="M15099" i="17"/>
  <c r="M15098" i="17"/>
  <c r="M15097" i="17"/>
  <c r="M15096" i="17"/>
  <c r="M15095" i="17"/>
  <c r="M15094" i="17"/>
  <c r="M15093" i="17"/>
  <c r="M15092" i="17"/>
  <c r="M15091" i="17"/>
  <c r="M15090" i="17"/>
  <c r="M15089" i="17"/>
  <c r="M15088" i="17"/>
  <c r="M15087" i="17"/>
  <c r="M15086" i="17"/>
  <c r="M15085" i="17"/>
  <c r="M15084" i="17"/>
  <c r="M15083" i="17"/>
  <c r="M15082" i="17"/>
  <c r="M15081" i="17"/>
  <c r="M15080" i="17"/>
  <c r="M15079" i="17"/>
  <c r="M15078" i="17"/>
  <c r="M15077" i="17"/>
  <c r="M15076" i="17"/>
  <c r="M15075" i="17"/>
  <c r="M15074" i="17"/>
  <c r="M15073" i="17"/>
  <c r="M15072" i="17"/>
  <c r="M15071" i="17"/>
  <c r="M15070" i="17"/>
  <c r="M15069" i="17"/>
  <c r="M15068" i="17"/>
  <c r="M15067" i="17"/>
  <c r="M15066" i="17"/>
  <c r="M15065" i="17"/>
  <c r="M15064" i="17"/>
  <c r="M15063" i="17"/>
  <c r="M15062" i="17"/>
  <c r="M15061" i="17"/>
  <c r="M15060" i="17"/>
  <c r="M15059" i="17"/>
  <c r="M15058" i="17"/>
  <c r="M15057" i="17"/>
  <c r="M15056" i="17"/>
  <c r="M15055" i="17"/>
  <c r="M15054" i="17"/>
  <c r="M15053" i="17"/>
  <c r="M15052" i="17"/>
  <c r="M15051" i="17"/>
  <c r="M15050" i="17"/>
  <c r="M15049" i="17"/>
  <c r="M15048" i="17"/>
  <c r="M15047" i="17"/>
  <c r="M15046" i="17"/>
  <c r="M15045" i="17"/>
  <c r="M15044" i="17"/>
  <c r="M15043" i="17"/>
  <c r="M15042" i="17"/>
  <c r="M15041" i="17"/>
  <c r="M15040" i="17"/>
  <c r="M15039" i="17"/>
  <c r="M15038" i="17"/>
  <c r="M15037" i="17"/>
  <c r="M15036" i="17"/>
  <c r="M15035" i="17"/>
  <c r="M15034" i="17"/>
  <c r="M15033" i="17"/>
  <c r="M15032" i="17"/>
  <c r="M15031" i="17"/>
  <c r="M15030" i="17"/>
  <c r="M15029" i="17"/>
  <c r="M15028" i="17"/>
  <c r="M15027" i="17"/>
  <c r="M15026" i="17"/>
  <c r="M15025" i="17"/>
  <c r="M15024" i="17"/>
  <c r="M15023" i="17"/>
  <c r="M15022" i="17"/>
  <c r="M15021" i="17"/>
  <c r="M15020" i="17"/>
  <c r="M15019" i="17"/>
  <c r="M15018" i="17"/>
  <c r="M15017" i="17"/>
  <c r="M15016" i="17"/>
  <c r="M15015" i="17"/>
  <c r="M15014" i="17"/>
  <c r="M15013" i="17"/>
  <c r="M15012" i="17"/>
  <c r="M15011" i="17"/>
  <c r="M15010" i="17"/>
  <c r="M15009" i="17"/>
  <c r="M15008" i="17"/>
  <c r="M15007" i="17"/>
  <c r="M15006" i="17"/>
  <c r="M15005" i="17"/>
  <c r="M15004" i="17"/>
  <c r="M15003" i="17"/>
  <c r="M15002" i="17"/>
  <c r="M15001" i="17"/>
  <c r="M15000" i="17"/>
  <c r="M14999" i="17"/>
  <c r="M14998" i="17"/>
  <c r="M14997" i="17"/>
  <c r="M14996" i="17"/>
  <c r="M14995" i="17"/>
  <c r="M14994" i="17"/>
  <c r="M14993" i="17"/>
  <c r="M14992" i="17"/>
  <c r="M14991" i="17"/>
  <c r="M14990" i="17"/>
  <c r="M14989" i="17"/>
  <c r="M14988" i="17"/>
  <c r="M14987" i="17"/>
  <c r="M14986" i="17"/>
  <c r="M14985" i="17"/>
  <c r="M14984" i="17"/>
  <c r="M14983" i="17"/>
  <c r="M14982" i="17"/>
  <c r="M14981" i="17"/>
  <c r="M14980" i="17"/>
  <c r="M14979" i="17"/>
  <c r="M14978" i="17"/>
  <c r="M14977" i="17"/>
  <c r="M14976" i="17"/>
  <c r="M14975" i="17"/>
  <c r="M14974" i="17"/>
  <c r="M14973" i="17"/>
  <c r="M14972" i="17"/>
  <c r="M14971" i="17"/>
  <c r="M14970" i="17"/>
  <c r="M14969" i="17"/>
  <c r="M14968" i="17"/>
  <c r="M14967" i="17"/>
  <c r="M14966" i="17"/>
  <c r="M14965" i="17"/>
  <c r="M14964" i="17"/>
  <c r="M14963" i="17"/>
  <c r="M14962" i="17"/>
  <c r="M14961" i="17"/>
  <c r="M14960" i="17"/>
  <c r="M14959" i="17"/>
  <c r="M14958" i="17"/>
  <c r="M14957" i="17"/>
  <c r="M14956" i="17"/>
  <c r="M14955" i="17"/>
  <c r="M14954" i="17"/>
  <c r="M14953" i="17"/>
  <c r="M14952" i="17"/>
  <c r="M14951" i="17"/>
  <c r="M14950" i="17"/>
  <c r="M14949" i="17"/>
  <c r="M14948" i="17"/>
  <c r="M14947" i="17"/>
  <c r="M14946" i="17"/>
  <c r="M14945" i="17"/>
  <c r="M14944" i="17"/>
  <c r="M14943" i="17"/>
  <c r="M14942" i="17"/>
  <c r="M14941" i="17"/>
  <c r="M14940" i="17"/>
  <c r="M14939" i="17"/>
  <c r="M14938" i="17"/>
  <c r="M14937" i="17"/>
  <c r="M14936" i="17"/>
  <c r="M14935" i="17"/>
  <c r="M14934" i="17"/>
  <c r="M14933" i="17"/>
  <c r="M14932" i="17"/>
  <c r="M14931" i="17"/>
  <c r="M14930" i="17"/>
  <c r="M14929" i="17"/>
  <c r="M14928" i="17"/>
  <c r="M14927" i="17"/>
  <c r="M14926" i="17"/>
  <c r="M14925" i="17"/>
  <c r="M14924" i="17"/>
  <c r="M14923" i="17"/>
  <c r="M14922" i="17"/>
  <c r="M14921" i="17"/>
  <c r="M14920" i="17"/>
  <c r="M14919" i="17"/>
  <c r="M14918" i="17"/>
  <c r="M14917" i="17"/>
  <c r="M14916" i="17"/>
  <c r="M14915" i="17"/>
  <c r="M14914" i="17"/>
  <c r="M14913" i="17"/>
  <c r="M14912" i="17"/>
  <c r="M14911" i="17"/>
  <c r="M14910" i="17"/>
  <c r="M14909" i="17"/>
  <c r="M14908" i="17"/>
  <c r="M14907" i="17"/>
  <c r="M14906" i="17"/>
  <c r="M14905" i="17"/>
  <c r="M14904" i="17"/>
  <c r="M14903" i="17"/>
  <c r="M14902" i="17"/>
  <c r="M14901" i="17"/>
  <c r="M14900" i="17"/>
  <c r="M14899" i="17"/>
  <c r="M14898" i="17"/>
  <c r="M14897" i="17"/>
  <c r="M14896" i="17"/>
  <c r="M14895" i="17"/>
  <c r="M14894" i="17"/>
  <c r="M14893" i="17"/>
  <c r="M14892" i="17"/>
  <c r="M14891" i="17"/>
  <c r="M14890" i="17"/>
  <c r="M14889" i="17"/>
  <c r="M14888" i="17"/>
  <c r="M14887" i="17"/>
  <c r="M14886" i="17"/>
  <c r="M14885" i="17"/>
  <c r="M14884" i="17"/>
  <c r="M14883" i="17"/>
  <c r="M14882" i="17"/>
  <c r="M14881" i="17"/>
  <c r="M14880" i="17"/>
  <c r="M14879" i="17"/>
  <c r="M14878" i="17"/>
  <c r="M14877" i="17"/>
  <c r="M14876" i="17"/>
  <c r="M14875" i="17"/>
  <c r="M14874" i="17"/>
  <c r="M14873" i="17"/>
  <c r="M14872" i="17"/>
  <c r="M14871" i="17"/>
  <c r="M14870" i="17"/>
  <c r="M14869" i="17"/>
  <c r="M14868" i="17"/>
  <c r="M14867" i="17"/>
  <c r="M14866" i="17"/>
  <c r="M14865" i="17"/>
  <c r="M14864" i="17"/>
  <c r="M14863" i="17"/>
  <c r="M14862" i="17"/>
  <c r="M14861" i="17"/>
  <c r="M14860" i="17"/>
  <c r="M14859" i="17"/>
  <c r="M14858" i="17"/>
  <c r="M14857" i="17"/>
  <c r="M14856" i="17"/>
  <c r="M14855" i="17"/>
  <c r="M14854" i="17"/>
  <c r="M14853" i="17"/>
  <c r="M14852" i="17"/>
  <c r="M14851" i="17"/>
  <c r="M14850" i="17"/>
  <c r="M14849" i="17"/>
  <c r="M14848" i="17"/>
  <c r="M14847" i="17"/>
  <c r="M14846" i="17"/>
  <c r="M14845" i="17"/>
  <c r="M14844" i="17"/>
  <c r="M14843" i="17"/>
  <c r="M14842" i="17"/>
  <c r="M14841" i="17"/>
  <c r="M14840" i="17"/>
  <c r="M14839" i="17"/>
  <c r="M14838" i="17"/>
  <c r="M14837" i="17"/>
  <c r="M14836" i="17"/>
  <c r="M14835" i="17"/>
  <c r="M14834" i="17"/>
  <c r="M14833" i="17"/>
  <c r="M14832" i="17"/>
  <c r="M14831" i="17"/>
  <c r="M14830" i="17"/>
  <c r="M14829" i="17"/>
  <c r="M14828" i="17"/>
  <c r="M14827" i="17"/>
  <c r="M14826" i="17"/>
  <c r="M14825" i="17"/>
  <c r="M14824" i="17"/>
  <c r="M14823" i="17"/>
  <c r="M14822" i="17"/>
  <c r="M14821" i="17"/>
  <c r="M14820" i="17"/>
  <c r="M14819" i="17"/>
  <c r="M14818" i="17"/>
  <c r="M14817" i="17"/>
  <c r="M14816" i="17"/>
  <c r="M14815" i="17"/>
  <c r="M14814" i="17"/>
  <c r="M14813" i="17"/>
  <c r="M14812" i="17"/>
  <c r="M14811" i="17"/>
  <c r="M14810" i="17"/>
  <c r="M14809" i="17"/>
  <c r="M14808" i="17"/>
  <c r="M14807" i="17"/>
  <c r="M14806" i="17"/>
  <c r="M14805" i="17"/>
  <c r="M14804" i="17"/>
  <c r="M14803" i="17"/>
  <c r="M14802" i="17"/>
  <c r="M14801" i="17"/>
  <c r="M14800" i="17"/>
  <c r="M14799" i="17"/>
  <c r="M14798" i="17"/>
  <c r="M14797" i="17"/>
  <c r="M14796" i="17"/>
  <c r="M14795" i="17"/>
  <c r="M14794" i="17"/>
  <c r="M14793" i="17"/>
  <c r="M14792" i="17"/>
  <c r="M14791" i="17"/>
  <c r="M14790" i="17"/>
  <c r="M14789" i="17"/>
  <c r="M14788" i="17"/>
  <c r="M14787" i="17"/>
  <c r="M14786" i="17"/>
  <c r="M14785" i="17"/>
  <c r="M14784" i="17"/>
  <c r="M14783" i="17"/>
  <c r="M14782" i="17"/>
  <c r="M14781" i="17"/>
  <c r="M14780" i="17"/>
  <c r="M14779" i="17"/>
  <c r="M14778" i="17"/>
  <c r="M14777" i="17"/>
  <c r="M14776" i="17"/>
  <c r="M14775" i="17"/>
  <c r="M14774" i="17"/>
  <c r="M14773" i="17"/>
  <c r="M14772" i="17"/>
  <c r="M14771" i="17"/>
  <c r="M14770" i="17"/>
  <c r="M14769" i="17"/>
  <c r="M14768" i="17"/>
  <c r="M14767" i="17"/>
  <c r="M14766" i="17"/>
  <c r="M14765" i="17"/>
  <c r="M14764" i="17"/>
  <c r="M14763" i="17"/>
  <c r="M14762" i="17"/>
  <c r="M14761" i="17"/>
  <c r="M14760" i="17"/>
  <c r="M14759" i="17"/>
  <c r="M14758" i="17"/>
  <c r="M14757" i="17"/>
  <c r="M14756" i="17"/>
  <c r="M14755" i="17"/>
  <c r="M14754" i="17"/>
  <c r="M14753" i="17"/>
  <c r="M14752" i="17"/>
  <c r="M14751" i="17"/>
  <c r="M14750" i="17"/>
  <c r="M14749" i="17"/>
  <c r="M14748" i="17"/>
  <c r="M14747" i="17"/>
  <c r="M14746" i="17"/>
  <c r="M14745" i="17"/>
  <c r="M14744" i="17"/>
  <c r="M14743" i="17"/>
  <c r="M14742" i="17"/>
  <c r="M14741" i="17"/>
  <c r="M14740" i="17"/>
  <c r="M14739" i="17"/>
  <c r="M14738" i="17"/>
  <c r="M14737" i="17"/>
  <c r="M14736" i="17"/>
  <c r="M14735" i="17"/>
  <c r="M14734" i="17"/>
  <c r="M14733" i="17"/>
  <c r="M14732" i="17"/>
  <c r="M14731" i="17"/>
  <c r="M14730" i="17"/>
  <c r="M14729" i="17"/>
  <c r="M14728" i="17"/>
  <c r="M14727" i="17"/>
  <c r="M14726" i="17"/>
  <c r="M14725" i="17"/>
  <c r="M14724" i="17"/>
  <c r="M14723" i="17"/>
  <c r="M14722" i="17"/>
  <c r="M14721" i="17"/>
  <c r="M14720" i="17"/>
  <c r="M14719" i="17"/>
  <c r="M14718" i="17"/>
  <c r="M14717" i="17"/>
  <c r="M14716" i="17"/>
  <c r="M14715" i="17"/>
  <c r="M14714" i="17"/>
  <c r="M14713" i="17"/>
  <c r="M14712" i="17"/>
  <c r="M14711" i="17"/>
  <c r="M14710" i="17"/>
  <c r="M14709" i="17"/>
  <c r="M14708" i="17"/>
  <c r="M14707" i="17"/>
  <c r="M14706" i="17"/>
  <c r="M14705" i="17"/>
  <c r="M14704" i="17"/>
  <c r="M14703" i="17"/>
  <c r="M14702" i="17"/>
  <c r="M14701" i="17"/>
  <c r="M14700" i="17"/>
  <c r="M14699" i="17"/>
  <c r="M14698" i="17"/>
  <c r="M14697" i="17"/>
  <c r="M14696" i="17"/>
  <c r="M14695" i="17"/>
  <c r="M14694" i="17"/>
  <c r="M14693" i="17"/>
  <c r="M14692" i="17"/>
  <c r="M14691" i="17"/>
  <c r="M14690" i="17"/>
  <c r="M14689" i="17"/>
  <c r="M14688" i="17"/>
  <c r="M14687" i="17"/>
  <c r="M14686" i="17"/>
  <c r="M14685" i="17"/>
  <c r="M14684" i="17"/>
  <c r="M14683" i="17"/>
  <c r="M14682" i="17"/>
  <c r="M14681" i="17"/>
  <c r="M14680" i="17"/>
  <c r="M14679" i="17"/>
  <c r="M14678" i="17"/>
  <c r="M14677" i="17"/>
  <c r="M14676" i="17"/>
  <c r="M14675" i="17"/>
  <c r="M14674" i="17"/>
  <c r="M14673" i="17"/>
  <c r="M14672" i="17"/>
  <c r="M14671" i="17"/>
  <c r="M14670" i="17"/>
  <c r="M14669" i="17"/>
  <c r="M14668" i="17"/>
  <c r="M14667" i="17"/>
  <c r="M14666" i="17"/>
  <c r="M14665" i="17"/>
  <c r="M14664" i="17"/>
  <c r="M14663" i="17"/>
  <c r="M14662" i="17"/>
  <c r="M14661" i="17"/>
  <c r="M14660" i="17"/>
  <c r="M14659" i="17"/>
  <c r="M14658" i="17"/>
  <c r="M14657" i="17"/>
  <c r="M14656" i="17"/>
  <c r="M14655" i="17"/>
  <c r="M14654" i="17"/>
  <c r="M14653" i="17"/>
  <c r="M14652" i="17"/>
  <c r="M14651" i="17"/>
  <c r="M14650" i="17"/>
  <c r="M14649" i="17"/>
  <c r="M14648" i="17"/>
  <c r="M14647" i="17"/>
  <c r="M14646" i="17"/>
  <c r="M14645" i="17"/>
  <c r="M14644" i="17"/>
  <c r="M14643" i="17"/>
  <c r="M14642" i="17"/>
  <c r="M14641" i="17"/>
  <c r="M14640" i="17"/>
  <c r="M14639" i="17"/>
  <c r="M14638" i="17"/>
  <c r="M14637" i="17"/>
  <c r="M14636" i="17"/>
  <c r="M14635" i="17"/>
  <c r="M14634" i="17"/>
  <c r="M14633" i="17"/>
  <c r="M14632" i="17"/>
  <c r="M14631" i="17"/>
  <c r="M14630" i="17"/>
  <c r="M14629" i="17"/>
  <c r="M14628" i="17"/>
  <c r="M14627" i="17"/>
  <c r="M14626" i="17"/>
  <c r="M14625" i="17"/>
  <c r="M14624" i="17"/>
  <c r="M14623" i="17"/>
  <c r="M14622" i="17"/>
  <c r="M14621" i="17"/>
  <c r="M14620" i="17"/>
  <c r="M14619" i="17"/>
  <c r="M14618" i="17"/>
  <c r="M14617" i="17"/>
  <c r="M14616" i="17"/>
  <c r="M14615" i="17"/>
  <c r="M14614" i="17"/>
  <c r="M14613" i="17"/>
  <c r="M14612" i="17"/>
  <c r="M14611" i="17"/>
  <c r="M14610" i="17"/>
  <c r="M14609" i="17"/>
  <c r="M14608" i="17"/>
  <c r="M14607" i="17"/>
  <c r="M14606" i="17"/>
  <c r="M14605" i="17"/>
  <c r="M14604" i="17"/>
  <c r="M14603" i="17"/>
  <c r="M14602" i="17"/>
  <c r="M14601" i="17"/>
  <c r="M14600" i="17"/>
  <c r="M14599" i="17"/>
  <c r="M14598" i="17"/>
  <c r="M14597" i="17"/>
  <c r="M14596" i="17"/>
  <c r="M14595" i="17"/>
  <c r="M14594" i="17"/>
  <c r="M14593" i="17"/>
  <c r="M14592" i="17"/>
  <c r="M14591" i="17"/>
  <c r="M14590" i="17"/>
  <c r="M14589" i="17"/>
  <c r="M14588" i="17"/>
  <c r="M14587" i="17"/>
  <c r="M14586" i="17"/>
  <c r="M14585" i="17"/>
  <c r="M14584" i="17"/>
  <c r="M14583" i="17"/>
  <c r="M14582" i="17"/>
  <c r="M14581" i="17"/>
  <c r="M14580" i="17"/>
  <c r="M14579" i="17"/>
  <c r="M14578" i="17"/>
  <c r="M14577" i="17"/>
  <c r="M14576" i="17"/>
  <c r="M14575" i="17"/>
  <c r="M14574" i="17"/>
  <c r="M14573" i="17"/>
  <c r="M14572" i="17"/>
  <c r="M14571" i="17"/>
  <c r="M14570" i="17"/>
  <c r="M14569" i="17"/>
  <c r="M14568" i="17"/>
  <c r="M14567" i="17"/>
  <c r="M14566" i="17"/>
  <c r="M14565" i="17"/>
  <c r="M14564" i="17"/>
  <c r="M14563" i="17"/>
  <c r="M14562" i="17"/>
  <c r="M14561" i="17"/>
  <c r="M14560" i="17"/>
  <c r="M14559" i="17"/>
  <c r="M14558" i="17"/>
  <c r="M14557" i="17"/>
  <c r="M14556" i="17"/>
  <c r="M14555" i="17"/>
  <c r="M14554" i="17"/>
  <c r="M14553" i="17"/>
  <c r="M14552" i="17"/>
  <c r="M14551" i="17"/>
  <c r="M14550" i="17"/>
  <c r="M14549" i="17"/>
  <c r="M14548" i="17"/>
  <c r="M14547" i="17"/>
  <c r="M14546" i="17"/>
  <c r="M14545" i="17"/>
  <c r="M14544" i="17"/>
  <c r="M14543" i="17"/>
  <c r="M14542" i="17"/>
  <c r="M14541" i="17"/>
  <c r="M14540" i="17"/>
  <c r="M14539" i="17"/>
  <c r="M14538" i="17"/>
  <c r="M14537" i="17"/>
  <c r="M14536" i="17"/>
  <c r="M14535" i="17"/>
  <c r="M14534" i="17"/>
  <c r="M14533" i="17"/>
  <c r="M14532" i="17"/>
  <c r="M14531" i="17"/>
  <c r="M14530" i="17"/>
  <c r="M14529" i="17"/>
  <c r="M14528" i="17"/>
  <c r="M14527" i="17"/>
  <c r="M14526" i="17"/>
  <c r="M14525" i="17"/>
  <c r="M14524" i="17"/>
  <c r="M14523" i="17"/>
  <c r="M14522" i="17"/>
  <c r="M14521" i="17"/>
  <c r="M14520" i="17"/>
  <c r="M14519" i="17"/>
  <c r="M14518" i="17"/>
  <c r="M14517" i="17"/>
  <c r="M14516" i="17"/>
  <c r="M14515" i="17"/>
  <c r="M14514" i="17"/>
  <c r="M14513" i="17"/>
  <c r="M14512" i="17"/>
  <c r="M14511" i="17"/>
  <c r="M14510" i="17"/>
  <c r="M14509" i="17"/>
  <c r="M14508" i="17"/>
  <c r="M14507" i="17"/>
  <c r="M14506" i="17"/>
  <c r="M14505" i="17"/>
  <c r="M14504" i="17"/>
  <c r="M14503" i="17"/>
  <c r="M14502" i="17"/>
  <c r="M14501" i="17"/>
  <c r="M14500" i="17"/>
  <c r="M14499" i="17"/>
  <c r="M14498" i="17"/>
  <c r="M14497" i="17"/>
  <c r="M14496" i="17"/>
  <c r="M14495" i="17"/>
  <c r="M14494" i="17"/>
  <c r="M14493" i="17"/>
  <c r="M14492" i="17"/>
  <c r="M14491" i="17"/>
  <c r="M14490" i="17"/>
  <c r="M14489" i="17"/>
  <c r="M14488" i="17"/>
  <c r="M14487" i="17"/>
  <c r="M14486" i="17"/>
  <c r="M14485" i="17"/>
  <c r="M14484" i="17"/>
  <c r="M14483" i="17"/>
  <c r="M14482" i="17"/>
  <c r="M14481" i="17"/>
  <c r="M14480" i="17"/>
  <c r="M14479" i="17"/>
  <c r="M14478" i="17"/>
  <c r="M14477" i="17"/>
  <c r="M14476" i="17"/>
  <c r="M14475" i="17"/>
  <c r="M14474" i="17"/>
  <c r="M14473" i="17"/>
  <c r="M14472" i="17"/>
  <c r="M14471" i="17"/>
  <c r="M14470" i="17"/>
  <c r="M14469" i="17"/>
  <c r="M14468" i="17"/>
  <c r="M14467" i="17"/>
  <c r="M14466" i="17"/>
  <c r="M14465" i="17"/>
  <c r="M14464" i="17"/>
  <c r="M14463" i="17"/>
  <c r="M14462" i="17"/>
  <c r="M14461" i="17"/>
  <c r="M14460" i="17"/>
  <c r="M14459" i="17"/>
  <c r="M14458" i="17"/>
  <c r="M14457" i="17"/>
  <c r="M14456" i="17"/>
  <c r="M14455" i="17"/>
  <c r="M14454" i="17"/>
  <c r="M14453" i="17"/>
  <c r="M14452" i="17"/>
  <c r="M14451" i="17"/>
  <c r="M14450" i="17"/>
  <c r="M14449" i="17"/>
  <c r="M14448" i="17"/>
  <c r="M14447" i="17"/>
  <c r="M14446" i="17"/>
  <c r="M14445" i="17"/>
  <c r="M14444" i="17"/>
  <c r="M14443" i="17"/>
  <c r="M14442" i="17"/>
  <c r="M14441" i="17"/>
  <c r="M14440" i="17"/>
  <c r="M14439" i="17"/>
  <c r="M14438" i="17"/>
  <c r="M14437" i="17"/>
  <c r="M14436" i="17"/>
  <c r="M14435" i="17"/>
  <c r="M14434" i="17"/>
  <c r="M14433" i="17"/>
  <c r="M14432" i="17"/>
  <c r="M14431" i="17"/>
  <c r="M14430" i="17"/>
  <c r="M14429" i="17"/>
  <c r="M14428" i="17"/>
  <c r="M14427" i="17"/>
  <c r="M14426" i="17"/>
  <c r="M14425" i="17"/>
  <c r="M14424" i="17"/>
  <c r="M14423" i="17"/>
  <c r="M14422" i="17"/>
  <c r="M14421" i="17"/>
  <c r="M14420" i="17"/>
  <c r="M14419" i="17"/>
  <c r="M14418" i="17"/>
  <c r="M14417" i="17"/>
  <c r="M14416" i="17"/>
  <c r="M14415" i="17"/>
  <c r="M14414" i="17"/>
  <c r="M14413" i="17"/>
  <c r="M14412" i="17"/>
  <c r="M14411" i="17"/>
  <c r="M14410" i="17"/>
  <c r="M14409" i="17"/>
  <c r="M14408" i="17"/>
  <c r="M14407" i="17"/>
  <c r="M14406" i="17"/>
  <c r="M14405" i="17"/>
  <c r="M14404" i="17"/>
  <c r="M14403" i="17"/>
  <c r="M14402" i="17"/>
  <c r="M14401" i="17"/>
  <c r="M14400" i="17"/>
  <c r="M14399" i="17"/>
  <c r="M14398" i="17"/>
  <c r="M14397" i="17"/>
  <c r="M14396" i="17"/>
  <c r="M14395" i="17"/>
  <c r="M14394" i="17"/>
  <c r="M14393" i="17"/>
  <c r="M14392" i="17"/>
  <c r="M14391" i="17"/>
  <c r="M14390" i="17"/>
  <c r="M14389" i="17"/>
  <c r="M14388" i="17"/>
  <c r="M14387" i="17"/>
  <c r="M14386" i="17"/>
  <c r="M14385" i="17"/>
  <c r="M14384" i="17"/>
  <c r="M14383" i="17"/>
  <c r="M14382" i="17"/>
  <c r="M14381" i="17"/>
  <c r="M14380" i="17"/>
  <c r="M14379" i="17"/>
  <c r="M14378" i="17"/>
  <c r="M14377" i="17"/>
  <c r="M14376" i="17"/>
  <c r="M14375" i="17"/>
  <c r="M14374" i="17"/>
  <c r="M14373" i="17"/>
  <c r="M14372" i="17"/>
  <c r="M14371" i="17"/>
  <c r="M14370" i="17"/>
  <c r="M14369" i="17"/>
  <c r="M14368" i="17"/>
  <c r="M14367" i="17"/>
  <c r="M14366" i="17"/>
  <c r="M14365" i="17"/>
  <c r="M14364" i="17"/>
  <c r="M14363" i="17"/>
  <c r="M14362" i="17"/>
  <c r="M14361" i="17"/>
  <c r="M14360" i="17"/>
  <c r="M14359" i="17"/>
  <c r="M14358" i="17"/>
  <c r="M14357" i="17"/>
  <c r="M14356" i="17"/>
  <c r="M14355" i="17"/>
  <c r="M14354" i="17"/>
  <c r="M14353" i="17"/>
  <c r="M14352" i="17"/>
  <c r="M14351" i="17"/>
  <c r="M14350" i="17"/>
  <c r="M14349" i="17"/>
  <c r="M14348" i="17"/>
  <c r="M14347" i="17"/>
  <c r="M14346" i="17"/>
  <c r="M14345" i="17"/>
  <c r="M14344" i="17"/>
  <c r="M14343" i="17"/>
  <c r="M14342" i="17"/>
  <c r="M14341" i="17"/>
  <c r="M14340" i="17"/>
  <c r="M14339" i="17"/>
  <c r="M14338" i="17"/>
  <c r="M14337" i="17"/>
  <c r="M14336" i="17"/>
  <c r="M14335" i="17"/>
  <c r="M14334" i="17"/>
  <c r="M14333" i="17"/>
  <c r="M14332" i="17"/>
  <c r="M14331" i="17"/>
  <c r="M14330" i="17"/>
  <c r="M14329" i="17"/>
  <c r="M14328" i="17"/>
  <c r="M14327" i="17"/>
  <c r="M14326" i="17"/>
  <c r="M14325" i="17"/>
  <c r="M14324" i="17"/>
  <c r="M14323" i="17"/>
  <c r="M14322" i="17"/>
  <c r="M14321" i="17"/>
  <c r="M14320" i="17"/>
  <c r="M14319" i="17"/>
  <c r="M14318" i="17"/>
  <c r="M14317" i="17"/>
  <c r="M14316" i="17"/>
  <c r="M14315" i="17"/>
  <c r="M14314" i="17"/>
  <c r="M14313" i="17"/>
  <c r="M14312" i="17"/>
  <c r="M14311" i="17"/>
  <c r="M14310" i="17"/>
  <c r="M14309" i="17"/>
  <c r="M14308" i="17"/>
  <c r="M14307" i="17"/>
  <c r="M14306" i="17"/>
  <c r="M14305" i="17"/>
  <c r="M14304" i="17"/>
  <c r="M14303" i="17"/>
  <c r="M14302" i="17"/>
  <c r="M14301" i="17"/>
  <c r="M14300" i="17"/>
  <c r="M14299" i="17"/>
  <c r="M14298" i="17"/>
  <c r="M14297" i="17"/>
  <c r="M14296" i="17"/>
  <c r="M14295" i="17"/>
  <c r="M14294" i="17"/>
  <c r="M14293" i="17"/>
  <c r="M14292" i="17"/>
  <c r="M14291" i="17"/>
  <c r="M14290" i="17"/>
  <c r="M14289" i="17"/>
  <c r="M14288" i="17"/>
  <c r="M14287" i="17"/>
  <c r="M14286" i="17"/>
  <c r="M14285" i="17"/>
  <c r="M14284" i="17"/>
  <c r="M14283" i="17"/>
  <c r="M14282" i="17"/>
  <c r="M14281" i="17"/>
  <c r="M14280" i="17"/>
  <c r="M14279" i="17"/>
  <c r="M14278" i="17"/>
  <c r="M14277" i="17"/>
  <c r="M14276" i="17"/>
  <c r="M14275" i="17"/>
  <c r="M14274" i="17"/>
  <c r="M14273" i="17"/>
  <c r="M14272" i="17"/>
  <c r="M14271" i="17"/>
  <c r="M14270" i="17"/>
  <c r="M14269" i="17"/>
  <c r="M14268" i="17"/>
  <c r="M14267" i="17"/>
  <c r="M14266" i="17"/>
  <c r="M14265" i="17"/>
  <c r="M14264" i="17"/>
  <c r="M14263" i="17"/>
  <c r="M14262" i="17"/>
  <c r="M14261" i="17"/>
  <c r="M14260" i="17"/>
  <c r="M14259" i="17"/>
  <c r="M14258" i="17"/>
  <c r="M14257" i="17"/>
  <c r="M14256" i="17"/>
  <c r="M14255" i="17"/>
  <c r="M14254" i="17"/>
  <c r="M14253" i="17"/>
  <c r="M14252" i="17"/>
  <c r="M14251" i="17"/>
  <c r="M14250" i="17"/>
  <c r="M14249" i="17"/>
  <c r="M14248" i="17"/>
  <c r="M14247" i="17"/>
  <c r="M14246" i="17"/>
  <c r="M14245" i="17"/>
  <c r="M14244" i="17"/>
  <c r="M14243" i="17"/>
  <c r="M14242" i="17"/>
  <c r="M14241" i="17"/>
  <c r="M14240" i="17"/>
  <c r="M14239" i="17"/>
  <c r="M14238" i="17"/>
  <c r="M14237" i="17"/>
  <c r="M14236" i="17"/>
  <c r="M14235" i="17"/>
  <c r="M14234" i="17"/>
  <c r="M14233" i="17"/>
  <c r="M14232" i="17"/>
  <c r="M14231" i="17"/>
  <c r="M14230" i="17"/>
  <c r="M14229" i="17"/>
  <c r="M14228" i="17"/>
  <c r="M14227" i="17"/>
  <c r="M14226" i="17"/>
  <c r="M14225" i="17"/>
  <c r="M14224" i="17"/>
  <c r="M14223" i="17"/>
  <c r="M14222" i="17"/>
  <c r="M14221" i="17"/>
  <c r="M14220" i="17"/>
  <c r="M14219" i="17"/>
  <c r="M14218" i="17"/>
  <c r="M14217" i="17"/>
  <c r="M14216" i="17"/>
  <c r="M14215" i="17"/>
  <c r="M14214" i="17"/>
  <c r="M14213" i="17"/>
  <c r="M14212" i="17"/>
  <c r="M14211" i="17"/>
  <c r="M14210" i="17"/>
  <c r="M14209" i="17"/>
  <c r="M14208" i="17"/>
  <c r="M14207" i="17"/>
  <c r="M14206" i="17"/>
  <c r="M14205" i="17"/>
  <c r="M14204" i="17"/>
  <c r="M14203" i="17"/>
  <c r="M14202" i="17"/>
  <c r="M14201" i="17"/>
  <c r="M14200" i="17"/>
  <c r="M14199" i="17"/>
  <c r="M14198" i="17"/>
  <c r="M14197" i="17"/>
  <c r="M14196" i="17"/>
  <c r="M14195" i="17"/>
  <c r="M14194" i="17"/>
  <c r="M14193" i="17"/>
  <c r="M14192" i="17"/>
  <c r="M14191" i="17"/>
  <c r="M14190" i="17"/>
  <c r="M14189" i="17"/>
  <c r="M14188" i="17"/>
  <c r="M14187" i="17"/>
  <c r="M14186" i="17"/>
  <c r="M14185" i="17"/>
  <c r="M14184" i="17"/>
  <c r="M14183" i="17"/>
  <c r="M14182" i="17"/>
  <c r="M14181" i="17"/>
  <c r="M14180" i="17"/>
  <c r="M14179" i="17"/>
  <c r="M14178" i="17"/>
  <c r="M14177" i="17"/>
  <c r="M14176" i="17"/>
  <c r="M14175" i="17"/>
  <c r="M14174" i="17"/>
  <c r="M14173" i="17"/>
  <c r="M14172" i="17"/>
  <c r="M14171" i="17"/>
  <c r="M14170" i="17"/>
  <c r="M14169" i="17"/>
  <c r="M14168" i="17"/>
  <c r="M14167" i="17"/>
  <c r="M14166" i="17"/>
  <c r="M14165" i="17"/>
  <c r="M14164" i="17"/>
  <c r="M14163" i="17"/>
  <c r="M14162" i="17"/>
  <c r="M14161" i="17"/>
  <c r="M14160" i="17"/>
  <c r="M14159" i="17"/>
  <c r="M14158" i="17"/>
  <c r="M14157" i="17"/>
  <c r="M14156" i="17"/>
  <c r="M14155" i="17"/>
  <c r="M14154" i="17"/>
  <c r="M14153" i="17"/>
  <c r="M14152" i="17"/>
  <c r="M14151" i="17"/>
  <c r="M14150" i="17"/>
  <c r="M14149" i="17"/>
  <c r="M14148" i="17"/>
  <c r="M14147" i="17"/>
  <c r="M14146" i="17"/>
  <c r="M14145" i="17"/>
  <c r="M14144" i="17"/>
  <c r="M14143" i="17"/>
  <c r="M14142" i="17"/>
  <c r="M14141" i="17"/>
  <c r="M14140" i="17"/>
  <c r="M14139" i="17"/>
  <c r="M14138" i="17"/>
  <c r="M14137" i="17"/>
  <c r="M14136" i="17"/>
  <c r="M14135" i="17"/>
  <c r="M14134" i="17"/>
  <c r="M14133" i="17"/>
  <c r="M14132" i="17"/>
  <c r="M14131" i="17"/>
  <c r="M14130" i="17"/>
  <c r="M14129" i="17"/>
  <c r="M14128" i="17"/>
  <c r="M14127" i="17"/>
  <c r="M14126" i="17"/>
  <c r="M14125" i="17"/>
  <c r="M14124" i="17"/>
  <c r="M14123" i="17"/>
  <c r="M14122" i="17"/>
  <c r="M14121" i="17"/>
  <c r="M14120" i="17"/>
  <c r="M14119" i="17"/>
  <c r="M14118" i="17"/>
  <c r="M14117" i="17"/>
  <c r="M14116" i="17"/>
  <c r="M14115" i="17"/>
  <c r="M14114" i="17"/>
  <c r="M14113" i="17"/>
  <c r="M14112" i="17"/>
  <c r="M14111" i="17"/>
  <c r="M14110" i="17"/>
  <c r="M14109" i="17"/>
  <c r="M14108" i="17"/>
  <c r="M14107" i="17"/>
  <c r="M14106" i="17"/>
  <c r="M14105" i="17"/>
  <c r="M14104" i="17"/>
  <c r="M14103" i="17"/>
  <c r="M14102" i="17"/>
  <c r="M14101" i="17"/>
  <c r="M14100" i="17"/>
  <c r="M14099" i="17"/>
  <c r="M14098" i="17"/>
  <c r="M14097" i="17"/>
  <c r="M14096" i="17"/>
  <c r="M14095" i="17"/>
  <c r="M14094" i="17"/>
  <c r="M14093" i="17"/>
  <c r="M14092" i="17"/>
  <c r="M14091" i="17"/>
  <c r="M14090" i="17"/>
  <c r="M14089" i="17"/>
  <c r="M14088" i="17"/>
  <c r="M14087" i="17"/>
  <c r="M14086" i="17"/>
  <c r="M14085" i="17"/>
  <c r="M14084" i="17"/>
  <c r="M14083" i="17"/>
  <c r="M14082" i="17"/>
  <c r="M14081" i="17"/>
  <c r="M14080" i="17"/>
  <c r="M14079" i="17"/>
  <c r="M14078" i="17"/>
  <c r="M14077" i="17"/>
  <c r="M14076" i="17"/>
  <c r="M14075" i="17"/>
  <c r="M14074" i="17"/>
  <c r="M14073" i="17"/>
  <c r="M14072" i="17"/>
  <c r="M14071" i="17"/>
  <c r="M14070" i="17"/>
  <c r="M14069" i="17"/>
  <c r="M14068" i="17"/>
  <c r="M14067" i="17"/>
  <c r="M14066" i="17"/>
  <c r="M14065" i="17"/>
  <c r="M14064" i="17"/>
  <c r="M14063" i="17"/>
  <c r="M14062" i="17"/>
  <c r="M14061" i="17"/>
  <c r="M14060" i="17"/>
  <c r="M14059" i="17"/>
  <c r="M14058" i="17"/>
  <c r="M14057" i="17"/>
  <c r="M14056" i="17"/>
  <c r="M14055" i="17"/>
  <c r="M14054" i="17"/>
  <c r="M14053" i="17"/>
  <c r="M14052" i="17"/>
  <c r="M14051" i="17"/>
  <c r="M14050" i="17"/>
  <c r="M14049" i="17"/>
  <c r="M14048" i="17"/>
  <c r="M14047" i="17"/>
  <c r="M14046" i="17"/>
  <c r="M14045" i="17"/>
  <c r="M14044" i="17"/>
  <c r="M14043" i="17"/>
  <c r="M14042" i="17"/>
  <c r="M14041" i="17"/>
  <c r="M14040" i="17"/>
  <c r="M14039" i="17"/>
  <c r="M14038" i="17"/>
  <c r="M14037" i="17"/>
  <c r="M14036" i="17"/>
  <c r="M14035" i="17"/>
  <c r="M14034" i="17"/>
  <c r="M14033" i="17"/>
  <c r="M14032" i="17"/>
  <c r="M14031" i="17"/>
  <c r="M14030" i="17"/>
  <c r="M14029" i="17"/>
  <c r="M14028" i="17"/>
  <c r="M14027" i="17"/>
  <c r="M14026" i="17"/>
  <c r="M14025" i="17"/>
  <c r="M14024" i="17"/>
  <c r="M14023" i="17"/>
  <c r="M14022" i="17"/>
  <c r="M14021" i="17"/>
  <c r="M14020" i="17"/>
  <c r="M14019" i="17"/>
  <c r="M14018" i="17"/>
  <c r="M14017" i="17"/>
  <c r="M14016" i="17"/>
  <c r="M14015" i="17"/>
  <c r="M14014" i="17"/>
  <c r="M14013" i="17"/>
  <c r="M14012" i="17"/>
  <c r="M14011" i="17"/>
  <c r="M14010" i="17"/>
  <c r="M14009" i="17"/>
  <c r="M14008" i="17"/>
  <c r="M14007" i="17"/>
  <c r="M14006" i="17"/>
  <c r="M14005" i="17"/>
  <c r="M14004" i="17"/>
  <c r="M14003" i="17"/>
  <c r="M14002" i="17"/>
  <c r="M14001" i="17"/>
  <c r="M14000" i="17"/>
  <c r="M13999" i="17"/>
  <c r="M13998" i="17"/>
  <c r="M13997" i="17"/>
  <c r="M13996" i="17"/>
  <c r="M13995" i="17"/>
  <c r="M13994" i="17"/>
  <c r="M13993" i="17"/>
  <c r="M13992" i="17"/>
  <c r="M13991" i="17"/>
  <c r="M13990" i="17"/>
  <c r="M13989" i="17"/>
  <c r="M13988" i="17"/>
  <c r="M13987" i="17"/>
  <c r="M13986" i="17"/>
  <c r="M13985" i="17"/>
  <c r="M13984" i="17"/>
  <c r="M13983" i="17"/>
  <c r="M13982" i="17"/>
  <c r="M13981" i="17"/>
  <c r="M13980" i="17"/>
  <c r="M13979" i="17"/>
  <c r="M13978" i="17"/>
  <c r="M13977" i="17"/>
  <c r="M13976" i="17"/>
  <c r="M13975" i="17"/>
  <c r="M13974" i="17"/>
  <c r="M13973" i="17"/>
  <c r="M13972" i="17"/>
  <c r="M13971" i="17"/>
  <c r="M13970" i="17"/>
  <c r="M13969" i="17"/>
  <c r="M13968" i="17"/>
  <c r="M13967" i="17"/>
  <c r="M13966" i="17"/>
  <c r="M13965" i="17"/>
  <c r="M13964" i="17"/>
  <c r="M13963" i="17"/>
  <c r="M13962" i="17"/>
  <c r="M13961" i="17"/>
  <c r="M13960" i="17"/>
  <c r="M13959" i="17"/>
  <c r="M13958" i="17"/>
  <c r="M13957" i="17"/>
  <c r="M13956" i="17"/>
  <c r="M13955" i="17"/>
  <c r="M13954" i="17"/>
  <c r="M13953" i="17"/>
  <c r="M13952" i="17"/>
  <c r="M13951" i="17"/>
  <c r="M13950" i="17"/>
  <c r="M13949" i="17"/>
  <c r="M13948" i="17"/>
  <c r="M13947" i="17"/>
  <c r="M13946" i="17"/>
  <c r="M13945" i="17"/>
  <c r="M13944" i="17"/>
  <c r="M13943" i="17"/>
  <c r="M13942" i="17"/>
  <c r="M13941" i="17"/>
  <c r="M13940" i="17"/>
  <c r="M13939" i="17"/>
  <c r="M13938" i="17"/>
  <c r="M13937" i="17"/>
  <c r="M13936" i="17"/>
  <c r="M13935" i="17"/>
  <c r="M13934" i="17"/>
  <c r="M13933" i="17"/>
  <c r="M13932" i="17"/>
  <c r="M13931" i="17"/>
  <c r="M13930" i="17"/>
  <c r="M13929" i="17"/>
  <c r="M13928" i="17"/>
  <c r="M13927" i="17"/>
  <c r="M13926" i="17"/>
  <c r="M13925" i="17"/>
  <c r="M13924" i="17"/>
  <c r="M13923" i="17"/>
  <c r="M13922" i="17"/>
  <c r="M13921" i="17"/>
  <c r="M13920" i="17"/>
  <c r="M13919" i="17"/>
  <c r="M13918" i="17"/>
  <c r="M13917" i="17"/>
  <c r="M13916" i="17"/>
  <c r="M13915" i="17"/>
  <c r="M13914" i="17"/>
  <c r="M13913" i="17"/>
  <c r="M13912" i="17"/>
  <c r="M13911" i="17"/>
  <c r="M13910" i="17"/>
  <c r="M13909" i="17"/>
  <c r="M13908" i="17"/>
  <c r="M13907" i="17"/>
  <c r="M13906" i="17"/>
  <c r="M13905" i="17"/>
  <c r="M13904" i="17"/>
  <c r="M13903" i="17"/>
  <c r="M13902" i="17"/>
  <c r="M13901" i="17"/>
  <c r="M13900" i="17"/>
  <c r="M13899" i="17"/>
  <c r="M13898" i="17"/>
  <c r="M13897" i="17"/>
  <c r="M13896" i="17"/>
  <c r="M13895" i="17"/>
  <c r="M13894" i="17"/>
  <c r="M13893" i="17"/>
  <c r="M13892" i="17"/>
  <c r="M13891" i="17"/>
  <c r="M13890" i="17"/>
  <c r="M13889" i="17"/>
  <c r="M13888" i="17"/>
  <c r="M13887" i="17"/>
  <c r="M13886" i="17"/>
  <c r="M13885" i="17"/>
  <c r="M13884" i="17"/>
  <c r="M13883" i="17"/>
  <c r="M13882" i="17"/>
  <c r="M13881" i="17"/>
  <c r="M13880" i="17"/>
  <c r="M13879" i="17"/>
  <c r="M13878" i="17"/>
  <c r="M13877" i="17"/>
  <c r="M13876" i="17"/>
  <c r="M13875" i="17"/>
  <c r="M13874" i="17"/>
  <c r="M13873" i="17"/>
  <c r="M13872" i="17"/>
  <c r="M13871" i="17"/>
  <c r="M13870" i="17"/>
  <c r="M13869" i="17"/>
  <c r="M13868" i="17"/>
  <c r="M13867" i="17"/>
  <c r="M13866" i="17"/>
  <c r="M13865" i="17"/>
  <c r="M13864" i="17"/>
  <c r="M13863" i="17"/>
  <c r="M13862" i="17"/>
  <c r="M13861" i="17"/>
  <c r="M13860" i="17"/>
  <c r="M13859" i="17"/>
  <c r="M13858" i="17"/>
  <c r="M13857" i="17"/>
  <c r="M13856" i="17"/>
  <c r="M13855" i="17"/>
  <c r="M13854" i="17"/>
  <c r="M13853" i="17"/>
  <c r="M13852" i="17"/>
  <c r="M13851" i="17"/>
  <c r="M13850" i="17"/>
  <c r="M13849" i="17"/>
  <c r="M13848" i="17"/>
  <c r="M13847" i="17"/>
  <c r="M13846" i="17"/>
  <c r="M13845" i="17"/>
  <c r="M13844" i="17"/>
  <c r="M13843" i="17"/>
  <c r="M13842" i="17"/>
  <c r="M13841" i="17"/>
  <c r="M13840" i="17"/>
  <c r="M13839" i="17"/>
  <c r="M13838" i="17"/>
  <c r="M13837" i="17"/>
  <c r="M13836" i="17"/>
  <c r="M13835" i="17"/>
  <c r="M13834" i="17"/>
  <c r="M13833" i="17"/>
  <c r="M13832" i="17"/>
  <c r="M13831" i="17"/>
  <c r="M13830" i="17"/>
  <c r="M13829" i="17"/>
  <c r="M13828" i="17"/>
  <c r="M13827" i="17"/>
  <c r="M13826" i="17"/>
  <c r="M13825" i="17"/>
  <c r="M13824" i="17"/>
  <c r="M13823" i="17"/>
  <c r="M13822" i="17"/>
  <c r="M13821" i="17"/>
  <c r="M13820" i="17"/>
  <c r="M13819" i="17"/>
  <c r="M13818" i="17"/>
  <c r="M13817" i="17"/>
  <c r="M13816" i="17"/>
  <c r="M13815" i="17"/>
  <c r="M13814" i="17"/>
  <c r="M13813" i="17"/>
  <c r="M13812" i="17"/>
  <c r="M13811" i="17"/>
  <c r="M13810" i="17"/>
  <c r="M13809" i="17"/>
  <c r="M13808" i="17"/>
  <c r="M13807" i="17"/>
  <c r="M13806" i="17"/>
  <c r="M13805" i="17"/>
  <c r="M13804" i="17"/>
  <c r="M13803" i="17"/>
  <c r="M13802" i="17"/>
  <c r="M13801" i="17"/>
  <c r="M13800" i="17"/>
  <c r="M13799" i="17"/>
  <c r="M13798" i="17"/>
  <c r="M13797" i="17"/>
  <c r="M13796" i="17"/>
  <c r="M13795" i="17"/>
  <c r="M13794" i="17"/>
  <c r="M13793" i="17"/>
  <c r="M13792" i="17"/>
  <c r="M13791" i="17"/>
  <c r="M13790" i="17"/>
  <c r="M13789" i="17"/>
  <c r="M13788" i="17"/>
  <c r="M13787" i="17"/>
  <c r="M13786" i="17"/>
  <c r="M13785" i="17"/>
  <c r="M13784" i="17"/>
  <c r="M13783" i="17"/>
  <c r="M13782" i="17"/>
  <c r="M13781" i="17"/>
  <c r="M13780" i="17"/>
  <c r="M13779" i="17"/>
  <c r="M13778" i="17"/>
  <c r="M13777" i="17"/>
  <c r="M13776" i="17"/>
  <c r="M13775" i="17"/>
  <c r="M13774" i="17"/>
  <c r="M13773" i="17"/>
  <c r="M13772" i="17"/>
  <c r="M13771" i="17"/>
  <c r="M13770" i="17"/>
  <c r="M13769" i="17"/>
  <c r="M13768" i="17"/>
  <c r="M13767" i="17"/>
  <c r="M13766" i="17"/>
  <c r="M13765" i="17"/>
  <c r="M13764" i="17"/>
  <c r="M13763" i="17"/>
  <c r="M13762" i="17"/>
  <c r="M13761" i="17"/>
  <c r="M13760" i="17"/>
  <c r="M13759" i="17"/>
  <c r="M13758" i="17"/>
  <c r="M13757" i="17"/>
  <c r="M13756" i="17"/>
  <c r="M13755" i="17"/>
  <c r="M13754" i="17"/>
  <c r="M13753" i="17"/>
  <c r="M13752" i="17"/>
  <c r="M13751" i="17"/>
  <c r="M13750" i="17"/>
  <c r="M13749" i="17"/>
  <c r="M13748" i="17"/>
  <c r="M13747" i="17"/>
  <c r="M13746" i="17"/>
  <c r="M13745" i="17"/>
  <c r="M13744" i="17"/>
  <c r="M13743" i="17"/>
  <c r="M13742" i="17"/>
  <c r="M13741" i="17"/>
  <c r="M13740" i="17"/>
  <c r="M13739" i="17"/>
  <c r="M13738" i="17"/>
  <c r="M13737" i="17"/>
  <c r="M13736" i="17"/>
  <c r="M13735" i="17"/>
  <c r="M13734" i="17"/>
  <c r="M13733" i="17"/>
  <c r="M13732" i="17"/>
  <c r="M13731" i="17"/>
  <c r="M13730" i="17"/>
  <c r="M13729" i="17"/>
  <c r="M13728" i="17"/>
  <c r="M13727" i="17"/>
  <c r="M13726" i="17"/>
  <c r="M13725" i="17"/>
  <c r="M13724" i="17"/>
  <c r="M13723" i="17"/>
  <c r="M13722" i="17"/>
  <c r="M13721" i="17"/>
  <c r="M13720" i="17"/>
  <c r="M13719" i="17"/>
  <c r="M13718" i="17"/>
  <c r="M13717" i="17"/>
  <c r="M13716" i="17"/>
  <c r="M13715" i="17"/>
  <c r="M13714" i="17"/>
  <c r="M13713" i="17"/>
  <c r="M13712" i="17"/>
  <c r="M13711" i="17"/>
  <c r="M13710" i="17"/>
  <c r="M13709" i="17"/>
  <c r="M13708" i="17"/>
  <c r="M13707" i="17"/>
  <c r="M13706" i="17"/>
  <c r="M13705" i="17"/>
  <c r="M13704" i="17"/>
  <c r="M13703" i="17"/>
  <c r="M13702" i="17"/>
  <c r="M13701" i="17"/>
  <c r="M13700" i="17"/>
  <c r="M13699" i="17"/>
  <c r="M13698" i="17"/>
  <c r="M13697" i="17"/>
  <c r="M13696" i="17"/>
  <c r="M13695" i="17"/>
  <c r="M13694" i="17"/>
  <c r="M13693" i="17"/>
  <c r="M13692" i="17"/>
  <c r="M13691" i="17"/>
  <c r="M13690" i="17"/>
  <c r="M13689" i="17"/>
  <c r="M13688" i="17"/>
  <c r="M13687" i="17"/>
  <c r="M13686" i="17"/>
  <c r="M13685" i="17"/>
  <c r="M13684" i="17"/>
  <c r="M13683" i="17"/>
  <c r="M13682" i="17"/>
  <c r="M13681" i="17"/>
  <c r="M13680" i="17"/>
  <c r="M13679" i="17"/>
  <c r="M13678" i="17"/>
  <c r="M13677" i="17"/>
  <c r="M13676" i="17"/>
  <c r="M13675" i="17"/>
  <c r="M13674" i="17"/>
  <c r="M13673" i="17"/>
  <c r="M13672" i="17"/>
  <c r="M13671" i="17"/>
  <c r="M13670" i="17"/>
  <c r="M13669" i="17"/>
  <c r="M13668" i="17"/>
  <c r="M13667" i="17"/>
  <c r="M13666" i="17"/>
  <c r="M13665" i="17"/>
  <c r="M13664" i="17"/>
  <c r="M13663" i="17"/>
  <c r="M13662" i="17"/>
  <c r="M13661" i="17"/>
  <c r="M13660" i="17"/>
  <c r="M13659" i="17"/>
  <c r="M13658" i="17"/>
  <c r="M13657" i="17"/>
  <c r="M13656" i="17"/>
  <c r="M13655" i="17"/>
  <c r="M13654" i="17"/>
  <c r="M13653" i="17"/>
  <c r="M13652" i="17"/>
  <c r="M13651" i="17"/>
  <c r="M13650" i="17"/>
  <c r="M13649" i="17"/>
  <c r="M13648" i="17"/>
  <c r="M13647" i="17"/>
  <c r="M13646" i="17"/>
  <c r="M13645" i="17"/>
  <c r="M13644" i="17"/>
  <c r="M13643" i="17"/>
  <c r="M13642" i="17"/>
  <c r="M13641" i="17"/>
  <c r="M13640" i="17"/>
  <c r="M13639" i="17"/>
  <c r="M13638" i="17"/>
  <c r="M13637" i="17"/>
  <c r="M13636" i="17"/>
  <c r="M13635" i="17"/>
  <c r="M13634" i="17"/>
  <c r="M13633" i="17"/>
  <c r="M13632" i="17"/>
  <c r="M13631" i="17"/>
  <c r="M13630" i="17"/>
  <c r="M13629" i="17"/>
  <c r="M13628" i="17"/>
  <c r="M13627" i="17"/>
  <c r="M13626" i="17"/>
  <c r="M13625" i="17"/>
  <c r="M13624" i="17"/>
  <c r="M13623" i="17"/>
  <c r="M13622" i="17"/>
  <c r="M13621" i="17"/>
  <c r="M13620" i="17"/>
  <c r="M13619" i="17"/>
  <c r="M13618" i="17"/>
  <c r="M13617" i="17"/>
  <c r="M13616" i="17"/>
  <c r="M13615" i="17"/>
  <c r="M13614" i="17"/>
  <c r="M13613" i="17"/>
  <c r="M13612" i="17"/>
  <c r="M13611" i="17"/>
  <c r="M13610" i="17"/>
  <c r="M13609" i="17"/>
  <c r="M13608" i="17"/>
  <c r="M13607" i="17"/>
  <c r="M13606" i="17"/>
  <c r="M13605" i="17"/>
  <c r="M13604" i="17"/>
  <c r="M13603" i="17"/>
  <c r="M13602" i="17"/>
  <c r="M13601" i="17"/>
  <c r="M13600" i="17"/>
  <c r="M13599" i="17"/>
  <c r="M13598" i="17"/>
  <c r="M13597" i="17"/>
  <c r="M13596" i="17"/>
  <c r="M13595" i="17"/>
  <c r="M13594" i="17"/>
  <c r="M13593" i="17"/>
  <c r="M13592" i="17"/>
  <c r="M13591" i="17"/>
  <c r="M13590" i="17"/>
  <c r="M13589" i="17"/>
  <c r="M13588" i="17"/>
  <c r="M13587" i="17"/>
  <c r="M13586" i="17"/>
  <c r="M13585" i="17"/>
  <c r="M13584" i="17"/>
  <c r="M13583" i="17"/>
  <c r="M13582" i="17"/>
  <c r="M13581" i="17"/>
  <c r="M13580" i="17"/>
  <c r="M13579" i="17"/>
  <c r="M13578" i="17"/>
  <c r="M13577" i="17"/>
  <c r="M13576" i="17"/>
  <c r="M13575" i="17"/>
  <c r="M13574" i="17"/>
  <c r="M13573" i="17"/>
  <c r="M13572" i="17"/>
  <c r="M13571" i="17"/>
  <c r="M13570" i="17"/>
  <c r="M13569" i="17"/>
  <c r="M13568" i="17"/>
  <c r="M13567" i="17"/>
  <c r="M13566" i="17"/>
  <c r="M13565" i="17"/>
  <c r="M13564" i="17"/>
  <c r="M13563" i="17"/>
  <c r="M13562" i="17"/>
  <c r="M13561" i="17"/>
  <c r="M13560" i="17"/>
  <c r="M13559" i="17"/>
  <c r="M13558" i="17"/>
  <c r="M13557" i="17"/>
  <c r="M13556" i="17"/>
  <c r="M13555" i="17"/>
  <c r="M13554" i="17"/>
  <c r="M13553" i="17"/>
  <c r="M13552" i="17"/>
  <c r="M13551" i="17"/>
  <c r="M13550" i="17"/>
  <c r="M13549" i="17"/>
  <c r="M13548" i="17"/>
  <c r="M13547" i="17"/>
  <c r="M13546" i="17"/>
  <c r="M13545" i="17"/>
  <c r="M13544" i="17"/>
  <c r="M13543" i="17"/>
  <c r="M13542" i="17"/>
  <c r="M13541" i="17"/>
  <c r="M13540" i="17"/>
  <c r="M13539" i="17"/>
  <c r="M13538" i="17"/>
  <c r="M13537" i="17"/>
  <c r="M13536" i="17"/>
  <c r="M13535" i="17"/>
  <c r="M13534" i="17"/>
  <c r="M13533" i="17"/>
  <c r="M13532" i="17"/>
  <c r="M13531" i="17"/>
  <c r="M13530" i="17"/>
  <c r="M13529" i="17"/>
  <c r="M13528" i="17"/>
  <c r="M13527" i="17"/>
  <c r="M13526" i="17"/>
  <c r="M13525" i="17"/>
  <c r="M13524" i="17"/>
  <c r="M13523" i="17"/>
  <c r="M13522" i="17"/>
  <c r="M13521" i="17"/>
  <c r="M13520" i="17"/>
  <c r="M13519" i="17"/>
  <c r="M13518" i="17"/>
  <c r="M13517" i="17"/>
  <c r="M13516" i="17"/>
  <c r="M13515" i="17"/>
  <c r="M13514" i="17"/>
  <c r="M13513" i="17"/>
  <c r="M13512" i="17"/>
  <c r="M13511" i="17"/>
  <c r="M13510" i="17"/>
  <c r="M13509" i="17"/>
  <c r="M13508" i="17"/>
  <c r="M13507" i="17"/>
  <c r="M13506" i="17"/>
  <c r="M13505" i="17"/>
  <c r="M13504" i="17"/>
  <c r="M13503" i="17"/>
  <c r="M13502" i="17"/>
  <c r="M13501" i="17"/>
  <c r="M13500" i="17"/>
  <c r="M13499" i="17"/>
  <c r="M13498" i="17"/>
  <c r="M13497" i="17"/>
  <c r="M13496" i="17"/>
  <c r="M13495" i="17"/>
  <c r="M13494" i="17"/>
  <c r="M13493" i="17"/>
  <c r="M13492" i="17"/>
  <c r="M13491" i="17"/>
  <c r="M13490" i="17"/>
  <c r="M13489" i="17"/>
  <c r="M13488" i="17"/>
  <c r="M13487" i="17"/>
  <c r="M13486" i="17"/>
  <c r="M13485" i="17"/>
  <c r="M13484" i="17"/>
  <c r="M13483" i="17"/>
  <c r="M13482" i="17"/>
  <c r="M13481" i="17"/>
  <c r="M13480" i="17"/>
  <c r="M13479" i="17"/>
  <c r="M13478" i="17"/>
  <c r="M13477" i="17"/>
  <c r="M13476" i="17"/>
  <c r="M13475" i="17"/>
  <c r="M13474" i="17"/>
  <c r="M13473" i="17"/>
  <c r="M13472" i="17"/>
  <c r="M13471" i="17"/>
  <c r="M13470" i="17"/>
  <c r="M13469" i="17"/>
  <c r="M13468" i="17"/>
  <c r="M13467" i="17"/>
  <c r="M13466" i="17"/>
  <c r="M13465" i="17"/>
  <c r="M13464" i="17"/>
  <c r="M13463" i="17"/>
  <c r="M13462" i="17"/>
  <c r="M13461" i="17"/>
  <c r="M13460" i="17"/>
  <c r="M13459" i="17"/>
  <c r="M13458" i="17"/>
  <c r="M13457" i="17"/>
  <c r="M13456" i="17"/>
  <c r="M13455" i="17"/>
  <c r="M13454" i="17"/>
  <c r="M13453" i="17"/>
  <c r="M13452" i="17"/>
  <c r="M13451" i="17"/>
  <c r="M13450" i="17"/>
  <c r="M13449" i="17"/>
  <c r="M13448" i="17"/>
  <c r="M13447" i="17"/>
  <c r="M13446" i="17"/>
  <c r="M13445" i="17"/>
  <c r="M13444" i="17"/>
  <c r="M13443" i="17"/>
  <c r="M13442" i="17"/>
  <c r="M13441" i="17"/>
  <c r="M13440" i="17"/>
  <c r="M13439" i="17"/>
  <c r="M13438" i="17"/>
  <c r="M13437" i="17"/>
  <c r="M13436" i="17"/>
  <c r="M13435" i="17"/>
  <c r="M13434" i="17"/>
  <c r="M13433" i="17"/>
  <c r="M13432" i="17"/>
  <c r="M13431" i="17"/>
  <c r="M13430" i="17"/>
  <c r="M13429" i="17"/>
  <c r="M13428" i="17"/>
  <c r="M13427" i="17"/>
  <c r="M13426" i="17"/>
  <c r="M13425" i="17"/>
  <c r="M13424" i="17"/>
  <c r="M13423" i="17"/>
  <c r="M13422" i="17"/>
  <c r="M13421" i="17"/>
  <c r="M13420" i="17"/>
  <c r="M13419" i="17"/>
  <c r="M13418" i="17"/>
  <c r="M13417" i="17"/>
  <c r="M13416" i="17"/>
  <c r="M13415" i="17"/>
  <c r="M13414" i="17"/>
  <c r="M13413" i="17"/>
  <c r="M13412" i="17"/>
  <c r="M13411" i="17"/>
  <c r="M13410" i="17"/>
  <c r="M13409" i="17"/>
  <c r="M13408" i="17"/>
  <c r="M13407" i="17"/>
  <c r="M13406" i="17"/>
  <c r="M13405" i="17"/>
  <c r="M13404" i="17"/>
  <c r="M13403" i="17"/>
  <c r="M13402" i="17"/>
  <c r="M13401" i="17"/>
  <c r="M13400" i="17"/>
  <c r="M13399" i="17"/>
  <c r="M13398" i="17"/>
  <c r="M13397" i="17"/>
  <c r="M13396" i="17"/>
  <c r="M13395" i="17"/>
  <c r="M13394" i="17"/>
  <c r="M13393" i="17"/>
  <c r="M13392" i="17"/>
  <c r="M13391" i="17"/>
  <c r="M13390" i="17"/>
  <c r="M13389" i="17"/>
  <c r="M13388" i="17"/>
  <c r="M13387" i="17"/>
  <c r="M13386" i="17"/>
  <c r="M13385" i="17"/>
  <c r="M13384" i="17"/>
  <c r="M13383" i="17"/>
  <c r="M13382" i="17"/>
  <c r="M13381" i="17"/>
  <c r="M13380" i="17"/>
  <c r="M13379" i="17"/>
  <c r="M13378" i="17"/>
  <c r="M13377" i="17"/>
  <c r="M13376" i="17"/>
  <c r="M13375" i="17"/>
  <c r="M13374" i="17"/>
  <c r="M13373" i="17"/>
  <c r="M13372" i="17"/>
  <c r="M13371" i="17"/>
  <c r="M13370" i="17"/>
  <c r="M13369" i="17"/>
  <c r="M13368" i="17"/>
  <c r="M13367" i="17"/>
  <c r="M13366" i="17"/>
  <c r="M13365" i="17"/>
  <c r="M13364" i="17"/>
  <c r="M13363" i="17"/>
  <c r="M13362" i="17"/>
  <c r="M13361" i="17"/>
  <c r="M13360" i="17"/>
  <c r="M13359" i="17"/>
  <c r="M13358" i="17"/>
  <c r="M13357" i="17"/>
  <c r="M13356" i="17"/>
  <c r="M13355" i="17"/>
  <c r="M13354" i="17"/>
  <c r="M13353" i="17"/>
  <c r="M13352" i="17"/>
  <c r="M13351" i="17"/>
  <c r="M13350" i="17"/>
  <c r="M13349" i="17"/>
  <c r="M13348" i="17"/>
  <c r="M13347" i="17"/>
  <c r="M13346" i="17"/>
  <c r="M13345" i="17"/>
  <c r="M13344" i="17"/>
  <c r="M13343" i="17"/>
  <c r="M13342" i="17"/>
  <c r="M13341" i="17"/>
  <c r="M13340" i="17"/>
  <c r="M13339" i="17"/>
  <c r="M13338" i="17"/>
  <c r="M13337" i="17"/>
  <c r="M13336" i="17"/>
  <c r="M13335" i="17"/>
  <c r="M13334" i="17"/>
  <c r="M13333" i="17"/>
  <c r="M13332" i="17"/>
  <c r="M13331" i="17"/>
  <c r="M13330" i="17"/>
  <c r="M13329" i="17"/>
  <c r="M13328" i="17"/>
  <c r="M13327" i="17"/>
  <c r="M13326" i="17"/>
  <c r="M13325" i="17"/>
  <c r="M13324" i="17"/>
  <c r="M13323" i="17"/>
  <c r="M13322" i="17"/>
  <c r="M13321" i="17"/>
  <c r="M13320" i="17"/>
  <c r="M13319" i="17"/>
  <c r="M13318" i="17"/>
  <c r="M13317" i="17"/>
  <c r="M13316" i="17"/>
  <c r="M13315" i="17"/>
  <c r="M13314" i="17"/>
  <c r="M13313" i="17"/>
  <c r="M13312" i="17"/>
  <c r="M13311" i="17"/>
  <c r="M13310" i="17"/>
  <c r="M13309" i="17"/>
  <c r="M13308" i="17"/>
  <c r="M13307" i="17"/>
  <c r="M13306" i="17"/>
  <c r="M13305" i="17"/>
  <c r="M13304" i="17"/>
  <c r="M13303" i="17"/>
  <c r="M13302" i="17"/>
  <c r="M13301" i="17"/>
  <c r="M13300" i="17"/>
  <c r="M13299" i="17"/>
  <c r="M13298" i="17"/>
  <c r="M13297" i="17"/>
  <c r="M13296" i="17"/>
  <c r="M13295" i="17"/>
  <c r="M13294" i="17"/>
  <c r="M13293" i="17"/>
  <c r="M13292" i="17"/>
  <c r="M13291" i="17"/>
  <c r="M13290" i="17"/>
  <c r="M13289" i="17"/>
  <c r="M13288" i="17"/>
  <c r="M13287" i="17"/>
  <c r="M13286" i="17"/>
  <c r="M13285" i="17"/>
  <c r="M13284" i="17"/>
  <c r="M13283" i="17"/>
  <c r="M13282" i="17"/>
  <c r="M13281" i="17"/>
  <c r="M13280" i="17"/>
  <c r="M13279" i="17"/>
  <c r="M13278" i="17"/>
  <c r="M13277" i="17"/>
  <c r="M13276" i="17"/>
  <c r="M13275" i="17"/>
  <c r="M13274" i="17"/>
  <c r="M13273" i="17"/>
  <c r="M13272" i="17"/>
  <c r="M13271" i="17"/>
  <c r="M13270" i="17"/>
  <c r="M13269" i="17"/>
  <c r="M13268" i="17"/>
  <c r="M13267" i="17"/>
  <c r="M13266" i="17"/>
  <c r="M13265" i="17"/>
  <c r="M13264" i="17"/>
  <c r="M13263" i="17"/>
  <c r="M13262" i="17"/>
  <c r="M13261" i="17"/>
  <c r="M13260" i="17"/>
  <c r="M13259" i="17"/>
  <c r="M13258" i="17"/>
  <c r="M13257" i="17"/>
  <c r="M13256" i="17"/>
  <c r="M13255" i="17"/>
  <c r="M13254" i="17"/>
  <c r="M13253" i="17"/>
  <c r="M13252" i="17"/>
  <c r="M13251" i="17"/>
  <c r="M13250" i="17"/>
  <c r="M13249" i="17"/>
  <c r="M13248" i="17"/>
  <c r="M13247" i="17"/>
  <c r="M13246" i="17"/>
  <c r="M13245" i="17"/>
  <c r="M13244" i="17"/>
  <c r="M13243" i="17"/>
  <c r="M13242" i="17"/>
  <c r="M13241" i="17"/>
  <c r="M13240" i="17"/>
  <c r="M13239" i="17"/>
  <c r="M13238" i="17"/>
  <c r="M13237" i="17"/>
  <c r="M13236" i="17"/>
  <c r="M13235" i="17"/>
  <c r="M13234" i="17"/>
  <c r="M13233" i="17"/>
  <c r="M13232" i="17"/>
  <c r="M13231" i="17"/>
  <c r="M13230" i="17"/>
  <c r="M13229" i="17"/>
  <c r="M13228" i="17"/>
  <c r="M13227" i="17"/>
  <c r="M13226" i="17"/>
  <c r="M13225" i="17"/>
  <c r="M13224" i="17"/>
  <c r="M13223" i="17"/>
  <c r="M13222" i="17"/>
  <c r="M13221" i="17"/>
  <c r="M13220" i="17"/>
  <c r="M13219" i="17"/>
  <c r="M13218" i="17"/>
  <c r="M13217" i="17"/>
  <c r="M13216" i="17"/>
  <c r="M13215" i="17"/>
  <c r="M13214" i="17"/>
  <c r="M13213" i="17"/>
  <c r="M13212" i="17"/>
  <c r="M13211" i="17"/>
  <c r="M13210" i="17"/>
  <c r="M13209" i="17"/>
  <c r="M13208" i="17"/>
  <c r="M13207" i="17"/>
  <c r="M13206" i="17"/>
  <c r="M13205" i="17"/>
  <c r="M13204" i="17"/>
  <c r="M13203" i="17"/>
  <c r="M13202" i="17"/>
  <c r="M13201" i="17"/>
  <c r="M13200" i="17"/>
  <c r="M13199" i="17"/>
  <c r="M13198" i="17"/>
  <c r="M13197" i="17"/>
  <c r="M13196" i="17"/>
  <c r="M13195" i="17"/>
  <c r="M13194" i="17"/>
  <c r="M13193" i="17"/>
  <c r="M13192" i="17"/>
  <c r="M13191" i="17"/>
  <c r="M13190" i="17"/>
  <c r="M13189" i="17"/>
  <c r="M13188" i="17"/>
  <c r="M13187" i="17"/>
  <c r="M13186" i="17"/>
  <c r="M13185" i="17"/>
  <c r="M13184" i="17"/>
  <c r="M13183" i="17"/>
  <c r="M13182" i="17"/>
  <c r="M13181" i="17"/>
  <c r="M13180" i="17"/>
  <c r="M13179" i="17"/>
  <c r="M13178" i="17"/>
  <c r="M13177" i="17"/>
  <c r="M13176" i="17"/>
  <c r="M13175" i="17"/>
  <c r="M13174" i="17"/>
  <c r="M13173" i="17"/>
  <c r="M13172" i="17"/>
  <c r="M13171" i="17"/>
  <c r="M13170" i="17"/>
  <c r="M13169" i="17"/>
  <c r="M13168" i="17"/>
  <c r="M13167" i="17"/>
  <c r="M13166" i="17"/>
  <c r="M13165" i="17"/>
  <c r="M13164" i="17"/>
  <c r="M13163" i="17"/>
  <c r="M13162" i="17"/>
  <c r="M13161" i="17"/>
  <c r="M13160" i="17"/>
  <c r="M13159" i="17"/>
  <c r="M13158" i="17"/>
  <c r="M13157" i="17"/>
  <c r="M13156" i="17"/>
  <c r="M13155" i="17"/>
  <c r="M13154" i="17"/>
  <c r="M13153" i="17"/>
  <c r="M13152" i="17"/>
  <c r="M13151" i="17"/>
  <c r="M13150" i="17"/>
  <c r="M13149" i="17"/>
  <c r="M13148" i="17"/>
  <c r="M13147" i="17"/>
  <c r="M13146" i="17"/>
  <c r="M13145" i="17"/>
  <c r="M13144" i="17"/>
  <c r="M13143" i="17"/>
  <c r="M13142" i="17"/>
  <c r="M13141" i="17"/>
  <c r="M13140" i="17"/>
  <c r="M13139" i="17"/>
  <c r="M13138" i="17"/>
  <c r="M13137" i="17"/>
  <c r="M13136" i="17"/>
  <c r="M13135" i="17"/>
  <c r="M13134" i="17"/>
  <c r="M13133" i="17"/>
  <c r="M13132" i="17"/>
  <c r="M13131" i="17"/>
  <c r="M13130" i="17"/>
  <c r="M13129" i="17"/>
  <c r="M13128" i="17"/>
  <c r="M13127" i="17"/>
  <c r="M13126" i="17"/>
  <c r="M13125" i="17"/>
  <c r="M13124" i="17"/>
  <c r="M13123" i="17"/>
  <c r="M13122" i="17"/>
  <c r="M13121" i="17"/>
  <c r="M13120" i="17"/>
  <c r="M13119" i="17"/>
  <c r="M13118" i="17"/>
  <c r="M13117" i="17"/>
  <c r="M13116" i="17"/>
  <c r="M13115" i="17"/>
  <c r="M13114" i="17"/>
  <c r="M13113" i="17"/>
  <c r="M13112" i="17"/>
  <c r="M13111" i="17"/>
  <c r="M13110" i="17"/>
  <c r="M13109" i="17"/>
  <c r="M13108" i="17"/>
  <c r="M13107" i="17"/>
  <c r="M13106" i="17"/>
  <c r="M13105" i="17"/>
  <c r="M13104" i="17"/>
  <c r="M13103" i="17"/>
  <c r="M13102" i="17"/>
  <c r="M13101" i="17"/>
  <c r="M13100" i="17"/>
  <c r="M13099" i="17"/>
  <c r="M13098" i="17"/>
  <c r="M13097" i="17"/>
  <c r="M13096" i="17"/>
  <c r="M13095" i="17"/>
  <c r="M13094" i="17"/>
  <c r="M13093" i="17"/>
  <c r="M13092" i="17"/>
  <c r="M13091" i="17"/>
  <c r="M13090" i="17"/>
  <c r="M13089" i="17"/>
  <c r="M13088" i="17"/>
  <c r="M13087" i="17"/>
  <c r="M13086" i="17"/>
  <c r="M13085" i="17"/>
  <c r="M13084" i="17"/>
  <c r="M13083" i="17"/>
  <c r="M13082" i="17"/>
  <c r="M13081" i="17"/>
  <c r="M13080" i="17"/>
  <c r="M13079" i="17"/>
  <c r="M13078" i="17"/>
  <c r="M13077" i="17"/>
  <c r="M13076" i="17"/>
  <c r="M13075" i="17"/>
  <c r="M13074" i="17"/>
  <c r="M13073" i="17"/>
  <c r="M13072" i="17"/>
  <c r="M13071" i="17"/>
  <c r="M13070" i="17"/>
  <c r="M13069" i="17"/>
  <c r="M13068" i="17"/>
  <c r="M13067" i="17"/>
  <c r="M13066" i="17"/>
  <c r="M13065" i="17"/>
  <c r="M13064" i="17"/>
  <c r="M13063" i="17"/>
  <c r="M13062" i="17"/>
  <c r="M13061" i="17"/>
  <c r="M13060" i="17"/>
  <c r="M13059" i="17"/>
  <c r="M13058" i="17"/>
  <c r="M13057" i="17"/>
  <c r="M13056" i="17"/>
  <c r="M13055" i="17"/>
  <c r="M13054" i="17"/>
  <c r="M13053" i="17"/>
  <c r="M13052" i="17"/>
  <c r="M13051" i="17"/>
  <c r="M13050" i="17"/>
  <c r="M13049" i="17"/>
  <c r="M13048" i="17"/>
  <c r="M13047" i="17"/>
  <c r="M13046" i="17"/>
  <c r="M13045" i="17"/>
  <c r="M13044" i="17"/>
  <c r="M13043" i="17"/>
  <c r="M13042" i="17"/>
  <c r="M13041" i="17"/>
  <c r="M13040" i="17"/>
  <c r="M13039" i="17"/>
  <c r="M13038" i="17"/>
  <c r="M13037" i="17"/>
  <c r="M13036" i="17"/>
  <c r="M13035" i="17"/>
  <c r="M13034" i="17"/>
  <c r="M13033" i="17"/>
  <c r="M13032" i="17"/>
  <c r="M13031" i="17"/>
  <c r="M13030" i="17"/>
  <c r="M13029" i="17"/>
  <c r="M13028" i="17"/>
  <c r="M13027" i="17"/>
  <c r="M13026" i="17"/>
  <c r="M13025" i="17"/>
  <c r="M13024" i="17"/>
  <c r="M13023" i="17"/>
  <c r="M13022" i="17"/>
  <c r="M13021" i="17"/>
  <c r="M13020" i="17"/>
  <c r="M13019" i="17"/>
  <c r="M13018" i="17"/>
  <c r="M13017" i="17"/>
  <c r="M13016" i="17"/>
  <c r="M13015" i="17"/>
  <c r="M13014" i="17"/>
  <c r="M13013" i="17"/>
  <c r="M13012" i="17"/>
  <c r="M13011" i="17"/>
  <c r="M13010" i="17"/>
  <c r="M13009" i="17"/>
  <c r="M13008" i="17"/>
  <c r="M13007" i="17"/>
  <c r="M13006" i="17"/>
  <c r="M13005" i="17"/>
  <c r="M13004" i="17"/>
  <c r="M13003" i="17"/>
  <c r="M13002" i="17"/>
  <c r="M13001" i="17"/>
  <c r="M13000" i="17"/>
  <c r="M12999" i="17"/>
  <c r="M12998" i="17"/>
  <c r="M12997" i="17"/>
  <c r="M12996" i="17"/>
  <c r="M12995" i="17"/>
  <c r="M12994" i="17"/>
  <c r="M12993" i="17"/>
  <c r="M12992" i="17"/>
  <c r="M12991" i="17"/>
  <c r="M12990" i="17"/>
  <c r="M12989" i="17"/>
  <c r="M12988" i="17"/>
  <c r="M12987" i="17"/>
  <c r="M12986" i="17"/>
  <c r="M12985" i="17"/>
  <c r="M12984" i="17"/>
  <c r="M12983" i="17"/>
  <c r="M12982" i="17"/>
  <c r="M12981" i="17"/>
  <c r="M12980" i="17"/>
  <c r="M12979" i="17"/>
  <c r="M12978" i="17"/>
  <c r="M12977" i="17"/>
  <c r="M12976" i="17"/>
  <c r="M12975" i="17"/>
  <c r="M12974" i="17"/>
  <c r="M12973" i="17"/>
  <c r="M12972" i="17"/>
  <c r="M12971" i="17"/>
  <c r="M12970" i="17"/>
  <c r="M12969" i="17"/>
  <c r="M12968" i="17"/>
  <c r="M12967" i="17"/>
  <c r="M12966" i="17"/>
  <c r="M12965" i="17"/>
  <c r="M12964" i="17"/>
  <c r="M12963" i="17"/>
  <c r="M12962" i="17"/>
  <c r="M12961" i="17"/>
  <c r="M12960" i="17"/>
  <c r="M12959" i="17"/>
  <c r="M12958" i="17"/>
  <c r="M12957" i="17"/>
  <c r="M12956" i="17"/>
  <c r="M12955" i="17"/>
  <c r="M12954" i="17"/>
  <c r="M12953" i="17"/>
  <c r="M12952" i="17"/>
  <c r="M12951" i="17"/>
  <c r="M12950" i="17"/>
  <c r="M12949" i="17"/>
  <c r="M12948" i="17"/>
  <c r="M12947" i="17"/>
  <c r="M12946" i="17"/>
  <c r="M12945" i="17"/>
  <c r="M12944" i="17"/>
  <c r="M12943" i="17"/>
  <c r="M12942" i="17"/>
  <c r="M12941" i="17"/>
  <c r="M12940" i="17"/>
  <c r="M12939" i="17"/>
  <c r="M12938" i="17"/>
  <c r="M12937" i="17"/>
  <c r="M12936" i="17"/>
  <c r="M12935" i="17"/>
  <c r="M12934" i="17"/>
  <c r="M12933" i="17"/>
  <c r="M12932" i="17"/>
  <c r="M12931" i="17"/>
  <c r="M12930" i="17"/>
  <c r="M12929" i="17"/>
  <c r="M12928" i="17"/>
  <c r="M12927" i="17"/>
  <c r="M12926" i="17"/>
  <c r="M12925" i="17"/>
  <c r="M12924" i="17"/>
  <c r="M12923" i="17"/>
  <c r="M12922" i="17"/>
  <c r="M12921" i="17"/>
  <c r="M12920" i="17"/>
  <c r="M12919" i="17"/>
  <c r="M12918" i="17"/>
  <c r="M12917" i="17"/>
  <c r="M12916" i="17"/>
  <c r="M12915" i="17"/>
  <c r="M12914" i="17"/>
  <c r="M12913" i="17"/>
  <c r="M12912" i="17"/>
  <c r="M12911" i="17"/>
  <c r="M12910" i="17"/>
  <c r="M12909" i="17"/>
  <c r="M12908" i="17"/>
  <c r="M12907" i="17"/>
  <c r="M12906" i="17"/>
  <c r="M12905" i="17"/>
  <c r="M12904" i="17"/>
  <c r="M12903" i="17"/>
  <c r="M12902" i="17"/>
  <c r="M12901" i="17"/>
  <c r="M12900" i="17"/>
  <c r="M12899" i="17"/>
  <c r="M12898" i="17"/>
  <c r="M12897" i="17"/>
  <c r="M12896" i="17"/>
  <c r="M12895" i="17"/>
  <c r="M12894" i="17"/>
  <c r="M12893" i="17"/>
  <c r="M12892" i="17"/>
  <c r="M12891" i="17"/>
  <c r="M12890" i="17"/>
  <c r="M12889" i="17"/>
  <c r="M12888" i="17"/>
  <c r="M12887" i="17"/>
  <c r="M12886" i="17"/>
  <c r="M12885" i="17"/>
  <c r="M12884" i="17"/>
  <c r="M12883" i="17"/>
  <c r="M12882" i="17"/>
  <c r="M12881" i="17"/>
  <c r="M12880" i="17"/>
  <c r="M12879" i="17"/>
  <c r="M12878" i="17"/>
  <c r="M12877" i="17"/>
  <c r="M12876" i="17"/>
  <c r="M12875" i="17"/>
  <c r="M12874" i="17"/>
  <c r="M12873" i="17"/>
  <c r="M12872" i="17"/>
  <c r="M12871" i="17"/>
  <c r="M12870" i="17"/>
  <c r="M12869" i="17"/>
  <c r="M12868" i="17"/>
  <c r="M12867" i="17"/>
  <c r="M12866" i="17"/>
  <c r="M12865" i="17"/>
  <c r="M12864" i="17"/>
  <c r="M12863" i="17"/>
  <c r="M12862" i="17"/>
  <c r="M12861" i="17"/>
  <c r="M12860" i="17"/>
  <c r="M12859" i="17"/>
  <c r="M12858" i="17"/>
  <c r="M12857" i="17"/>
  <c r="M12856" i="17"/>
  <c r="M12855" i="17"/>
  <c r="M12854" i="17"/>
  <c r="M12853" i="17"/>
  <c r="M12852" i="17"/>
  <c r="M12851" i="17"/>
  <c r="M12850" i="17"/>
  <c r="M12849" i="17"/>
  <c r="M12848" i="17"/>
  <c r="M12847" i="17"/>
  <c r="M12846" i="17"/>
  <c r="M12845" i="17"/>
  <c r="M12844" i="17"/>
  <c r="M12843" i="17"/>
  <c r="M12842" i="17"/>
  <c r="M12841" i="17"/>
  <c r="M12840" i="17"/>
  <c r="M12839" i="17"/>
  <c r="M12838" i="17"/>
  <c r="M12837" i="17"/>
  <c r="M12836" i="17"/>
  <c r="M12835" i="17"/>
  <c r="M12834" i="17"/>
  <c r="M12833" i="17"/>
  <c r="M12832" i="17"/>
  <c r="M12831" i="17"/>
  <c r="M12830" i="17"/>
  <c r="M12829" i="17"/>
  <c r="M12828" i="17"/>
  <c r="M12827" i="17"/>
  <c r="M12826" i="17"/>
  <c r="M12825" i="17"/>
  <c r="M12824" i="17"/>
  <c r="M12823" i="17"/>
  <c r="M12822" i="17"/>
  <c r="M12821" i="17"/>
  <c r="M12820" i="17"/>
  <c r="M12819" i="17"/>
  <c r="M12818" i="17"/>
  <c r="M12817" i="17"/>
  <c r="M12816" i="17"/>
  <c r="M12815" i="17"/>
  <c r="M12814" i="17"/>
  <c r="M12813" i="17"/>
  <c r="M12812" i="17"/>
  <c r="M12811" i="17"/>
  <c r="M12810" i="17"/>
  <c r="M12809" i="17"/>
  <c r="M12808" i="17"/>
  <c r="M12807" i="17"/>
  <c r="M12806" i="17"/>
  <c r="M12805" i="17"/>
  <c r="M12804" i="17"/>
  <c r="M12803" i="17"/>
  <c r="M12802" i="17"/>
  <c r="M12801" i="17"/>
  <c r="M12800" i="17"/>
  <c r="M12799" i="17"/>
  <c r="M12798" i="17"/>
  <c r="M12797" i="17"/>
  <c r="M12796" i="17"/>
  <c r="M12795" i="17"/>
  <c r="M12794" i="17"/>
  <c r="M12793" i="17"/>
  <c r="M12792" i="17"/>
  <c r="M12791" i="17"/>
  <c r="M12790" i="17"/>
  <c r="M12789" i="17"/>
  <c r="M12788" i="17"/>
  <c r="M12787" i="17"/>
  <c r="M12786" i="17"/>
  <c r="M12785" i="17"/>
  <c r="M12784" i="17"/>
  <c r="M12783" i="17"/>
  <c r="M12782" i="17"/>
  <c r="M12781" i="17"/>
  <c r="M12780" i="17"/>
  <c r="M12779" i="17"/>
  <c r="M12778" i="17"/>
  <c r="M12777" i="17"/>
  <c r="M12776" i="17"/>
  <c r="M12775" i="17"/>
  <c r="M12774" i="17"/>
  <c r="M12773" i="17"/>
  <c r="M12772" i="17"/>
  <c r="M12771" i="17"/>
  <c r="M12770" i="17"/>
  <c r="M12769" i="17"/>
  <c r="M12768" i="17"/>
  <c r="M12767" i="17"/>
  <c r="M12766" i="17"/>
  <c r="M12765" i="17"/>
  <c r="M12764" i="17"/>
  <c r="M12763" i="17"/>
  <c r="M12762" i="17"/>
  <c r="M12761" i="17"/>
  <c r="M12760" i="17"/>
  <c r="M12759" i="17"/>
  <c r="M12758" i="17"/>
  <c r="M12757" i="17"/>
  <c r="M12756" i="17"/>
  <c r="M12755" i="17"/>
  <c r="M12754" i="17"/>
  <c r="M12753" i="17"/>
  <c r="M12752" i="17"/>
  <c r="M12751" i="17"/>
  <c r="M12750" i="17"/>
  <c r="M12749" i="17"/>
  <c r="M12748" i="17"/>
  <c r="M12747" i="17"/>
  <c r="M12746" i="17"/>
  <c r="M12745" i="17"/>
  <c r="M12744" i="17"/>
  <c r="M12743" i="17"/>
  <c r="M12742" i="17"/>
  <c r="M12741" i="17"/>
  <c r="M12740" i="17"/>
  <c r="M12739" i="17"/>
  <c r="M12738" i="17"/>
  <c r="M12737" i="17"/>
  <c r="M12736" i="17"/>
  <c r="M12735" i="17"/>
  <c r="M12734" i="17"/>
  <c r="M12733" i="17"/>
  <c r="M12732" i="17"/>
  <c r="M12731" i="17"/>
  <c r="M12730" i="17"/>
  <c r="M12729" i="17"/>
  <c r="M12728" i="17"/>
  <c r="M12727" i="17"/>
  <c r="M12726" i="17"/>
  <c r="M12725" i="17"/>
  <c r="M12724" i="17"/>
  <c r="M12723" i="17"/>
  <c r="M12722" i="17"/>
  <c r="M12721" i="17"/>
  <c r="M12720" i="17"/>
  <c r="M12719" i="17"/>
  <c r="M12718" i="17"/>
  <c r="M12717" i="17"/>
  <c r="M12716" i="17"/>
  <c r="M12715" i="17"/>
  <c r="M12714" i="17"/>
  <c r="M12713" i="17"/>
  <c r="M12712" i="17"/>
  <c r="M12711" i="17"/>
  <c r="M12710" i="17"/>
  <c r="M12709" i="17"/>
  <c r="M12708" i="17"/>
  <c r="M12707" i="17"/>
  <c r="M12706" i="17"/>
  <c r="M12705" i="17"/>
  <c r="M12704" i="17"/>
  <c r="M12703" i="17"/>
  <c r="M12702" i="17"/>
  <c r="M12701" i="17"/>
  <c r="M12700" i="17"/>
  <c r="M12699" i="17"/>
  <c r="M12698" i="17"/>
  <c r="M12697" i="17"/>
  <c r="M12696" i="17"/>
  <c r="M12695" i="17"/>
  <c r="M12694" i="17"/>
  <c r="M12693" i="17"/>
  <c r="M12692" i="17"/>
  <c r="M12691" i="17"/>
  <c r="M12690" i="17"/>
  <c r="M12689" i="17"/>
  <c r="M12688" i="17"/>
  <c r="M12687" i="17"/>
  <c r="M12686" i="17"/>
  <c r="M12685" i="17"/>
  <c r="M12684" i="17"/>
  <c r="M12683" i="17"/>
  <c r="M12682" i="17"/>
  <c r="M12681" i="17"/>
  <c r="M12680" i="17"/>
  <c r="M12679" i="17"/>
  <c r="M12678" i="17"/>
  <c r="M12677" i="17"/>
  <c r="M12676" i="17"/>
  <c r="M12675" i="17"/>
  <c r="M12674" i="17"/>
  <c r="M12673" i="17"/>
  <c r="M12672" i="17"/>
  <c r="M12671" i="17"/>
  <c r="M12670" i="17"/>
  <c r="M12669" i="17"/>
  <c r="M12668" i="17"/>
  <c r="M12667" i="17"/>
  <c r="M12666" i="17"/>
  <c r="M12665" i="17"/>
  <c r="M12664" i="17"/>
  <c r="M12663" i="17"/>
  <c r="M12662" i="17"/>
  <c r="M12661" i="17"/>
  <c r="M12660" i="17"/>
  <c r="M12659" i="17"/>
  <c r="M12658" i="17"/>
  <c r="M12657" i="17"/>
  <c r="M12656" i="17"/>
  <c r="M12655" i="17"/>
  <c r="M12654" i="17"/>
  <c r="M12653" i="17"/>
  <c r="M12652" i="17"/>
  <c r="M12651" i="17"/>
  <c r="M12650" i="17"/>
  <c r="M12649" i="17"/>
  <c r="M12648" i="17"/>
  <c r="M12647" i="17"/>
  <c r="M12646" i="17"/>
  <c r="M12645" i="17"/>
  <c r="M12644" i="17"/>
  <c r="M12643" i="17"/>
  <c r="M12642" i="17"/>
  <c r="M12641" i="17"/>
  <c r="M12640" i="17"/>
  <c r="M12639" i="17"/>
  <c r="M12638" i="17"/>
  <c r="M12637" i="17"/>
  <c r="M12636" i="17"/>
  <c r="M12635" i="17"/>
  <c r="M12634" i="17"/>
  <c r="M12633" i="17"/>
  <c r="M12632" i="17"/>
  <c r="M12631" i="17"/>
  <c r="M12630" i="17"/>
  <c r="M12629" i="17"/>
  <c r="M12628" i="17"/>
  <c r="M12627" i="17"/>
  <c r="M12626" i="17"/>
  <c r="M12625" i="17"/>
  <c r="M12624" i="17"/>
  <c r="M12623" i="17"/>
  <c r="M12622" i="17"/>
  <c r="M12621" i="17"/>
  <c r="M12620" i="17"/>
  <c r="M12619" i="17"/>
  <c r="M12618" i="17"/>
  <c r="M12617" i="17"/>
  <c r="M12616" i="17"/>
  <c r="M12615" i="17"/>
  <c r="M12614" i="17"/>
  <c r="M12613" i="17"/>
  <c r="M12612" i="17"/>
  <c r="M12611" i="17"/>
  <c r="M12610" i="17"/>
  <c r="M12609" i="17"/>
  <c r="M12608" i="17"/>
  <c r="M12607" i="17"/>
  <c r="M12606" i="17"/>
  <c r="M12605" i="17"/>
  <c r="M12604" i="17"/>
  <c r="M12603" i="17"/>
  <c r="M12602" i="17"/>
  <c r="M12601" i="17"/>
  <c r="M12600" i="17"/>
  <c r="M12599" i="17"/>
  <c r="M12598" i="17"/>
  <c r="M12597" i="17"/>
  <c r="M12596" i="17"/>
  <c r="M12595" i="17"/>
  <c r="M12594" i="17"/>
  <c r="M12593" i="17"/>
  <c r="M12592" i="17"/>
  <c r="M12591" i="17"/>
  <c r="M12590" i="17"/>
  <c r="M12589" i="17"/>
  <c r="M12588" i="17"/>
  <c r="M12587" i="17"/>
  <c r="M12586" i="17"/>
  <c r="M12585" i="17"/>
  <c r="M12584" i="17"/>
  <c r="M12583" i="17"/>
  <c r="M12582" i="17"/>
  <c r="M12581" i="17"/>
  <c r="M12580" i="17"/>
  <c r="M12579" i="17"/>
  <c r="M12578" i="17"/>
  <c r="M12577" i="17"/>
  <c r="M12576" i="17"/>
  <c r="M12575" i="17"/>
  <c r="M12574" i="17"/>
  <c r="M12573" i="17"/>
  <c r="M12572" i="17"/>
  <c r="M12571" i="17"/>
  <c r="M12570" i="17"/>
  <c r="M12569" i="17"/>
  <c r="M12568" i="17"/>
  <c r="M12567" i="17"/>
  <c r="M12566" i="17"/>
  <c r="M12565" i="17"/>
  <c r="M12564" i="17"/>
  <c r="M12563" i="17"/>
  <c r="M12562" i="17"/>
  <c r="M12561" i="17"/>
  <c r="M12560" i="17"/>
  <c r="M12559" i="17"/>
  <c r="M12558" i="17"/>
  <c r="M12557" i="17"/>
  <c r="M12556" i="17"/>
  <c r="M12555" i="17"/>
  <c r="M12554" i="17"/>
  <c r="M12553" i="17"/>
  <c r="M12552" i="17"/>
  <c r="M12551" i="17"/>
  <c r="M12550" i="17"/>
  <c r="M12549" i="17"/>
  <c r="M12548" i="17"/>
  <c r="M12547" i="17"/>
  <c r="M12546" i="17"/>
  <c r="M12545" i="17"/>
  <c r="M12544" i="17"/>
  <c r="M12543" i="17"/>
  <c r="M12542" i="17"/>
  <c r="M12541" i="17"/>
  <c r="M12540" i="17"/>
  <c r="M12539" i="17"/>
  <c r="M12538" i="17"/>
  <c r="M12537" i="17"/>
  <c r="M12536" i="17"/>
  <c r="M12535" i="17"/>
  <c r="M12534" i="17"/>
  <c r="M12533" i="17"/>
  <c r="M12532" i="17"/>
  <c r="M12531" i="17"/>
  <c r="M12530" i="17"/>
  <c r="M12529" i="17"/>
  <c r="M12528" i="17"/>
  <c r="M12527" i="17"/>
  <c r="M12526" i="17"/>
  <c r="M12525" i="17"/>
  <c r="M12524" i="17"/>
  <c r="M12523" i="17"/>
  <c r="M12522" i="17"/>
  <c r="M12521" i="17"/>
  <c r="M12520" i="17"/>
  <c r="M12519" i="17"/>
  <c r="M12518" i="17"/>
  <c r="M12517" i="17"/>
  <c r="M12516" i="17"/>
  <c r="M12515" i="17"/>
  <c r="M12514" i="17"/>
  <c r="M12513" i="17"/>
  <c r="M12512" i="17"/>
  <c r="M12511" i="17"/>
  <c r="M12510" i="17"/>
  <c r="M12509" i="17"/>
  <c r="M12508" i="17"/>
  <c r="M12507" i="17"/>
  <c r="M12506" i="17"/>
  <c r="M12505" i="17"/>
  <c r="M12504" i="17"/>
  <c r="M12503" i="17"/>
  <c r="M12502" i="17"/>
  <c r="M12501" i="17"/>
  <c r="M12500" i="17"/>
  <c r="M12499" i="17"/>
  <c r="M12498" i="17"/>
  <c r="M12497" i="17"/>
  <c r="M12496" i="17"/>
  <c r="M12495" i="17"/>
  <c r="M12494" i="17"/>
  <c r="M12493" i="17"/>
  <c r="M12492" i="17"/>
  <c r="M12491" i="17"/>
  <c r="M12490" i="17"/>
  <c r="M12489" i="17"/>
  <c r="M12488" i="17"/>
  <c r="M12487" i="17"/>
  <c r="M12486" i="17"/>
  <c r="M12485" i="17"/>
  <c r="M12484" i="17"/>
  <c r="M12483" i="17"/>
  <c r="M12482" i="17"/>
  <c r="M12481" i="17"/>
  <c r="M12480" i="17"/>
  <c r="M12479" i="17"/>
  <c r="M12478" i="17"/>
  <c r="M12477" i="17"/>
  <c r="M12476" i="17"/>
  <c r="M12475" i="17"/>
  <c r="M12474" i="17"/>
  <c r="M12473" i="17"/>
  <c r="M12472" i="17"/>
  <c r="M12471" i="17"/>
  <c r="M12470" i="17"/>
  <c r="M12469" i="17"/>
  <c r="M12468" i="17"/>
  <c r="M12467" i="17"/>
  <c r="M12466" i="17"/>
  <c r="M12465" i="17"/>
  <c r="M12464" i="17"/>
  <c r="M12463" i="17"/>
  <c r="M12462" i="17"/>
  <c r="M12461" i="17"/>
  <c r="M12460" i="17"/>
  <c r="M12459" i="17"/>
  <c r="M12458" i="17"/>
  <c r="M12457" i="17"/>
  <c r="M12456" i="17"/>
  <c r="M12455" i="17"/>
  <c r="M12454" i="17"/>
  <c r="M12453" i="17"/>
  <c r="M12452" i="17"/>
  <c r="M12451" i="17"/>
  <c r="M12450" i="17"/>
  <c r="M12449" i="17"/>
  <c r="M12448" i="17"/>
  <c r="M12447" i="17"/>
  <c r="M12446" i="17"/>
  <c r="M12445" i="17"/>
  <c r="M12444" i="17"/>
  <c r="M12443" i="17"/>
  <c r="M12442" i="17"/>
  <c r="M12441" i="17"/>
  <c r="M12440" i="17"/>
  <c r="M12439" i="17"/>
  <c r="M12438" i="17"/>
  <c r="M12437" i="17"/>
  <c r="M12436" i="17"/>
  <c r="M12435" i="17"/>
  <c r="M12434" i="17"/>
  <c r="M12433" i="17"/>
  <c r="M12432" i="17"/>
  <c r="M12431" i="17"/>
  <c r="M12430" i="17"/>
  <c r="M12429" i="17"/>
  <c r="M12428" i="17"/>
  <c r="M12427" i="17"/>
  <c r="M12426" i="17"/>
  <c r="M12425" i="17"/>
  <c r="M12424" i="17"/>
  <c r="M12423" i="17"/>
  <c r="M12422" i="17"/>
  <c r="M12421" i="17"/>
  <c r="M12420" i="17"/>
  <c r="M12419" i="17"/>
  <c r="M12418" i="17"/>
  <c r="M12417" i="17"/>
  <c r="M12416" i="17"/>
  <c r="M12415" i="17"/>
  <c r="M12414" i="17"/>
  <c r="M12413" i="17"/>
  <c r="M12412" i="17"/>
  <c r="M12411" i="17"/>
  <c r="M12410" i="17"/>
  <c r="M12409" i="17"/>
  <c r="M12408" i="17"/>
  <c r="M12407" i="17"/>
  <c r="M12406" i="17"/>
  <c r="M12405" i="17"/>
  <c r="M12404" i="17"/>
  <c r="M12403" i="17"/>
  <c r="M12402" i="17"/>
  <c r="M12401" i="17"/>
  <c r="M12400" i="17"/>
  <c r="M12399" i="17"/>
  <c r="M12398" i="17"/>
  <c r="M12397" i="17"/>
  <c r="M12396" i="17"/>
  <c r="M12395" i="17"/>
  <c r="M12394" i="17"/>
  <c r="M12393" i="17"/>
  <c r="M12392" i="17"/>
  <c r="M12391" i="17"/>
  <c r="M12390" i="17"/>
  <c r="M12389" i="17"/>
  <c r="M12388" i="17"/>
  <c r="M12387" i="17"/>
  <c r="M12386" i="17"/>
  <c r="M12385" i="17"/>
  <c r="M12384" i="17"/>
  <c r="M12383" i="17"/>
  <c r="M12382" i="17"/>
  <c r="M12381" i="17"/>
  <c r="M12380" i="17"/>
  <c r="M12379" i="17"/>
  <c r="M12378" i="17"/>
  <c r="M12377" i="17"/>
  <c r="M12376" i="17"/>
  <c r="M12375" i="17"/>
  <c r="M12374" i="17"/>
  <c r="M12373" i="17"/>
  <c r="M12372" i="17"/>
  <c r="M12371" i="17"/>
  <c r="M12370" i="17"/>
  <c r="M12369" i="17"/>
  <c r="M12368" i="17"/>
  <c r="M12367" i="17"/>
  <c r="M12366" i="17"/>
  <c r="M12365" i="17"/>
  <c r="M12364" i="17"/>
  <c r="M12363" i="17"/>
  <c r="M12362" i="17"/>
  <c r="M12361" i="17"/>
  <c r="M12360" i="17"/>
  <c r="M12359" i="17"/>
  <c r="M12358" i="17"/>
  <c r="M12357" i="17"/>
  <c r="M12356" i="17"/>
  <c r="M12355" i="17"/>
  <c r="M12354" i="17"/>
  <c r="M12353" i="17"/>
  <c r="M12352" i="17"/>
  <c r="M12351" i="17"/>
  <c r="M12350" i="17"/>
  <c r="M12349" i="17"/>
  <c r="M12348" i="17"/>
  <c r="M12347" i="17"/>
  <c r="M12346" i="17"/>
  <c r="M12345" i="17"/>
  <c r="M12344" i="17"/>
  <c r="M12343" i="17"/>
  <c r="M12342" i="17"/>
  <c r="M12341" i="17"/>
  <c r="M12340" i="17"/>
  <c r="M12339" i="17"/>
  <c r="M12338" i="17"/>
  <c r="M12337" i="17"/>
  <c r="M12336" i="17"/>
  <c r="M12335" i="17"/>
  <c r="M12334" i="17"/>
  <c r="M12333" i="17"/>
  <c r="M12332" i="17"/>
  <c r="M12331" i="17"/>
  <c r="M12330" i="17"/>
  <c r="M12329" i="17"/>
  <c r="M12328" i="17"/>
  <c r="M12327" i="17"/>
  <c r="M12326" i="17"/>
  <c r="M12325" i="17"/>
  <c r="M12324" i="17"/>
  <c r="M12323" i="17"/>
  <c r="M12322" i="17"/>
  <c r="M12321" i="17"/>
  <c r="M12320" i="17"/>
  <c r="M12319" i="17"/>
  <c r="M12318" i="17"/>
  <c r="M12317" i="17"/>
  <c r="M12316" i="17"/>
  <c r="M12315" i="17"/>
  <c r="M12314" i="17"/>
  <c r="M12313" i="17"/>
  <c r="M12312" i="17"/>
  <c r="M12311" i="17"/>
  <c r="M12310" i="17"/>
  <c r="M12309" i="17"/>
  <c r="M12308" i="17"/>
  <c r="M12307" i="17"/>
  <c r="M12306" i="17"/>
  <c r="M12305" i="17"/>
  <c r="M12304" i="17"/>
  <c r="M12303" i="17"/>
  <c r="M12302" i="17"/>
  <c r="M12301" i="17"/>
  <c r="M12300" i="17"/>
  <c r="M12299" i="17"/>
  <c r="M12298" i="17"/>
  <c r="M12297" i="17"/>
  <c r="M12296" i="17"/>
  <c r="M12295" i="17"/>
  <c r="M12294" i="17"/>
  <c r="M12293" i="17"/>
  <c r="M12292" i="17"/>
  <c r="M12291" i="17"/>
  <c r="M12290" i="17"/>
  <c r="M12289" i="17"/>
  <c r="M12288" i="17"/>
  <c r="M12287" i="17"/>
  <c r="M12286" i="17"/>
  <c r="M12285" i="17"/>
  <c r="M12284" i="17"/>
  <c r="M12283" i="17"/>
  <c r="M12282" i="17"/>
  <c r="M12281" i="17"/>
  <c r="M12280" i="17"/>
  <c r="M12279" i="17"/>
  <c r="M12278" i="17"/>
  <c r="M12277" i="17"/>
  <c r="M12276" i="17"/>
  <c r="M12275" i="17"/>
  <c r="M12274" i="17"/>
  <c r="M12273" i="17"/>
  <c r="M12272" i="17"/>
  <c r="M12271" i="17"/>
  <c r="M12270" i="17"/>
  <c r="M12269" i="17"/>
  <c r="M12268" i="17"/>
  <c r="M12267" i="17"/>
  <c r="M12266" i="17"/>
  <c r="M12265" i="17"/>
  <c r="M12264" i="17"/>
  <c r="M12263" i="17"/>
  <c r="M12262" i="17"/>
  <c r="M12261" i="17"/>
  <c r="M12260" i="17"/>
  <c r="M12259" i="17"/>
  <c r="M12258" i="17"/>
  <c r="M12257" i="17"/>
  <c r="M12256" i="17"/>
  <c r="M12255" i="17"/>
  <c r="M12254" i="17"/>
  <c r="M12253" i="17"/>
  <c r="M12252" i="17"/>
  <c r="M12251" i="17"/>
  <c r="M12250" i="17"/>
  <c r="M12249" i="17"/>
  <c r="M12248" i="17"/>
  <c r="M12247" i="17"/>
  <c r="M12246" i="17"/>
  <c r="M12245" i="17"/>
  <c r="M12244" i="17"/>
  <c r="M12243" i="17"/>
  <c r="M12242" i="17"/>
  <c r="M12241" i="17"/>
  <c r="M12240" i="17"/>
  <c r="M12239" i="17"/>
  <c r="M12238" i="17"/>
  <c r="M12237" i="17"/>
  <c r="M12236" i="17"/>
  <c r="M12235" i="17"/>
  <c r="M12234" i="17"/>
  <c r="M12233" i="17"/>
  <c r="M12232" i="17"/>
  <c r="M12231" i="17"/>
  <c r="M12230" i="17"/>
  <c r="M12229" i="17"/>
  <c r="M12228" i="17"/>
  <c r="M12227" i="17"/>
  <c r="M12226" i="17"/>
  <c r="M12225" i="17"/>
  <c r="M12224" i="17"/>
  <c r="M12223" i="17"/>
  <c r="M12222" i="17"/>
  <c r="M12221" i="17"/>
  <c r="M12220" i="17"/>
  <c r="M12219" i="17"/>
  <c r="M12218" i="17"/>
  <c r="M12217" i="17"/>
  <c r="M12216" i="17"/>
  <c r="M12215" i="17"/>
  <c r="M12214" i="17"/>
  <c r="M12213" i="17"/>
  <c r="M12212" i="17"/>
  <c r="M12211" i="17"/>
  <c r="M12210" i="17"/>
  <c r="M12209" i="17"/>
  <c r="M12208" i="17"/>
  <c r="M12207" i="17"/>
  <c r="M12206" i="17"/>
  <c r="M12205" i="17"/>
  <c r="M12204" i="17"/>
  <c r="M12203" i="17"/>
  <c r="M12202" i="17"/>
  <c r="M12201" i="17"/>
  <c r="M12200" i="17"/>
  <c r="M12199" i="17"/>
  <c r="M12198" i="17"/>
  <c r="M12197" i="17"/>
  <c r="M12196" i="17"/>
  <c r="M12195" i="17"/>
  <c r="M12194" i="17"/>
  <c r="M12193" i="17"/>
  <c r="M12192" i="17"/>
  <c r="M12191" i="17"/>
  <c r="M12190" i="17"/>
  <c r="M12189" i="17"/>
  <c r="M12188" i="17"/>
  <c r="M12187" i="17"/>
  <c r="M12186" i="17"/>
  <c r="M12185" i="17"/>
  <c r="M12184" i="17"/>
  <c r="M12183" i="17"/>
  <c r="M12182" i="17"/>
  <c r="M12181" i="17"/>
  <c r="M12180" i="17"/>
  <c r="M12179" i="17"/>
  <c r="M12178" i="17"/>
  <c r="M12177" i="17"/>
  <c r="M12176" i="17"/>
  <c r="M12175" i="17"/>
  <c r="M12174" i="17"/>
  <c r="M12173" i="17"/>
  <c r="M12172" i="17"/>
  <c r="M12171" i="17"/>
  <c r="M12170" i="17"/>
  <c r="M12169" i="17"/>
  <c r="M12168" i="17"/>
  <c r="M12167" i="17"/>
  <c r="M12166" i="17"/>
  <c r="M12165" i="17"/>
  <c r="M12164" i="17"/>
  <c r="M12163" i="17"/>
  <c r="M12162" i="17"/>
  <c r="M12161" i="17"/>
  <c r="M12160" i="17"/>
  <c r="M12159" i="17"/>
  <c r="M12158" i="17"/>
  <c r="M12157" i="17"/>
  <c r="M12156" i="17"/>
  <c r="M12155" i="17"/>
  <c r="M12154" i="17"/>
  <c r="M12153" i="17"/>
  <c r="M12152" i="17"/>
  <c r="M12151" i="17"/>
  <c r="M12150" i="17"/>
  <c r="M12149" i="17"/>
  <c r="M12148" i="17"/>
  <c r="M12147" i="17"/>
  <c r="M12146" i="17"/>
  <c r="M12145" i="17"/>
  <c r="M12144" i="17"/>
  <c r="M12143" i="17"/>
  <c r="M12142" i="17"/>
  <c r="M12141" i="17"/>
  <c r="M12140" i="17"/>
  <c r="M12139" i="17"/>
  <c r="M12138" i="17"/>
  <c r="M12137" i="17"/>
  <c r="M12136" i="17"/>
  <c r="M12135" i="17"/>
  <c r="M12134" i="17"/>
  <c r="M12133" i="17"/>
  <c r="M12132" i="17"/>
  <c r="M12131" i="17"/>
  <c r="M12130" i="17"/>
  <c r="M12129" i="17"/>
  <c r="M12128" i="17"/>
  <c r="M12127" i="17"/>
  <c r="M12126" i="17"/>
  <c r="M12125" i="17"/>
  <c r="M12124" i="17"/>
  <c r="M12123" i="17"/>
  <c r="M12122" i="17"/>
  <c r="M12121" i="17"/>
  <c r="M12120" i="17"/>
  <c r="M12119" i="17"/>
  <c r="M12118" i="17"/>
  <c r="M12117" i="17"/>
  <c r="M12116" i="17"/>
  <c r="M12115" i="17"/>
  <c r="M12114" i="17"/>
  <c r="M12113" i="17"/>
  <c r="M12112" i="17"/>
  <c r="M12111" i="17"/>
  <c r="M12110" i="17"/>
  <c r="M12109" i="17"/>
  <c r="M12108" i="17"/>
  <c r="M12107" i="17"/>
  <c r="M12106" i="17"/>
  <c r="M12105" i="17"/>
  <c r="M12104" i="17"/>
  <c r="M12103" i="17"/>
  <c r="M12102" i="17"/>
  <c r="M12101" i="17"/>
  <c r="M12100" i="17"/>
  <c r="M12099" i="17"/>
  <c r="M12098" i="17"/>
  <c r="M12097" i="17"/>
  <c r="M12096" i="17"/>
  <c r="M12095" i="17"/>
  <c r="M12094" i="17"/>
  <c r="M12093" i="17"/>
  <c r="M12092" i="17"/>
  <c r="M12091" i="17"/>
  <c r="M12090" i="17"/>
  <c r="M12089" i="17"/>
  <c r="M12088" i="17"/>
  <c r="M12087" i="17"/>
  <c r="M12086" i="17"/>
  <c r="M12085" i="17"/>
  <c r="M12084" i="17"/>
  <c r="M12083" i="17"/>
  <c r="M12082" i="17"/>
  <c r="M12081" i="17"/>
  <c r="M12080" i="17"/>
  <c r="M12079" i="17"/>
  <c r="M12078" i="17"/>
  <c r="M12077" i="17"/>
  <c r="M12076" i="17"/>
  <c r="M12075" i="17"/>
  <c r="M12074" i="17"/>
  <c r="M12073" i="17"/>
  <c r="M12072" i="17"/>
  <c r="M12071" i="17"/>
  <c r="M12070" i="17"/>
  <c r="M12069" i="17"/>
  <c r="M12068" i="17"/>
  <c r="M12067" i="17"/>
  <c r="M12066" i="17"/>
  <c r="M12065" i="17"/>
  <c r="M12064" i="17"/>
  <c r="M12063" i="17"/>
  <c r="M12062" i="17"/>
  <c r="M12061" i="17"/>
  <c r="M12060" i="17"/>
  <c r="M12059" i="17"/>
  <c r="M12058" i="17"/>
  <c r="M12057" i="17"/>
  <c r="M12056" i="17"/>
  <c r="M12055" i="17"/>
  <c r="M12054" i="17"/>
  <c r="M12053" i="17"/>
  <c r="M12052" i="17"/>
  <c r="M12051" i="17"/>
  <c r="M12050" i="17"/>
  <c r="M12049" i="17"/>
  <c r="M12048" i="17"/>
  <c r="M12047" i="17"/>
  <c r="M12046" i="17"/>
  <c r="M12045" i="17"/>
  <c r="M12044" i="17"/>
  <c r="M12043" i="17"/>
  <c r="M12042" i="17"/>
  <c r="M12041" i="17"/>
  <c r="M12040" i="17"/>
  <c r="M12039" i="17"/>
  <c r="M12038" i="17"/>
  <c r="M12037" i="17"/>
  <c r="M12036" i="17"/>
  <c r="M12035" i="17"/>
  <c r="M12034" i="17"/>
  <c r="M12033" i="17"/>
  <c r="M12032" i="17"/>
  <c r="M12031" i="17"/>
  <c r="M12030" i="17"/>
  <c r="M12029" i="17"/>
  <c r="M12028" i="17"/>
  <c r="M12027" i="17"/>
  <c r="M12026" i="17"/>
  <c r="M12025" i="17"/>
  <c r="M12024" i="17"/>
  <c r="M12023" i="17"/>
  <c r="M12022" i="17"/>
  <c r="M12021" i="17"/>
  <c r="M12020" i="17"/>
  <c r="M12019" i="17"/>
  <c r="M12018" i="17"/>
  <c r="M12017" i="17"/>
  <c r="M12016" i="17"/>
  <c r="M12015" i="17"/>
  <c r="M12014" i="17"/>
  <c r="M12013" i="17"/>
  <c r="M12012" i="17"/>
  <c r="M12011" i="17"/>
  <c r="M12010" i="17"/>
  <c r="M12009" i="17"/>
  <c r="M12008" i="17"/>
  <c r="M12007" i="17"/>
  <c r="M12006" i="17"/>
  <c r="M12005" i="17"/>
  <c r="M12004" i="17"/>
  <c r="M12003" i="17"/>
  <c r="M12002" i="17"/>
  <c r="M12001" i="17"/>
  <c r="M12000" i="17"/>
  <c r="M11999" i="17"/>
  <c r="M11998" i="17"/>
  <c r="M11997" i="17"/>
  <c r="M11996" i="17"/>
  <c r="M11995" i="17"/>
  <c r="M11994" i="17"/>
  <c r="M11993" i="17"/>
  <c r="M11992" i="17"/>
  <c r="M11991" i="17"/>
  <c r="M11990" i="17"/>
  <c r="M11989" i="17"/>
  <c r="M11988" i="17"/>
  <c r="M11987" i="17"/>
  <c r="M11986" i="17"/>
  <c r="M11985" i="17"/>
  <c r="M11984" i="17"/>
  <c r="M11983" i="17"/>
  <c r="M11982" i="17"/>
  <c r="M11981" i="17"/>
  <c r="M11980" i="17"/>
  <c r="M11979" i="17"/>
  <c r="M11978" i="17"/>
  <c r="M11977" i="17"/>
  <c r="M11976" i="17"/>
  <c r="M11975" i="17"/>
  <c r="M11974" i="17"/>
  <c r="M11973" i="17"/>
  <c r="M11972" i="17"/>
  <c r="M11971" i="17"/>
  <c r="M11970" i="17"/>
  <c r="M11969" i="17"/>
  <c r="M11968" i="17"/>
  <c r="M11967" i="17"/>
  <c r="M11966" i="17"/>
  <c r="M11965" i="17"/>
  <c r="M11964" i="17"/>
  <c r="M11963" i="17"/>
  <c r="M11962" i="17"/>
  <c r="M11961" i="17"/>
  <c r="M11960" i="17"/>
  <c r="M11959" i="17"/>
  <c r="M11958" i="17"/>
  <c r="M11957" i="17"/>
  <c r="M11956" i="17"/>
  <c r="M11955" i="17"/>
  <c r="M11954" i="17"/>
  <c r="M11953" i="17"/>
  <c r="M11952" i="17"/>
  <c r="M11951" i="17"/>
  <c r="M11950" i="17"/>
  <c r="M11949" i="17"/>
  <c r="M11948" i="17"/>
  <c r="M11947" i="17"/>
  <c r="M11946" i="17"/>
  <c r="M11945" i="17"/>
  <c r="M11944" i="17"/>
  <c r="M11943" i="17"/>
  <c r="M11942" i="17"/>
  <c r="M11941" i="17"/>
  <c r="M11940" i="17"/>
  <c r="M11939" i="17"/>
  <c r="M11938" i="17"/>
  <c r="M11937" i="17"/>
  <c r="M11936" i="17"/>
  <c r="M11935" i="17"/>
  <c r="M11934" i="17"/>
  <c r="M11933" i="17"/>
  <c r="M11932" i="17"/>
  <c r="M11931" i="17"/>
  <c r="M11930" i="17"/>
  <c r="M11929" i="17"/>
  <c r="M11928" i="17"/>
  <c r="M11927" i="17"/>
  <c r="M11926" i="17"/>
  <c r="M11925" i="17"/>
  <c r="M11924" i="17"/>
  <c r="M11923" i="17"/>
  <c r="M11922" i="17"/>
  <c r="M11921" i="17"/>
  <c r="M11920" i="17"/>
  <c r="M11919" i="17"/>
  <c r="M11918" i="17"/>
  <c r="M11917" i="17"/>
  <c r="M11916" i="17"/>
  <c r="M11915" i="17"/>
  <c r="M11914" i="17"/>
  <c r="M11913" i="17"/>
  <c r="M11912" i="17"/>
  <c r="M11911" i="17"/>
  <c r="M11910" i="17"/>
  <c r="M11909" i="17"/>
  <c r="M11908" i="17"/>
  <c r="M11907" i="17"/>
  <c r="M11906" i="17"/>
  <c r="M11905" i="17"/>
  <c r="M11904" i="17"/>
  <c r="M11903" i="17"/>
  <c r="M11902" i="17"/>
  <c r="M11901" i="17"/>
  <c r="M11900" i="17"/>
  <c r="M11899" i="17"/>
  <c r="M11898" i="17"/>
  <c r="M11897" i="17"/>
  <c r="M11896" i="17"/>
  <c r="M11895" i="17"/>
  <c r="M11894" i="17"/>
  <c r="M11893" i="17"/>
  <c r="M11892" i="17"/>
  <c r="M11891" i="17"/>
  <c r="M11890" i="17"/>
  <c r="M11889" i="17"/>
  <c r="M11888" i="17"/>
  <c r="M11887" i="17"/>
  <c r="M11886" i="17"/>
  <c r="M11885" i="17"/>
  <c r="M11884" i="17"/>
  <c r="M11883" i="17"/>
  <c r="M11882" i="17"/>
  <c r="M11881" i="17"/>
  <c r="M11880" i="17"/>
  <c r="M11879" i="17"/>
  <c r="M11878" i="17"/>
  <c r="M11877" i="17"/>
  <c r="M11876" i="17"/>
  <c r="M11875" i="17"/>
  <c r="M11874" i="17"/>
  <c r="M11873" i="17"/>
  <c r="M11872" i="17"/>
  <c r="M11871" i="17"/>
  <c r="M11870" i="17"/>
  <c r="M11869" i="17"/>
  <c r="M11868" i="17"/>
  <c r="M11867" i="17"/>
  <c r="M11866" i="17"/>
  <c r="M11865" i="17"/>
  <c r="M11864" i="17"/>
  <c r="M11863" i="17"/>
  <c r="M11862" i="17"/>
  <c r="M11861" i="17"/>
  <c r="M11860" i="17"/>
  <c r="M11859" i="17"/>
  <c r="M11858" i="17"/>
  <c r="M11857" i="17"/>
  <c r="M11856" i="17"/>
  <c r="M11855" i="17"/>
  <c r="M11854" i="17"/>
  <c r="M11853" i="17"/>
  <c r="M11852" i="17"/>
  <c r="M11851" i="17"/>
  <c r="M11850" i="17"/>
  <c r="M11849" i="17"/>
  <c r="M11848" i="17"/>
  <c r="M11847" i="17"/>
  <c r="M11846" i="17"/>
  <c r="M11845" i="17"/>
  <c r="M11844" i="17"/>
  <c r="M11843" i="17"/>
  <c r="M11842" i="17"/>
  <c r="M11841" i="17"/>
  <c r="M11840" i="17"/>
  <c r="M11839" i="17"/>
  <c r="M11838" i="17"/>
  <c r="M11837" i="17"/>
  <c r="M11836" i="17"/>
  <c r="M11835" i="17"/>
  <c r="M11834" i="17"/>
  <c r="M11833" i="17"/>
  <c r="M11832" i="17"/>
  <c r="M11831" i="17"/>
  <c r="M11830" i="17"/>
  <c r="M11829" i="17"/>
  <c r="M11828" i="17"/>
  <c r="M11827" i="17"/>
  <c r="M11826" i="17"/>
  <c r="M11825" i="17"/>
  <c r="M11824" i="17"/>
  <c r="M11823" i="17"/>
  <c r="M11822" i="17"/>
  <c r="M11821" i="17"/>
  <c r="M11820" i="17"/>
  <c r="M11819" i="17"/>
  <c r="M11818" i="17"/>
  <c r="M11817" i="17"/>
  <c r="M11816" i="17"/>
  <c r="M11815" i="17"/>
  <c r="M11814" i="17"/>
  <c r="M11813" i="17"/>
  <c r="M11812" i="17"/>
  <c r="M11811" i="17"/>
  <c r="M11810" i="17"/>
  <c r="M11809" i="17"/>
  <c r="M11808" i="17"/>
  <c r="M11807" i="17"/>
  <c r="M11806" i="17"/>
  <c r="M11805" i="17"/>
  <c r="M11804" i="17"/>
  <c r="M11803" i="17"/>
  <c r="M11802" i="17"/>
  <c r="M11801" i="17"/>
  <c r="M11800" i="17"/>
  <c r="M11799" i="17"/>
  <c r="M11798" i="17"/>
  <c r="M11797" i="17"/>
  <c r="M11796" i="17"/>
  <c r="M11795" i="17"/>
  <c r="M11794" i="17"/>
  <c r="M11793" i="17"/>
  <c r="M11792" i="17"/>
  <c r="M11791" i="17"/>
  <c r="M11790" i="17"/>
  <c r="M11789" i="17"/>
  <c r="M11788" i="17"/>
  <c r="M11787" i="17"/>
  <c r="M11786" i="17"/>
  <c r="M11785" i="17"/>
  <c r="M11784" i="17"/>
  <c r="M11783" i="17"/>
  <c r="M11782" i="17"/>
  <c r="M11781" i="17"/>
  <c r="M11780" i="17"/>
  <c r="M11779" i="17"/>
  <c r="M11778" i="17"/>
  <c r="M11777" i="17"/>
  <c r="M11776" i="17"/>
  <c r="M11775" i="17"/>
  <c r="M11774" i="17"/>
  <c r="M11773" i="17"/>
  <c r="M11772" i="17"/>
  <c r="M11771" i="17"/>
  <c r="M11770" i="17"/>
  <c r="M11769" i="17"/>
  <c r="M11768" i="17"/>
  <c r="M11767" i="17"/>
  <c r="M11766" i="17"/>
  <c r="M11765" i="17"/>
  <c r="M11764" i="17"/>
  <c r="M11763" i="17"/>
  <c r="M11762" i="17"/>
  <c r="M11761" i="17"/>
  <c r="M11760" i="17"/>
  <c r="M11759" i="17"/>
  <c r="M11758" i="17"/>
  <c r="M11757" i="17"/>
  <c r="M11756" i="17"/>
  <c r="M11755" i="17"/>
  <c r="M11754" i="17"/>
  <c r="M11753" i="17"/>
  <c r="M11752" i="17"/>
  <c r="M11751" i="17"/>
  <c r="M11750" i="17"/>
  <c r="M11749" i="17"/>
  <c r="M11748" i="17"/>
  <c r="M11747" i="17"/>
  <c r="M11746" i="17"/>
  <c r="M11745" i="17"/>
  <c r="M11744" i="17"/>
  <c r="M11743" i="17"/>
  <c r="M11742" i="17"/>
  <c r="M11741" i="17"/>
  <c r="M11740" i="17"/>
  <c r="M11739" i="17"/>
  <c r="M11738" i="17"/>
  <c r="M11737" i="17"/>
  <c r="M11736" i="17"/>
  <c r="M11735" i="17"/>
  <c r="M11734" i="17"/>
  <c r="M11733" i="17"/>
  <c r="M11732" i="17"/>
  <c r="M11731" i="17"/>
  <c r="M11730" i="17"/>
  <c r="M11729" i="17"/>
  <c r="M11728" i="17"/>
  <c r="M11727" i="17"/>
  <c r="M11726" i="17"/>
  <c r="M11725" i="17"/>
  <c r="M11724" i="17"/>
  <c r="M11723" i="17"/>
  <c r="M11722" i="17"/>
  <c r="M11721" i="17"/>
  <c r="M11720" i="17"/>
  <c r="M11719" i="17"/>
  <c r="M11718" i="17"/>
  <c r="M11717" i="17"/>
  <c r="M11716" i="17"/>
  <c r="M11715" i="17"/>
  <c r="M11714" i="17"/>
  <c r="M11713" i="17"/>
  <c r="M11712" i="17"/>
  <c r="M11711" i="17"/>
  <c r="M11710" i="17"/>
  <c r="M11709" i="17"/>
  <c r="M11708" i="17"/>
  <c r="M11707" i="17"/>
  <c r="M11706" i="17"/>
  <c r="M11705" i="17"/>
  <c r="M11704" i="17"/>
  <c r="M11703" i="17"/>
  <c r="M11702" i="17"/>
  <c r="M11701" i="17"/>
  <c r="M11700" i="17"/>
  <c r="M11699" i="17"/>
  <c r="M11698" i="17"/>
  <c r="M11697" i="17"/>
  <c r="M11696" i="17"/>
  <c r="M11695" i="17"/>
  <c r="M11694" i="17"/>
  <c r="M11693" i="17"/>
  <c r="M11692" i="17"/>
  <c r="M11691" i="17"/>
  <c r="M11690" i="17"/>
  <c r="M11689" i="17"/>
  <c r="M11688" i="17"/>
  <c r="M11687" i="17"/>
  <c r="M11686" i="17"/>
  <c r="M11685" i="17"/>
  <c r="M11684" i="17"/>
  <c r="M11683" i="17"/>
  <c r="M11682" i="17"/>
  <c r="M11681" i="17"/>
  <c r="M11680" i="17"/>
  <c r="M11679" i="17"/>
  <c r="M11678" i="17"/>
  <c r="M11677" i="17"/>
  <c r="M11676" i="17"/>
  <c r="M11675" i="17"/>
  <c r="M11674" i="17"/>
  <c r="M11673" i="17"/>
  <c r="M11672" i="17"/>
  <c r="M11671" i="17"/>
  <c r="M11670" i="17"/>
  <c r="M11669" i="17"/>
  <c r="M11668" i="17"/>
  <c r="M11667" i="17"/>
  <c r="M11666" i="17"/>
  <c r="M11665" i="17"/>
  <c r="M11664" i="17"/>
  <c r="M11663" i="17"/>
  <c r="M11662" i="17"/>
  <c r="M11661" i="17"/>
  <c r="M11660" i="17"/>
  <c r="M11659" i="17"/>
  <c r="M11658" i="17"/>
  <c r="M11657" i="17"/>
  <c r="M11656" i="17"/>
  <c r="M11655" i="17"/>
  <c r="M11654" i="17"/>
  <c r="M11653" i="17"/>
  <c r="M11652" i="17"/>
  <c r="M11651" i="17"/>
  <c r="M11650" i="17"/>
  <c r="M11649" i="17"/>
  <c r="M11648" i="17"/>
  <c r="M11647" i="17"/>
  <c r="M11646" i="17"/>
  <c r="M11645" i="17"/>
  <c r="M11644" i="17"/>
  <c r="M11643" i="17"/>
  <c r="M11642" i="17"/>
  <c r="M11641" i="17"/>
  <c r="M11640" i="17"/>
  <c r="M11639" i="17"/>
  <c r="M11638" i="17"/>
  <c r="M11637" i="17"/>
  <c r="M11636" i="17"/>
  <c r="M11635" i="17"/>
  <c r="M11634" i="17"/>
  <c r="M11633" i="17"/>
  <c r="M11632" i="17"/>
  <c r="M11631" i="17"/>
  <c r="M11630" i="17"/>
  <c r="M11629" i="17"/>
  <c r="M11628" i="17"/>
  <c r="M11627" i="17"/>
  <c r="M11626" i="17"/>
  <c r="M11625" i="17"/>
  <c r="M11624" i="17"/>
  <c r="M11623" i="17"/>
  <c r="M11622" i="17"/>
  <c r="M11621" i="17"/>
  <c r="M11620" i="17"/>
  <c r="M11619" i="17"/>
  <c r="M11618" i="17"/>
  <c r="M11617" i="17"/>
  <c r="M11616" i="17"/>
  <c r="M11615" i="17"/>
  <c r="M11614" i="17"/>
  <c r="M11613" i="17"/>
  <c r="M11612" i="17"/>
  <c r="M11611" i="17"/>
  <c r="M11610" i="17"/>
  <c r="M11609" i="17"/>
  <c r="M11608" i="17"/>
  <c r="M11607" i="17"/>
  <c r="M11606" i="17"/>
  <c r="M11605" i="17"/>
  <c r="M11604" i="17"/>
  <c r="M11603" i="17"/>
  <c r="M11602" i="17"/>
  <c r="M11601" i="17"/>
  <c r="M11600" i="17"/>
  <c r="M11599" i="17"/>
  <c r="M11598" i="17"/>
  <c r="M11597" i="17"/>
  <c r="M11596" i="17"/>
  <c r="M11595" i="17"/>
  <c r="M11594" i="17"/>
  <c r="M11593" i="17"/>
  <c r="M11592" i="17"/>
  <c r="M11591" i="17"/>
  <c r="M11590" i="17"/>
  <c r="M11589" i="17"/>
  <c r="M11588" i="17"/>
  <c r="M11587" i="17"/>
  <c r="M11586" i="17"/>
  <c r="M11585" i="17"/>
  <c r="M11584" i="17"/>
  <c r="M11583" i="17"/>
  <c r="M11582" i="17"/>
  <c r="M11581" i="17"/>
  <c r="M11580" i="17"/>
  <c r="M11579" i="17"/>
  <c r="M11578" i="17"/>
  <c r="M11577" i="17"/>
  <c r="M11576" i="17"/>
  <c r="M11575" i="17"/>
  <c r="M11574" i="17"/>
  <c r="M11573" i="17"/>
  <c r="M11572" i="17"/>
  <c r="M11571" i="17"/>
  <c r="M11570" i="17"/>
  <c r="M11569" i="17"/>
  <c r="M11568" i="17"/>
  <c r="M11567" i="17"/>
  <c r="M11566" i="17"/>
  <c r="M11565" i="17"/>
  <c r="M11564" i="17"/>
  <c r="M11563" i="17"/>
  <c r="M11562" i="17"/>
  <c r="M11561" i="17"/>
  <c r="M11560" i="17"/>
  <c r="M11559" i="17"/>
  <c r="M11558" i="17"/>
  <c r="M11557" i="17"/>
  <c r="M11556" i="17"/>
  <c r="M11555" i="17"/>
  <c r="M11554" i="17"/>
  <c r="M11553" i="17"/>
  <c r="M11552" i="17"/>
  <c r="M11551" i="17"/>
  <c r="M11550" i="17"/>
  <c r="M11549" i="17"/>
  <c r="M11548" i="17"/>
  <c r="M11547" i="17"/>
  <c r="M11546" i="17"/>
  <c r="M11545" i="17"/>
  <c r="M11544" i="17"/>
  <c r="M11543" i="17"/>
  <c r="M11542" i="17"/>
  <c r="M11541" i="17"/>
  <c r="M11540" i="17"/>
  <c r="M11539" i="17"/>
  <c r="M11538" i="17"/>
  <c r="M11537" i="17"/>
  <c r="M11536" i="17"/>
  <c r="M11535" i="17"/>
  <c r="M11534" i="17"/>
  <c r="M11533" i="17"/>
  <c r="M11532" i="17"/>
  <c r="M11531" i="17"/>
  <c r="M11530" i="17"/>
  <c r="M11529" i="17"/>
  <c r="M11528" i="17"/>
  <c r="M11527" i="17"/>
  <c r="M11526" i="17"/>
  <c r="M11525" i="17"/>
  <c r="M11524" i="17"/>
  <c r="M11523" i="17"/>
  <c r="M11522" i="17"/>
  <c r="M11521" i="17"/>
  <c r="M11520" i="17"/>
  <c r="M11519" i="17"/>
  <c r="M11518" i="17"/>
  <c r="M11517" i="17"/>
  <c r="M11516" i="17"/>
  <c r="M11515" i="17"/>
  <c r="M11514" i="17"/>
  <c r="M11513" i="17"/>
  <c r="M11512" i="17"/>
  <c r="M11511" i="17"/>
  <c r="M11510" i="17"/>
  <c r="M11509" i="17"/>
  <c r="M11508" i="17"/>
  <c r="M11507" i="17"/>
  <c r="M11506" i="17"/>
  <c r="M11505" i="17"/>
  <c r="M11504" i="17"/>
  <c r="M11503" i="17"/>
  <c r="M11502" i="17"/>
  <c r="M11501" i="17"/>
  <c r="M11500" i="17"/>
  <c r="M11499" i="17"/>
  <c r="M11498" i="17"/>
  <c r="M11497" i="17"/>
  <c r="M11496" i="17"/>
  <c r="M11495" i="17"/>
  <c r="M11494" i="17"/>
  <c r="M11493" i="17"/>
  <c r="M11492" i="17"/>
  <c r="M11491" i="17"/>
  <c r="M11490" i="17"/>
  <c r="M11489" i="17"/>
  <c r="M11488" i="17"/>
  <c r="M11487" i="17"/>
  <c r="M11486" i="17"/>
  <c r="M11485" i="17"/>
  <c r="M11484" i="17"/>
  <c r="M11483" i="17"/>
  <c r="M11482" i="17"/>
  <c r="M11481" i="17"/>
  <c r="M11480" i="17"/>
  <c r="M11479" i="17"/>
  <c r="M11478" i="17"/>
  <c r="M11477" i="17"/>
  <c r="M11476" i="17"/>
  <c r="M11475" i="17"/>
  <c r="M11474" i="17"/>
  <c r="M11473" i="17"/>
  <c r="M11472" i="17"/>
  <c r="M11471" i="17"/>
  <c r="M11470" i="17"/>
  <c r="M11469" i="17"/>
  <c r="M11468" i="17"/>
  <c r="M11467" i="17"/>
  <c r="M11466" i="17"/>
  <c r="M11465" i="17"/>
  <c r="M11464" i="17"/>
  <c r="M11463" i="17"/>
  <c r="M11462" i="17"/>
  <c r="M11461" i="17"/>
  <c r="M11460" i="17"/>
  <c r="M11459" i="17"/>
  <c r="M11458" i="17"/>
  <c r="M11457" i="17"/>
  <c r="M11456" i="17"/>
  <c r="M11455" i="17"/>
  <c r="M11454" i="17"/>
  <c r="M11453" i="17"/>
  <c r="M11452" i="17"/>
  <c r="M11451" i="17"/>
  <c r="M11450" i="17"/>
  <c r="M11449" i="17"/>
  <c r="M11448" i="17"/>
  <c r="M11447" i="17"/>
  <c r="M11446" i="17"/>
  <c r="M11445" i="17"/>
  <c r="M11444" i="17"/>
  <c r="M11443" i="17"/>
  <c r="M11442" i="17"/>
  <c r="M11441" i="17"/>
  <c r="M11440" i="17"/>
  <c r="M11439" i="17"/>
  <c r="M11438" i="17"/>
  <c r="M11437" i="17"/>
  <c r="M11436" i="17"/>
  <c r="M11435" i="17"/>
  <c r="M11434" i="17"/>
  <c r="M11433" i="17"/>
  <c r="M11432" i="17"/>
  <c r="M11431" i="17"/>
  <c r="M11430" i="17"/>
  <c r="M11429" i="17"/>
  <c r="M11428" i="17"/>
  <c r="M11427" i="17"/>
  <c r="M11426" i="17"/>
  <c r="M11425" i="17"/>
  <c r="M11424" i="17"/>
  <c r="M11423" i="17"/>
  <c r="M11422" i="17"/>
  <c r="M11421" i="17"/>
  <c r="M11420" i="17"/>
  <c r="M11419" i="17"/>
  <c r="M11418" i="17"/>
  <c r="M11417" i="17"/>
  <c r="M11416" i="17"/>
  <c r="M11415" i="17"/>
  <c r="M11414" i="17"/>
  <c r="M11413" i="17"/>
  <c r="M11412" i="17"/>
  <c r="M11411" i="17"/>
  <c r="M11410" i="17"/>
  <c r="M11409" i="17"/>
  <c r="M11408" i="17"/>
  <c r="M11407" i="17"/>
  <c r="M11406" i="17"/>
  <c r="M11405" i="17"/>
  <c r="M11404" i="17"/>
  <c r="M11403" i="17"/>
  <c r="M11402" i="17"/>
  <c r="M11401" i="17"/>
  <c r="M11400" i="17"/>
  <c r="M11399" i="17"/>
  <c r="M11398" i="17"/>
  <c r="M11397" i="17"/>
  <c r="M11396" i="17"/>
  <c r="M11395" i="17"/>
  <c r="M11394" i="17"/>
  <c r="M11393" i="17"/>
  <c r="M11392" i="17"/>
  <c r="M11391" i="17"/>
  <c r="M11390" i="17"/>
  <c r="M11389" i="17"/>
  <c r="M11388" i="17"/>
  <c r="M11387" i="17"/>
  <c r="M11386" i="17"/>
  <c r="M11385" i="17"/>
  <c r="M11384" i="17"/>
  <c r="M11383" i="17"/>
  <c r="M11382" i="17"/>
  <c r="M11381" i="17"/>
  <c r="M11380" i="17"/>
  <c r="M11379" i="17"/>
  <c r="M11378" i="17"/>
  <c r="M11377" i="17"/>
  <c r="M11376" i="17"/>
  <c r="M11375" i="17"/>
  <c r="M11374" i="17"/>
  <c r="M11373" i="17"/>
  <c r="M11372" i="17"/>
  <c r="M11371" i="17"/>
  <c r="M11370" i="17"/>
  <c r="M11369" i="17"/>
  <c r="M11368" i="17"/>
  <c r="M11367" i="17"/>
  <c r="M11366" i="17"/>
  <c r="M11365" i="17"/>
  <c r="M11364" i="17"/>
  <c r="M11363" i="17"/>
  <c r="M11362" i="17"/>
  <c r="M11361" i="17"/>
  <c r="M11360" i="17"/>
  <c r="M11359" i="17"/>
  <c r="M11358" i="17"/>
  <c r="M11357" i="17"/>
  <c r="M11356" i="17"/>
  <c r="M11355" i="17"/>
  <c r="M11354" i="17"/>
  <c r="M11353" i="17"/>
  <c r="M11352" i="17"/>
  <c r="M11351" i="17"/>
  <c r="M11350" i="17"/>
  <c r="M11349" i="17"/>
  <c r="M11348" i="17"/>
  <c r="M11347" i="17"/>
  <c r="M11346" i="17"/>
  <c r="M11345" i="17"/>
  <c r="M11344" i="17"/>
  <c r="M11343" i="17"/>
  <c r="M11342" i="17"/>
  <c r="M11341" i="17"/>
  <c r="M11340" i="17"/>
  <c r="M11339" i="17"/>
  <c r="M11338" i="17"/>
  <c r="M11337" i="17"/>
  <c r="M11336" i="17"/>
  <c r="M11335" i="17"/>
  <c r="M11334" i="17"/>
  <c r="M11333" i="17"/>
  <c r="M11332" i="17"/>
  <c r="M11331" i="17"/>
  <c r="M11330" i="17"/>
  <c r="M11329" i="17"/>
  <c r="M11328" i="17"/>
  <c r="M11327" i="17"/>
  <c r="M11326" i="17"/>
  <c r="M11325" i="17"/>
  <c r="M11324" i="17"/>
  <c r="M11323" i="17"/>
  <c r="M11322" i="17"/>
  <c r="M11321" i="17"/>
  <c r="M11320" i="17"/>
  <c r="M11319" i="17"/>
  <c r="M11318" i="17"/>
  <c r="M11317" i="17"/>
  <c r="M11316" i="17"/>
  <c r="M11315" i="17"/>
  <c r="M11314" i="17"/>
  <c r="M11313" i="17"/>
  <c r="M11312" i="17"/>
  <c r="M11311" i="17"/>
  <c r="M11310" i="17"/>
  <c r="M11309" i="17"/>
  <c r="M11308" i="17"/>
  <c r="M11307" i="17"/>
  <c r="M11306" i="17"/>
  <c r="M11305" i="17"/>
  <c r="M11304" i="17"/>
  <c r="M11303" i="17"/>
  <c r="M11302" i="17"/>
  <c r="M11301" i="17"/>
  <c r="M11300" i="17"/>
  <c r="M11299" i="17"/>
  <c r="M11298" i="17"/>
  <c r="M11297" i="17"/>
  <c r="M11296" i="17"/>
  <c r="M11295" i="17"/>
  <c r="M11294" i="17"/>
  <c r="M11293" i="17"/>
  <c r="M11292" i="17"/>
  <c r="M11291" i="17"/>
  <c r="M11290" i="17"/>
  <c r="M11289" i="17"/>
  <c r="M11288" i="17"/>
  <c r="M11287" i="17"/>
  <c r="M11286" i="17"/>
  <c r="M11285" i="17"/>
  <c r="M11284" i="17"/>
  <c r="M11283" i="17"/>
  <c r="M11282" i="17"/>
  <c r="M11281" i="17"/>
  <c r="M11280" i="17"/>
  <c r="M11279" i="17"/>
  <c r="M11278" i="17"/>
  <c r="M11277" i="17"/>
  <c r="M11276" i="17"/>
  <c r="M11275" i="17"/>
  <c r="M11274" i="17"/>
  <c r="M11273" i="17"/>
  <c r="M11272" i="17"/>
  <c r="M11271" i="17"/>
  <c r="M11270" i="17"/>
  <c r="M11269" i="17"/>
  <c r="M11268" i="17"/>
  <c r="M11267" i="17"/>
  <c r="M11266" i="17"/>
  <c r="M11265" i="17"/>
  <c r="M11264" i="17"/>
  <c r="M11263" i="17"/>
  <c r="M11262" i="17"/>
  <c r="M11261" i="17"/>
  <c r="M11260" i="17"/>
  <c r="M11259" i="17"/>
  <c r="M11258" i="17"/>
  <c r="M11257" i="17"/>
  <c r="M11256" i="17"/>
  <c r="M11255" i="17"/>
  <c r="M11254" i="17"/>
  <c r="M11253" i="17"/>
  <c r="M11252" i="17"/>
  <c r="M11251" i="17"/>
  <c r="M11250" i="17"/>
  <c r="M11249" i="17"/>
  <c r="M11248" i="17"/>
  <c r="M11247" i="17"/>
  <c r="M11246" i="17"/>
  <c r="M11245" i="17"/>
  <c r="M11244" i="17"/>
  <c r="M11243" i="17"/>
  <c r="M11242" i="17"/>
  <c r="M11241" i="17"/>
  <c r="M11240" i="17"/>
  <c r="M11239" i="17"/>
  <c r="M11238" i="17"/>
  <c r="M11237" i="17"/>
  <c r="M11236" i="17"/>
  <c r="M11235" i="17"/>
  <c r="M11234" i="17"/>
  <c r="M11233" i="17"/>
  <c r="M11232" i="17"/>
  <c r="M11231" i="17"/>
  <c r="M11230" i="17"/>
  <c r="M11229" i="17"/>
  <c r="M11228" i="17"/>
  <c r="M11227" i="17"/>
  <c r="M11226" i="17"/>
  <c r="M11225" i="17"/>
  <c r="M11224" i="17"/>
  <c r="M11223" i="17"/>
  <c r="M11222" i="17"/>
  <c r="M11221" i="17"/>
  <c r="M11220" i="17"/>
  <c r="M11219" i="17"/>
  <c r="M11218" i="17"/>
  <c r="M11217" i="17"/>
  <c r="M11216" i="17"/>
  <c r="M11215" i="17"/>
  <c r="M11214" i="17"/>
  <c r="M11213" i="17"/>
  <c r="M11212" i="17"/>
  <c r="M11211" i="17"/>
  <c r="M11210" i="17"/>
  <c r="M11209" i="17"/>
  <c r="M11208" i="17"/>
  <c r="M11207" i="17"/>
  <c r="M11206" i="17"/>
  <c r="M11205" i="17"/>
  <c r="M11204" i="17"/>
  <c r="M11203" i="17"/>
  <c r="M11202" i="17"/>
  <c r="M11201" i="17"/>
  <c r="M11200" i="17"/>
  <c r="M11199" i="17"/>
  <c r="M11198" i="17"/>
  <c r="M11197" i="17"/>
  <c r="M11196" i="17"/>
  <c r="M11195" i="17"/>
  <c r="M11194" i="17"/>
  <c r="M11193" i="17"/>
  <c r="M11192" i="17"/>
  <c r="M11191" i="17"/>
  <c r="M11190" i="17"/>
  <c r="M11189" i="17"/>
  <c r="M11188" i="17"/>
  <c r="M11187" i="17"/>
  <c r="M11186" i="17"/>
  <c r="M11185" i="17"/>
  <c r="M11184" i="17"/>
  <c r="M11183" i="17"/>
  <c r="M11182" i="17"/>
  <c r="M11181" i="17"/>
  <c r="M11180" i="17"/>
  <c r="M11179" i="17"/>
  <c r="M11178" i="17"/>
  <c r="M11177" i="17"/>
  <c r="M11176" i="17"/>
  <c r="M11175" i="17"/>
  <c r="M11174" i="17"/>
  <c r="M11173" i="17"/>
  <c r="M11172" i="17"/>
  <c r="M11171" i="17"/>
  <c r="M11170" i="17"/>
  <c r="M11169" i="17"/>
  <c r="M11168" i="17"/>
  <c r="M11167" i="17"/>
  <c r="M11166" i="17"/>
  <c r="M11165" i="17"/>
  <c r="M11164" i="17"/>
  <c r="M11163" i="17"/>
  <c r="M11162" i="17"/>
  <c r="M11161" i="17"/>
  <c r="M11160" i="17"/>
  <c r="M11159" i="17"/>
  <c r="M11158" i="17"/>
  <c r="M11157" i="17"/>
  <c r="M11156" i="17"/>
  <c r="M11155" i="17"/>
  <c r="M11154" i="17"/>
  <c r="M11153" i="17"/>
  <c r="M11152" i="17"/>
  <c r="M11151" i="17"/>
  <c r="M11150" i="17"/>
  <c r="M11149" i="17"/>
  <c r="M11148" i="17"/>
  <c r="M11147" i="17"/>
  <c r="M11146" i="17"/>
  <c r="M11145" i="17"/>
  <c r="M11144" i="17"/>
  <c r="M11143" i="17"/>
  <c r="M11142" i="17"/>
  <c r="M11141" i="17"/>
  <c r="M11140" i="17"/>
  <c r="M11139" i="17"/>
  <c r="M11138" i="17"/>
  <c r="M11137" i="17"/>
  <c r="M11136" i="17"/>
  <c r="M11135" i="17"/>
  <c r="M11134" i="17"/>
  <c r="M11133" i="17"/>
  <c r="M11132" i="17"/>
  <c r="M11131" i="17"/>
  <c r="M11130" i="17"/>
  <c r="M11129" i="17"/>
  <c r="M11128" i="17"/>
  <c r="M11127" i="17"/>
  <c r="M11126" i="17"/>
  <c r="M11125" i="17"/>
  <c r="M11124" i="17"/>
  <c r="M11123" i="17"/>
  <c r="M11122" i="17"/>
  <c r="M11121" i="17"/>
  <c r="M11120" i="17"/>
  <c r="M11119" i="17"/>
  <c r="M11118" i="17"/>
  <c r="M11117" i="17"/>
  <c r="M11116" i="17"/>
  <c r="M11115" i="17"/>
  <c r="M11114" i="17"/>
  <c r="M11113" i="17"/>
  <c r="M11112" i="17"/>
  <c r="M11111" i="17"/>
  <c r="M11110" i="17"/>
  <c r="M11109" i="17"/>
  <c r="M11108" i="17"/>
  <c r="M11107" i="17"/>
  <c r="M11106" i="17"/>
  <c r="M11105" i="17"/>
  <c r="M11104" i="17"/>
  <c r="M11103" i="17"/>
  <c r="M11102" i="17"/>
  <c r="M11101" i="17"/>
  <c r="M11100" i="17"/>
  <c r="M11099" i="17"/>
  <c r="M11098" i="17"/>
  <c r="M11097" i="17"/>
  <c r="M11096" i="17"/>
  <c r="M11095" i="17"/>
  <c r="M11094" i="17"/>
  <c r="M11093" i="17"/>
  <c r="M11092" i="17"/>
  <c r="M11091" i="17"/>
  <c r="M11090" i="17"/>
  <c r="M11089" i="17"/>
  <c r="M11088" i="17"/>
  <c r="M11087" i="17"/>
  <c r="M11086" i="17"/>
  <c r="M11085" i="17"/>
  <c r="M11084" i="17"/>
  <c r="M11083" i="17"/>
  <c r="M11082" i="17"/>
  <c r="M11081" i="17"/>
  <c r="M11080" i="17"/>
  <c r="M11079" i="17"/>
  <c r="M11078" i="17"/>
  <c r="M11077" i="17"/>
  <c r="M11076" i="17"/>
  <c r="M11075" i="17"/>
  <c r="M11074" i="17"/>
  <c r="M11073" i="17"/>
  <c r="M11072" i="17"/>
  <c r="M11071" i="17"/>
  <c r="M11070" i="17"/>
  <c r="M11069" i="17"/>
  <c r="M11068" i="17"/>
  <c r="M11067" i="17"/>
  <c r="M11066" i="17"/>
  <c r="M11065" i="17"/>
  <c r="M11064" i="17"/>
  <c r="M11063" i="17"/>
  <c r="M11062" i="17"/>
  <c r="M11061" i="17"/>
  <c r="M11060" i="17"/>
  <c r="M11059" i="17"/>
  <c r="M11058" i="17"/>
  <c r="M11057" i="17"/>
  <c r="M11056" i="17"/>
  <c r="M11055" i="17"/>
  <c r="M11054" i="17"/>
  <c r="M11053" i="17"/>
  <c r="M11052" i="17"/>
  <c r="M11051" i="17"/>
  <c r="M11050" i="17"/>
  <c r="M11049" i="17"/>
  <c r="M11048" i="17"/>
  <c r="M11047" i="17"/>
  <c r="M11046" i="17"/>
  <c r="M11045" i="17"/>
  <c r="M11044" i="17"/>
  <c r="M11043" i="17"/>
  <c r="M11042" i="17"/>
  <c r="M11041" i="17"/>
  <c r="M11040" i="17"/>
  <c r="M11039" i="17"/>
  <c r="M11038" i="17"/>
  <c r="M11037" i="17"/>
  <c r="M11036" i="17"/>
  <c r="M11035" i="17"/>
  <c r="M11034" i="17"/>
  <c r="M11033" i="17"/>
  <c r="M11032" i="17"/>
  <c r="M11031" i="17"/>
  <c r="M11030" i="17"/>
  <c r="M11029" i="17"/>
  <c r="M11028" i="17"/>
  <c r="M11027" i="17"/>
  <c r="M11026" i="17"/>
  <c r="M11025" i="17"/>
  <c r="M11024" i="17"/>
  <c r="M11023" i="17"/>
  <c r="M11022" i="17"/>
  <c r="M11021" i="17"/>
  <c r="M11020" i="17"/>
  <c r="M11019" i="17"/>
  <c r="M11018" i="17"/>
  <c r="M11017" i="17"/>
  <c r="M11016" i="17"/>
  <c r="M11015" i="17"/>
  <c r="M11014" i="17"/>
  <c r="M11013" i="17"/>
  <c r="M11012" i="17"/>
  <c r="M11011" i="17"/>
  <c r="M11010" i="17"/>
  <c r="M11009" i="17"/>
  <c r="M11008" i="17"/>
  <c r="M11007" i="17"/>
  <c r="M11006" i="17"/>
  <c r="M11005" i="17"/>
  <c r="M11004" i="17"/>
  <c r="M11003" i="17"/>
  <c r="M11002" i="17"/>
  <c r="M11001" i="17"/>
  <c r="M11000" i="17"/>
  <c r="M10999" i="17"/>
  <c r="M10998" i="17"/>
  <c r="M10997" i="17"/>
  <c r="M10996" i="17"/>
  <c r="M10995" i="17"/>
  <c r="M10994" i="17"/>
  <c r="M10993" i="17"/>
  <c r="M10992" i="17"/>
  <c r="M10991" i="17"/>
  <c r="M10990" i="17"/>
  <c r="M10989" i="17"/>
  <c r="M10988" i="17"/>
  <c r="M10987" i="17"/>
  <c r="M10986" i="17"/>
  <c r="M10985" i="17"/>
  <c r="M10984" i="17"/>
  <c r="M10983" i="17"/>
  <c r="M10982" i="17"/>
  <c r="M10981" i="17"/>
  <c r="M10980" i="17"/>
  <c r="M10979" i="17"/>
  <c r="M10978" i="17"/>
  <c r="M10977" i="17"/>
  <c r="M10976" i="17"/>
  <c r="M10975" i="17"/>
  <c r="M10974" i="17"/>
  <c r="M10973" i="17"/>
  <c r="M10972" i="17"/>
  <c r="M10971" i="17"/>
  <c r="M10970" i="17"/>
  <c r="M10969" i="17"/>
  <c r="M10968" i="17"/>
  <c r="M10967" i="17"/>
  <c r="M10966" i="17"/>
  <c r="M10965" i="17"/>
  <c r="M10964" i="17"/>
  <c r="M10963" i="17"/>
  <c r="M10962" i="17"/>
  <c r="M10961" i="17"/>
  <c r="M10960" i="17"/>
  <c r="M10959" i="17"/>
  <c r="M10958" i="17"/>
  <c r="M10957" i="17"/>
  <c r="M10956" i="17"/>
  <c r="M10955" i="17"/>
  <c r="M10954" i="17"/>
  <c r="M10953" i="17"/>
  <c r="M10952" i="17"/>
  <c r="M10951" i="17"/>
  <c r="M10950" i="17"/>
  <c r="M10949" i="17"/>
  <c r="M10948" i="17"/>
  <c r="M10947" i="17"/>
  <c r="M10946" i="17"/>
  <c r="M10945" i="17"/>
  <c r="M10944" i="17"/>
  <c r="M10943" i="17"/>
  <c r="M10942" i="17"/>
  <c r="M10941" i="17"/>
  <c r="M10940" i="17"/>
  <c r="M10939" i="17"/>
  <c r="M10938" i="17"/>
  <c r="M10937" i="17"/>
  <c r="M10936" i="17"/>
  <c r="M10935" i="17"/>
  <c r="M10934" i="17"/>
  <c r="M10933" i="17"/>
  <c r="M10932" i="17"/>
  <c r="M10931" i="17"/>
  <c r="M10930" i="17"/>
  <c r="M10929" i="17"/>
  <c r="M10928" i="17"/>
  <c r="M10927" i="17"/>
  <c r="M10926" i="17"/>
  <c r="M10925" i="17"/>
  <c r="M10924" i="17"/>
  <c r="M10923" i="17"/>
  <c r="M10922" i="17"/>
  <c r="M10921" i="17"/>
  <c r="M10920" i="17"/>
  <c r="M10919" i="17"/>
  <c r="M10918" i="17"/>
  <c r="M10917" i="17"/>
  <c r="M10916" i="17"/>
  <c r="M10915" i="17"/>
  <c r="M10914" i="17"/>
  <c r="M10913" i="17"/>
  <c r="M10912" i="17"/>
  <c r="M10911" i="17"/>
  <c r="M10910" i="17"/>
  <c r="M10909" i="17"/>
  <c r="M10908" i="17"/>
  <c r="M10907" i="17"/>
  <c r="M10906" i="17"/>
  <c r="M10905" i="17"/>
  <c r="M10904" i="17"/>
  <c r="M10903" i="17"/>
  <c r="M10902" i="17"/>
  <c r="M10901" i="17"/>
  <c r="M10900" i="17"/>
  <c r="M10899" i="17"/>
  <c r="M10898" i="17"/>
  <c r="M10897" i="17"/>
  <c r="M10896" i="17"/>
  <c r="M10895" i="17"/>
  <c r="M10894" i="17"/>
  <c r="M10893" i="17"/>
  <c r="M10892" i="17"/>
  <c r="M10891" i="17"/>
  <c r="M10890" i="17"/>
  <c r="M10889" i="17"/>
  <c r="M10888" i="17"/>
  <c r="M10887" i="17"/>
  <c r="M10886" i="17"/>
  <c r="M10885" i="17"/>
  <c r="M10884" i="17"/>
  <c r="M10883" i="17"/>
  <c r="M10882" i="17"/>
  <c r="M10881" i="17"/>
  <c r="M10880" i="17"/>
  <c r="M10879" i="17"/>
  <c r="M10878" i="17"/>
  <c r="M10877" i="17"/>
  <c r="M10876" i="17"/>
  <c r="M10875" i="17"/>
  <c r="M10874" i="17"/>
  <c r="M10873" i="17"/>
  <c r="M10872" i="17"/>
  <c r="M10871" i="17"/>
  <c r="M10870" i="17"/>
  <c r="M10869" i="17"/>
  <c r="M10868" i="17"/>
  <c r="M10867" i="17"/>
  <c r="M10866" i="17"/>
  <c r="M10865" i="17"/>
  <c r="M10864" i="17"/>
  <c r="M10863" i="17"/>
  <c r="M10862" i="17"/>
  <c r="M10861" i="17"/>
  <c r="M10860" i="17"/>
  <c r="M10859" i="17"/>
  <c r="M10858" i="17"/>
  <c r="M10857" i="17"/>
  <c r="M10856" i="17"/>
  <c r="M10855" i="17"/>
  <c r="M10854" i="17"/>
  <c r="M10853" i="17"/>
  <c r="M10852" i="17"/>
  <c r="M10851" i="17"/>
  <c r="M10850" i="17"/>
  <c r="M10849" i="17"/>
  <c r="M10848" i="17"/>
  <c r="M10847" i="17"/>
  <c r="M10846" i="17"/>
  <c r="M10845" i="17"/>
  <c r="M10844" i="17"/>
  <c r="M10843" i="17"/>
  <c r="M10842" i="17"/>
  <c r="M10841" i="17"/>
  <c r="M10840" i="17"/>
  <c r="M10839" i="17"/>
  <c r="M10838" i="17"/>
  <c r="M10837" i="17"/>
  <c r="M10836" i="17"/>
  <c r="M10835" i="17"/>
  <c r="M10834" i="17"/>
  <c r="M10833" i="17"/>
  <c r="M10832" i="17"/>
  <c r="M10831" i="17"/>
  <c r="M10830" i="17"/>
  <c r="M10829" i="17"/>
  <c r="M10828" i="17"/>
  <c r="M10827" i="17"/>
  <c r="M10826" i="17"/>
  <c r="M10825" i="17"/>
  <c r="M10824" i="17"/>
  <c r="M10823" i="17"/>
  <c r="M10822" i="17"/>
  <c r="M10821" i="17"/>
  <c r="M10820" i="17"/>
  <c r="M10819" i="17"/>
  <c r="M10818" i="17"/>
  <c r="M10817" i="17"/>
  <c r="M10816" i="17"/>
  <c r="M10815" i="17"/>
  <c r="M10814" i="17"/>
  <c r="M10813" i="17"/>
  <c r="M10812" i="17"/>
  <c r="M10811" i="17"/>
  <c r="M10810" i="17"/>
  <c r="M10809" i="17"/>
  <c r="M10808" i="17"/>
  <c r="M10807" i="17"/>
  <c r="M10806" i="17"/>
  <c r="M10805" i="17"/>
  <c r="M10804" i="17"/>
  <c r="M10803" i="17"/>
  <c r="M10802" i="17"/>
  <c r="M10801" i="17"/>
  <c r="M10800" i="17"/>
  <c r="M10799" i="17"/>
  <c r="M10798" i="17"/>
  <c r="M10797" i="17"/>
  <c r="M10796" i="17"/>
  <c r="M10795" i="17"/>
  <c r="M10794" i="17"/>
  <c r="M10793" i="17"/>
  <c r="M10792" i="17"/>
  <c r="M10791" i="17"/>
  <c r="M10790" i="17"/>
  <c r="M10789" i="17"/>
  <c r="M10788" i="17"/>
  <c r="M10787" i="17"/>
  <c r="M10786" i="17"/>
  <c r="M10785" i="17"/>
  <c r="M10784" i="17"/>
  <c r="M10783" i="17"/>
  <c r="M10782" i="17"/>
  <c r="M10781" i="17"/>
  <c r="M10780" i="17"/>
  <c r="M10779" i="17"/>
  <c r="M10778" i="17"/>
  <c r="M10777" i="17"/>
  <c r="M10776" i="17"/>
  <c r="M10775" i="17"/>
  <c r="M10774" i="17"/>
  <c r="M10773" i="17"/>
  <c r="M10772" i="17"/>
  <c r="M10771" i="17"/>
  <c r="M10770" i="17"/>
  <c r="M10769" i="17"/>
  <c r="M10768" i="17"/>
  <c r="M10767" i="17"/>
  <c r="M10766" i="17"/>
  <c r="M10765" i="17"/>
  <c r="M10764" i="17"/>
  <c r="M10763" i="17"/>
  <c r="M10762" i="17"/>
  <c r="M10761" i="17"/>
  <c r="M10760" i="17"/>
  <c r="M10759" i="17"/>
  <c r="M10758" i="17"/>
  <c r="M10757" i="17"/>
  <c r="M10756" i="17"/>
  <c r="M10755" i="17"/>
  <c r="M10754" i="17"/>
  <c r="M10753" i="17"/>
  <c r="M10752" i="17"/>
  <c r="M10751" i="17"/>
  <c r="M10750" i="17"/>
  <c r="M10749" i="17"/>
  <c r="M10748" i="17"/>
  <c r="M10747" i="17"/>
  <c r="M10746" i="17"/>
  <c r="M10745" i="17"/>
  <c r="M10744" i="17"/>
  <c r="M10743" i="17"/>
  <c r="M10742" i="17"/>
  <c r="M10741" i="17"/>
  <c r="M10740" i="17"/>
  <c r="M10739" i="17"/>
  <c r="M10738" i="17"/>
  <c r="M10737" i="17"/>
  <c r="M10736" i="17"/>
  <c r="M10735" i="17"/>
  <c r="M10734" i="17"/>
  <c r="M10733" i="17"/>
  <c r="M10732" i="17"/>
  <c r="M10731" i="17"/>
  <c r="M10730" i="17"/>
  <c r="M10729" i="17"/>
  <c r="M10728" i="17"/>
  <c r="M10727" i="17"/>
  <c r="M10726" i="17"/>
  <c r="M10725" i="17"/>
  <c r="M10724" i="17"/>
  <c r="M10723" i="17"/>
  <c r="M10722" i="17"/>
  <c r="M10721" i="17"/>
  <c r="M10720" i="17"/>
  <c r="M10719" i="17"/>
  <c r="M10718" i="17"/>
  <c r="M10717" i="17"/>
  <c r="M10716" i="17"/>
  <c r="M10715" i="17"/>
  <c r="M10714" i="17"/>
  <c r="M10713" i="17"/>
  <c r="M10712" i="17"/>
  <c r="M10711" i="17"/>
  <c r="M10710" i="17"/>
  <c r="M10709" i="17"/>
  <c r="M10708" i="17"/>
  <c r="M10707" i="17"/>
  <c r="M10706" i="17"/>
  <c r="M10705" i="17"/>
  <c r="M10704" i="17"/>
  <c r="M10703" i="17"/>
  <c r="M10702" i="17"/>
  <c r="M10701" i="17"/>
  <c r="M10700" i="17"/>
  <c r="M10699" i="17"/>
  <c r="M10698" i="17"/>
  <c r="M10697" i="17"/>
  <c r="M10696" i="17"/>
  <c r="M10695" i="17"/>
  <c r="M10694" i="17"/>
  <c r="M10693" i="17"/>
  <c r="M10692" i="17"/>
  <c r="M10691" i="17"/>
  <c r="M10690" i="17"/>
  <c r="M10689" i="17"/>
  <c r="M10688" i="17"/>
  <c r="M10687" i="17"/>
  <c r="M10686" i="17"/>
  <c r="M10685" i="17"/>
  <c r="M10684" i="17"/>
  <c r="M10683" i="17"/>
  <c r="M10682" i="17"/>
  <c r="M10681" i="17"/>
  <c r="M10680" i="17"/>
  <c r="M10679" i="17"/>
  <c r="M10678" i="17"/>
  <c r="M10677" i="17"/>
  <c r="M10676" i="17"/>
  <c r="M10675" i="17"/>
  <c r="M10674" i="17"/>
  <c r="M10673" i="17"/>
  <c r="M10672" i="17"/>
  <c r="M10671" i="17"/>
  <c r="M10670" i="17"/>
  <c r="M10669" i="17"/>
  <c r="M10668" i="17"/>
  <c r="M10667" i="17"/>
  <c r="M10666" i="17"/>
  <c r="M10665" i="17"/>
  <c r="M10664" i="17"/>
  <c r="M10663" i="17"/>
  <c r="M10662" i="17"/>
  <c r="M10661" i="17"/>
  <c r="M10660" i="17"/>
  <c r="M10659" i="17"/>
  <c r="M10658" i="17"/>
  <c r="M10657" i="17"/>
  <c r="M10656" i="17"/>
  <c r="M10655" i="17"/>
  <c r="M10654" i="17"/>
  <c r="M10653" i="17"/>
  <c r="M10652" i="17"/>
  <c r="M10651" i="17"/>
  <c r="M10650" i="17"/>
  <c r="M10649" i="17"/>
  <c r="M10648" i="17"/>
  <c r="M10647" i="17"/>
  <c r="M10646" i="17"/>
  <c r="M10645" i="17"/>
  <c r="M10644" i="17"/>
  <c r="M10643" i="17"/>
  <c r="M10642" i="17"/>
  <c r="M10641" i="17"/>
  <c r="M10640" i="17"/>
  <c r="M10639" i="17"/>
  <c r="M10638" i="17"/>
  <c r="M10637" i="17"/>
  <c r="M10636" i="17"/>
  <c r="M10635" i="17"/>
  <c r="M10634" i="17"/>
  <c r="M10633" i="17"/>
  <c r="M10632" i="17"/>
  <c r="M10631" i="17"/>
  <c r="M10630" i="17"/>
  <c r="M10629" i="17"/>
  <c r="M10628" i="17"/>
  <c r="M10627" i="17"/>
  <c r="M10626" i="17"/>
  <c r="M10625" i="17"/>
  <c r="M10624" i="17"/>
  <c r="M10623" i="17"/>
  <c r="M10622" i="17"/>
  <c r="M10621" i="17"/>
  <c r="M10620" i="17"/>
  <c r="M10619" i="17"/>
  <c r="M10618" i="17"/>
  <c r="M10617" i="17"/>
  <c r="M10616" i="17"/>
  <c r="M10615" i="17"/>
  <c r="M10614" i="17"/>
  <c r="M10613" i="17"/>
  <c r="M10612" i="17"/>
  <c r="M10611" i="17"/>
  <c r="M10610" i="17"/>
  <c r="M10609" i="17"/>
  <c r="M10608" i="17"/>
  <c r="M10607" i="17"/>
  <c r="M10606" i="17"/>
  <c r="M10605" i="17"/>
  <c r="M10604" i="17"/>
  <c r="M10603" i="17"/>
  <c r="M10602" i="17"/>
  <c r="M10601" i="17"/>
  <c r="M10600" i="17"/>
  <c r="M10599" i="17"/>
  <c r="M10598" i="17"/>
  <c r="M10597" i="17"/>
  <c r="M10596" i="17"/>
  <c r="M10595" i="17"/>
  <c r="M10594" i="17"/>
  <c r="M10593" i="17"/>
  <c r="M10592" i="17"/>
  <c r="M10591" i="17"/>
  <c r="M10590" i="17"/>
  <c r="M10589" i="17"/>
  <c r="M10588" i="17"/>
  <c r="M10587" i="17"/>
  <c r="M10586" i="17"/>
  <c r="M10585" i="17"/>
  <c r="M10584" i="17"/>
  <c r="M10583" i="17"/>
  <c r="M10582" i="17"/>
  <c r="M10581" i="17"/>
  <c r="M10580" i="17"/>
  <c r="M10579" i="17"/>
  <c r="M10578" i="17"/>
  <c r="M10577" i="17"/>
  <c r="M10576" i="17"/>
  <c r="M10575" i="17"/>
  <c r="M10574" i="17"/>
  <c r="M10573" i="17"/>
  <c r="M10572" i="17"/>
  <c r="M10571" i="17"/>
  <c r="M10570" i="17"/>
  <c r="M10569" i="17"/>
  <c r="M10568" i="17"/>
  <c r="M10567" i="17"/>
  <c r="M10566" i="17"/>
  <c r="M10565" i="17"/>
  <c r="M10564" i="17"/>
  <c r="M10563" i="17"/>
  <c r="M10562" i="17"/>
  <c r="M10561" i="17"/>
  <c r="M10560" i="17"/>
  <c r="M10559" i="17"/>
  <c r="M10558" i="17"/>
  <c r="M10557" i="17"/>
  <c r="M10556" i="17"/>
  <c r="M10555" i="17"/>
  <c r="M10554" i="17"/>
  <c r="M10553" i="17"/>
  <c r="M10552" i="17"/>
  <c r="M10551" i="17"/>
  <c r="M10550" i="17"/>
  <c r="M10549" i="17"/>
  <c r="M10548" i="17"/>
  <c r="M10547" i="17"/>
  <c r="M10546" i="17"/>
  <c r="M10545" i="17"/>
  <c r="M10544" i="17"/>
  <c r="M10543" i="17"/>
  <c r="M10542" i="17"/>
  <c r="M10541" i="17"/>
  <c r="M10540" i="17"/>
  <c r="M10539" i="17"/>
  <c r="M10538" i="17"/>
  <c r="M10537" i="17"/>
  <c r="M10536" i="17"/>
  <c r="M10535" i="17"/>
  <c r="M10534" i="17"/>
  <c r="M10533" i="17"/>
  <c r="M10532" i="17"/>
  <c r="M10531" i="17"/>
  <c r="M10530" i="17"/>
  <c r="M10529" i="17"/>
  <c r="M10528" i="17"/>
  <c r="M10527" i="17"/>
  <c r="M10526" i="17"/>
  <c r="M10525" i="17"/>
  <c r="M10524" i="17"/>
  <c r="M10523" i="17"/>
  <c r="M10522" i="17"/>
  <c r="M10521" i="17"/>
  <c r="M10520" i="17"/>
  <c r="M10519" i="17"/>
  <c r="M10518" i="17"/>
  <c r="M10517" i="17"/>
  <c r="M10516" i="17"/>
  <c r="M10515" i="17"/>
  <c r="M10514" i="17"/>
  <c r="M10513" i="17"/>
  <c r="M10512" i="17"/>
  <c r="M10511" i="17"/>
  <c r="M10510" i="17"/>
  <c r="M10509" i="17"/>
  <c r="M10508" i="17"/>
  <c r="M10507" i="17"/>
  <c r="M10506" i="17"/>
  <c r="M10505" i="17"/>
  <c r="M10504" i="17"/>
  <c r="M10503" i="17"/>
  <c r="M10502" i="17"/>
  <c r="M10501" i="17"/>
  <c r="M10500" i="17"/>
  <c r="M10499" i="17"/>
  <c r="M10498" i="17"/>
  <c r="M10497" i="17"/>
  <c r="M10496" i="17"/>
  <c r="M10495" i="17"/>
  <c r="M10494" i="17"/>
  <c r="M10493" i="17"/>
  <c r="M10492" i="17"/>
  <c r="M10491" i="17"/>
  <c r="M10490" i="17"/>
  <c r="M10489" i="17"/>
  <c r="M10488" i="17"/>
  <c r="M10487" i="17"/>
  <c r="M10486" i="17"/>
  <c r="M10485" i="17"/>
  <c r="M10484" i="17"/>
  <c r="M10483" i="17"/>
  <c r="M10482" i="17"/>
  <c r="M10481" i="17"/>
  <c r="M10480" i="17"/>
  <c r="M10479" i="17"/>
  <c r="M10478" i="17"/>
  <c r="M10477" i="17"/>
  <c r="M10476" i="17"/>
  <c r="M10475" i="17"/>
  <c r="M10474" i="17"/>
  <c r="M10473" i="17"/>
  <c r="M10472" i="17"/>
  <c r="M10471" i="17"/>
  <c r="M10470" i="17"/>
  <c r="M10469" i="17"/>
  <c r="M10468" i="17"/>
  <c r="M10467" i="17"/>
  <c r="M10466" i="17"/>
  <c r="M10465" i="17"/>
  <c r="M10464" i="17"/>
  <c r="M10463" i="17"/>
  <c r="M10462" i="17"/>
  <c r="M10461" i="17"/>
  <c r="M10460" i="17"/>
  <c r="M10459" i="17"/>
  <c r="M10458" i="17"/>
  <c r="M10457" i="17"/>
  <c r="M10456" i="17"/>
  <c r="M10455" i="17"/>
  <c r="M10454" i="17"/>
  <c r="M10453" i="17"/>
  <c r="M10452" i="17"/>
  <c r="M10451" i="17"/>
  <c r="M10450" i="17"/>
  <c r="M10449" i="17"/>
  <c r="M10448" i="17"/>
  <c r="M10447" i="17"/>
  <c r="M10446" i="17"/>
  <c r="M10445" i="17"/>
  <c r="M10444" i="17"/>
  <c r="M10443" i="17"/>
  <c r="M10442" i="17"/>
  <c r="M10441" i="17"/>
  <c r="M10440" i="17"/>
  <c r="M10439" i="17"/>
  <c r="M10438" i="17"/>
  <c r="M10437" i="17"/>
  <c r="M10436" i="17"/>
  <c r="M10435" i="17"/>
  <c r="M10434" i="17"/>
  <c r="M10433" i="17"/>
  <c r="M10432" i="17"/>
  <c r="M10431" i="17"/>
  <c r="M10430" i="17"/>
  <c r="M10429" i="17"/>
  <c r="M10428" i="17"/>
  <c r="M10427" i="17"/>
  <c r="M10426" i="17"/>
  <c r="M10425" i="17"/>
  <c r="M10424" i="17"/>
  <c r="M10423" i="17"/>
  <c r="M10422" i="17"/>
  <c r="M10421" i="17"/>
  <c r="M10420" i="17"/>
  <c r="M10419" i="17"/>
  <c r="M10418" i="17"/>
  <c r="M10417" i="17"/>
  <c r="M10416" i="17"/>
  <c r="M10415" i="17"/>
  <c r="M10414" i="17"/>
  <c r="M10413" i="17"/>
  <c r="M10412" i="17"/>
  <c r="M10411" i="17"/>
  <c r="M10410" i="17"/>
  <c r="M10409" i="17"/>
  <c r="M10408" i="17"/>
  <c r="M10407" i="17"/>
  <c r="M10406" i="17"/>
  <c r="M10405" i="17"/>
  <c r="M10404" i="17"/>
  <c r="M10403" i="17"/>
  <c r="M10402" i="17"/>
  <c r="M10401" i="17"/>
  <c r="M10400" i="17"/>
  <c r="M10399" i="17"/>
  <c r="M10398" i="17"/>
  <c r="M10397" i="17"/>
  <c r="M10396" i="17"/>
  <c r="M10395" i="17"/>
  <c r="M10394" i="17"/>
  <c r="M10393" i="17"/>
  <c r="M10392" i="17"/>
  <c r="M10391" i="17"/>
  <c r="M10390" i="17"/>
  <c r="M10389" i="17"/>
  <c r="M10388" i="17"/>
  <c r="M10387" i="17"/>
  <c r="M10386" i="17"/>
  <c r="M10385" i="17"/>
  <c r="M10384" i="17"/>
  <c r="M10383" i="17"/>
  <c r="M10382" i="17"/>
  <c r="M10381" i="17"/>
  <c r="M10380" i="17"/>
  <c r="M10379" i="17"/>
  <c r="M10378" i="17"/>
  <c r="M10377" i="17"/>
  <c r="M10376" i="17"/>
  <c r="M10375" i="17"/>
  <c r="M10374" i="17"/>
  <c r="M10373" i="17"/>
  <c r="M10372" i="17"/>
  <c r="M10371" i="17"/>
  <c r="M10370" i="17"/>
  <c r="M10369" i="17"/>
  <c r="M10368" i="17"/>
  <c r="M10367" i="17"/>
  <c r="M10366" i="17"/>
  <c r="M10365" i="17"/>
  <c r="M10364" i="17"/>
  <c r="M10363" i="17"/>
  <c r="M10362" i="17"/>
  <c r="M10361" i="17"/>
  <c r="M10360" i="17"/>
  <c r="M10359" i="17"/>
  <c r="M10358" i="17"/>
  <c r="M10357" i="17"/>
  <c r="M10356" i="17"/>
  <c r="M10355" i="17"/>
  <c r="M10354" i="17"/>
  <c r="M10353" i="17"/>
  <c r="M10352" i="17"/>
  <c r="M10351" i="17"/>
  <c r="M10350" i="17"/>
  <c r="M10349" i="17"/>
  <c r="M10348" i="17"/>
  <c r="M10347" i="17"/>
  <c r="M10346" i="17"/>
  <c r="M10345" i="17"/>
  <c r="M10344" i="17"/>
  <c r="M10343" i="17"/>
  <c r="M10342" i="17"/>
  <c r="M10341" i="17"/>
  <c r="M10340" i="17"/>
  <c r="M10339" i="17"/>
  <c r="M10338" i="17"/>
  <c r="M10337" i="17"/>
  <c r="M10336" i="17"/>
  <c r="M10335" i="17"/>
  <c r="M10334" i="17"/>
  <c r="M10333" i="17"/>
  <c r="M10332" i="17"/>
  <c r="M10331" i="17"/>
  <c r="M10330" i="17"/>
  <c r="M10329" i="17"/>
  <c r="M10328" i="17"/>
  <c r="M10327" i="17"/>
  <c r="M10326" i="17"/>
  <c r="M10325" i="17"/>
  <c r="M10324" i="17"/>
  <c r="M10323" i="17"/>
  <c r="M10322" i="17"/>
  <c r="M10321" i="17"/>
  <c r="M10320" i="17"/>
  <c r="M10319" i="17"/>
  <c r="M10318" i="17"/>
  <c r="M10317" i="17"/>
  <c r="M10316" i="17"/>
  <c r="M10315" i="17"/>
  <c r="M10314" i="17"/>
  <c r="M10313" i="17"/>
  <c r="M10312" i="17"/>
  <c r="M10311" i="17"/>
  <c r="M10310" i="17"/>
  <c r="M10309" i="17"/>
  <c r="M10308" i="17"/>
  <c r="M10307" i="17"/>
  <c r="M10306" i="17"/>
  <c r="M10305" i="17"/>
  <c r="M10304" i="17"/>
  <c r="M10303" i="17"/>
  <c r="M10302" i="17"/>
  <c r="M10301" i="17"/>
  <c r="M10300" i="17"/>
  <c r="M10299" i="17"/>
  <c r="M10298" i="17"/>
  <c r="M10297" i="17"/>
  <c r="M10296" i="17"/>
  <c r="M10295" i="17"/>
  <c r="M10294" i="17"/>
  <c r="M10293" i="17"/>
  <c r="M10292" i="17"/>
  <c r="M10291" i="17"/>
  <c r="M10290" i="17"/>
  <c r="M10289" i="17"/>
  <c r="M10288" i="17"/>
  <c r="M10287" i="17"/>
  <c r="M10286" i="17"/>
  <c r="M10285" i="17"/>
  <c r="M10284" i="17"/>
  <c r="M10283" i="17"/>
  <c r="M10282" i="17"/>
  <c r="M10281" i="17"/>
  <c r="M10280" i="17"/>
  <c r="M10279" i="17"/>
  <c r="M10278" i="17"/>
  <c r="M10277" i="17"/>
  <c r="M10276" i="17"/>
  <c r="M10275" i="17"/>
  <c r="M10274" i="17"/>
  <c r="M10273" i="17"/>
  <c r="M10272" i="17"/>
  <c r="M10271" i="17"/>
  <c r="M10270" i="17"/>
  <c r="M10269" i="17"/>
  <c r="M10268" i="17"/>
  <c r="M10267" i="17"/>
  <c r="M10266" i="17"/>
  <c r="M10265" i="17"/>
  <c r="M10264" i="17"/>
  <c r="M10263" i="17"/>
  <c r="M10262" i="17"/>
  <c r="M10261" i="17"/>
  <c r="M10260" i="17"/>
  <c r="M10259" i="17"/>
  <c r="M10258" i="17"/>
  <c r="M10257" i="17"/>
  <c r="M10256" i="17"/>
  <c r="M10255" i="17"/>
  <c r="M10254" i="17"/>
  <c r="M10253" i="17"/>
  <c r="M10252" i="17"/>
  <c r="M10251" i="17"/>
  <c r="M10250" i="17"/>
  <c r="M10249" i="17"/>
  <c r="M10248" i="17"/>
  <c r="M10247" i="17"/>
  <c r="M10246" i="17"/>
  <c r="M10245" i="17"/>
  <c r="M10244" i="17"/>
  <c r="M10243" i="17"/>
  <c r="M10242" i="17"/>
  <c r="M10241" i="17"/>
  <c r="M10240" i="17"/>
  <c r="M10239" i="17"/>
  <c r="M10238" i="17"/>
  <c r="M10237" i="17"/>
  <c r="M10236" i="17"/>
  <c r="M10235" i="17"/>
  <c r="M10234" i="17"/>
  <c r="M10233" i="17"/>
  <c r="M10232" i="17"/>
  <c r="M10231" i="17"/>
  <c r="M10230" i="17"/>
  <c r="M10229" i="17"/>
  <c r="M10228" i="17"/>
  <c r="M10227" i="17"/>
  <c r="M10226" i="17"/>
  <c r="M10225" i="17"/>
  <c r="M10224" i="17"/>
  <c r="M10223" i="17"/>
  <c r="M10222" i="17"/>
  <c r="M10221" i="17"/>
  <c r="M10220" i="17"/>
  <c r="M10219" i="17"/>
  <c r="M10218" i="17"/>
  <c r="M10217" i="17"/>
  <c r="M10216" i="17"/>
  <c r="M10215" i="17"/>
  <c r="M10214" i="17"/>
  <c r="M10213" i="17"/>
  <c r="M10212" i="17"/>
  <c r="M10211" i="17"/>
  <c r="M10210" i="17"/>
  <c r="M10209" i="17"/>
  <c r="M10208" i="17"/>
  <c r="M10207" i="17"/>
  <c r="M10206" i="17"/>
  <c r="M10205" i="17"/>
  <c r="M10204" i="17"/>
  <c r="M10203" i="17"/>
  <c r="M10202" i="17"/>
  <c r="M10201" i="17"/>
  <c r="M10200" i="17"/>
  <c r="M10199" i="17"/>
  <c r="M10198" i="17"/>
  <c r="M10197" i="17"/>
  <c r="M10196" i="17"/>
  <c r="M10195" i="17"/>
  <c r="M10194" i="17"/>
  <c r="M10193" i="17"/>
  <c r="M10192" i="17"/>
  <c r="M10191" i="17"/>
  <c r="M10190" i="17"/>
  <c r="M10189" i="17"/>
  <c r="M10188" i="17"/>
  <c r="M10187" i="17"/>
  <c r="M10186" i="17"/>
  <c r="M10185" i="17"/>
  <c r="M10184" i="17"/>
  <c r="M10183" i="17"/>
  <c r="M10182" i="17"/>
  <c r="M10181" i="17"/>
  <c r="M10180" i="17"/>
  <c r="M10179" i="17"/>
  <c r="M10178" i="17"/>
  <c r="M10177" i="17"/>
  <c r="M10176" i="17"/>
  <c r="M10175" i="17"/>
  <c r="M10174" i="17"/>
  <c r="M10173" i="17"/>
  <c r="M10172" i="17"/>
  <c r="M10171" i="17"/>
  <c r="M10170" i="17"/>
  <c r="M10169" i="17"/>
  <c r="M10168" i="17"/>
  <c r="M10167" i="17"/>
  <c r="M10166" i="17"/>
  <c r="M10165" i="17"/>
  <c r="M10164" i="17"/>
  <c r="M10163" i="17"/>
  <c r="M10162" i="17"/>
  <c r="M10161" i="17"/>
  <c r="M10160" i="17"/>
  <c r="M10159" i="17"/>
  <c r="M10158" i="17"/>
  <c r="M10157" i="17"/>
  <c r="M10156" i="17"/>
  <c r="M10155" i="17"/>
  <c r="M10154" i="17"/>
  <c r="M10153" i="17"/>
  <c r="M10152" i="17"/>
  <c r="M10151" i="17"/>
  <c r="M10150" i="17"/>
  <c r="M10149" i="17"/>
  <c r="M10148" i="17"/>
  <c r="M10147" i="17"/>
  <c r="M10146" i="17"/>
  <c r="M10145" i="17"/>
  <c r="M10144" i="17"/>
  <c r="M10143" i="17"/>
  <c r="M10142" i="17"/>
  <c r="M10141" i="17"/>
  <c r="M10140" i="17"/>
  <c r="M10139" i="17"/>
  <c r="M10138" i="17"/>
  <c r="M10137" i="17"/>
  <c r="M10136" i="17"/>
  <c r="M10135" i="17"/>
  <c r="M10134" i="17"/>
  <c r="M10133" i="17"/>
  <c r="M10132" i="17"/>
  <c r="M10131" i="17"/>
  <c r="M10130" i="17"/>
  <c r="M10129" i="17"/>
  <c r="M10128" i="17"/>
  <c r="M10127" i="17"/>
  <c r="M10126" i="17"/>
  <c r="M10125" i="17"/>
  <c r="M10124" i="17"/>
  <c r="M10123" i="17"/>
  <c r="M10122" i="17"/>
  <c r="M10121" i="17"/>
  <c r="M10120" i="17"/>
  <c r="M10119" i="17"/>
  <c r="M10118" i="17"/>
  <c r="M10117" i="17"/>
  <c r="M10116" i="17"/>
  <c r="M10115" i="17"/>
  <c r="M10114" i="17"/>
  <c r="M10113" i="17"/>
  <c r="M10112" i="17"/>
  <c r="M10111" i="17"/>
  <c r="M10110" i="17"/>
  <c r="M10109" i="17"/>
  <c r="M10108" i="17"/>
  <c r="M10107" i="17"/>
  <c r="M10106" i="17"/>
  <c r="M10105" i="17"/>
  <c r="M10104" i="17"/>
  <c r="M10103" i="17"/>
  <c r="M10102" i="17"/>
  <c r="M10101" i="17"/>
  <c r="M10100" i="17"/>
  <c r="M10099" i="17"/>
  <c r="M10098" i="17"/>
  <c r="M10097" i="17"/>
  <c r="M10096" i="17"/>
  <c r="M10095" i="17"/>
  <c r="M10094" i="17"/>
  <c r="M10093" i="17"/>
  <c r="M10092" i="17"/>
  <c r="M10091" i="17"/>
  <c r="M10090" i="17"/>
  <c r="M10089" i="17"/>
  <c r="M10088" i="17"/>
  <c r="M10087" i="17"/>
  <c r="M10086" i="17"/>
  <c r="M10085" i="17"/>
  <c r="M10084" i="17"/>
  <c r="M10083" i="17"/>
  <c r="M10082" i="17"/>
  <c r="M10081" i="17"/>
  <c r="M10080" i="17"/>
  <c r="M10079" i="17"/>
  <c r="M10078" i="17"/>
  <c r="M10077" i="17"/>
  <c r="M10076" i="17"/>
  <c r="M10075" i="17"/>
  <c r="M10074" i="17"/>
  <c r="M10073" i="17"/>
  <c r="M10072" i="17"/>
  <c r="M10071" i="17"/>
  <c r="M10070" i="17"/>
  <c r="M10069" i="17"/>
  <c r="M10068" i="17"/>
  <c r="M10067" i="17"/>
  <c r="M10066" i="17"/>
  <c r="M10065" i="17"/>
  <c r="M10064" i="17"/>
  <c r="M10063" i="17"/>
  <c r="M10062" i="17"/>
  <c r="M10061" i="17"/>
  <c r="M10060" i="17"/>
  <c r="M10059" i="17"/>
  <c r="M10058" i="17"/>
  <c r="M10057" i="17"/>
  <c r="M10056" i="17"/>
  <c r="M10055" i="17"/>
  <c r="M10054" i="17"/>
  <c r="M10053" i="17"/>
  <c r="M10052" i="17"/>
  <c r="M10051" i="17"/>
  <c r="M10050" i="17"/>
  <c r="M10049" i="17"/>
  <c r="M10048" i="17"/>
  <c r="M10047" i="17"/>
  <c r="M10046" i="17"/>
  <c r="M10045" i="17"/>
  <c r="M10044" i="17"/>
  <c r="M10043" i="17"/>
  <c r="M10042" i="17"/>
  <c r="M10041" i="17"/>
  <c r="M10040" i="17"/>
  <c r="M10039" i="17"/>
  <c r="M10038" i="17"/>
  <c r="M10037" i="17"/>
  <c r="M10036" i="17"/>
  <c r="M10035" i="17"/>
  <c r="M10034" i="17"/>
  <c r="M10033" i="17"/>
  <c r="M10032" i="17"/>
  <c r="M10031" i="17"/>
  <c r="M10030" i="17"/>
  <c r="M10029" i="17"/>
  <c r="M10028" i="17"/>
  <c r="M10027" i="17"/>
  <c r="M10026" i="17"/>
  <c r="M10025" i="17"/>
  <c r="M10024" i="17"/>
  <c r="M10023" i="17"/>
  <c r="M10022" i="17"/>
  <c r="M10021" i="17"/>
  <c r="M10020" i="17"/>
  <c r="M10019" i="17"/>
  <c r="M10018" i="17"/>
  <c r="M10017" i="17"/>
  <c r="M10016" i="17"/>
  <c r="M10015" i="17"/>
  <c r="M10014" i="17"/>
  <c r="M10013" i="17"/>
  <c r="M10012" i="17"/>
  <c r="M10011" i="17"/>
  <c r="M10010" i="17"/>
  <c r="M10009" i="17"/>
  <c r="M10008" i="17"/>
  <c r="M10007" i="17"/>
  <c r="M10006" i="17"/>
  <c r="M10005" i="17"/>
  <c r="M10004" i="17"/>
  <c r="M10003" i="17"/>
  <c r="M10002" i="17"/>
  <c r="M10001" i="17"/>
  <c r="M10000" i="17"/>
  <c r="M9999" i="17"/>
  <c r="M9998" i="17"/>
  <c r="M9997" i="17"/>
  <c r="M9996" i="17"/>
  <c r="M9995" i="17"/>
  <c r="M9994" i="17"/>
  <c r="M9993" i="17"/>
  <c r="M9992" i="17"/>
  <c r="M9991" i="17"/>
  <c r="M9990" i="17"/>
  <c r="M9989" i="17"/>
  <c r="M9988" i="17"/>
  <c r="M9987" i="17"/>
  <c r="M9986" i="17"/>
  <c r="M9985" i="17"/>
  <c r="M9984" i="17"/>
  <c r="M9983" i="17"/>
  <c r="M9982" i="17"/>
  <c r="M9981" i="17"/>
  <c r="M9980" i="17"/>
  <c r="M9979" i="17"/>
  <c r="M9978" i="17"/>
  <c r="M9977" i="17"/>
  <c r="M9976" i="17"/>
  <c r="M9975" i="17"/>
  <c r="M9974" i="17"/>
  <c r="M9973" i="17"/>
  <c r="M9972" i="17"/>
  <c r="M9971" i="17"/>
  <c r="M9970" i="17"/>
  <c r="M9969" i="17"/>
  <c r="M9968" i="17"/>
  <c r="M9967" i="17"/>
  <c r="M9966" i="17"/>
  <c r="M9965" i="17"/>
  <c r="M9964" i="17"/>
  <c r="M9963" i="17"/>
  <c r="M9962" i="17"/>
  <c r="M9961" i="17"/>
  <c r="M9960" i="17"/>
  <c r="M9959" i="17"/>
  <c r="M9958" i="17"/>
  <c r="M9957" i="17"/>
  <c r="M9956" i="17"/>
  <c r="M9955" i="17"/>
  <c r="M9954" i="17"/>
  <c r="M9953" i="17"/>
  <c r="M9952" i="17"/>
  <c r="M9951" i="17"/>
  <c r="M9950" i="17"/>
  <c r="M9949" i="17"/>
  <c r="M9948" i="17"/>
  <c r="M9947" i="17"/>
  <c r="M9946" i="17"/>
  <c r="M9945" i="17"/>
  <c r="M9944" i="17"/>
  <c r="M9943" i="17"/>
  <c r="M9942" i="17"/>
  <c r="M9941" i="17"/>
  <c r="M9940" i="17"/>
  <c r="M9939" i="17"/>
  <c r="M9938" i="17"/>
  <c r="M9937" i="17"/>
  <c r="M9936" i="17"/>
  <c r="M9935" i="17"/>
  <c r="M9934" i="17"/>
  <c r="M9933" i="17"/>
  <c r="M9932" i="17"/>
  <c r="M9931" i="17"/>
  <c r="M9930" i="17"/>
  <c r="M9929" i="17"/>
  <c r="M9928" i="17"/>
  <c r="M9927" i="17"/>
  <c r="M9926" i="17"/>
  <c r="M9925" i="17"/>
  <c r="M9924" i="17"/>
  <c r="M9923" i="17"/>
  <c r="M9922" i="17"/>
  <c r="M9921" i="17"/>
  <c r="M9920" i="17"/>
  <c r="M9919" i="17"/>
  <c r="M9918" i="17"/>
  <c r="M9917" i="17"/>
  <c r="M9916" i="17"/>
  <c r="M9915" i="17"/>
  <c r="M9914" i="17"/>
  <c r="M9913" i="17"/>
  <c r="M9912" i="17"/>
  <c r="M9911" i="17"/>
  <c r="M9910" i="17"/>
  <c r="M9909" i="17"/>
  <c r="M9908" i="17"/>
  <c r="M9907" i="17"/>
  <c r="M9906" i="17"/>
  <c r="M9905" i="17"/>
  <c r="M9904" i="17"/>
  <c r="M9903" i="17"/>
  <c r="M9902" i="17"/>
  <c r="M9901" i="17"/>
  <c r="M9900" i="17"/>
  <c r="M9899" i="17"/>
  <c r="M9898" i="17"/>
  <c r="M9897" i="17"/>
  <c r="M9896" i="17"/>
  <c r="M9895" i="17"/>
  <c r="M9894" i="17"/>
  <c r="M9893" i="17"/>
  <c r="M9892" i="17"/>
  <c r="M9891" i="17"/>
  <c r="M9890" i="17"/>
  <c r="M9889" i="17"/>
  <c r="M9888" i="17"/>
  <c r="M9887" i="17"/>
  <c r="M9886" i="17"/>
  <c r="M9885" i="17"/>
  <c r="M9884" i="17"/>
  <c r="M9883" i="17"/>
  <c r="M9882" i="17"/>
  <c r="M9881" i="17"/>
  <c r="M9880" i="17"/>
  <c r="M9879" i="17"/>
  <c r="M9878" i="17"/>
  <c r="M9877" i="17"/>
  <c r="M9876" i="17"/>
  <c r="M9875" i="17"/>
  <c r="M9874" i="17"/>
  <c r="M9873" i="17"/>
  <c r="M9872" i="17"/>
  <c r="M9871" i="17"/>
  <c r="M9870" i="17"/>
  <c r="M9869" i="17"/>
  <c r="M9868" i="17"/>
  <c r="M9867" i="17"/>
  <c r="M9866" i="17"/>
  <c r="M9865" i="17"/>
  <c r="M9864" i="17"/>
  <c r="M9863" i="17"/>
  <c r="M9862" i="17"/>
  <c r="M9861" i="17"/>
  <c r="M9860" i="17"/>
  <c r="M9859" i="17"/>
  <c r="M9858" i="17"/>
  <c r="M9857" i="17"/>
  <c r="M9856" i="17"/>
  <c r="M9855" i="17"/>
  <c r="M9854" i="17"/>
  <c r="M9853" i="17"/>
  <c r="M9852" i="17"/>
  <c r="M9851" i="17"/>
  <c r="M9850" i="17"/>
  <c r="M9849" i="17"/>
  <c r="M9848" i="17"/>
  <c r="M9847" i="17"/>
  <c r="M9846" i="17"/>
  <c r="M9845" i="17"/>
  <c r="M9844" i="17"/>
  <c r="M9843" i="17"/>
  <c r="M9842" i="17"/>
  <c r="M9841" i="17"/>
  <c r="M9840" i="17"/>
  <c r="M9839" i="17"/>
  <c r="M9838" i="17"/>
  <c r="M9837" i="17"/>
  <c r="M9836" i="17"/>
  <c r="M9835" i="17"/>
  <c r="M9834" i="17"/>
  <c r="M9833" i="17"/>
  <c r="M9832" i="17"/>
  <c r="M9831" i="17"/>
  <c r="M9830" i="17"/>
  <c r="M9829" i="17"/>
  <c r="M9828" i="17"/>
  <c r="M9827" i="17"/>
  <c r="M9826" i="17"/>
  <c r="M9825" i="17"/>
  <c r="M9824" i="17"/>
  <c r="M9823" i="17"/>
  <c r="M9822" i="17"/>
  <c r="M9821" i="17"/>
  <c r="M9820" i="17"/>
  <c r="M9819" i="17"/>
  <c r="M9818" i="17"/>
  <c r="M9817" i="17"/>
  <c r="M9816" i="17"/>
  <c r="M9815" i="17"/>
  <c r="M9814" i="17"/>
  <c r="M9813" i="17"/>
  <c r="M9812" i="17"/>
  <c r="M9811" i="17"/>
  <c r="M9810" i="17"/>
  <c r="M9809" i="17"/>
  <c r="M9808" i="17"/>
  <c r="M9807" i="17"/>
  <c r="M9806" i="17"/>
  <c r="M9805" i="17"/>
  <c r="M9804" i="17"/>
  <c r="M9803" i="17"/>
  <c r="M9802" i="17"/>
  <c r="M9801" i="17"/>
  <c r="M9800" i="17"/>
  <c r="M9799" i="17"/>
  <c r="M9798" i="17"/>
  <c r="M9797" i="17"/>
  <c r="M9796" i="17"/>
  <c r="M9795" i="17"/>
  <c r="M9794" i="17"/>
  <c r="M9793" i="17"/>
  <c r="M9792" i="17"/>
  <c r="M9791" i="17"/>
  <c r="M9790" i="17"/>
  <c r="M9789" i="17"/>
  <c r="M9788" i="17"/>
  <c r="M9787" i="17"/>
  <c r="M9786" i="17"/>
  <c r="M9785" i="17"/>
  <c r="M9784" i="17"/>
  <c r="M9783" i="17"/>
  <c r="M9782" i="17"/>
  <c r="M9781" i="17"/>
  <c r="M9780" i="17"/>
  <c r="M9779" i="17"/>
  <c r="M9778" i="17"/>
  <c r="M9777" i="17"/>
  <c r="M9776" i="17"/>
  <c r="M9775" i="17"/>
  <c r="M9774" i="17"/>
  <c r="M9773" i="17"/>
  <c r="M9772" i="17"/>
  <c r="M9771" i="17"/>
  <c r="M9770" i="17"/>
  <c r="M9769" i="17"/>
  <c r="M9768" i="17"/>
  <c r="M9767" i="17"/>
  <c r="M9766" i="17"/>
  <c r="M9765" i="17"/>
  <c r="M9764" i="17"/>
  <c r="M9763" i="17"/>
  <c r="M9762" i="17"/>
  <c r="M9761" i="17"/>
  <c r="M9760" i="17"/>
  <c r="M9759" i="17"/>
  <c r="M9758" i="17"/>
  <c r="M9757" i="17"/>
  <c r="M9756" i="17"/>
  <c r="M9755" i="17"/>
  <c r="M9754" i="17"/>
  <c r="M9753" i="17"/>
  <c r="M9752" i="17"/>
  <c r="M9751" i="17"/>
  <c r="M9750" i="17"/>
  <c r="M9749" i="17"/>
  <c r="M9748" i="17"/>
  <c r="M9747" i="17"/>
  <c r="M9746" i="17"/>
  <c r="M9745" i="17"/>
  <c r="M9744" i="17"/>
  <c r="M9743" i="17"/>
  <c r="M9742" i="17"/>
  <c r="M9741" i="17"/>
  <c r="M9740" i="17"/>
  <c r="M9739" i="17"/>
  <c r="M9738" i="17"/>
  <c r="M9737" i="17"/>
  <c r="M9736" i="17"/>
  <c r="M9735" i="17"/>
  <c r="M9734" i="17"/>
  <c r="M9733" i="17"/>
  <c r="M9732" i="17"/>
  <c r="M9731" i="17"/>
  <c r="M9730" i="17"/>
  <c r="M9729" i="17"/>
  <c r="M9728" i="17"/>
  <c r="M9727" i="17"/>
  <c r="M9726" i="17"/>
  <c r="M9725" i="17"/>
  <c r="M9724" i="17"/>
  <c r="M9723" i="17"/>
  <c r="M9722" i="17"/>
  <c r="M9721" i="17"/>
  <c r="M9720" i="17"/>
  <c r="M9719" i="17"/>
  <c r="M9718" i="17"/>
  <c r="M9717" i="17"/>
  <c r="M9716" i="17"/>
  <c r="M9715" i="17"/>
  <c r="M9714" i="17"/>
  <c r="M9713" i="17"/>
  <c r="M9712" i="17"/>
  <c r="M9711" i="17"/>
  <c r="M9710" i="17"/>
  <c r="M9709" i="17"/>
  <c r="M9708" i="17"/>
  <c r="M9707" i="17"/>
  <c r="M9706" i="17"/>
  <c r="M9705" i="17"/>
  <c r="M9704" i="17"/>
  <c r="M9703" i="17"/>
  <c r="M9702" i="17"/>
  <c r="M9701" i="17"/>
  <c r="M9700" i="17"/>
  <c r="M9699" i="17"/>
  <c r="M9698" i="17"/>
  <c r="M9697" i="17"/>
  <c r="M9696" i="17"/>
  <c r="M9695" i="17"/>
  <c r="M9694" i="17"/>
  <c r="M9693" i="17"/>
  <c r="M9692" i="17"/>
  <c r="M9691" i="17"/>
  <c r="M9690" i="17"/>
  <c r="M9689" i="17"/>
  <c r="M9688" i="17"/>
  <c r="M9687" i="17"/>
  <c r="M9686" i="17"/>
  <c r="M9685" i="17"/>
  <c r="M9684" i="17"/>
  <c r="M9683" i="17"/>
  <c r="M9682" i="17"/>
  <c r="M9681" i="17"/>
  <c r="M9680" i="17"/>
  <c r="M9679" i="17"/>
  <c r="M9678" i="17"/>
  <c r="M9677" i="17"/>
  <c r="M9676" i="17"/>
  <c r="M9675" i="17"/>
  <c r="M9674" i="17"/>
  <c r="M9673" i="17"/>
  <c r="M9672" i="17"/>
  <c r="M9671" i="17"/>
  <c r="M9670" i="17"/>
  <c r="M9669" i="17"/>
  <c r="M9668" i="17"/>
  <c r="M9667" i="17"/>
  <c r="M9666" i="17"/>
  <c r="M9665" i="17"/>
  <c r="M9664" i="17"/>
  <c r="M9663" i="17"/>
  <c r="M9662" i="17"/>
  <c r="M9661" i="17"/>
  <c r="M9660" i="17"/>
  <c r="M9659" i="17"/>
  <c r="M9658" i="17"/>
  <c r="M9657" i="17"/>
  <c r="M9656" i="17"/>
  <c r="M9655" i="17"/>
  <c r="M9654" i="17"/>
  <c r="M9653" i="17"/>
  <c r="M9652" i="17"/>
  <c r="M9651" i="17"/>
  <c r="M9650" i="17"/>
  <c r="M9649" i="17"/>
  <c r="M9648" i="17"/>
  <c r="M9647" i="17"/>
  <c r="M9646" i="17"/>
  <c r="M9645" i="17"/>
  <c r="M9644" i="17"/>
  <c r="M9643" i="17"/>
  <c r="M9642" i="17"/>
  <c r="M9641" i="17"/>
  <c r="M9640" i="17"/>
  <c r="M9639" i="17"/>
  <c r="M9638" i="17"/>
  <c r="M9637" i="17"/>
  <c r="M9636" i="17"/>
  <c r="M9635" i="17"/>
  <c r="M9634" i="17"/>
  <c r="M9633" i="17"/>
  <c r="M9632" i="17"/>
  <c r="M9631" i="17"/>
  <c r="M9630" i="17"/>
  <c r="M9629" i="17"/>
  <c r="M9628" i="17"/>
  <c r="M9627" i="17"/>
  <c r="M9626" i="17"/>
  <c r="M9625" i="17"/>
  <c r="M9624" i="17"/>
  <c r="M9623" i="17"/>
  <c r="M9622" i="17"/>
  <c r="M9621" i="17"/>
  <c r="M9620" i="17"/>
  <c r="M9619" i="17"/>
  <c r="M9618" i="17"/>
  <c r="M9617" i="17"/>
  <c r="M9616" i="17"/>
  <c r="M9615" i="17"/>
  <c r="M9614" i="17"/>
  <c r="M9613" i="17"/>
  <c r="M9612" i="17"/>
  <c r="M9611" i="17"/>
  <c r="M9610" i="17"/>
  <c r="M9609" i="17"/>
  <c r="M9608" i="17"/>
  <c r="M9607" i="17"/>
  <c r="M9606" i="17"/>
  <c r="M9605" i="17"/>
  <c r="M9604" i="17"/>
  <c r="M9603" i="17"/>
  <c r="M9602" i="17"/>
  <c r="M9601" i="17"/>
  <c r="M9600" i="17"/>
  <c r="M9599" i="17"/>
  <c r="M9598" i="17"/>
  <c r="M9597" i="17"/>
  <c r="M9596" i="17"/>
  <c r="M9595" i="17"/>
  <c r="M9594" i="17"/>
  <c r="M9593" i="17"/>
  <c r="M9592" i="17"/>
  <c r="M9591" i="17"/>
  <c r="M9590" i="17"/>
  <c r="M9589" i="17"/>
  <c r="M9588" i="17"/>
  <c r="M9587" i="17"/>
  <c r="M9586" i="17"/>
  <c r="M9585" i="17"/>
  <c r="M9584" i="17"/>
  <c r="M9583" i="17"/>
  <c r="M9582" i="17"/>
  <c r="M9581" i="17"/>
  <c r="M9580" i="17"/>
  <c r="M9579" i="17"/>
  <c r="M9578" i="17"/>
  <c r="M9577" i="17"/>
  <c r="M9576" i="17"/>
  <c r="M9575" i="17"/>
  <c r="M9574" i="17"/>
  <c r="M9573" i="17"/>
  <c r="M9572" i="17"/>
  <c r="M9571" i="17"/>
  <c r="M9570" i="17"/>
  <c r="M9569" i="17"/>
  <c r="M9568" i="17"/>
  <c r="M9567" i="17"/>
  <c r="M9566" i="17"/>
  <c r="M9565" i="17"/>
  <c r="M9564" i="17"/>
  <c r="M9563" i="17"/>
  <c r="M9562" i="17"/>
  <c r="M9561" i="17"/>
  <c r="M9560" i="17"/>
  <c r="M9559" i="17"/>
  <c r="M9558" i="17"/>
  <c r="M9557" i="17"/>
  <c r="M9556" i="17"/>
  <c r="M9555" i="17"/>
  <c r="M9554" i="17"/>
  <c r="M9553" i="17"/>
  <c r="M9552" i="17"/>
  <c r="M9551" i="17"/>
  <c r="M9550" i="17"/>
  <c r="M9549" i="17"/>
  <c r="M9548" i="17"/>
  <c r="M9547" i="17"/>
  <c r="M9546" i="17"/>
  <c r="M9545" i="17"/>
  <c r="M9544" i="17"/>
  <c r="M9543" i="17"/>
  <c r="M9542" i="17"/>
  <c r="M9541" i="17"/>
  <c r="M9540" i="17"/>
  <c r="M9539" i="17"/>
  <c r="M9538" i="17"/>
  <c r="M9537" i="17"/>
  <c r="M9536" i="17"/>
  <c r="M9535" i="17"/>
  <c r="M9534" i="17"/>
  <c r="M9533" i="17"/>
  <c r="M9532" i="17"/>
  <c r="M9531" i="17"/>
  <c r="M9530" i="17"/>
  <c r="M9529" i="17"/>
  <c r="M9528" i="17"/>
  <c r="M9527" i="17"/>
  <c r="M9526" i="17"/>
  <c r="M9525" i="17"/>
  <c r="M9524" i="17"/>
  <c r="M9523" i="17"/>
  <c r="M9522" i="17"/>
  <c r="M9521" i="17"/>
  <c r="M9520" i="17"/>
  <c r="M9519" i="17"/>
  <c r="M9518" i="17"/>
  <c r="M9517" i="17"/>
  <c r="M9516" i="17"/>
  <c r="M9515" i="17"/>
  <c r="M9514" i="17"/>
  <c r="M9513" i="17"/>
  <c r="M9512" i="17"/>
  <c r="M9511" i="17"/>
  <c r="M9510" i="17"/>
  <c r="M9509" i="17"/>
  <c r="M9508" i="17"/>
  <c r="M9507" i="17"/>
  <c r="M9506" i="17"/>
  <c r="M9505" i="17"/>
  <c r="M9504" i="17"/>
  <c r="M9503" i="17"/>
  <c r="M9502" i="17"/>
  <c r="M9501" i="17"/>
  <c r="M9500" i="17"/>
  <c r="M9499" i="17"/>
  <c r="M9498" i="17"/>
  <c r="M9497" i="17"/>
  <c r="M9496" i="17"/>
  <c r="M9495" i="17"/>
  <c r="M9494" i="17"/>
  <c r="M9493" i="17"/>
  <c r="M9492" i="17"/>
  <c r="M9491" i="17"/>
  <c r="M9490" i="17"/>
  <c r="M9489" i="17"/>
  <c r="M9488" i="17"/>
  <c r="M9487" i="17"/>
  <c r="M9486" i="17"/>
  <c r="M9485" i="17"/>
  <c r="M9484" i="17"/>
  <c r="M9483" i="17"/>
  <c r="M9482" i="17"/>
  <c r="M9481" i="17"/>
  <c r="M9480" i="17"/>
  <c r="M9479" i="17"/>
  <c r="M9478" i="17"/>
  <c r="M9477" i="17"/>
  <c r="M9476" i="17"/>
  <c r="M9475" i="17"/>
  <c r="M9474" i="17"/>
  <c r="M9473" i="17"/>
  <c r="M9472" i="17"/>
  <c r="M9471" i="17"/>
  <c r="M9470" i="17"/>
  <c r="M9469" i="17"/>
  <c r="M9468" i="17"/>
  <c r="M9467" i="17"/>
  <c r="M9466" i="17"/>
  <c r="M9465" i="17"/>
  <c r="M9464" i="17"/>
  <c r="M9463" i="17"/>
  <c r="M9462" i="17"/>
  <c r="M9461" i="17"/>
  <c r="M9460" i="17"/>
  <c r="M9459" i="17"/>
  <c r="M9458" i="17"/>
  <c r="M9457" i="17"/>
  <c r="M9456" i="17"/>
  <c r="M9455" i="17"/>
  <c r="M9454" i="17"/>
  <c r="M9453" i="17"/>
  <c r="M9452" i="17"/>
  <c r="M9451" i="17"/>
  <c r="M9450" i="17"/>
  <c r="M9449" i="17"/>
  <c r="M9448" i="17"/>
  <c r="M9447" i="17"/>
  <c r="M9446" i="17"/>
  <c r="M9445" i="17"/>
  <c r="M9444" i="17"/>
  <c r="M9443" i="17"/>
  <c r="M9442" i="17"/>
  <c r="M9441" i="17"/>
  <c r="M9440" i="17"/>
  <c r="M9439" i="17"/>
  <c r="M9438" i="17"/>
  <c r="M9437" i="17"/>
  <c r="M9436" i="17"/>
  <c r="M9435" i="17"/>
  <c r="M9434" i="17"/>
  <c r="M9433" i="17"/>
  <c r="M9432" i="17"/>
  <c r="M9431" i="17"/>
  <c r="M9430" i="17"/>
  <c r="M9429" i="17"/>
  <c r="M9428" i="17"/>
  <c r="M9427" i="17"/>
  <c r="M9426" i="17"/>
  <c r="M9425" i="17"/>
  <c r="M9424" i="17"/>
  <c r="M9423" i="17"/>
  <c r="M9422" i="17"/>
  <c r="M9421" i="17"/>
  <c r="M9420" i="17"/>
  <c r="M9419" i="17"/>
  <c r="M9418" i="17"/>
  <c r="M9417" i="17"/>
  <c r="M9416" i="17"/>
  <c r="M9415" i="17"/>
  <c r="M9414" i="17"/>
  <c r="M9413" i="17"/>
  <c r="M9412" i="17"/>
  <c r="M9411" i="17"/>
  <c r="M9410" i="17"/>
  <c r="M9409" i="17"/>
  <c r="M9408" i="17"/>
  <c r="M9407" i="17"/>
  <c r="M9406" i="17"/>
  <c r="M9405" i="17"/>
  <c r="M9404" i="17"/>
  <c r="M9403" i="17"/>
  <c r="M9402" i="17"/>
  <c r="M9401" i="17"/>
  <c r="M9400" i="17"/>
  <c r="M9399" i="17"/>
  <c r="M9398" i="17"/>
  <c r="M9397" i="17"/>
  <c r="M9396" i="17"/>
  <c r="M9395" i="17"/>
  <c r="M9394" i="17"/>
  <c r="M9393" i="17"/>
  <c r="M9392" i="17"/>
  <c r="M9391" i="17"/>
  <c r="M9390" i="17"/>
  <c r="M9389" i="17"/>
  <c r="M9388" i="17"/>
  <c r="M9387" i="17"/>
  <c r="M9386" i="17"/>
  <c r="M9385" i="17"/>
  <c r="M9384" i="17"/>
  <c r="M9383" i="17"/>
  <c r="M9382" i="17"/>
  <c r="M9381" i="17"/>
  <c r="M9380" i="17"/>
  <c r="M9379" i="17"/>
  <c r="M9378" i="17"/>
  <c r="M9377" i="17"/>
  <c r="M9376" i="17"/>
  <c r="M9375" i="17"/>
  <c r="M9374" i="17"/>
  <c r="M9373" i="17"/>
  <c r="M9372" i="17"/>
  <c r="M9371" i="17"/>
  <c r="M9370" i="17"/>
  <c r="M9369" i="17"/>
  <c r="M9368" i="17"/>
  <c r="M9367" i="17"/>
  <c r="M9366" i="17"/>
  <c r="M9365" i="17"/>
  <c r="M9364" i="17"/>
  <c r="M9363" i="17"/>
  <c r="M9362" i="17"/>
  <c r="M9361" i="17"/>
  <c r="M9360" i="17"/>
  <c r="M9359" i="17"/>
  <c r="M9358" i="17"/>
  <c r="M9357" i="17"/>
  <c r="M9356" i="17"/>
  <c r="M9355" i="17"/>
  <c r="M9354" i="17"/>
  <c r="M9353" i="17"/>
  <c r="M9352" i="17"/>
  <c r="M9351" i="17"/>
  <c r="M9350" i="17"/>
  <c r="M9349" i="17"/>
  <c r="M9348" i="17"/>
  <c r="M9347" i="17"/>
  <c r="M9346" i="17"/>
  <c r="M9345" i="17"/>
  <c r="M9344" i="17"/>
  <c r="M9343" i="17"/>
  <c r="M9342" i="17"/>
  <c r="M9341" i="17"/>
  <c r="M9340" i="17"/>
  <c r="M9339" i="17"/>
  <c r="M9338" i="17"/>
  <c r="M9337" i="17"/>
  <c r="M9336" i="17"/>
  <c r="M9335" i="17"/>
  <c r="M9334" i="17"/>
  <c r="M9333" i="17"/>
  <c r="M9332" i="17"/>
  <c r="M9331" i="17"/>
  <c r="M9330" i="17"/>
  <c r="M9329" i="17"/>
  <c r="M9328" i="17"/>
  <c r="M9327" i="17"/>
  <c r="M9326" i="17"/>
  <c r="M9325" i="17"/>
  <c r="M9324" i="17"/>
  <c r="M9323" i="17"/>
  <c r="M9322" i="17"/>
  <c r="M9321" i="17"/>
  <c r="M9320" i="17"/>
  <c r="M9319" i="17"/>
  <c r="M9318" i="17"/>
  <c r="M9317" i="17"/>
  <c r="M9316" i="17"/>
  <c r="M9315" i="17"/>
  <c r="M9314" i="17"/>
  <c r="M9313" i="17"/>
  <c r="M9312" i="17"/>
  <c r="M9311" i="17"/>
  <c r="M9310" i="17"/>
  <c r="M9309" i="17"/>
  <c r="M9308" i="17"/>
  <c r="M9307" i="17"/>
  <c r="M9306" i="17"/>
  <c r="M9305" i="17"/>
  <c r="M9304" i="17"/>
  <c r="M9303" i="17"/>
  <c r="M9302" i="17"/>
  <c r="M9301" i="17"/>
  <c r="M9300" i="17"/>
  <c r="M9299" i="17"/>
  <c r="M9298" i="17"/>
  <c r="M9297" i="17"/>
  <c r="M9296" i="17"/>
  <c r="M9295" i="17"/>
  <c r="M9294" i="17"/>
  <c r="M9293" i="17"/>
  <c r="M9292" i="17"/>
  <c r="M9291" i="17"/>
  <c r="M9290" i="17"/>
  <c r="M9289" i="17"/>
  <c r="M9288" i="17"/>
  <c r="M9287" i="17"/>
  <c r="M9286" i="17"/>
  <c r="M9285" i="17"/>
  <c r="M9284" i="17"/>
  <c r="M9283" i="17"/>
  <c r="M9282" i="17"/>
  <c r="M9281" i="17"/>
  <c r="M9280" i="17"/>
  <c r="M9279" i="17"/>
  <c r="M9278" i="17"/>
  <c r="M9277" i="17"/>
  <c r="M9276" i="17"/>
  <c r="M9275" i="17"/>
  <c r="M9274" i="17"/>
  <c r="M9273" i="17"/>
  <c r="M9272" i="17"/>
  <c r="M9271" i="17"/>
  <c r="M9270" i="17"/>
  <c r="M9269" i="17"/>
  <c r="M9268" i="17"/>
  <c r="M9267" i="17"/>
  <c r="M9266" i="17"/>
  <c r="M9265" i="17"/>
  <c r="M9264" i="17"/>
  <c r="M9263" i="17"/>
  <c r="M9262" i="17"/>
  <c r="M9261" i="17"/>
  <c r="M9260" i="17"/>
  <c r="M9259" i="17"/>
  <c r="M9258" i="17"/>
  <c r="M9257" i="17"/>
  <c r="M9256" i="17"/>
  <c r="M9255" i="17"/>
  <c r="M9254" i="17"/>
  <c r="M9253" i="17"/>
  <c r="M9252" i="17"/>
  <c r="M9251" i="17"/>
  <c r="M9250" i="17"/>
  <c r="M9249" i="17"/>
  <c r="M9248" i="17"/>
  <c r="M9247" i="17"/>
  <c r="M9246" i="17"/>
  <c r="M9245" i="17"/>
  <c r="M9244" i="17"/>
  <c r="M9243" i="17"/>
  <c r="M9242" i="17"/>
  <c r="M9241" i="17"/>
  <c r="M9240" i="17"/>
  <c r="M9239" i="17"/>
  <c r="M9238" i="17"/>
  <c r="M9237" i="17"/>
  <c r="M9236" i="17"/>
  <c r="M9235" i="17"/>
  <c r="M9234" i="17"/>
  <c r="M9233" i="17"/>
  <c r="M9232" i="17"/>
  <c r="M9231" i="17"/>
  <c r="M9230" i="17"/>
  <c r="M9229" i="17"/>
  <c r="M9228" i="17"/>
  <c r="M9227" i="17"/>
  <c r="M9226" i="17"/>
  <c r="M9225" i="17"/>
  <c r="M9224" i="17"/>
  <c r="M9223" i="17"/>
  <c r="M9222" i="17"/>
  <c r="M9221" i="17"/>
  <c r="M9220" i="17"/>
  <c r="M9219" i="17"/>
  <c r="M9218" i="17"/>
  <c r="M9217" i="17"/>
  <c r="M9216" i="17"/>
  <c r="M9215" i="17"/>
  <c r="M9214" i="17"/>
  <c r="M9213" i="17"/>
  <c r="M9212" i="17"/>
  <c r="M9211" i="17"/>
  <c r="M9210" i="17"/>
  <c r="M9209" i="17"/>
  <c r="M9208" i="17"/>
  <c r="M9207" i="17"/>
  <c r="M9206" i="17"/>
  <c r="M9205" i="17"/>
  <c r="M9204" i="17"/>
  <c r="M9203" i="17"/>
  <c r="M9202" i="17"/>
  <c r="M9201" i="17"/>
  <c r="M9200" i="17"/>
  <c r="M9199" i="17"/>
  <c r="M9198" i="17"/>
  <c r="M9197" i="17"/>
  <c r="M9196" i="17"/>
  <c r="M9195" i="17"/>
  <c r="M9194" i="17"/>
  <c r="M9193" i="17"/>
  <c r="M9192" i="17"/>
  <c r="M9191" i="17"/>
  <c r="M9190" i="17"/>
  <c r="M9189" i="17"/>
  <c r="M9188" i="17"/>
  <c r="M9187" i="17"/>
  <c r="M9186" i="17"/>
  <c r="M9185" i="17"/>
  <c r="M9184" i="17"/>
  <c r="M9183" i="17"/>
  <c r="M9182" i="17"/>
  <c r="M9181" i="17"/>
  <c r="M9180" i="17"/>
  <c r="M9179" i="17"/>
  <c r="M9178" i="17"/>
  <c r="M9177" i="17"/>
  <c r="M9176" i="17"/>
  <c r="M9175" i="17"/>
  <c r="M9174" i="17"/>
  <c r="M9173" i="17"/>
  <c r="M9172" i="17"/>
  <c r="M9171" i="17"/>
  <c r="M9170" i="17"/>
  <c r="M9169" i="17"/>
  <c r="M9168" i="17"/>
  <c r="M9167" i="17"/>
  <c r="M9166" i="17"/>
  <c r="M9165" i="17"/>
  <c r="M9164" i="17"/>
  <c r="M9163" i="17"/>
  <c r="M9162" i="17"/>
  <c r="M9161" i="17"/>
  <c r="M9160" i="17"/>
  <c r="M9159" i="17"/>
  <c r="M9158" i="17"/>
  <c r="M9157" i="17"/>
  <c r="M9156" i="17"/>
  <c r="M9155" i="17"/>
  <c r="M9154" i="17"/>
  <c r="M9153" i="17"/>
  <c r="M9152" i="17"/>
  <c r="M9151" i="17"/>
  <c r="M9150" i="17"/>
  <c r="M9149" i="17"/>
  <c r="M9148" i="17"/>
  <c r="M9147" i="17"/>
  <c r="M9146" i="17"/>
  <c r="M9145" i="17"/>
  <c r="M9144" i="17"/>
  <c r="M9143" i="17"/>
  <c r="M9142" i="17"/>
  <c r="M9141" i="17"/>
  <c r="M9140" i="17"/>
  <c r="M9139" i="17"/>
  <c r="M9138" i="17"/>
  <c r="M9137" i="17"/>
  <c r="M9136" i="17"/>
  <c r="M9135" i="17"/>
  <c r="M9134" i="17"/>
  <c r="M9133" i="17"/>
  <c r="M9132" i="17"/>
  <c r="M9131" i="17"/>
  <c r="M9130" i="17"/>
  <c r="M9129" i="17"/>
  <c r="M9128" i="17"/>
  <c r="M9127" i="17"/>
  <c r="M9126" i="17"/>
  <c r="M9125" i="17"/>
  <c r="M9124" i="17"/>
  <c r="M9123" i="17"/>
  <c r="M9122" i="17"/>
  <c r="M9121" i="17"/>
  <c r="M9120" i="17"/>
  <c r="M9119" i="17"/>
  <c r="M9118" i="17"/>
  <c r="M9117" i="17"/>
  <c r="M9116" i="17"/>
  <c r="M9115" i="17"/>
  <c r="M9114" i="17"/>
  <c r="M9113" i="17"/>
  <c r="M9112" i="17"/>
  <c r="M9111" i="17"/>
  <c r="M9110" i="17"/>
  <c r="M9109" i="17"/>
  <c r="M9108" i="17"/>
  <c r="M9107" i="17"/>
  <c r="M9106" i="17"/>
  <c r="M9105" i="17"/>
  <c r="M9104" i="17"/>
  <c r="M9103" i="17"/>
  <c r="M9102" i="17"/>
  <c r="M9101" i="17"/>
  <c r="M9100" i="17"/>
  <c r="M9099" i="17"/>
  <c r="M9098" i="17"/>
  <c r="M9097" i="17"/>
  <c r="M9096" i="17"/>
  <c r="M9095" i="17"/>
  <c r="M9094" i="17"/>
  <c r="M9093" i="17"/>
  <c r="M9092" i="17"/>
  <c r="M9091" i="17"/>
  <c r="M9090" i="17"/>
  <c r="M9089" i="17"/>
  <c r="M9088" i="17"/>
  <c r="M9087" i="17"/>
  <c r="M9086" i="17"/>
  <c r="M9085" i="17"/>
  <c r="M9084" i="17"/>
  <c r="M9083" i="17"/>
  <c r="M9082" i="17"/>
  <c r="M9081" i="17"/>
  <c r="M9080" i="17"/>
  <c r="M9079" i="17"/>
  <c r="M9078" i="17"/>
  <c r="M9077" i="17"/>
  <c r="M9076" i="17"/>
  <c r="M9075" i="17"/>
  <c r="M9074" i="17"/>
  <c r="M9073" i="17"/>
  <c r="M9072" i="17"/>
  <c r="M9071" i="17"/>
  <c r="M9070" i="17"/>
  <c r="M9069" i="17"/>
  <c r="M9068" i="17"/>
  <c r="M9067" i="17"/>
  <c r="M9066" i="17"/>
  <c r="M9065" i="17"/>
  <c r="M9064" i="17"/>
  <c r="M9063" i="17"/>
  <c r="M9062" i="17"/>
  <c r="M9061" i="17"/>
  <c r="M9060" i="17"/>
  <c r="M9059" i="17"/>
  <c r="M9058" i="17"/>
  <c r="M9057" i="17"/>
  <c r="M9056" i="17"/>
  <c r="M9055" i="17"/>
  <c r="M9054" i="17"/>
  <c r="M9053" i="17"/>
  <c r="M9052" i="17"/>
  <c r="M9051" i="17"/>
  <c r="M9050" i="17"/>
  <c r="M9049" i="17"/>
  <c r="M9048" i="17"/>
  <c r="M9047" i="17"/>
  <c r="M9046" i="17"/>
  <c r="M9045" i="17"/>
  <c r="M9044" i="17"/>
  <c r="M9043" i="17"/>
  <c r="M9042" i="17"/>
  <c r="M9041" i="17"/>
  <c r="M9040" i="17"/>
  <c r="M9039" i="17"/>
  <c r="M9038" i="17"/>
  <c r="M9037" i="17"/>
  <c r="M9036" i="17"/>
  <c r="M9035" i="17"/>
  <c r="M9034" i="17"/>
  <c r="M9033" i="17"/>
  <c r="M9032" i="17"/>
  <c r="M9031" i="17"/>
  <c r="M9030" i="17"/>
  <c r="M9029" i="17"/>
  <c r="M9028" i="17"/>
  <c r="M9027" i="17"/>
  <c r="M9026" i="17"/>
  <c r="M9025" i="17"/>
  <c r="M9024" i="17"/>
  <c r="M9023" i="17"/>
  <c r="M9022" i="17"/>
  <c r="M9021" i="17"/>
  <c r="M9020" i="17"/>
  <c r="M9019" i="17"/>
  <c r="M9018" i="17"/>
  <c r="M9017" i="17"/>
  <c r="M9016" i="17"/>
  <c r="M9015" i="17"/>
  <c r="M9014" i="17"/>
  <c r="M9013" i="17"/>
  <c r="M9012" i="17"/>
  <c r="M9011" i="17"/>
  <c r="M9010" i="17"/>
  <c r="M9009" i="17"/>
  <c r="M9008" i="17"/>
  <c r="M9007" i="17"/>
  <c r="M9006" i="17"/>
  <c r="M9005" i="17"/>
  <c r="M9004" i="17"/>
  <c r="M9003" i="17"/>
  <c r="M9002" i="17"/>
  <c r="M9001" i="17"/>
  <c r="M9000" i="17"/>
  <c r="M8999" i="17"/>
  <c r="M8998" i="17"/>
  <c r="M8997" i="17"/>
  <c r="M8996" i="17"/>
  <c r="M8995" i="17"/>
  <c r="M8994" i="17"/>
  <c r="M8993" i="17"/>
  <c r="M8992" i="17"/>
  <c r="M8991" i="17"/>
  <c r="M8990" i="17"/>
  <c r="M8989" i="17"/>
  <c r="M8988" i="17"/>
  <c r="M8987" i="17"/>
  <c r="M8986" i="17"/>
  <c r="M8985" i="17"/>
  <c r="M8984" i="17"/>
  <c r="M8983" i="17"/>
  <c r="M8982" i="17"/>
  <c r="M8981" i="17"/>
  <c r="M8980" i="17"/>
  <c r="M8979" i="17"/>
  <c r="M8978" i="17"/>
  <c r="M8977" i="17"/>
  <c r="M8976" i="17"/>
  <c r="M8975" i="17"/>
  <c r="M8974" i="17"/>
  <c r="M8973" i="17"/>
  <c r="M8972" i="17"/>
  <c r="M8971" i="17"/>
  <c r="M8970" i="17"/>
  <c r="M8969" i="17"/>
  <c r="M8968" i="17"/>
  <c r="M8967" i="17"/>
  <c r="M8966" i="17"/>
  <c r="M8965" i="17"/>
  <c r="M8964" i="17"/>
  <c r="M8963" i="17"/>
  <c r="M8962" i="17"/>
  <c r="M8961" i="17"/>
  <c r="M8960" i="17"/>
  <c r="M8959" i="17"/>
  <c r="M8958" i="17"/>
  <c r="M8957" i="17"/>
  <c r="M8956" i="17"/>
  <c r="M8955" i="17"/>
  <c r="M8954" i="17"/>
  <c r="M8953" i="17"/>
  <c r="M8952" i="17"/>
  <c r="M8951" i="17"/>
  <c r="M8950" i="17"/>
  <c r="M8949" i="17"/>
  <c r="M8948" i="17"/>
  <c r="M8947" i="17"/>
  <c r="M8946" i="17"/>
  <c r="M8945" i="17"/>
  <c r="M8944" i="17"/>
  <c r="M8943" i="17"/>
  <c r="M8942" i="17"/>
  <c r="M8941" i="17"/>
  <c r="M8940" i="17"/>
  <c r="M8939" i="17"/>
  <c r="M8938" i="17"/>
  <c r="M8937" i="17"/>
  <c r="M8936" i="17"/>
  <c r="M8935" i="17"/>
  <c r="M8934" i="17"/>
  <c r="M8933" i="17"/>
  <c r="M8932" i="17"/>
  <c r="M8931" i="17"/>
  <c r="M8930" i="17"/>
  <c r="M8929" i="17"/>
  <c r="M8928" i="17"/>
  <c r="M8927" i="17"/>
  <c r="M8926" i="17"/>
  <c r="M8925" i="17"/>
  <c r="M8924" i="17"/>
  <c r="M8923" i="17"/>
  <c r="M8922" i="17"/>
  <c r="M8921" i="17"/>
  <c r="M8920" i="17"/>
  <c r="M8919" i="17"/>
  <c r="M8918" i="17"/>
  <c r="M8917" i="17"/>
  <c r="M8916" i="17"/>
  <c r="M8915" i="17"/>
  <c r="M8914" i="17"/>
  <c r="M8913" i="17"/>
  <c r="M8912" i="17"/>
  <c r="M8911" i="17"/>
  <c r="M8910" i="17"/>
  <c r="M8909" i="17"/>
  <c r="M8908" i="17"/>
  <c r="M8907" i="17"/>
  <c r="M8906" i="17"/>
  <c r="M8905" i="17"/>
  <c r="M8904" i="17"/>
  <c r="M8903" i="17"/>
  <c r="M8902" i="17"/>
  <c r="M8901" i="17"/>
  <c r="M8900" i="17"/>
  <c r="M8899" i="17"/>
  <c r="M8898" i="17"/>
  <c r="M8897" i="17"/>
  <c r="M8896" i="17"/>
  <c r="M8895" i="17"/>
  <c r="M8894" i="17"/>
  <c r="M8893" i="17"/>
  <c r="M8892" i="17"/>
  <c r="M8891" i="17"/>
  <c r="M8890" i="17"/>
  <c r="M8889" i="17"/>
  <c r="M8888" i="17"/>
  <c r="M8887" i="17"/>
  <c r="M8886" i="17"/>
  <c r="M8885" i="17"/>
  <c r="M8884" i="17"/>
  <c r="M8883" i="17"/>
  <c r="M8882" i="17"/>
  <c r="M8881" i="17"/>
  <c r="M8880" i="17"/>
  <c r="M8879" i="17"/>
  <c r="M8878" i="17"/>
  <c r="M8877" i="17"/>
  <c r="M8876" i="17"/>
  <c r="M8875" i="17"/>
  <c r="M8874" i="17"/>
  <c r="M8873" i="17"/>
  <c r="M8872" i="17"/>
  <c r="M8871" i="17"/>
  <c r="M8870" i="17"/>
  <c r="M8869" i="17"/>
  <c r="M8868" i="17"/>
  <c r="M8867" i="17"/>
  <c r="M8866" i="17"/>
  <c r="M8865" i="17"/>
  <c r="M8864" i="17"/>
  <c r="M8863" i="17"/>
  <c r="M8862" i="17"/>
  <c r="M8861" i="17"/>
  <c r="M8860" i="17"/>
  <c r="M8859" i="17"/>
  <c r="M8858" i="17"/>
  <c r="M8857" i="17"/>
  <c r="M8856" i="17"/>
  <c r="M8855" i="17"/>
  <c r="M8854" i="17"/>
  <c r="M8853" i="17"/>
  <c r="M8852" i="17"/>
  <c r="M8851" i="17"/>
  <c r="M8850" i="17"/>
  <c r="M8849" i="17"/>
  <c r="M8848" i="17"/>
  <c r="M8847" i="17"/>
  <c r="M8846" i="17"/>
  <c r="M8845" i="17"/>
  <c r="M8844" i="17"/>
  <c r="M8843" i="17"/>
  <c r="M8842" i="17"/>
  <c r="M8841" i="17"/>
  <c r="M8840" i="17"/>
  <c r="M8839" i="17"/>
  <c r="M8838" i="17"/>
  <c r="M8837" i="17"/>
  <c r="M8836" i="17"/>
  <c r="M8835" i="17"/>
  <c r="M8834" i="17"/>
  <c r="M8833" i="17"/>
  <c r="M8832" i="17"/>
  <c r="M8831" i="17"/>
  <c r="M8830" i="17"/>
  <c r="M8829" i="17"/>
  <c r="M8828" i="17"/>
  <c r="M8827" i="17"/>
  <c r="M8826" i="17"/>
  <c r="M8825" i="17"/>
  <c r="M8824" i="17"/>
  <c r="M8823" i="17"/>
  <c r="M8822" i="17"/>
  <c r="M8821" i="17"/>
  <c r="M8820" i="17"/>
  <c r="M8819" i="17"/>
  <c r="M8818" i="17"/>
  <c r="M8817" i="17"/>
  <c r="M8816" i="17"/>
  <c r="M8815" i="17"/>
  <c r="M8814" i="17"/>
  <c r="M8813" i="17"/>
  <c r="M8812" i="17"/>
  <c r="M8811" i="17"/>
  <c r="M8810" i="17"/>
  <c r="M8809" i="17"/>
  <c r="M8808" i="17"/>
  <c r="M8807" i="17"/>
  <c r="M8806" i="17"/>
  <c r="M8805" i="17"/>
  <c r="M8804" i="17"/>
  <c r="M8803" i="17"/>
  <c r="M8802" i="17"/>
  <c r="M8801" i="17"/>
  <c r="M8800" i="17"/>
  <c r="M8799" i="17"/>
  <c r="M8798" i="17"/>
  <c r="M8797" i="17"/>
  <c r="M8796" i="17"/>
  <c r="M8795" i="17"/>
  <c r="M8794" i="17"/>
  <c r="M8793" i="17"/>
  <c r="M8792" i="17"/>
  <c r="M8791" i="17"/>
  <c r="M8790" i="17"/>
  <c r="M8789" i="17"/>
  <c r="M8788" i="17"/>
  <c r="M8787" i="17"/>
  <c r="M8786" i="17"/>
  <c r="M8785" i="17"/>
  <c r="M8784" i="17"/>
  <c r="M8783" i="17"/>
  <c r="M8782" i="17"/>
  <c r="M8781" i="17"/>
  <c r="M8780" i="17"/>
  <c r="M8779" i="17"/>
  <c r="M8778" i="17"/>
  <c r="M8777" i="17"/>
  <c r="M8776" i="17"/>
  <c r="M8775" i="17"/>
  <c r="M8774" i="17"/>
  <c r="M8773" i="17"/>
  <c r="M8772" i="17"/>
  <c r="M8771" i="17"/>
  <c r="M8770" i="17"/>
  <c r="M8769" i="17"/>
  <c r="M8768" i="17"/>
  <c r="M8767" i="17"/>
  <c r="M8766" i="17"/>
  <c r="M8765" i="17"/>
  <c r="M8764" i="17"/>
  <c r="M8763" i="17"/>
  <c r="M8762" i="17"/>
  <c r="M8761" i="17"/>
  <c r="M8760" i="17"/>
  <c r="M8759" i="17"/>
  <c r="M8758" i="17"/>
  <c r="M8757" i="17"/>
  <c r="M8756" i="17"/>
  <c r="M8755" i="17"/>
  <c r="M8754" i="17"/>
  <c r="M8753" i="17"/>
  <c r="M8752" i="17"/>
  <c r="M8751" i="17"/>
  <c r="M8750" i="17"/>
  <c r="M8749" i="17"/>
  <c r="M8748" i="17"/>
  <c r="M8747" i="17"/>
  <c r="M8746" i="17"/>
  <c r="M8745" i="17"/>
  <c r="M8744" i="17"/>
  <c r="M8743" i="17"/>
  <c r="M8742" i="17"/>
  <c r="M8741" i="17"/>
  <c r="M8740" i="17"/>
  <c r="M8739" i="17"/>
  <c r="M8738" i="17"/>
  <c r="M8737" i="17"/>
  <c r="M8736" i="17"/>
  <c r="M8735" i="17"/>
  <c r="M8734" i="17"/>
  <c r="M8733" i="17"/>
  <c r="M8732" i="17"/>
  <c r="M8731" i="17"/>
  <c r="M8730" i="17"/>
  <c r="M8729" i="17"/>
  <c r="M8728" i="17"/>
  <c r="M8727" i="17"/>
  <c r="M8726" i="17"/>
  <c r="M8725" i="17"/>
  <c r="M8724" i="17"/>
  <c r="M8723" i="17"/>
  <c r="M8722" i="17"/>
  <c r="M8721" i="17"/>
  <c r="M8720" i="17"/>
  <c r="M8719" i="17"/>
  <c r="M8718" i="17"/>
  <c r="M8717" i="17"/>
  <c r="M8716" i="17"/>
  <c r="M8715" i="17"/>
  <c r="M8714" i="17"/>
  <c r="M8713" i="17"/>
  <c r="M8712" i="17"/>
  <c r="M8711" i="17"/>
  <c r="M8710" i="17"/>
  <c r="M8709" i="17"/>
  <c r="M8708" i="17"/>
  <c r="M8707" i="17"/>
  <c r="M8706" i="17"/>
  <c r="M8705" i="17"/>
  <c r="M8704" i="17"/>
  <c r="M8703" i="17"/>
  <c r="M8702" i="17"/>
  <c r="M8701" i="17"/>
  <c r="M8700" i="17"/>
  <c r="M8699" i="17"/>
  <c r="M8698" i="17"/>
  <c r="M8697" i="17"/>
  <c r="M8696" i="17"/>
  <c r="M8695" i="17"/>
  <c r="M8694" i="17"/>
  <c r="M8693" i="17"/>
  <c r="M8692" i="17"/>
  <c r="M8691" i="17"/>
  <c r="M8690" i="17"/>
  <c r="M8689" i="17"/>
  <c r="M8688" i="17"/>
  <c r="M8687" i="17"/>
  <c r="M8686" i="17"/>
  <c r="M8685" i="17"/>
  <c r="M8684" i="17"/>
  <c r="M8683" i="17"/>
  <c r="M8682" i="17"/>
  <c r="M8681" i="17"/>
  <c r="M8680" i="17"/>
  <c r="M8679" i="17"/>
  <c r="M8678" i="17"/>
  <c r="M8677" i="17"/>
  <c r="M8676" i="17"/>
  <c r="M8675" i="17"/>
  <c r="M8674" i="17"/>
  <c r="M8673" i="17"/>
  <c r="M8672" i="17"/>
  <c r="M8671" i="17"/>
  <c r="M8670" i="17"/>
  <c r="M8669" i="17"/>
  <c r="M8668" i="17"/>
  <c r="M8667" i="17"/>
  <c r="M8666" i="17"/>
  <c r="M8665" i="17"/>
  <c r="M8664" i="17"/>
  <c r="M8663" i="17"/>
  <c r="M8662" i="17"/>
  <c r="M8661" i="17"/>
  <c r="M8660" i="17"/>
  <c r="M8659" i="17"/>
  <c r="M8658" i="17"/>
  <c r="M8657" i="17"/>
  <c r="M8656" i="17"/>
  <c r="M8655" i="17"/>
  <c r="M8654" i="17"/>
  <c r="M8653" i="17"/>
  <c r="M8652" i="17"/>
  <c r="M8651" i="17"/>
  <c r="M8650" i="17"/>
  <c r="M8649" i="17"/>
  <c r="M8648" i="17"/>
  <c r="M8647" i="17"/>
  <c r="M8646" i="17"/>
  <c r="M8645" i="17"/>
  <c r="M8644" i="17"/>
  <c r="M8643" i="17"/>
  <c r="M8642" i="17"/>
  <c r="M8641" i="17"/>
  <c r="M8640" i="17"/>
  <c r="M8639" i="17"/>
  <c r="M8638" i="17"/>
  <c r="M8637" i="17"/>
  <c r="M8636" i="17"/>
  <c r="M8635" i="17"/>
  <c r="M8634" i="17"/>
  <c r="M8633" i="17"/>
  <c r="M8632" i="17"/>
  <c r="M8631" i="17"/>
  <c r="M8630" i="17"/>
  <c r="M8629" i="17"/>
  <c r="M8628" i="17"/>
  <c r="M8627" i="17"/>
  <c r="M8626" i="17"/>
  <c r="M8625" i="17"/>
  <c r="M8624" i="17"/>
  <c r="M8623" i="17"/>
  <c r="M8622" i="17"/>
  <c r="M8621" i="17"/>
  <c r="M8620" i="17"/>
  <c r="M8619" i="17"/>
  <c r="M8618" i="17"/>
  <c r="M8617" i="17"/>
  <c r="M8616" i="17"/>
  <c r="M8615" i="17"/>
  <c r="M8614" i="17"/>
  <c r="M8613" i="17"/>
  <c r="M8612" i="17"/>
  <c r="M8611" i="17"/>
  <c r="M8610" i="17"/>
  <c r="M8609" i="17"/>
  <c r="M8608" i="17"/>
  <c r="M8607" i="17"/>
  <c r="M8606" i="17"/>
  <c r="M8605" i="17"/>
  <c r="M8604" i="17"/>
  <c r="M8603" i="17"/>
  <c r="M8602" i="17"/>
  <c r="M8601" i="17"/>
  <c r="M8600" i="17"/>
  <c r="M8599" i="17"/>
  <c r="M8598" i="17"/>
  <c r="M8597" i="17"/>
  <c r="M8596" i="17"/>
  <c r="M8595" i="17"/>
  <c r="M8594" i="17"/>
  <c r="M8593" i="17"/>
  <c r="M8592" i="17"/>
  <c r="M8591" i="17"/>
  <c r="M8590" i="17"/>
  <c r="M8589" i="17"/>
  <c r="M8588" i="17"/>
  <c r="M8587" i="17"/>
  <c r="M8586" i="17"/>
  <c r="M8585" i="17"/>
  <c r="M8584" i="17"/>
  <c r="M8583" i="17"/>
  <c r="M8582" i="17"/>
  <c r="M8581" i="17"/>
  <c r="M8580" i="17"/>
  <c r="M8579" i="17"/>
  <c r="M8578" i="17"/>
  <c r="M8577" i="17"/>
  <c r="M8576" i="17"/>
  <c r="M8575" i="17"/>
  <c r="M8574" i="17"/>
  <c r="M8573" i="17"/>
  <c r="M8572" i="17"/>
  <c r="M8571" i="17"/>
  <c r="M8570" i="17"/>
  <c r="M8569" i="17"/>
  <c r="M8568" i="17"/>
  <c r="M8567" i="17"/>
  <c r="M8566" i="17"/>
  <c r="M8565" i="17"/>
  <c r="M8564" i="17"/>
  <c r="M8563" i="17"/>
  <c r="M8562" i="17"/>
  <c r="M8561" i="17"/>
  <c r="M8560" i="17"/>
  <c r="M8559" i="17"/>
  <c r="M8558" i="17"/>
  <c r="M8557" i="17"/>
  <c r="M8556" i="17"/>
  <c r="M8555" i="17"/>
  <c r="M8554" i="17"/>
  <c r="M8553" i="17"/>
  <c r="M8552" i="17"/>
  <c r="M8551" i="17"/>
  <c r="M8550" i="17"/>
  <c r="M8549" i="17"/>
  <c r="M8548" i="17"/>
  <c r="M8547" i="17"/>
  <c r="M8546" i="17"/>
  <c r="M8545" i="17"/>
  <c r="M8544" i="17"/>
  <c r="M8543" i="17"/>
  <c r="M8542" i="17"/>
  <c r="M8541" i="17"/>
  <c r="M8540" i="17"/>
  <c r="M8539" i="17"/>
  <c r="M8538" i="17"/>
  <c r="M8537" i="17"/>
  <c r="M8536" i="17"/>
  <c r="M8535" i="17"/>
  <c r="M8534" i="17"/>
  <c r="M8533" i="17"/>
  <c r="M8532" i="17"/>
  <c r="M8531" i="17"/>
  <c r="M8530" i="17"/>
  <c r="M8529" i="17"/>
  <c r="M8528" i="17"/>
  <c r="M8527" i="17"/>
  <c r="M8526" i="17"/>
  <c r="M8525" i="17"/>
  <c r="M8524" i="17"/>
  <c r="M8523" i="17"/>
  <c r="M8522" i="17"/>
  <c r="M8521" i="17"/>
  <c r="M8520" i="17"/>
  <c r="M8519" i="17"/>
  <c r="M8518" i="17"/>
  <c r="M8517" i="17"/>
  <c r="M8516" i="17"/>
  <c r="M8515" i="17"/>
  <c r="M8514" i="17"/>
  <c r="M8513" i="17"/>
  <c r="M8512" i="17"/>
  <c r="M8511" i="17"/>
  <c r="M8510" i="17"/>
  <c r="M8509" i="17"/>
  <c r="M8508" i="17"/>
  <c r="M8507" i="17"/>
  <c r="M8506" i="17"/>
  <c r="M8505" i="17"/>
  <c r="M8504" i="17"/>
  <c r="M8503" i="17"/>
  <c r="M8502" i="17"/>
  <c r="M8501" i="17"/>
  <c r="M8500" i="17"/>
  <c r="M8499" i="17"/>
  <c r="M8498" i="17"/>
  <c r="M8497" i="17"/>
  <c r="M8496" i="17"/>
  <c r="M8495" i="17"/>
  <c r="M8494" i="17"/>
  <c r="M8493" i="17"/>
  <c r="M8492" i="17"/>
  <c r="M8491" i="17"/>
  <c r="M8490" i="17"/>
  <c r="M8489" i="17"/>
  <c r="M8488" i="17"/>
  <c r="M8487" i="17"/>
  <c r="M8486" i="17"/>
  <c r="M8485" i="17"/>
  <c r="M8484" i="17"/>
  <c r="M8483" i="17"/>
  <c r="M8482" i="17"/>
  <c r="M8481" i="17"/>
  <c r="M8480" i="17"/>
  <c r="M8479" i="17"/>
  <c r="M8478" i="17"/>
  <c r="M8477" i="17"/>
  <c r="M8476" i="17"/>
  <c r="M8475" i="17"/>
  <c r="M8474" i="17"/>
  <c r="M8473" i="17"/>
  <c r="M8472" i="17"/>
  <c r="M8471" i="17"/>
  <c r="M8470" i="17"/>
  <c r="M8469" i="17"/>
  <c r="M8468" i="17"/>
  <c r="M8467" i="17"/>
  <c r="M8466" i="17"/>
  <c r="M8465" i="17"/>
  <c r="M8464" i="17"/>
  <c r="M8463" i="17"/>
  <c r="M8462" i="17"/>
  <c r="M8461" i="17"/>
  <c r="M8460" i="17"/>
  <c r="M8459" i="17"/>
  <c r="M8458" i="17"/>
  <c r="M8457" i="17"/>
  <c r="M8456" i="17"/>
  <c r="M8455" i="17"/>
  <c r="M8454" i="17"/>
  <c r="M8453" i="17"/>
  <c r="M8452" i="17"/>
  <c r="M8451" i="17"/>
  <c r="M8450" i="17"/>
  <c r="M8449" i="17"/>
  <c r="M8448" i="17"/>
  <c r="M8447" i="17"/>
  <c r="M8446" i="17"/>
  <c r="M8445" i="17"/>
  <c r="M8444" i="17"/>
  <c r="M8443" i="17"/>
  <c r="M8442" i="17"/>
  <c r="M8441" i="17"/>
  <c r="M8440" i="17"/>
  <c r="M8439" i="17"/>
  <c r="M8438" i="17"/>
  <c r="M8437" i="17"/>
  <c r="M8436" i="17"/>
  <c r="M8435" i="17"/>
  <c r="M8434" i="17"/>
  <c r="M8433" i="17"/>
  <c r="M8432" i="17"/>
  <c r="M8431" i="17"/>
  <c r="M8430" i="17"/>
  <c r="M8429" i="17"/>
  <c r="M8428" i="17"/>
  <c r="M8427" i="17"/>
  <c r="M8426" i="17"/>
  <c r="M8425" i="17"/>
  <c r="M8424" i="17"/>
  <c r="M8423" i="17"/>
  <c r="M8422" i="17"/>
  <c r="M8421" i="17"/>
  <c r="M8420" i="17"/>
  <c r="M8419" i="17"/>
  <c r="M8418" i="17"/>
  <c r="M8417" i="17"/>
  <c r="M8416" i="17"/>
  <c r="M8415" i="17"/>
  <c r="M8414" i="17"/>
  <c r="M8413" i="17"/>
  <c r="M8412" i="17"/>
  <c r="M8411" i="17"/>
  <c r="M8410" i="17"/>
  <c r="M8409" i="17"/>
  <c r="M8408" i="17"/>
  <c r="M8407" i="17"/>
  <c r="M8406" i="17"/>
  <c r="M8405" i="17"/>
  <c r="M8404" i="17"/>
  <c r="M8403" i="17"/>
  <c r="M8402" i="17"/>
  <c r="M8401" i="17"/>
  <c r="M8400" i="17"/>
  <c r="M8399" i="17"/>
  <c r="M8398" i="17"/>
  <c r="M8397" i="17"/>
  <c r="M8396" i="17"/>
  <c r="M8395" i="17"/>
  <c r="M8394" i="17"/>
  <c r="M8393" i="17"/>
  <c r="M8392" i="17"/>
  <c r="M8391" i="17"/>
  <c r="M8390" i="17"/>
  <c r="M8389" i="17"/>
  <c r="M8388" i="17"/>
  <c r="M8387" i="17"/>
  <c r="M8386" i="17"/>
  <c r="M8385" i="17"/>
  <c r="M8384" i="17"/>
  <c r="M8383" i="17"/>
  <c r="M8382" i="17"/>
  <c r="M8381" i="17"/>
  <c r="M8380" i="17"/>
  <c r="M8379" i="17"/>
  <c r="M8378" i="17"/>
  <c r="M8377" i="17"/>
  <c r="M8376" i="17"/>
  <c r="M8375" i="17"/>
  <c r="M8374" i="17"/>
  <c r="M8373" i="17"/>
  <c r="M8372" i="17"/>
  <c r="M8371" i="17"/>
  <c r="M8370" i="17"/>
  <c r="M8369" i="17"/>
  <c r="M8368" i="17"/>
  <c r="M8367" i="17"/>
  <c r="M8366" i="17"/>
  <c r="M8365" i="17"/>
  <c r="M8364" i="17"/>
  <c r="M8363" i="17"/>
  <c r="M8362" i="17"/>
  <c r="M8361" i="17"/>
  <c r="M8360" i="17"/>
  <c r="M8359" i="17"/>
  <c r="M8358" i="17"/>
  <c r="M8357" i="17"/>
  <c r="M8356" i="17"/>
  <c r="M8355" i="17"/>
  <c r="M8354" i="17"/>
  <c r="M8353" i="17"/>
  <c r="M8352" i="17"/>
  <c r="M8351" i="17"/>
  <c r="M8350" i="17"/>
  <c r="M8349" i="17"/>
  <c r="M8348" i="17"/>
  <c r="M8347" i="17"/>
  <c r="M8346" i="17"/>
  <c r="M8345" i="17"/>
  <c r="M8344" i="17"/>
  <c r="M8343" i="17"/>
  <c r="M8342" i="17"/>
  <c r="M8341" i="17"/>
  <c r="M8340" i="17"/>
  <c r="M8339" i="17"/>
  <c r="M8338" i="17"/>
  <c r="M8337" i="17"/>
  <c r="M8336" i="17"/>
  <c r="M8335" i="17"/>
  <c r="M8334" i="17"/>
  <c r="M8333" i="17"/>
  <c r="M8332" i="17"/>
  <c r="M8331" i="17"/>
  <c r="M8330" i="17"/>
  <c r="M8329" i="17"/>
  <c r="M8328" i="17"/>
  <c r="M8327" i="17"/>
  <c r="M8326" i="17"/>
  <c r="M8325" i="17"/>
  <c r="M8324" i="17"/>
  <c r="M8323" i="17"/>
  <c r="M8322" i="17"/>
  <c r="M8321" i="17"/>
  <c r="M8320" i="17"/>
  <c r="M8319" i="17"/>
  <c r="M8318" i="17"/>
  <c r="M8317" i="17"/>
  <c r="M8316" i="17"/>
  <c r="M8315" i="17"/>
  <c r="M8314" i="17"/>
  <c r="M8313" i="17"/>
  <c r="M8312" i="17"/>
  <c r="M8311" i="17"/>
  <c r="M8310" i="17"/>
  <c r="M8309" i="17"/>
  <c r="M8308" i="17"/>
  <c r="M8307" i="17"/>
  <c r="M8306" i="17"/>
  <c r="M8305" i="17"/>
  <c r="M8304" i="17"/>
  <c r="M8303" i="17"/>
  <c r="M8302" i="17"/>
  <c r="M8301" i="17"/>
  <c r="M8300" i="17"/>
  <c r="M8299" i="17"/>
  <c r="M8298" i="17"/>
  <c r="M8297" i="17"/>
  <c r="M8296" i="17"/>
  <c r="M8295" i="17"/>
  <c r="M8294" i="17"/>
  <c r="M8293" i="17"/>
  <c r="M8292" i="17"/>
  <c r="M8291" i="17"/>
  <c r="M8290" i="17"/>
  <c r="M8289" i="17"/>
  <c r="M8288" i="17"/>
  <c r="M8287" i="17"/>
  <c r="M8286" i="17"/>
  <c r="M8285" i="17"/>
  <c r="M8284" i="17"/>
  <c r="M8283" i="17"/>
  <c r="M8282" i="17"/>
  <c r="M8281" i="17"/>
  <c r="M8280" i="17"/>
  <c r="M8279" i="17"/>
  <c r="M8278" i="17"/>
  <c r="M8277" i="17"/>
  <c r="M8276" i="17"/>
  <c r="M8275" i="17"/>
  <c r="M8274" i="17"/>
  <c r="M8273" i="17"/>
  <c r="M8272" i="17"/>
  <c r="M8271" i="17"/>
  <c r="M8270" i="17"/>
  <c r="M8269" i="17"/>
  <c r="M8268" i="17"/>
  <c r="M8267" i="17"/>
  <c r="M8266" i="17"/>
  <c r="M8265" i="17"/>
  <c r="M8264" i="17"/>
  <c r="M8263" i="17"/>
  <c r="M8262" i="17"/>
  <c r="M8261" i="17"/>
  <c r="M8260" i="17"/>
  <c r="M8259" i="17"/>
  <c r="M8258" i="17"/>
  <c r="M8257" i="17"/>
  <c r="M8256" i="17"/>
  <c r="M8255" i="17"/>
  <c r="M8254" i="17"/>
  <c r="M8253" i="17"/>
  <c r="M8252" i="17"/>
  <c r="M8251" i="17"/>
  <c r="M8250" i="17"/>
  <c r="M8249" i="17"/>
  <c r="M8248" i="17"/>
  <c r="M8247" i="17"/>
  <c r="M8246" i="17"/>
  <c r="M8245" i="17"/>
  <c r="M8244" i="17"/>
  <c r="M8243" i="17"/>
  <c r="M8242" i="17"/>
  <c r="M8241" i="17"/>
  <c r="M8240" i="17"/>
  <c r="M8239" i="17"/>
  <c r="M8238" i="17"/>
  <c r="M8237" i="17"/>
  <c r="M8236" i="17"/>
  <c r="M8235" i="17"/>
  <c r="M8234" i="17"/>
  <c r="M8233" i="17"/>
  <c r="M8232" i="17"/>
  <c r="M8231" i="17"/>
  <c r="M8230" i="17"/>
  <c r="M8229" i="17"/>
  <c r="M8228" i="17"/>
  <c r="M8227" i="17"/>
  <c r="M8226" i="17"/>
  <c r="M8225" i="17"/>
  <c r="M8224" i="17"/>
  <c r="M8223" i="17"/>
  <c r="M8222" i="17"/>
  <c r="M8221" i="17"/>
  <c r="M8220" i="17"/>
  <c r="M8219" i="17"/>
  <c r="M8218" i="17"/>
  <c r="M8217" i="17"/>
  <c r="M8216" i="17"/>
  <c r="M8215" i="17"/>
  <c r="M8214" i="17"/>
  <c r="M8213" i="17"/>
  <c r="M8212" i="17"/>
  <c r="M8211" i="17"/>
  <c r="M8210" i="17"/>
  <c r="M8209" i="17"/>
  <c r="M8208" i="17"/>
  <c r="M8207" i="17"/>
  <c r="M8206" i="17"/>
  <c r="M8205" i="17"/>
  <c r="M8204" i="17"/>
  <c r="M8203" i="17"/>
  <c r="M8202" i="17"/>
  <c r="M8201" i="17"/>
  <c r="M8200" i="17"/>
  <c r="M8199" i="17"/>
  <c r="M8198" i="17"/>
  <c r="M8197" i="17"/>
  <c r="M8196" i="17"/>
  <c r="M8195" i="17"/>
  <c r="M8194" i="17"/>
  <c r="M8193" i="17"/>
  <c r="M8192" i="17"/>
  <c r="M8191" i="17"/>
  <c r="M8190" i="17"/>
  <c r="M8189" i="17"/>
  <c r="M8188" i="17"/>
  <c r="M8187" i="17"/>
  <c r="M8186" i="17"/>
  <c r="M8185" i="17"/>
  <c r="M8184" i="17"/>
  <c r="M8183" i="17"/>
  <c r="M8182" i="17"/>
  <c r="M8181" i="17"/>
  <c r="M8180" i="17"/>
  <c r="M8179" i="17"/>
  <c r="M8178" i="17"/>
  <c r="M8177" i="17"/>
  <c r="M8176" i="17"/>
  <c r="M8175" i="17"/>
  <c r="M8174" i="17"/>
  <c r="M8173" i="17"/>
  <c r="M8172" i="17"/>
  <c r="M8171" i="17"/>
  <c r="M8170" i="17"/>
  <c r="M8169" i="17"/>
  <c r="M8168" i="17"/>
  <c r="M8167" i="17"/>
  <c r="M8166" i="17"/>
  <c r="M8165" i="17"/>
  <c r="M8164" i="17"/>
  <c r="M8163" i="17"/>
  <c r="M8162" i="17"/>
  <c r="M8161" i="17"/>
  <c r="M8160" i="17"/>
  <c r="M8159" i="17"/>
  <c r="M8158" i="17"/>
  <c r="M8157" i="17"/>
  <c r="M8156" i="17"/>
  <c r="M8155" i="17"/>
  <c r="M8154" i="17"/>
  <c r="M8153" i="17"/>
  <c r="M8152" i="17"/>
  <c r="M8151" i="17"/>
  <c r="M8150" i="17"/>
  <c r="M8149" i="17"/>
  <c r="M8148" i="17"/>
  <c r="M8147" i="17"/>
  <c r="M8146" i="17"/>
  <c r="M8145" i="17"/>
  <c r="M8144" i="17"/>
  <c r="M8143" i="17"/>
  <c r="M8142" i="17"/>
  <c r="M8141" i="17"/>
  <c r="M8140" i="17"/>
  <c r="M8139" i="17"/>
  <c r="M8138" i="17"/>
  <c r="M8137" i="17"/>
  <c r="M8136" i="17"/>
  <c r="M8135" i="17"/>
  <c r="M8134" i="17"/>
  <c r="M8133" i="17"/>
  <c r="M8132" i="17"/>
  <c r="M8131" i="17"/>
  <c r="M8130" i="17"/>
  <c r="M8129" i="17"/>
  <c r="M8128" i="17"/>
  <c r="M8127" i="17"/>
  <c r="M8126" i="17"/>
  <c r="M8125" i="17"/>
  <c r="M8124" i="17"/>
  <c r="M8123" i="17"/>
  <c r="M8122" i="17"/>
  <c r="M8121" i="17"/>
  <c r="M8120" i="17"/>
  <c r="M8119" i="17"/>
  <c r="M8118" i="17"/>
  <c r="M8117" i="17"/>
  <c r="M8116" i="17"/>
  <c r="M8115" i="17"/>
  <c r="M8114" i="17"/>
  <c r="M8113" i="17"/>
  <c r="M8112" i="17"/>
  <c r="M8111" i="17"/>
  <c r="M8110" i="17"/>
  <c r="M8109" i="17"/>
  <c r="M8108" i="17"/>
  <c r="M8107" i="17"/>
  <c r="M8106" i="17"/>
  <c r="M8105" i="17"/>
  <c r="M8104" i="17"/>
  <c r="M8103" i="17"/>
  <c r="M8102" i="17"/>
  <c r="M8101" i="17"/>
  <c r="M8100" i="17"/>
  <c r="M8099" i="17"/>
  <c r="M8098" i="17"/>
  <c r="M8097" i="17"/>
  <c r="M8096" i="17"/>
  <c r="M8095" i="17"/>
  <c r="M8094" i="17"/>
  <c r="M8093" i="17"/>
  <c r="M8092" i="17"/>
  <c r="M8091" i="17"/>
  <c r="M8090" i="17"/>
  <c r="M8089" i="17"/>
  <c r="M8088" i="17"/>
  <c r="M8087" i="17"/>
  <c r="M8086" i="17"/>
  <c r="M8085" i="17"/>
  <c r="M8084" i="17"/>
  <c r="M8083" i="17"/>
  <c r="M8082" i="17"/>
  <c r="M8081" i="17"/>
  <c r="M8080" i="17"/>
  <c r="M8079" i="17"/>
  <c r="M8078" i="17"/>
  <c r="M8077" i="17"/>
  <c r="M8076" i="17"/>
  <c r="M8075" i="17"/>
  <c r="M8074" i="17"/>
  <c r="M8073" i="17"/>
  <c r="M8072" i="17"/>
  <c r="M8071" i="17"/>
  <c r="M8070" i="17"/>
  <c r="M8069" i="17"/>
  <c r="M8068" i="17"/>
  <c r="M8067" i="17"/>
  <c r="M8066" i="17"/>
  <c r="M8065" i="17"/>
  <c r="M8064" i="17"/>
  <c r="M8063" i="17"/>
  <c r="M8062" i="17"/>
  <c r="M8061" i="17"/>
  <c r="M8060" i="17"/>
  <c r="M8059" i="17"/>
  <c r="M8058" i="17"/>
  <c r="M8057" i="17"/>
  <c r="M8056" i="17"/>
  <c r="M8055" i="17"/>
  <c r="M8054" i="17"/>
  <c r="M8053" i="17"/>
  <c r="M8052" i="17"/>
  <c r="M8051" i="17"/>
  <c r="M8050" i="17"/>
  <c r="M8049" i="17"/>
  <c r="M8048" i="17"/>
  <c r="M8047" i="17"/>
  <c r="M8046" i="17"/>
  <c r="M8045" i="17"/>
  <c r="M8044" i="17"/>
  <c r="M8043" i="17"/>
  <c r="M8042" i="17"/>
  <c r="M8041" i="17"/>
  <c r="M8040" i="17"/>
  <c r="M8039" i="17"/>
  <c r="M8038" i="17"/>
  <c r="M8037" i="17"/>
  <c r="M8036" i="17"/>
  <c r="M8035" i="17"/>
  <c r="M8034" i="17"/>
  <c r="M8033" i="17"/>
  <c r="M8032" i="17"/>
  <c r="M8031" i="17"/>
  <c r="M8030" i="17"/>
  <c r="M8029" i="17"/>
  <c r="M8028" i="17"/>
  <c r="M8027" i="17"/>
  <c r="M8026" i="17"/>
  <c r="M8025" i="17"/>
  <c r="M8024" i="17"/>
  <c r="M8023" i="17"/>
  <c r="M8022" i="17"/>
  <c r="M8021" i="17"/>
  <c r="M8020" i="17"/>
  <c r="M8019" i="17"/>
  <c r="M8018" i="17"/>
  <c r="M8017" i="17"/>
  <c r="M8016" i="17"/>
  <c r="M8015" i="17"/>
  <c r="M8014" i="17"/>
  <c r="M8013" i="17"/>
  <c r="M8012" i="17"/>
  <c r="M8011" i="17"/>
  <c r="M8010" i="17"/>
  <c r="M8009" i="17"/>
  <c r="M8008" i="17"/>
  <c r="M8007" i="17"/>
  <c r="M8006" i="17"/>
  <c r="M8005" i="17"/>
  <c r="M8004" i="17"/>
  <c r="M8003" i="17"/>
  <c r="M8002" i="17"/>
  <c r="M8001" i="17"/>
  <c r="M8000" i="17"/>
  <c r="M7999" i="17"/>
  <c r="M7998" i="17"/>
  <c r="M7997" i="17"/>
  <c r="M7996" i="17"/>
  <c r="M7995" i="17"/>
  <c r="M7994" i="17"/>
  <c r="M7993" i="17"/>
  <c r="M7992" i="17"/>
  <c r="M7991" i="17"/>
  <c r="M7990" i="17"/>
  <c r="M7989" i="17"/>
  <c r="M7988" i="17"/>
  <c r="M7987" i="17"/>
  <c r="M7986" i="17"/>
  <c r="M7985" i="17"/>
  <c r="M7984" i="17"/>
  <c r="M7983" i="17"/>
  <c r="M7982" i="17"/>
  <c r="M7981" i="17"/>
  <c r="M7980" i="17"/>
  <c r="M7979" i="17"/>
  <c r="M7978" i="17"/>
  <c r="M7977" i="17"/>
  <c r="M7976" i="17"/>
  <c r="M7975" i="17"/>
  <c r="M7974" i="17"/>
  <c r="M7973" i="17"/>
  <c r="M7972" i="17"/>
  <c r="M7971" i="17"/>
  <c r="M7970" i="17"/>
  <c r="M7969" i="17"/>
  <c r="M7968" i="17"/>
  <c r="M7967" i="17"/>
  <c r="M7966" i="17"/>
  <c r="M7965" i="17"/>
  <c r="M7964" i="17"/>
  <c r="M7963" i="17"/>
  <c r="M7962" i="17"/>
  <c r="M7961" i="17"/>
  <c r="M7960" i="17"/>
  <c r="M7959" i="17"/>
  <c r="M7958" i="17"/>
  <c r="M7957" i="17"/>
  <c r="M7956" i="17"/>
  <c r="M7955" i="17"/>
  <c r="M7954" i="17"/>
  <c r="M7953" i="17"/>
  <c r="M7952" i="17"/>
  <c r="M7951" i="17"/>
  <c r="M7950" i="17"/>
  <c r="M7949" i="17"/>
  <c r="M7948" i="17"/>
  <c r="M7947" i="17"/>
  <c r="M7946" i="17"/>
  <c r="M7945" i="17"/>
  <c r="M7944" i="17"/>
  <c r="M7943" i="17"/>
  <c r="M7942" i="17"/>
  <c r="M7941" i="17"/>
  <c r="M7940" i="17"/>
  <c r="M7939" i="17"/>
  <c r="M7938" i="17"/>
  <c r="M7937" i="17"/>
  <c r="M7936" i="17"/>
  <c r="M7935" i="17"/>
  <c r="M7934" i="17"/>
  <c r="M7933" i="17"/>
  <c r="M7932" i="17"/>
  <c r="M7931" i="17"/>
  <c r="M7930" i="17"/>
  <c r="M7929" i="17"/>
  <c r="M7928" i="17"/>
  <c r="M7927" i="17"/>
  <c r="M7926" i="17"/>
  <c r="M7925" i="17"/>
  <c r="M7924" i="17"/>
  <c r="M7923" i="17"/>
  <c r="M7922" i="17"/>
  <c r="M7921" i="17"/>
  <c r="M7920" i="17"/>
  <c r="M7919" i="17"/>
  <c r="M7918" i="17"/>
  <c r="M7917" i="17"/>
  <c r="M7916" i="17"/>
  <c r="M7915" i="17"/>
  <c r="M7914" i="17"/>
  <c r="M7913" i="17"/>
  <c r="M7912" i="17"/>
  <c r="M7911" i="17"/>
  <c r="M7910" i="17"/>
  <c r="M7909" i="17"/>
  <c r="M7908" i="17"/>
  <c r="M7907" i="17"/>
  <c r="M7906" i="17"/>
  <c r="M7905" i="17"/>
  <c r="M7904" i="17"/>
  <c r="M7903" i="17"/>
  <c r="M7902" i="17"/>
  <c r="M7901" i="17"/>
  <c r="M7900" i="17"/>
  <c r="M7899" i="17"/>
  <c r="M7898" i="17"/>
  <c r="M7897" i="17"/>
  <c r="M7896" i="17"/>
  <c r="M7895" i="17"/>
  <c r="M7894" i="17"/>
  <c r="M7893" i="17"/>
  <c r="M7892" i="17"/>
  <c r="M7891" i="17"/>
  <c r="M7890" i="17"/>
  <c r="M7889" i="17"/>
  <c r="M7888" i="17"/>
  <c r="M7887" i="17"/>
  <c r="M7886" i="17"/>
  <c r="M7885" i="17"/>
  <c r="M7884" i="17"/>
  <c r="M7883" i="17"/>
  <c r="M7882" i="17"/>
  <c r="M7881" i="17"/>
  <c r="M7880" i="17"/>
  <c r="M7879" i="17"/>
  <c r="M7878" i="17"/>
  <c r="M7877" i="17"/>
  <c r="M7876" i="17"/>
  <c r="M7875" i="17"/>
  <c r="M7874" i="17"/>
  <c r="M7873" i="17"/>
  <c r="M7872" i="17"/>
  <c r="M7871" i="17"/>
  <c r="M7870" i="17"/>
  <c r="M7869" i="17"/>
  <c r="M7868" i="17"/>
  <c r="M7867" i="17"/>
  <c r="M7866" i="17"/>
  <c r="M7865" i="17"/>
  <c r="M7864" i="17"/>
  <c r="M7863" i="17"/>
  <c r="M7862" i="17"/>
  <c r="M7861" i="17"/>
  <c r="M7860" i="17"/>
  <c r="M7859" i="17"/>
  <c r="M7858" i="17"/>
  <c r="M7857" i="17"/>
  <c r="M7856" i="17"/>
  <c r="M7855" i="17"/>
  <c r="M7854" i="17"/>
  <c r="M7853" i="17"/>
  <c r="M7852" i="17"/>
  <c r="M7851" i="17"/>
  <c r="M7850" i="17"/>
  <c r="M7849" i="17"/>
  <c r="M7848" i="17"/>
  <c r="M7847" i="17"/>
  <c r="M7846" i="17"/>
  <c r="M7845" i="17"/>
  <c r="M7844" i="17"/>
  <c r="M7843" i="17"/>
  <c r="M7842" i="17"/>
  <c r="M7841" i="17"/>
  <c r="M7840" i="17"/>
  <c r="M7839" i="17"/>
  <c r="M7838" i="17"/>
  <c r="M7837" i="17"/>
  <c r="M7836" i="17"/>
  <c r="M7835" i="17"/>
  <c r="M7834" i="17"/>
  <c r="M7833" i="17"/>
  <c r="M7832" i="17"/>
  <c r="M7831" i="17"/>
  <c r="M7830" i="17"/>
  <c r="M7829" i="17"/>
  <c r="M7828" i="17"/>
  <c r="M7827" i="17"/>
  <c r="M7826" i="17"/>
  <c r="M7825" i="17"/>
  <c r="M7824" i="17"/>
  <c r="M7823" i="17"/>
  <c r="M7822" i="17"/>
  <c r="M7821" i="17"/>
  <c r="M7820" i="17"/>
  <c r="M7819" i="17"/>
  <c r="M7818" i="17"/>
  <c r="M7817" i="17"/>
  <c r="M7816" i="17"/>
  <c r="M7815" i="17"/>
  <c r="M7814" i="17"/>
  <c r="M7813" i="17"/>
  <c r="M7812" i="17"/>
  <c r="M7811" i="17"/>
  <c r="M7810" i="17"/>
  <c r="M7809" i="17"/>
  <c r="M7808" i="17"/>
  <c r="M7807" i="17"/>
  <c r="M7806" i="17"/>
  <c r="M7805" i="17"/>
  <c r="M7804" i="17"/>
  <c r="M7803" i="17"/>
  <c r="M7802" i="17"/>
  <c r="M7801" i="17"/>
  <c r="M7800" i="17"/>
  <c r="M7799" i="17"/>
  <c r="M7798" i="17"/>
  <c r="M7797" i="17"/>
  <c r="M7796" i="17"/>
  <c r="M7795" i="17"/>
  <c r="M7794" i="17"/>
  <c r="M7793" i="17"/>
  <c r="M7792" i="17"/>
  <c r="M7791" i="17"/>
  <c r="M7790" i="17"/>
  <c r="M7789" i="17"/>
  <c r="M7788" i="17"/>
  <c r="M7787" i="17"/>
  <c r="M7786" i="17"/>
  <c r="M7785" i="17"/>
  <c r="M7784" i="17"/>
  <c r="M7783" i="17"/>
  <c r="M7782" i="17"/>
  <c r="M7781" i="17"/>
  <c r="M7780" i="17"/>
  <c r="M7779" i="17"/>
  <c r="M7778" i="17"/>
  <c r="M7777" i="17"/>
  <c r="M7776" i="17"/>
  <c r="M7775" i="17"/>
  <c r="M7774" i="17"/>
  <c r="M7773" i="17"/>
  <c r="M7772" i="17"/>
  <c r="M7771" i="17"/>
  <c r="M7770" i="17"/>
  <c r="M7769" i="17"/>
  <c r="M7768" i="17"/>
  <c r="M7767" i="17"/>
  <c r="M7766" i="17"/>
  <c r="M7765" i="17"/>
  <c r="M7764" i="17"/>
  <c r="M7763" i="17"/>
  <c r="M7762" i="17"/>
  <c r="M7761" i="17"/>
  <c r="M7760" i="17"/>
  <c r="M7759" i="17"/>
  <c r="M7758" i="17"/>
  <c r="M7757" i="17"/>
  <c r="M7756" i="17"/>
  <c r="M7755" i="17"/>
  <c r="M7754" i="17"/>
  <c r="M7753" i="17"/>
  <c r="M7752" i="17"/>
  <c r="M7751" i="17"/>
  <c r="M7750" i="17"/>
  <c r="M7749" i="17"/>
  <c r="M7748" i="17"/>
  <c r="M7747" i="17"/>
  <c r="M7746" i="17"/>
  <c r="M7745" i="17"/>
  <c r="M7744" i="17"/>
  <c r="M7743" i="17"/>
  <c r="M7742" i="17"/>
  <c r="M7741" i="17"/>
  <c r="M7740" i="17"/>
  <c r="M7739" i="17"/>
  <c r="M7738" i="17"/>
  <c r="M7737" i="17"/>
  <c r="M7736" i="17"/>
  <c r="M7735" i="17"/>
  <c r="M7734" i="17"/>
  <c r="M7733" i="17"/>
  <c r="M7732" i="17"/>
  <c r="M7731" i="17"/>
  <c r="M7730" i="17"/>
  <c r="M7729" i="17"/>
  <c r="M7728" i="17"/>
  <c r="M7727" i="17"/>
  <c r="M7726" i="17"/>
  <c r="M7725" i="17"/>
  <c r="M7724" i="17"/>
  <c r="M7723" i="17"/>
  <c r="M7722" i="17"/>
  <c r="M7721" i="17"/>
  <c r="M7720" i="17"/>
  <c r="M7719" i="17"/>
  <c r="M7718" i="17"/>
  <c r="M7717" i="17"/>
  <c r="M7716" i="17"/>
  <c r="M7715" i="17"/>
  <c r="M7714" i="17"/>
  <c r="M7713" i="17"/>
  <c r="M7712" i="17"/>
  <c r="M7711" i="17"/>
  <c r="M7710" i="17"/>
  <c r="M7709" i="17"/>
  <c r="M7708" i="17"/>
  <c r="M7707" i="17"/>
  <c r="M7706" i="17"/>
  <c r="M7705" i="17"/>
  <c r="M7704" i="17"/>
  <c r="M7703" i="17"/>
  <c r="M7702" i="17"/>
  <c r="M7701" i="17"/>
  <c r="M7700" i="17"/>
  <c r="M7699" i="17"/>
  <c r="M7698" i="17"/>
  <c r="M7697" i="17"/>
  <c r="M7696" i="17"/>
  <c r="M7695" i="17"/>
  <c r="M7694" i="17"/>
  <c r="M7693" i="17"/>
  <c r="M7692" i="17"/>
  <c r="M7691" i="17"/>
  <c r="M7690" i="17"/>
  <c r="M7689" i="17"/>
  <c r="M7688" i="17"/>
  <c r="M7687" i="17"/>
  <c r="M7686" i="17"/>
  <c r="M7685" i="17"/>
  <c r="M7684" i="17"/>
  <c r="M7683" i="17"/>
  <c r="M7682" i="17"/>
  <c r="M7681" i="17"/>
  <c r="M7680" i="17"/>
  <c r="M7679" i="17"/>
  <c r="M7678" i="17"/>
  <c r="M7677" i="17"/>
  <c r="M7676" i="17"/>
  <c r="M7675" i="17"/>
  <c r="M7674" i="17"/>
  <c r="M7673" i="17"/>
  <c r="M7672" i="17"/>
  <c r="M7671" i="17"/>
  <c r="M7670" i="17"/>
  <c r="M7669" i="17"/>
  <c r="M7668" i="17"/>
  <c r="M7667" i="17"/>
  <c r="M7666" i="17"/>
  <c r="M7665" i="17"/>
  <c r="M7664" i="17"/>
  <c r="M7663" i="17"/>
  <c r="M7662" i="17"/>
  <c r="M7661" i="17"/>
  <c r="M7660" i="17"/>
  <c r="M7659" i="17"/>
  <c r="M7658" i="17"/>
  <c r="M7657" i="17"/>
  <c r="M7656" i="17"/>
  <c r="M7655" i="17"/>
  <c r="M7654" i="17"/>
  <c r="M7653" i="17"/>
  <c r="M7652" i="17"/>
  <c r="M7651" i="17"/>
  <c r="M7650" i="17"/>
  <c r="M7649" i="17"/>
  <c r="M7648" i="17"/>
  <c r="M7647" i="17"/>
  <c r="M7646" i="17"/>
  <c r="M7645" i="17"/>
  <c r="M7644" i="17"/>
  <c r="M7643" i="17"/>
  <c r="M7642" i="17"/>
  <c r="M7641" i="17"/>
  <c r="M7640" i="17"/>
  <c r="M7639" i="17"/>
  <c r="M7638" i="17"/>
  <c r="M7637" i="17"/>
  <c r="M7636" i="17"/>
  <c r="M7635" i="17"/>
  <c r="M7634" i="17"/>
  <c r="M7633" i="17"/>
  <c r="M7632" i="17"/>
  <c r="M7631" i="17"/>
  <c r="M7630" i="17"/>
  <c r="M7629" i="17"/>
  <c r="M7628" i="17"/>
  <c r="M7627" i="17"/>
  <c r="M7626" i="17"/>
  <c r="M7625" i="17"/>
  <c r="M7624" i="17"/>
  <c r="M7623" i="17"/>
  <c r="M7622" i="17"/>
  <c r="M7621" i="17"/>
  <c r="M7620" i="17"/>
  <c r="M7619" i="17"/>
  <c r="M7618" i="17"/>
  <c r="M7617" i="17"/>
  <c r="M7616" i="17"/>
  <c r="M7615" i="17"/>
  <c r="M7614" i="17"/>
  <c r="M7613" i="17"/>
  <c r="M7612" i="17"/>
  <c r="M7611" i="17"/>
  <c r="M7610" i="17"/>
  <c r="M7609" i="17"/>
  <c r="M7608" i="17"/>
  <c r="M7607" i="17"/>
  <c r="M7606" i="17"/>
  <c r="M7605" i="17"/>
  <c r="M7604" i="17"/>
  <c r="M7603" i="17"/>
  <c r="M7602" i="17"/>
  <c r="M7601" i="17"/>
  <c r="M7600" i="17"/>
  <c r="M7599" i="17"/>
  <c r="M7598" i="17"/>
  <c r="M7597" i="17"/>
  <c r="M7596" i="17"/>
  <c r="M7595" i="17"/>
  <c r="M7594" i="17"/>
  <c r="M7593" i="17"/>
  <c r="M7592" i="17"/>
  <c r="M7591" i="17"/>
  <c r="M7590" i="17"/>
  <c r="M7589" i="17"/>
  <c r="M7588" i="17"/>
  <c r="M7587" i="17"/>
  <c r="M7586" i="17"/>
  <c r="M7585" i="17"/>
  <c r="M7584" i="17"/>
  <c r="M7583" i="17"/>
  <c r="M7582" i="17"/>
  <c r="M7581" i="17"/>
  <c r="M7580" i="17"/>
  <c r="M7579" i="17"/>
  <c r="M7578" i="17"/>
  <c r="M7577" i="17"/>
  <c r="M7576" i="17"/>
  <c r="M7575" i="17"/>
  <c r="M7574" i="17"/>
  <c r="M7573" i="17"/>
  <c r="M7572" i="17"/>
  <c r="M7571" i="17"/>
  <c r="M7570" i="17"/>
  <c r="M7569" i="17"/>
  <c r="M7568" i="17"/>
  <c r="M7567" i="17"/>
  <c r="M7566" i="17"/>
  <c r="M7565" i="17"/>
  <c r="M7564" i="17"/>
  <c r="M7563" i="17"/>
  <c r="M7562" i="17"/>
  <c r="M7561" i="17"/>
  <c r="M7560" i="17"/>
  <c r="M7559" i="17"/>
  <c r="M7558" i="17"/>
  <c r="M7557" i="17"/>
  <c r="M7556" i="17"/>
  <c r="M7555" i="17"/>
  <c r="M7554" i="17"/>
  <c r="M7553" i="17"/>
  <c r="M7552" i="17"/>
  <c r="M7551" i="17"/>
  <c r="M7550" i="17"/>
  <c r="M7549" i="17"/>
  <c r="M7548" i="17"/>
  <c r="M7547" i="17"/>
  <c r="M7546" i="17"/>
  <c r="M7545" i="17"/>
  <c r="M7544" i="17"/>
  <c r="M7543" i="17"/>
  <c r="M7542" i="17"/>
  <c r="M7541" i="17"/>
  <c r="M7540" i="17"/>
  <c r="M7539" i="17"/>
  <c r="M7538" i="17"/>
  <c r="M7537" i="17"/>
  <c r="M7536" i="17"/>
  <c r="M7535" i="17"/>
  <c r="M7534" i="17"/>
  <c r="M7533" i="17"/>
  <c r="M7532" i="17"/>
  <c r="M7531" i="17"/>
  <c r="M7530" i="17"/>
  <c r="M7529" i="17"/>
  <c r="M7528" i="17"/>
  <c r="M7527" i="17"/>
  <c r="M7526" i="17"/>
  <c r="M7525" i="17"/>
  <c r="M7524" i="17"/>
  <c r="M7523" i="17"/>
  <c r="M7522" i="17"/>
  <c r="M7521" i="17"/>
  <c r="M7520" i="17"/>
  <c r="M7519" i="17"/>
  <c r="M7518" i="17"/>
  <c r="M7517" i="17"/>
  <c r="M7516" i="17"/>
  <c r="M7515" i="17"/>
  <c r="M7514" i="17"/>
  <c r="M7513" i="17"/>
  <c r="M7512" i="17"/>
  <c r="M7511" i="17"/>
  <c r="M7510" i="17"/>
  <c r="M7509" i="17"/>
  <c r="M7508" i="17"/>
  <c r="M7507" i="17"/>
  <c r="M7506" i="17"/>
  <c r="M7505" i="17"/>
  <c r="M7504" i="17"/>
  <c r="M7503" i="17"/>
  <c r="M7502" i="17"/>
  <c r="M7501" i="17"/>
  <c r="M7500" i="17"/>
  <c r="M7499" i="17"/>
  <c r="M7498" i="17"/>
  <c r="M7497" i="17"/>
  <c r="M7496" i="17"/>
  <c r="M7495" i="17"/>
  <c r="M7494" i="17"/>
  <c r="M7493" i="17"/>
  <c r="M7492" i="17"/>
  <c r="M7491" i="17"/>
  <c r="M7490" i="17"/>
  <c r="M7489" i="17"/>
  <c r="M7488" i="17"/>
  <c r="M7487" i="17"/>
  <c r="M7486" i="17"/>
  <c r="M7485" i="17"/>
  <c r="M7484" i="17"/>
  <c r="M7483" i="17"/>
  <c r="M7482" i="17"/>
  <c r="M7481" i="17"/>
  <c r="M7480" i="17"/>
  <c r="M7479" i="17"/>
  <c r="M7478" i="17"/>
  <c r="M7477" i="17"/>
  <c r="M7476" i="17"/>
  <c r="M7475" i="17"/>
  <c r="M7474" i="17"/>
  <c r="M7473" i="17"/>
  <c r="M7472" i="17"/>
  <c r="M7471" i="17"/>
  <c r="M7470" i="17"/>
  <c r="M7469" i="17"/>
  <c r="M7468" i="17"/>
  <c r="M7467" i="17"/>
  <c r="M7466" i="17"/>
  <c r="M7465" i="17"/>
  <c r="M7464" i="17"/>
  <c r="M7463" i="17"/>
  <c r="M7462" i="17"/>
  <c r="M7461" i="17"/>
  <c r="M7460" i="17"/>
  <c r="M7459" i="17"/>
  <c r="M7458" i="17"/>
  <c r="M7457" i="17"/>
  <c r="M7456" i="17"/>
  <c r="M7455" i="17"/>
  <c r="M7454" i="17"/>
  <c r="M7453" i="17"/>
  <c r="M7452" i="17"/>
  <c r="M7451" i="17"/>
  <c r="M7450" i="17"/>
  <c r="M7449" i="17"/>
  <c r="M7448" i="17"/>
  <c r="M7447" i="17"/>
  <c r="M7446" i="17"/>
  <c r="M7445" i="17"/>
  <c r="M7444" i="17"/>
  <c r="M7443" i="17"/>
  <c r="M7442" i="17"/>
  <c r="M7441" i="17"/>
  <c r="M7440" i="17"/>
  <c r="M7439" i="17"/>
  <c r="M7438" i="17"/>
  <c r="M7437" i="17"/>
  <c r="M7436" i="17"/>
  <c r="M7435" i="17"/>
  <c r="M7434" i="17"/>
  <c r="M7433" i="17"/>
  <c r="M7432" i="17"/>
  <c r="M7431" i="17"/>
  <c r="M7430" i="17"/>
  <c r="M7429" i="17"/>
  <c r="M7428" i="17"/>
  <c r="M7427" i="17"/>
  <c r="M7426" i="17"/>
  <c r="M7425" i="17"/>
  <c r="M7424" i="17"/>
  <c r="M7423" i="17"/>
  <c r="M7422" i="17"/>
  <c r="M7421" i="17"/>
  <c r="M7420" i="17"/>
  <c r="M7419" i="17"/>
  <c r="M7418" i="17"/>
  <c r="M7417" i="17"/>
  <c r="M7416" i="17"/>
  <c r="M7415" i="17"/>
  <c r="M7414" i="17"/>
  <c r="M7413" i="17"/>
  <c r="M7412" i="17"/>
  <c r="M7411" i="17"/>
  <c r="M7410" i="17"/>
  <c r="M7409" i="17"/>
  <c r="M7408" i="17"/>
  <c r="M7407" i="17"/>
  <c r="M7406" i="17"/>
  <c r="M7405" i="17"/>
  <c r="M7404" i="17"/>
  <c r="M7403" i="17"/>
  <c r="M7402" i="17"/>
  <c r="M7401" i="17"/>
  <c r="M7400" i="17"/>
  <c r="M7399" i="17"/>
  <c r="M7398" i="17"/>
  <c r="M7397" i="17"/>
  <c r="M7396" i="17"/>
  <c r="M7395" i="17"/>
  <c r="M7394" i="17"/>
  <c r="M7393" i="17"/>
  <c r="M7392" i="17"/>
  <c r="M7391" i="17"/>
  <c r="M7390" i="17"/>
  <c r="M7389" i="17"/>
  <c r="M7388" i="17"/>
  <c r="M7387" i="17"/>
  <c r="M7386" i="17"/>
  <c r="M7385" i="17"/>
  <c r="M7384" i="17"/>
  <c r="M7383" i="17"/>
  <c r="M7382" i="17"/>
  <c r="M7381" i="17"/>
  <c r="M7380" i="17"/>
  <c r="M7379" i="17"/>
  <c r="M7378" i="17"/>
  <c r="M7377" i="17"/>
  <c r="M7376" i="17"/>
  <c r="M7375" i="17"/>
  <c r="M7374" i="17"/>
  <c r="M7373" i="17"/>
  <c r="M7372" i="17"/>
  <c r="M7371" i="17"/>
  <c r="M7370" i="17"/>
  <c r="M7369" i="17"/>
  <c r="M7368" i="17"/>
  <c r="M7367" i="17"/>
  <c r="M7366" i="17"/>
  <c r="M7365" i="17"/>
  <c r="M7364" i="17"/>
  <c r="M7363" i="17"/>
  <c r="M7362" i="17"/>
  <c r="M7361" i="17"/>
  <c r="M7360" i="17"/>
  <c r="M7359" i="17"/>
  <c r="M7358" i="17"/>
  <c r="M7357" i="17"/>
  <c r="M7356" i="17"/>
  <c r="M7355" i="17"/>
  <c r="M7354" i="17"/>
  <c r="M7353" i="17"/>
  <c r="M7352" i="17"/>
  <c r="M7351" i="17"/>
  <c r="M7350" i="17"/>
  <c r="M7349" i="17"/>
  <c r="M7348" i="17"/>
  <c r="M7347" i="17"/>
  <c r="M7346" i="17"/>
  <c r="M7345" i="17"/>
  <c r="M7344" i="17"/>
  <c r="M7343" i="17"/>
  <c r="M7342" i="17"/>
  <c r="M7341" i="17"/>
  <c r="M7340" i="17"/>
  <c r="M7339" i="17"/>
  <c r="M7338" i="17"/>
  <c r="M7337" i="17"/>
  <c r="M7336" i="17"/>
  <c r="M7335" i="17"/>
  <c r="M7334" i="17"/>
  <c r="M7333" i="17"/>
  <c r="M7332" i="17"/>
  <c r="M7331" i="17"/>
  <c r="M7330" i="17"/>
  <c r="M7329" i="17"/>
  <c r="M7328" i="17"/>
  <c r="M7327" i="17"/>
  <c r="M7326" i="17"/>
  <c r="M7325" i="17"/>
  <c r="M7324" i="17"/>
  <c r="M7323" i="17"/>
  <c r="M7322" i="17"/>
  <c r="M7321" i="17"/>
  <c r="M7320" i="17"/>
  <c r="M7319" i="17"/>
  <c r="M7318" i="17"/>
  <c r="M7317" i="17"/>
  <c r="M7316" i="17"/>
  <c r="M7315" i="17"/>
  <c r="M7314" i="17"/>
  <c r="M7313" i="17"/>
  <c r="M7312" i="17"/>
  <c r="M7311" i="17"/>
  <c r="M7310" i="17"/>
  <c r="M7309" i="17"/>
  <c r="M7308" i="17"/>
  <c r="M7307" i="17"/>
  <c r="M7306" i="17"/>
  <c r="M7305" i="17"/>
  <c r="M7304" i="17"/>
  <c r="M7303" i="17"/>
  <c r="M7302" i="17"/>
  <c r="M7301" i="17"/>
  <c r="M7300" i="17"/>
  <c r="M7299" i="17"/>
  <c r="M7298" i="17"/>
  <c r="M7297" i="17"/>
  <c r="M7296" i="17"/>
  <c r="M7295" i="17"/>
  <c r="M7294" i="17"/>
  <c r="M7293" i="17"/>
  <c r="M7292" i="17"/>
  <c r="M7291" i="17"/>
  <c r="M7290" i="17"/>
  <c r="M7289" i="17"/>
  <c r="M7288" i="17"/>
  <c r="M7287" i="17"/>
  <c r="M7286" i="17"/>
  <c r="M7285" i="17"/>
  <c r="M7284" i="17"/>
  <c r="M7283" i="17"/>
  <c r="M7282" i="17"/>
  <c r="M7281" i="17"/>
  <c r="M7280" i="17"/>
  <c r="M7279" i="17"/>
  <c r="M7278" i="17"/>
  <c r="M7277" i="17"/>
  <c r="M7276" i="17"/>
  <c r="M7275" i="17"/>
  <c r="M7274" i="17"/>
  <c r="M7273" i="17"/>
  <c r="M7272" i="17"/>
  <c r="M7271" i="17"/>
  <c r="M7270" i="17"/>
  <c r="M7269" i="17"/>
  <c r="M7268" i="17"/>
  <c r="M7267" i="17"/>
  <c r="M7266" i="17"/>
  <c r="M7265" i="17"/>
  <c r="M7264" i="17"/>
  <c r="M7263" i="17"/>
  <c r="M7262" i="17"/>
  <c r="M7261" i="17"/>
  <c r="M7260" i="17"/>
  <c r="M7259" i="17"/>
  <c r="M7258" i="17"/>
  <c r="M7257" i="17"/>
  <c r="M7256" i="17"/>
  <c r="M7255" i="17"/>
  <c r="M7254" i="17"/>
  <c r="M7253" i="17"/>
  <c r="M7252" i="17"/>
  <c r="M7251" i="17"/>
  <c r="M7250" i="17"/>
  <c r="M7249" i="17"/>
  <c r="M7248" i="17"/>
  <c r="M7247" i="17"/>
  <c r="M7246" i="17"/>
  <c r="M7245" i="17"/>
  <c r="M7244" i="17"/>
  <c r="M7243" i="17"/>
  <c r="M7242" i="17"/>
  <c r="M7241" i="17"/>
  <c r="M7240" i="17"/>
  <c r="M7239" i="17"/>
  <c r="M7238" i="17"/>
  <c r="M7237" i="17"/>
  <c r="M7236" i="17"/>
  <c r="M7235" i="17"/>
  <c r="M7234" i="17"/>
  <c r="M7233" i="17"/>
  <c r="M7232" i="17"/>
  <c r="M7231" i="17"/>
  <c r="M7230" i="17"/>
  <c r="M7229" i="17"/>
  <c r="M7228" i="17"/>
  <c r="M7227" i="17"/>
  <c r="M7226" i="17"/>
  <c r="M7225" i="17"/>
  <c r="M7224" i="17"/>
  <c r="M7223" i="17"/>
  <c r="M7222" i="17"/>
  <c r="M7221" i="17"/>
  <c r="M7220" i="17"/>
  <c r="M7219" i="17"/>
  <c r="M7218" i="17"/>
  <c r="M7217" i="17"/>
  <c r="M7216" i="17"/>
  <c r="M7215" i="17"/>
  <c r="M7214" i="17"/>
  <c r="M7213" i="17"/>
  <c r="M7212" i="17"/>
  <c r="M7211" i="17"/>
  <c r="M7210" i="17"/>
  <c r="M7209" i="17"/>
  <c r="M7208" i="17"/>
  <c r="M7207" i="17"/>
  <c r="M7206" i="17"/>
  <c r="M7205" i="17"/>
  <c r="M7204" i="17"/>
  <c r="M7203" i="17"/>
  <c r="M7202" i="17"/>
  <c r="M7201" i="17"/>
  <c r="M7200" i="17"/>
  <c r="M7199" i="17"/>
  <c r="M7198" i="17"/>
  <c r="M7197" i="17"/>
  <c r="M7196" i="17"/>
  <c r="M7195" i="17"/>
  <c r="M7194" i="17"/>
  <c r="M7193" i="17"/>
  <c r="M7192" i="17"/>
  <c r="M7191" i="17"/>
  <c r="M7190" i="17"/>
  <c r="M7189" i="17"/>
  <c r="M7188" i="17"/>
  <c r="M7187" i="17"/>
  <c r="M7186" i="17"/>
  <c r="M7185" i="17"/>
  <c r="M7184" i="17"/>
  <c r="M7183" i="17"/>
  <c r="M7182" i="17"/>
  <c r="M7181" i="17"/>
  <c r="M7180" i="17"/>
  <c r="M7179" i="17"/>
  <c r="M7178" i="17"/>
  <c r="M7177" i="17"/>
  <c r="M7176" i="17"/>
  <c r="M7175" i="17"/>
  <c r="M7174" i="17"/>
  <c r="M7173" i="17"/>
  <c r="M7172" i="17"/>
  <c r="M7171" i="17"/>
  <c r="M7170" i="17"/>
  <c r="M7169" i="17"/>
  <c r="M7168" i="17"/>
  <c r="M7167" i="17"/>
  <c r="M7166" i="17"/>
  <c r="M7165" i="17"/>
  <c r="M7164" i="17"/>
  <c r="M7163" i="17"/>
  <c r="M7162" i="17"/>
  <c r="M7161" i="17"/>
  <c r="M7160" i="17"/>
  <c r="M7159" i="17"/>
  <c r="M7158" i="17"/>
  <c r="M7157" i="17"/>
  <c r="M7156" i="17"/>
  <c r="M7155" i="17"/>
  <c r="M7154" i="17"/>
  <c r="M7153" i="17"/>
  <c r="M7152" i="17"/>
  <c r="M7151" i="17"/>
  <c r="M7150" i="17"/>
  <c r="M7149" i="17"/>
  <c r="M7148" i="17"/>
  <c r="M7147" i="17"/>
  <c r="M7146" i="17"/>
  <c r="M7145" i="17"/>
  <c r="M7144" i="17"/>
  <c r="M7143" i="17"/>
  <c r="M7142" i="17"/>
  <c r="M7141" i="17"/>
  <c r="M7140" i="17"/>
  <c r="M7139" i="17"/>
  <c r="M7138" i="17"/>
  <c r="M7137" i="17"/>
  <c r="M7136" i="17"/>
  <c r="M7135" i="17"/>
  <c r="M7134" i="17"/>
  <c r="M7133" i="17"/>
  <c r="M7132" i="17"/>
  <c r="M7131" i="17"/>
  <c r="M7130" i="17"/>
  <c r="M7129" i="17"/>
  <c r="M7128" i="17"/>
  <c r="M7127" i="17"/>
  <c r="M7126" i="17"/>
  <c r="M7125" i="17"/>
  <c r="M7124" i="17"/>
  <c r="M7123" i="17"/>
  <c r="M7122" i="17"/>
  <c r="M7121" i="17"/>
  <c r="M7120" i="17"/>
  <c r="M7119" i="17"/>
  <c r="M7118" i="17"/>
  <c r="M7117" i="17"/>
  <c r="M7116" i="17"/>
  <c r="M7115" i="17"/>
  <c r="M7114" i="17"/>
  <c r="M7113" i="17"/>
  <c r="M7112" i="17"/>
  <c r="M7111" i="17"/>
  <c r="M7110" i="17"/>
  <c r="M7109" i="17"/>
  <c r="M7108" i="17"/>
  <c r="M7107" i="17"/>
  <c r="M7106" i="17"/>
  <c r="M7105" i="17"/>
  <c r="M7104" i="17"/>
  <c r="M7103" i="17"/>
  <c r="M7102" i="17"/>
  <c r="M7101" i="17"/>
  <c r="M7100" i="17"/>
  <c r="M7099" i="17"/>
  <c r="M7098" i="17"/>
  <c r="M7097" i="17"/>
  <c r="M7096" i="17"/>
  <c r="M7095" i="17"/>
  <c r="M7094" i="17"/>
  <c r="M7093" i="17"/>
  <c r="M7092" i="17"/>
  <c r="M7091" i="17"/>
  <c r="M7090" i="17"/>
  <c r="M7089" i="17"/>
  <c r="M7088" i="17"/>
  <c r="M7087" i="17"/>
  <c r="M7086" i="17"/>
  <c r="M7085" i="17"/>
  <c r="M7084" i="17"/>
  <c r="M7083" i="17"/>
  <c r="M7082" i="17"/>
  <c r="M7081" i="17"/>
  <c r="M7080" i="17"/>
  <c r="M7079" i="17"/>
  <c r="M7078" i="17"/>
  <c r="M7077" i="17"/>
  <c r="M7076" i="17"/>
  <c r="M7075" i="17"/>
  <c r="M7074" i="17"/>
  <c r="M7073" i="17"/>
  <c r="M7072" i="17"/>
  <c r="M7071" i="17"/>
  <c r="M7070" i="17"/>
  <c r="M7069" i="17"/>
  <c r="M7068" i="17"/>
  <c r="M7067" i="17"/>
  <c r="M7066" i="17"/>
  <c r="M7065" i="17"/>
  <c r="M7064" i="17"/>
  <c r="M7063" i="17"/>
  <c r="M7062" i="17"/>
  <c r="M7061" i="17"/>
  <c r="M7060" i="17"/>
  <c r="M7059" i="17"/>
  <c r="M7058" i="17"/>
  <c r="M7057" i="17"/>
  <c r="M7056" i="17"/>
  <c r="M7055" i="17"/>
  <c r="M7054" i="17"/>
  <c r="M7053" i="17"/>
  <c r="M7052" i="17"/>
  <c r="M7051" i="17"/>
  <c r="M7050" i="17"/>
  <c r="M7049" i="17"/>
  <c r="M7048" i="17"/>
  <c r="M7047" i="17"/>
  <c r="M7046" i="17"/>
  <c r="M7045" i="17"/>
  <c r="M7044" i="17"/>
  <c r="M7043" i="17"/>
  <c r="M7042" i="17"/>
  <c r="M7041" i="17"/>
  <c r="M7040" i="17"/>
  <c r="M7039" i="17"/>
  <c r="M7038" i="17"/>
  <c r="M7037" i="17"/>
  <c r="M7036" i="17"/>
  <c r="M7035" i="17"/>
  <c r="M7034" i="17"/>
  <c r="M7033" i="17"/>
  <c r="M7032" i="17"/>
  <c r="M7031" i="17"/>
  <c r="M7030" i="17"/>
  <c r="M7029" i="17"/>
  <c r="M7028" i="17"/>
  <c r="M7027" i="17"/>
  <c r="M7026" i="17"/>
  <c r="M7025" i="17"/>
  <c r="M7024" i="17"/>
  <c r="M7023" i="17"/>
  <c r="M7022" i="17"/>
  <c r="M7021" i="17"/>
  <c r="M7020" i="17"/>
  <c r="M7019" i="17"/>
  <c r="M7018" i="17"/>
  <c r="M7017" i="17"/>
  <c r="M7016" i="17"/>
  <c r="M7015" i="17"/>
  <c r="M7014" i="17"/>
  <c r="M7013" i="17"/>
  <c r="M7012" i="17"/>
  <c r="M7011" i="17"/>
  <c r="M7010" i="17"/>
  <c r="M7009" i="17"/>
  <c r="M7008" i="17"/>
  <c r="M7007" i="17"/>
  <c r="M7006" i="17"/>
  <c r="M7005" i="17"/>
  <c r="M7004" i="17"/>
  <c r="M7003" i="17"/>
  <c r="M7002" i="17"/>
  <c r="M7001" i="17"/>
  <c r="M7000" i="17"/>
  <c r="M6999" i="17"/>
  <c r="M6998" i="17"/>
  <c r="M6997" i="17"/>
  <c r="M6996" i="17"/>
  <c r="M6995" i="17"/>
  <c r="M6994" i="17"/>
  <c r="M6993" i="17"/>
  <c r="M6992" i="17"/>
  <c r="M6991" i="17"/>
  <c r="M6990" i="17"/>
  <c r="M6989" i="17"/>
  <c r="M6988" i="17"/>
  <c r="M6987" i="17"/>
  <c r="M6986" i="17"/>
  <c r="M6985" i="17"/>
  <c r="M6984" i="17"/>
  <c r="M6983" i="17"/>
  <c r="M6982" i="17"/>
  <c r="M6981" i="17"/>
  <c r="M6980" i="17"/>
  <c r="M6979" i="17"/>
  <c r="M6978" i="17"/>
  <c r="M6977" i="17"/>
  <c r="M6976" i="17"/>
  <c r="M6975" i="17"/>
  <c r="M6974" i="17"/>
  <c r="M6973" i="17"/>
  <c r="M6972" i="17"/>
  <c r="M6971" i="17"/>
  <c r="M6970" i="17"/>
  <c r="M6969" i="17"/>
  <c r="M6968" i="17"/>
  <c r="M6967" i="17"/>
  <c r="M6966" i="17"/>
  <c r="M6965" i="17"/>
  <c r="M6964" i="17"/>
  <c r="M6963" i="17"/>
  <c r="M6962" i="17"/>
  <c r="M6961" i="17"/>
  <c r="M6960" i="17"/>
  <c r="M6959" i="17"/>
  <c r="M6958" i="17"/>
  <c r="M6957" i="17"/>
  <c r="M6956" i="17"/>
  <c r="M6955" i="17"/>
  <c r="M6954" i="17"/>
  <c r="M6953" i="17"/>
  <c r="M6952" i="17"/>
  <c r="M6951" i="17"/>
  <c r="M6950" i="17"/>
  <c r="M6949" i="17"/>
  <c r="M6948" i="17"/>
  <c r="M6947" i="17"/>
  <c r="M6946" i="17"/>
  <c r="M6945" i="17"/>
  <c r="M6944" i="17"/>
  <c r="M6943" i="17"/>
  <c r="M6942" i="17"/>
  <c r="M6941" i="17"/>
  <c r="M6940" i="17"/>
  <c r="M6939" i="17"/>
  <c r="M6938" i="17"/>
  <c r="M6937" i="17"/>
  <c r="M6936" i="17"/>
  <c r="M6935" i="17"/>
  <c r="M6934" i="17"/>
  <c r="M6933" i="17"/>
  <c r="M6932" i="17"/>
  <c r="M6931" i="17"/>
  <c r="M6930" i="17"/>
  <c r="M6929" i="17"/>
  <c r="M6928" i="17"/>
  <c r="M6927" i="17"/>
  <c r="M6926" i="17"/>
  <c r="M6925" i="17"/>
  <c r="M6924" i="17"/>
  <c r="M6923" i="17"/>
  <c r="M6922" i="17"/>
  <c r="M6921" i="17"/>
  <c r="M6920" i="17"/>
  <c r="M6919" i="17"/>
  <c r="M6918" i="17"/>
  <c r="M6917" i="17"/>
  <c r="M6916" i="17"/>
  <c r="M6915" i="17"/>
  <c r="M6914" i="17"/>
  <c r="M6913" i="17"/>
  <c r="M6912" i="17"/>
  <c r="M6911" i="17"/>
  <c r="M6910" i="17"/>
  <c r="M6909" i="17"/>
  <c r="M6908" i="17"/>
  <c r="M6907" i="17"/>
  <c r="M6906" i="17"/>
  <c r="M6905" i="17"/>
  <c r="M6904" i="17"/>
  <c r="M6903" i="17"/>
  <c r="M6902" i="17"/>
  <c r="M6901" i="17"/>
  <c r="M6900" i="17"/>
  <c r="M6899" i="17"/>
  <c r="M6898" i="17"/>
  <c r="M6897" i="17"/>
  <c r="M6896" i="17"/>
  <c r="M6895" i="17"/>
  <c r="M6894" i="17"/>
  <c r="M6893" i="17"/>
  <c r="M6892" i="17"/>
  <c r="M6891" i="17"/>
  <c r="M6890" i="17"/>
  <c r="M6889" i="17"/>
  <c r="M6888" i="17"/>
  <c r="M6887" i="17"/>
  <c r="M6886" i="17"/>
  <c r="M6885" i="17"/>
  <c r="M6884" i="17"/>
  <c r="M6883" i="17"/>
  <c r="M6882" i="17"/>
  <c r="M6881" i="17"/>
  <c r="M6880" i="17"/>
  <c r="M6879" i="17"/>
  <c r="M6878" i="17"/>
  <c r="M6877" i="17"/>
  <c r="M6876" i="17"/>
  <c r="M6875" i="17"/>
  <c r="M6874" i="17"/>
  <c r="M6873" i="17"/>
  <c r="M6872" i="17"/>
  <c r="M6871" i="17"/>
  <c r="M6870" i="17"/>
  <c r="M6869" i="17"/>
  <c r="M6868" i="17"/>
  <c r="M6867" i="17"/>
  <c r="M6866" i="17"/>
  <c r="M6865" i="17"/>
  <c r="M6864" i="17"/>
  <c r="M6863" i="17"/>
  <c r="M6862" i="17"/>
  <c r="M6861" i="17"/>
  <c r="M6860" i="17"/>
  <c r="M6859" i="17"/>
  <c r="M6858" i="17"/>
  <c r="M6857" i="17"/>
  <c r="M6856" i="17"/>
  <c r="M6855" i="17"/>
  <c r="M6854" i="17"/>
  <c r="M6853" i="17"/>
  <c r="M6852" i="17"/>
  <c r="M6851" i="17"/>
  <c r="M6850" i="17"/>
  <c r="M6849" i="17"/>
  <c r="M6848" i="17"/>
  <c r="M6847" i="17"/>
  <c r="M6846" i="17"/>
  <c r="M6845" i="17"/>
  <c r="M6844" i="17"/>
  <c r="M6843" i="17"/>
  <c r="M6842" i="17"/>
  <c r="M6841" i="17"/>
  <c r="M6840" i="17"/>
  <c r="M6839" i="17"/>
  <c r="M6838" i="17"/>
  <c r="M6837" i="17"/>
  <c r="M6836" i="17"/>
  <c r="M6835" i="17"/>
  <c r="M6834" i="17"/>
  <c r="M6833" i="17"/>
  <c r="M6832" i="17"/>
  <c r="M6831" i="17"/>
  <c r="M6830" i="17"/>
  <c r="M6829" i="17"/>
  <c r="M6828" i="17"/>
  <c r="M6827" i="17"/>
  <c r="M6826" i="17"/>
  <c r="M6825" i="17"/>
  <c r="M6824" i="17"/>
  <c r="M6823" i="17"/>
  <c r="M6822" i="17"/>
  <c r="M6821" i="17"/>
  <c r="M6820" i="17"/>
  <c r="M6819" i="17"/>
  <c r="M6818" i="17"/>
  <c r="M6817" i="17"/>
  <c r="M6816" i="17"/>
  <c r="M6815" i="17"/>
  <c r="M6814" i="17"/>
  <c r="M6813" i="17"/>
  <c r="M6812" i="17"/>
  <c r="M6811" i="17"/>
  <c r="M6810" i="17"/>
  <c r="M6809" i="17"/>
  <c r="M6808" i="17"/>
  <c r="M6807" i="17"/>
  <c r="M6806" i="17"/>
  <c r="M6805" i="17"/>
  <c r="M6804" i="17"/>
  <c r="M6803" i="17"/>
  <c r="M6802" i="17"/>
  <c r="M6801" i="17"/>
  <c r="M6800" i="17"/>
  <c r="M6799" i="17"/>
  <c r="M6798" i="17"/>
  <c r="M6797" i="17"/>
  <c r="M6796" i="17"/>
  <c r="M6795" i="17"/>
  <c r="M6794" i="17"/>
  <c r="M6793" i="17"/>
  <c r="M6792" i="17"/>
  <c r="M6791" i="17"/>
  <c r="M6790" i="17"/>
  <c r="M6789" i="17"/>
  <c r="M6788" i="17"/>
  <c r="M6787" i="17"/>
  <c r="M6786" i="17"/>
  <c r="M6785" i="17"/>
  <c r="M6784" i="17"/>
  <c r="M6783" i="17"/>
  <c r="M6782" i="17"/>
  <c r="M6781" i="17"/>
  <c r="M6780" i="17"/>
  <c r="M6779" i="17"/>
  <c r="M6778" i="17"/>
  <c r="M6777" i="17"/>
  <c r="M6776" i="17"/>
  <c r="M6775" i="17"/>
  <c r="M6774" i="17"/>
  <c r="M6773" i="17"/>
  <c r="M6772" i="17"/>
  <c r="M6771" i="17"/>
  <c r="M6770" i="17"/>
  <c r="M6769" i="17"/>
  <c r="M6768" i="17"/>
  <c r="M6767" i="17"/>
  <c r="M6766" i="17"/>
  <c r="M6765" i="17"/>
  <c r="M6764" i="17"/>
  <c r="M6763" i="17"/>
  <c r="M6762" i="17"/>
  <c r="M6761" i="17"/>
  <c r="M6760" i="17"/>
  <c r="M6759" i="17"/>
  <c r="M6758" i="17"/>
  <c r="M6757" i="17"/>
  <c r="M6756" i="17"/>
  <c r="M6755" i="17"/>
  <c r="M6754" i="17"/>
  <c r="M6753" i="17"/>
  <c r="M6752" i="17"/>
  <c r="M6751" i="17"/>
  <c r="M6750" i="17"/>
  <c r="M6749" i="17"/>
  <c r="M6748" i="17"/>
  <c r="M6747" i="17"/>
  <c r="M6746" i="17"/>
  <c r="M6745" i="17"/>
  <c r="M6744" i="17"/>
  <c r="M6743" i="17"/>
  <c r="M6742" i="17"/>
  <c r="M6741" i="17"/>
  <c r="M6740" i="17"/>
  <c r="M6739" i="17"/>
  <c r="M6738" i="17"/>
  <c r="M6737" i="17"/>
  <c r="M6736" i="17"/>
  <c r="M6735" i="17"/>
  <c r="M6734" i="17"/>
  <c r="M6733" i="17"/>
  <c r="M6732" i="17"/>
  <c r="M6731" i="17"/>
  <c r="M6730" i="17"/>
  <c r="M6729" i="17"/>
  <c r="M6728" i="17"/>
  <c r="M6727" i="17"/>
  <c r="M6726" i="17"/>
  <c r="M6725" i="17"/>
  <c r="M6724" i="17"/>
  <c r="M6723" i="17"/>
  <c r="M6722" i="17"/>
  <c r="M6721" i="17"/>
  <c r="M6720" i="17"/>
  <c r="M6719" i="17"/>
  <c r="M6718" i="17"/>
  <c r="M6717" i="17"/>
  <c r="M6716" i="17"/>
  <c r="M6715" i="17"/>
  <c r="M6714" i="17"/>
  <c r="M6713" i="17"/>
  <c r="M6712" i="17"/>
  <c r="M6711" i="17"/>
  <c r="M6710" i="17"/>
  <c r="M6709" i="17"/>
  <c r="M6708" i="17"/>
  <c r="M6707" i="17"/>
  <c r="M6706" i="17"/>
  <c r="M6705" i="17"/>
  <c r="M6704" i="17"/>
  <c r="M6703" i="17"/>
  <c r="M6702" i="17"/>
  <c r="M6701" i="17"/>
  <c r="M6700" i="17"/>
  <c r="M6699" i="17"/>
  <c r="M6698" i="17"/>
  <c r="M6697" i="17"/>
  <c r="M6696" i="17"/>
  <c r="M6695" i="17"/>
  <c r="M6694" i="17"/>
  <c r="M6693" i="17"/>
  <c r="M6692" i="17"/>
  <c r="M6691" i="17"/>
  <c r="M6690" i="17"/>
  <c r="M6689" i="17"/>
  <c r="M6688" i="17"/>
  <c r="M6687" i="17"/>
  <c r="M6686" i="17"/>
  <c r="M6685" i="17"/>
  <c r="M6684" i="17"/>
  <c r="M6683" i="17"/>
  <c r="M6682" i="17"/>
  <c r="M6681" i="17"/>
  <c r="M6680" i="17"/>
  <c r="M6679" i="17"/>
  <c r="M6678" i="17"/>
  <c r="M6677" i="17"/>
  <c r="M6676" i="17"/>
  <c r="M6675" i="17"/>
  <c r="M6674" i="17"/>
  <c r="M6673" i="17"/>
  <c r="M6672" i="17"/>
  <c r="M6671" i="17"/>
  <c r="M6670" i="17"/>
  <c r="M6669" i="17"/>
  <c r="M6668" i="17"/>
  <c r="M6667" i="17"/>
  <c r="M6666" i="17"/>
  <c r="M6665" i="17"/>
  <c r="M6664" i="17"/>
  <c r="M6663" i="17"/>
  <c r="M6662" i="17"/>
  <c r="M6661" i="17"/>
  <c r="M6660" i="17"/>
  <c r="M6659" i="17"/>
  <c r="M6658" i="17"/>
  <c r="M6657" i="17"/>
  <c r="M6656" i="17"/>
  <c r="M6655" i="17"/>
  <c r="M6654" i="17"/>
  <c r="M6653" i="17"/>
  <c r="M6652" i="17"/>
  <c r="M6651" i="17"/>
  <c r="M6650" i="17"/>
  <c r="M6649" i="17"/>
  <c r="M6648" i="17"/>
  <c r="M6647" i="17"/>
  <c r="M6646" i="17"/>
  <c r="M6645" i="17"/>
  <c r="M6644" i="17"/>
  <c r="M6643" i="17"/>
  <c r="M6642" i="17"/>
  <c r="M6641" i="17"/>
  <c r="M6640" i="17"/>
  <c r="M6639" i="17"/>
  <c r="M6638" i="17"/>
  <c r="M6637" i="17"/>
  <c r="M6636" i="17"/>
  <c r="M6635" i="17"/>
  <c r="M6634" i="17"/>
  <c r="M6633" i="17"/>
  <c r="M6632" i="17"/>
  <c r="M6631" i="17"/>
  <c r="M6630" i="17"/>
  <c r="M6629" i="17"/>
  <c r="M6628" i="17"/>
  <c r="M6627" i="17"/>
  <c r="M6626" i="17"/>
  <c r="M6625" i="17"/>
  <c r="M6624" i="17"/>
  <c r="M6623" i="17"/>
  <c r="M6622" i="17"/>
  <c r="M6621" i="17"/>
  <c r="M6620" i="17"/>
  <c r="M6619" i="17"/>
  <c r="M6618" i="17"/>
  <c r="M6617" i="17"/>
  <c r="M6616" i="17"/>
  <c r="M6615" i="17"/>
  <c r="M6614" i="17"/>
  <c r="M6613" i="17"/>
  <c r="M6612" i="17"/>
  <c r="M6611" i="17"/>
  <c r="M6610" i="17"/>
  <c r="M6609" i="17"/>
  <c r="M6608" i="17"/>
  <c r="M6607" i="17"/>
  <c r="M6606" i="17"/>
  <c r="M6605" i="17"/>
  <c r="M6604" i="17"/>
  <c r="M6603" i="17"/>
  <c r="M6602" i="17"/>
  <c r="M6601" i="17"/>
  <c r="M6600" i="17"/>
  <c r="M6599" i="17"/>
  <c r="M6598" i="17"/>
  <c r="M6597" i="17"/>
  <c r="M6596" i="17"/>
  <c r="M6595" i="17"/>
  <c r="M6594" i="17"/>
  <c r="M6593" i="17"/>
  <c r="M6592" i="17"/>
  <c r="M6591" i="17"/>
  <c r="M6590" i="17"/>
  <c r="M6589" i="17"/>
  <c r="M6588" i="17"/>
  <c r="M6587" i="17"/>
  <c r="M6586" i="17"/>
  <c r="M6585" i="17"/>
  <c r="M6584" i="17"/>
  <c r="M6583" i="17"/>
  <c r="M6582" i="17"/>
  <c r="M6581" i="17"/>
  <c r="M6580" i="17"/>
  <c r="M6579" i="17"/>
  <c r="M6578" i="17"/>
  <c r="M6577" i="17"/>
  <c r="M6576" i="17"/>
  <c r="M6575" i="17"/>
  <c r="M6574" i="17"/>
  <c r="M6573" i="17"/>
  <c r="M6572" i="17"/>
  <c r="M6571" i="17"/>
  <c r="M6570" i="17"/>
  <c r="M6569" i="17"/>
  <c r="M6568" i="17"/>
  <c r="M6567" i="17"/>
  <c r="M6566" i="17"/>
  <c r="M6565" i="17"/>
  <c r="M6564" i="17"/>
  <c r="M6563" i="17"/>
  <c r="M6562" i="17"/>
  <c r="M6561" i="17"/>
  <c r="M6560" i="17"/>
  <c r="M6559" i="17"/>
  <c r="M6558" i="17"/>
  <c r="M6557" i="17"/>
  <c r="M6556" i="17"/>
  <c r="M6555" i="17"/>
  <c r="M6554" i="17"/>
  <c r="M6553" i="17"/>
  <c r="M6552" i="17"/>
  <c r="M6551" i="17"/>
  <c r="M6550" i="17"/>
  <c r="M6549" i="17"/>
  <c r="M6548" i="17"/>
  <c r="M6547" i="17"/>
  <c r="M6546" i="17"/>
  <c r="M6545" i="17"/>
  <c r="M6544" i="17"/>
  <c r="M6543" i="17"/>
  <c r="M6542" i="17"/>
  <c r="M6541" i="17"/>
  <c r="M6540" i="17"/>
  <c r="M6539" i="17"/>
  <c r="M6538" i="17"/>
  <c r="M6537" i="17"/>
  <c r="M6536" i="17"/>
  <c r="M6535" i="17"/>
  <c r="M6534" i="17"/>
  <c r="M6533" i="17"/>
  <c r="M6532" i="17"/>
  <c r="M6531" i="17"/>
  <c r="M6530" i="17"/>
  <c r="M6529" i="17"/>
  <c r="M6528" i="17"/>
  <c r="M6527" i="17"/>
  <c r="M6526" i="17"/>
  <c r="M6525" i="17"/>
  <c r="M6524" i="17"/>
  <c r="M6523" i="17"/>
  <c r="M6522" i="17"/>
  <c r="M6521" i="17"/>
  <c r="M6520" i="17"/>
  <c r="M6519" i="17"/>
  <c r="M6518" i="17"/>
  <c r="M6517" i="17"/>
  <c r="M6516" i="17"/>
  <c r="M6515" i="17"/>
  <c r="M6514" i="17"/>
  <c r="M6513" i="17"/>
  <c r="M6512" i="17"/>
  <c r="M6511" i="17"/>
  <c r="M6510" i="17"/>
  <c r="M6509" i="17"/>
  <c r="M6508" i="17"/>
  <c r="M6507" i="17"/>
  <c r="M6506" i="17"/>
  <c r="M6505" i="17"/>
  <c r="M6504" i="17"/>
  <c r="M6503" i="17"/>
  <c r="M6502" i="17"/>
  <c r="M6501" i="17"/>
  <c r="M6500" i="17"/>
  <c r="M6499" i="17"/>
  <c r="M6498" i="17"/>
  <c r="M6497" i="17"/>
  <c r="M6496" i="17"/>
  <c r="M6495" i="17"/>
  <c r="M6494" i="17"/>
  <c r="M6493" i="17"/>
  <c r="M6492" i="17"/>
  <c r="M6491" i="17"/>
  <c r="M6490" i="17"/>
  <c r="M6489" i="17"/>
  <c r="M6488" i="17"/>
  <c r="M6487" i="17"/>
  <c r="M6486" i="17"/>
  <c r="M6485" i="17"/>
  <c r="M6484" i="17"/>
  <c r="M6483" i="17"/>
  <c r="M6482" i="17"/>
  <c r="M6481" i="17"/>
  <c r="M6480" i="17"/>
  <c r="M6479" i="17"/>
  <c r="M6478" i="17"/>
  <c r="M6477" i="17"/>
  <c r="M6476" i="17"/>
  <c r="M6475" i="17"/>
  <c r="M6474" i="17"/>
  <c r="M6473" i="17"/>
  <c r="M6472" i="17"/>
  <c r="M6471" i="17"/>
  <c r="M6470" i="17"/>
  <c r="M6469" i="17"/>
  <c r="M6468" i="17"/>
  <c r="M6467" i="17"/>
  <c r="M6466" i="17"/>
  <c r="M6465" i="17"/>
  <c r="M6464" i="17"/>
  <c r="M6463" i="17"/>
  <c r="M6462" i="17"/>
  <c r="M6461" i="17"/>
  <c r="M6460" i="17"/>
  <c r="M6459" i="17"/>
  <c r="M6458" i="17"/>
  <c r="M6457" i="17"/>
  <c r="M6456" i="17"/>
  <c r="M6455" i="17"/>
  <c r="M6454" i="17"/>
  <c r="M6453" i="17"/>
  <c r="M6452" i="17"/>
  <c r="M6451" i="17"/>
  <c r="M6450" i="17"/>
  <c r="M6449" i="17"/>
  <c r="M6448" i="17"/>
  <c r="M6447" i="17"/>
  <c r="M6446" i="17"/>
  <c r="M6445" i="17"/>
  <c r="M6444" i="17"/>
  <c r="M6443" i="17"/>
  <c r="M6442" i="17"/>
  <c r="M6441" i="17"/>
  <c r="M6440" i="17"/>
  <c r="M6439" i="17"/>
  <c r="M6438" i="17"/>
  <c r="M6437" i="17"/>
  <c r="M6436" i="17"/>
  <c r="M6435" i="17"/>
  <c r="M6434" i="17"/>
  <c r="M6433" i="17"/>
  <c r="M6432" i="17"/>
  <c r="M6431" i="17"/>
  <c r="M6430" i="17"/>
  <c r="M6429" i="17"/>
  <c r="M6428" i="17"/>
  <c r="M6427" i="17"/>
  <c r="M6426" i="17"/>
  <c r="M6425" i="17"/>
  <c r="M6424" i="17"/>
  <c r="M6423" i="17"/>
  <c r="M6422" i="17"/>
  <c r="M6421" i="17"/>
  <c r="M6420" i="17"/>
  <c r="M6419" i="17"/>
  <c r="M6418" i="17"/>
  <c r="M6417" i="17"/>
  <c r="M6416" i="17"/>
  <c r="M6415" i="17"/>
  <c r="M6414" i="17"/>
  <c r="M6413" i="17"/>
  <c r="M6412" i="17"/>
  <c r="M6411" i="17"/>
  <c r="M6410" i="17"/>
  <c r="M6409" i="17"/>
  <c r="M6408" i="17"/>
  <c r="M6407" i="17"/>
  <c r="M6406" i="17"/>
  <c r="M6405" i="17"/>
  <c r="M6404" i="17"/>
  <c r="M6403" i="17"/>
  <c r="M6402" i="17"/>
  <c r="M6401" i="17"/>
  <c r="M6400" i="17"/>
  <c r="M6399" i="17"/>
  <c r="M6398" i="17"/>
  <c r="M6397" i="17"/>
  <c r="M6396" i="17"/>
  <c r="M6395" i="17"/>
  <c r="M6394" i="17"/>
  <c r="M6393" i="17"/>
  <c r="M6392" i="17"/>
  <c r="M6391" i="17"/>
  <c r="M6390" i="17"/>
  <c r="M6389" i="17"/>
  <c r="M6388" i="17"/>
  <c r="M6387" i="17"/>
  <c r="M6386" i="17"/>
  <c r="M6385" i="17"/>
  <c r="M6384" i="17"/>
  <c r="M6383" i="17"/>
  <c r="M6382" i="17"/>
  <c r="M6381" i="17"/>
  <c r="M6380" i="17"/>
  <c r="M6379" i="17"/>
  <c r="M6378" i="17"/>
  <c r="M6377" i="17"/>
  <c r="M6376" i="17"/>
  <c r="M6375" i="17"/>
  <c r="M6374" i="17"/>
  <c r="M6373" i="17"/>
  <c r="M6372" i="17"/>
  <c r="M6371" i="17"/>
  <c r="M6370" i="17"/>
  <c r="M6369" i="17"/>
  <c r="M6368" i="17"/>
  <c r="M6367" i="17"/>
  <c r="M6366" i="17"/>
  <c r="M6365" i="17"/>
  <c r="M6364" i="17"/>
  <c r="M6363" i="17"/>
  <c r="M6362" i="17"/>
  <c r="M6361" i="17"/>
  <c r="M6360" i="17"/>
  <c r="M6359" i="17"/>
  <c r="M6358" i="17"/>
  <c r="M6357" i="17"/>
  <c r="M6356" i="17"/>
  <c r="M6355" i="17"/>
  <c r="M6354" i="17"/>
  <c r="M6353" i="17"/>
  <c r="M6352" i="17"/>
  <c r="M6351" i="17"/>
  <c r="M6350" i="17"/>
  <c r="M6349" i="17"/>
  <c r="M6348" i="17"/>
  <c r="M6347" i="17"/>
  <c r="M6346" i="17"/>
  <c r="M6345" i="17"/>
  <c r="M6344" i="17"/>
  <c r="M6343" i="17"/>
  <c r="M6342" i="17"/>
  <c r="M6341" i="17"/>
  <c r="M6340" i="17"/>
  <c r="M6339" i="17"/>
  <c r="M6338" i="17"/>
  <c r="M6337" i="17"/>
  <c r="M6336" i="17"/>
  <c r="M6335" i="17"/>
  <c r="M6334" i="17"/>
  <c r="M6333" i="17"/>
  <c r="M6332" i="17"/>
  <c r="M6331" i="17"/>
  <c r="M6330" i="17"/>
  <c r="M6329" i="17"/>
  <c r="M6328" i="17"/>
  <c r="M6327" i="17"/>
  <c r="M6326" i="17"/>
  <c r="M6325" i="17"/>
  <c r="M6324" i="17"/>
  <c r="M6323" i="17"/>
  <c r="M6322" i="17"/>
  <c r="M6321" i="17"/>
  <c r="M6320" i="17"/>
  <c r="M6319" i="17"/>
  <c r="M6318" i="17"/>
  <c r="M6317" i="17"/>
  <c r="M6316" i="17"/>
  <c r="M6315" i="17"/>
  <c r="M6314" i="17"/>
  <c r="M6313" i="17"/>
  <c r="M6312" i="17"/>
  <c r="M6311" i="17"/>
  <c r="M6310" i="17"/>
  <c r="M6309" i="17"/>
  <c r="M6308" i="17"/>
  <c r="M6307" i="17"/>
  <c r="M6306" i="17"/>
  <c r="M6305" i="17"/>
  <c r="M6304" i="17"/>
  <c r="M6303" i="17"/>
  <c r="M6302" i="17"/>
  <c r="M6301" i="17"/>
  <c r="M6300" i="17"/>
  <c r="M6299" i="17"/>
  <c r="M6298" i="17"/>
  <c r="M6297" i="17"/>
  <c r="M6296" i="17"/>
  <c r="M6295" i="17"/>
  <c r="M6294" i="17"/>
  <c r="M6293" i="17"/>
  <c r="M6292" i="17"/>
  <c r="M6291" i="17"/>
  <c r="M6290" i="17"/>
  <c r="M6289" i="17"/>
  <c r="M6288" i="17"/>
  <c r="M6287" i="17"/>
  <c r="M6286" i="17"/>
  <c r="M6285" i="17"/>
  <c r="M6284" i="17"/>
  <c r="M6283" i="17"/>
  <c r="M6282" i="17"/>
  <c r="M6281" i="17"/>
  <c r="M6280" i="17"/>
  <c r="M6279" i="17"/>
  <c r="M6278" i="17"/>
  <c r="M6277" i="17"/>
  <c r="M6276" i="17"/>
  <c r="M6275" i="17"/>
  <c r="M6274" i="17"/>
  <c r="M6273" i="17"/>
  <c r="M6272" i="17"/>
  <c r="M6271" i="17"/>
  <c r="M6270" i="17"/>
  <c r="M6269" i="17"/>
  <c r="M6268" i="17"/>
  <c r="M6267" i="17"/>
  <c r="M6266" i="17"/>
  <c r="M6265" i="17"/>
  <c r="M6264" i="17"/>
  <c r="M6263" i="17"/>
  <c r="M6262" i="17"/>
  <c r="M6261" i="17"/>
  <c r="M6260" i="17"/>
  <c r="M6259" i="17"/>
  <c r="M6258" i="17"/>
  <c r="M6257" i="17"/>
  <c r="M6256" i="17"/>
  <c r="M6255" i="17"/>
  <c r="M6254" i="17"/>
  <c r="M6253" i="17"/>
  <c r="M6252" i="17"/>
  <c r="M6251" i="17"/>
  <c r="M6250" i="17"/>
  <c r="M6249" i="17"/>
  <c r="M6248" i="17"/>
  <c r="M6247" i="17"/>
  <c r="M6246" i="17"/>
  <c r="M6245" i="17"/>
  <c r="M6244" i="17"/>
  <c r="M6243" i="17"/>
  <c r="M6242" i="17"/>
  <c r="M6241" i="17"/>
  <c r="M6240" i="17"/>
  <c r="M6239" i="17"/>
  <c r="M6238" i="17"/>
  <c r="M6237" i="17"/>
  <c r="M6236" i="17"/>
  <c r="M6235" i="17"/>
  <c r="M6234" i="17"/>
  <c r="M6233" i="17"/>
  <c r="M6232" i="17"/>
  <c r="M6231" i="17"/>
  <c r="M6230" i="17"/>
  <c r="M6229" i="17"/>
  <c r="M6228" i="17"/>
  <c r="M6227" i="17"/>
  <c r="M6226" i="17"/>
  <c r="M6225" i="17"/>
  <c r="M6224" i="17"/>
  <c r="M6223" i="17"/>
  <c r="M6222" i="17"/>
  <c r="M6221" i="17"/>
  <c r="M6220" i="17"/>
  <c r="M6219" i="17"/>
  <c r="M6218" i="17"/>
  <c r="M6217" i="17"/>
  <c r="M6216" i="17"/>
  <c r="M6215" i="17"/>
  <c r="M6214" i="17"/>
  <c r="M6213" i="17"/>
  <c r="M6212" i="17"/>
  <c r="M6211" i="17"/>
  <c r="M6210" i="17"/>
  <c r="M6209" i="17"/>
  <c r="M6208" i="17"/>
  <c r="M6207" i="17"/>
  <c r="M6206" i="17"/>
  <c r="M6205" i="17"/>
  <c r="M6204" i="17"/>
  <c r="M6203" i="17"/>
  <c r="M6202" i="17"/>
  <c r="M6201" i="17"/>
  <c r="M6200" i="17"/>
  <c r="M6199" i="17"/>
  <c r="M6198" i="17"/>
  <c r="M6197" i="17"/>
  <c r="M6196" i="17"/>
  <c r="M6195" i="17"/>
  <c r="M6194" i="17"/>
  <c r="M6193" i="17"/>
  <c r="M6192" i="17"/>
  <c r="M6191" i="17"/>
  <c r="M6190" i="17"/>
  <c r="M6189" i="17"/>
  <c r="M6188" i="17"/>
  <c r="M6187" i="17"/>
  <c r="M6186" i="17"/>
  <c r="M6185" i="17"/>
  <c r="M6184" i="17"/>
  <c r="M6183" i="17"/>
  <c r="M6182" i="17"/>
  <c r="M6181" i="17"/>
  <c r="M6180" i="17"/>
  <c r="M6179" i="17"/>
  <c r="M6178" i="17"/>
  <c r="M6177" i="17"/>
  <c r="M6176" i="17"/>
  <c r="M6175" i="17"/>
  <c r="M6174" i="17"/>
  <c r="M6173" i="17"/>
  <c r="M6172" i="17"/>
  <c r="M6171" i="17"/>
  <c r="M6170" i="17"/>
  <c r="M6169" i="17"/>
  <c r="M6168" i="17"/>
  <c r="M6167" i="17"/>
  <c r="M6166" i="17"/>
  <c r="M6165" i="17"/>
  <c r="M6164" i="17"/>
  <c r="M6163" i="17"/>
  <c r="M6162" i="17"/>
  <c r="M6161" i="17"/>
  <c r="M6160" i="17"/>
  <c r="M6159" i="17"/>
  <c r="M6158" i="17"/>
  <c r="M6157" i="17"/>
  <c r="M6156" i="17"/>
  <c r="M6155" i="17"/>
  <c r="M6154" i="17"/>
  <c r="M6153" i="17"/>
  <c r="M6152" i="17"/>
  <c r="M6151" i="17"/>
  <c r="M6150" i="17"/>
  <c r="M6149" i="17"/>
  <c r="M6148" i="17"/>
  <c r="M6147" i="17"/>
  <c r="M6146" i="17"/>
  <c r="M6145" i="17"/>
  <c r="M6144" i="17"/>
  <c r="M6143" i="17"/>
  <c r="M6142" i="17"/>
  <c r="M6141" i="17"/>
  <c r="M6140" i="17"/>
  <c r="M6139" i="17"/>
  <c r="M6138" i="17"/>
  <c r="M6137" i="17"/>
  <c r="M6136" i="17"/>
  <c r="M6135" i="17"/>
  <c r="M6134" i="17"/>
  <c r="M6133" i="17"/>
  <c r="M6132" i="17"/>
  <c r="M6131" i="17"/>
  <c r="M6130" i="17"/>
  <c r="M6129" i="17"/>
  <c r="M6128" i="17"/>
  <c r="M6127" i="17"/>
  <c r="M6126" i="17"/>
  <c r="M6125" i="17"/>
  <c r="M6124" i="17"/>
  <c r="M6123" i="17"/>
  <c r="M6122" i="17"/>
  <c r="M6121" i="17"/>
  <c r="M6120" i="17"/>
  <c r="M6119" i="17"/>
  <c r="M6118" i="17"/>
  <c r="M6117" i="17"/>
  <c r="M6116" i="17"/>
  <c r="M6115" i="17"/>
  <c r="M6114" i="17"/>
  <c r="M6113" i="17"/>
  <c r="M6112" i="17"/>
  <c r="M6111" i="17"/>
  <c r="M6110" i="17"/>
  <c r="M6109" i="17"/>
  <c r="M6108" i="17"/>
  <c r="M6107" i="17"/>
  <c r="M6106" i="17"/>
  <c r="M6105" i="17"/>
  <c r="M6104" i="17"/>
  <c r="M6103" i="17"/>
  <c r="M6102" i="17"/>
  <c r="M6101" i="17"/>
  <c r="M6100" i="17"/>
  <c r="M6099" i="17"/>
  <c r="M6098" i="17"/>
  <c r="M6097" i="17"/>
  <c r="M6096" i="17"/>
  <c r="M6095" i="17"/>
  <c r="M6094" i="17"/>
  <c r="M6093" i="17"/>
  <c r="M6092" i="17"/>
  <c r="M6091" i="17"/>
  <c r="M6090" i="17"/>
  <c r="M6089" i="17"/>
  <c r="M6088" i="17"/>
  <c r="M6087" i="17"/>
  <c r="M6086" i="17"/>
  <c r="M6085" i="17"/>
  <c r="M6084" i="17"/>
  <c r="M6083" i="17"/>
  <c r="M6082" i="17"/>
  <c r="M6081" i="17"/>
  <c r="M6080" i="17"/>
  <c r="M6079" i="17"/>
  <c r="M6078" i="17"/>
  <c r="M6077" i="17"/>
  <c r="M6076" i="17"/>
  <c r="M6075" i="17"/>
  <c r="M6074" i="17"/>
  <c r="M6073" i="17"/>
  <c r="M6072" i="17"/>
  <c r="M6071" i="17"/>
  <c r="M6070" i="17"/>
  <c r="M6069" i="17"/>
  <c r="M6068" i="17"/>
  <c r="M6067" i="17"/>
  <c r="M6066" i="17"/>
  <c r="M6065" i="17"/>
  <c r="M6064" i="17"/>
  <c r="M6063" i="17"/>
  <c r="M6062" i="17"/>
  <c r="M6061" i="17"/>
  <c r="M6060" i="17"/>
  <c r="M6059" i="17"/>
  <c r="M6058" i="17"/>
  <c r="M6057" i="17"/>
  <c r="M6056" i="17"/>
  <c r="M6055" i="17"/>
  <c r="M6054" i="17"/>
  <c r="M6053" i="17"/>
  <c r="M6052" i="17"/>
  <c r="M6051" i="17"/>
  <c r="M6050" i="17"/>
  <c r="M6049" i="17"/>
  <c r="M6048" i="17"/>
  <c r="M6047" i="17"/>
  <c r="M6046" i="17"/>
  <c r="M6045" i="17"/>
  <c r="M6044" i="17"/>
  <c r="M6043" i="17"/>
  <c r="M6042" i="17"/>
  <c r="M6041" i="17"/>
  <c r="M6040" i="17"/>
  <c r="M6039" i="17"/>
  <c r="M6038" i="17"/>
  <c r="M6037" i="17"/>
  <c r="M6036" i="17"/>
  <c r="M6035" i="17"/>
  <c r="M6034" i="17"/>
  <c r="M6033" i="17"/>
  <c r="M6032" i="17"/>
  <c r="M6031" i="17"/>
  <c r="M6030" i="17"/>
  <c r="M6029" i="17"/>
  <c r="M6028" i="17"/>
  <c r="M6027" i="17"/>
  <c r="M6026" i="17"/>
  <c r="M6025" i="17"/>
  <c r="M6024" i="17"/>
  <c r="M6023" i="17"/>
  <c r="M6022" i="17"/>
  <c r="M6021" i="17"/>
  <c r="M6020" i="17"/>
  <c r="M6019" i="17"/>
  <c r="M6018" i="17"/>
  <c r="M6017" i="17"/>
  <c r="M6016" i="17"/>
  <c r="M6015" i="17"/>
  <c r="M6014" i="17"/>
  <c r="M6013" i="17"/>
  <c r="M6012" i="17"/>
  <c r="M6011" i="17"/>
  <c r="M6010" i="17"/>
  <c r="M6009" i="17"/>
  <c r="M6008" i="17"/>
  <c r="M6007" i="17"/>
  <c r="M6006" i="17"/>
  <c r="M6005" i="17"/>
  <c r="M6004" i="17"/>
  <c r="M6003" i="17"/>
  <c r="M6002" i="17"/>
  <c r="M6001" i="17"/>
  <c r="M6000" i="17"/>
  <c r="M5999" i="17"/>
  <c r="M5998" i="17"/>
  <c r="M5997" i="17"/>
  <c r="M5996" i="17"/>
  <c r="M5995" i="17"/>
  <c r="M5994" i="17"/>
  <c r="M5993" i="17"/>
  <c r="M5992" i="17"/>
  <c r="M5991" i="17"/>
  <c r="M5990" i="17"/>
  <c r="M5989" i="17"/>
  <c r="M5988" i="17"/>
  <c r="M5987" i="17"/>
  <c r="M5986" i="17"/>
  <c r="M5985" i="17"/>
  <c r="M5984" i="17"/>
  <c r="M5983" i="17"/>
  <c r="M5982" i="17"/>
  <c r="M5981" i="17"/>
  <c r="M5980" i="17"/>
  <c r="M5979" i="17"/>
  <c r="M5978" i="17"/>
  <c r="M5977" i="17"/>
  <c r="M5976" i="17"/>
  <c r="M5975" i="17"/>
  <c r="M5974" i="17"/>
  <c r="M5973" i="17"/>
  <c r="M5972" i="17"/>
  <c r="M5971" i="17"/>
  <c r="M5970" i="17"/>
  <c r="M5969" i="17"/>
  <c r="M5968" i="17"/>
  <c r="M5967" i="17"/>
  <c r="M5966" i="17"/>
  <c r="M5965" i="17"/>
  <c r="M5964" i="17"/>
  <c r="M5963" i="17"/>
  <c r="M5962" i="17"/>
  <c r="M5961" i="17"/>
  <c r="M5960" i="17"/>
  <c r="M5959" i="17"/>
  <c r="M5958" i="17"/>
  <c r="M5957" i="17"/>
  <c r="M5956" i="17"/>
  <c r="M5955" i="17"/>
  <c r="M5954" i="17"/>
  <c r="M5953" i="17"/>
  <c r="M5952" i="17"/>
  <c r="M5951" i="17"/>
  <c r="M5950" i="17"/>
  <c r="M5949" i="17"/>
  <c r="M5948" i="17"/>
  <c r="M5947" i="17"/>
  <c r="M5946" i="17"/>
  <c r="M5945" i="17"/>
  <c r="M5944" i="17"/>
  <c r="M5943" i="17"/>
  <c r="M5942" i="17"/>
  <c r="M5941" i="17"/>
  <c r="M5940" i="17"/>
  <c r="M5939" i="17"/>
  <c r="M5938" i="17"/>
  <c r="M5937" i="17"/>
  <c r="M5936" i="17"/>
  <c r="M5935" i="17"/>
  <c r="M5934" i="17"/>
  <c r="M5933" i="17"/>
  <c r="M5932" i="17"/>
  <c r="M5931" i="17"/>
  <c r="M5930" i="17"/>
  <c r="M5929" i="17"/>
  <c r="M5928" i="17"/>
  <c r="M5927" i="17"/>
  <c r="M5926" i="17"/>
  <c r="M5925" i="17"/>
  <c r="M5924" i="17"/>
  <c r="M5923" i="17"/>
  <c r="M5922" i="17"/>
  <c r="M5921" i="17"/>
  <c r="M5920" i="17"/>
  <c r="M5919" i="17"/>
  <c r="M5918" i="17"/>
  <c r="M5917" i="17"/>
  <c r="M5916" i="17"/>
  <c r="M5915" i="17"/>
  <c r="M5914" i="17"/>
  <c r="M5913" i="17"/>
  <c r="M5912" i="17"/>
  <c r="M5911" i="17"/>
  <c r="M5910" i="17"/>
  <c r="M5909" i="17"/>
  <c r="M5908" i="17"/>
  <c r="M5907" i="17"/>
  <c r="M5906" i="17"/>
  <c r="M5905" i="17"/>
  <c r="M5904" i="17"/>
  <c r="M5903" i="17"/>
  <c r="M5902" i="17"/>
  <c r="M5901" i="17"/>
  <c r="M5900" i="17"/>
  <c r="M5899" i="17"/>
  <c r="M5898" i="17"/>
  <c r="M5897" i="17"/>
  <c r="M5896" i="17"/>
  <c r="M5895" i="17"/>
  <c r="M5894" i="17"/>
  <c r="M5893" i="17"/>
  <c r="M5892" i="17"/>
  <c r="M5891" i="17"/>
  <c r="M5890" i="17"/>
  <c r="M5889" i="17"/>
  <c r="M5888" i="17"/>
  <c r="M5887" i="17"/>
  <c r="M5886" i="17"/>
  <c r="M5885" i="17"/>
  <c r="M5884" i="17"/>
  <c r="M5883" i="17"/>
  <c r="M5882" i="17"/>
  <c r="M5881" i="17"/>
  <c r="M5880" i="17"/>
  <c r="M5879" i="17"/>
  <c r="M5878" i="17"/>
  <c r="M5877" i="17"/>
  <c r="M5876" i="17"/>
  <c r="M5875" i="17"/>
  <c r="M5874" i="17"/>
  <c r="M5873" i="17"/>
  <c r="M5872" i="17"/>
  <c r="M5871" i="17"/>
  <c r="M5870" i="17"/>
  <c r="M5869" i="17"/>
  <c r="M5868" i="17"/>
  <c r="M5867" i="17"/>
  <c r="M5866" i="17"/>
  <c r="M5865" i="17"/>
  <c r="M5864" i="17"/>
  <c r="M5863" i="17"/>
  <c r="M5862" i="17"/>
  <c r="M5861" i="17"/>
  <c r="M5860" i="17"/>
  <c r="M5859" i="17"/>
  <c r="M5858" i="17"/>
  <c r="M5857" i="17"/>
  <c r="M5856" i="17"/>
  <c r="M5855" i="17"/>
  <c r="M5854" i="17"/>
  <c r="M5853" i="17"/>
  <c r="M5852" i="17"/>
  <c r="M5851" i="17"/>
  <c r="M5850" i="17"/>
  <c r="M5849" i="17"/>
  <c r="M5848" i="17"/>
  <c r="M5847" i="17"/>
  <c r="M5846" i="17"/>
  <c r="M5845" i="17"/>
  <c r="M5844" i="17"/>
  <c r="M5843" i="17"/>
  <c r="M5842" i="17"/>
  <c r="M5841" i="17"/>
  <c r="M5840" i="17"/>
  <c r="M5839" i="17"/>
  <c r="M5838" i="17"/>
  <c r="M5837" i="17"/>
  <c r="M5836" i="17"/>
  <c r="M5835" i="17"/>
  <c r="M5834" i="17"/>
  <c r="M5833" i="17"/>
  <c r="M5832" i="17"/>
  <c r="M5831" i="17"/>
  <c r="M5830" i="17"/>
  <c r="M5829" i="17"/>
  <c r="M5828" i="17"/>
  <c r="M5827" i="17"/>
  <c r="M5826" i="17"/>
  <c r="M5825" i="17"/>
  <c r="M5824" i="17"/>
  <c r="M5823" i="17"/>
  <c r="M5822" i="17"/>
  <c r="M5821" i="17"/>
  <c r="M5820" i="17"/>
  <c r="M5819" i="17"/>
  <c r="M5818" i="17"/>
  <c r="M5817" i="17"/>
  <c r="M5816" i="17"/>
  <c r="M5815" i="17"/>
  <c r="M5814" i="17"/>
  <c r="M5813" i="17"/>
  <c r="M5812" i="17"/>
  <c r="M5811" i="17"/>
  <c r="M5810" i="17"/>
  <c r="M5809" i="17"/>
  <c r="M5808" i="17"/>
  <c r="M5807" i="17"/>
  <c r="M5806" i="17"/>
  <c r="M5805" i="17"/>
  <c r="M5804" i="17"/>
  <c r="M5803" i="17"/>
  <c r="M5802" i="17"/>
  <c r="M5801" i="17"/>
  <c r="M5800" i="17"/>
  <c r="M5799" i="17"/>
  <c r="M5798" i="17"/>
  <c r="M5797" i="17"/>
  <c r="M5796" i="17"/>
  <c r="M5795" i="17"/>
  <c r="M5794" i="17"/>
  <c r="M5793" i="17"/>
  <c r="M5792" i="17"/>
  <c r="M5791" i="17"/>
  <c r="M5790" i="17"/>
  <c r="M5789" i="17"/>
  <c r="M5788" i="17"/>
  <c r="M5787" i="17"/>
  <c r="M5786" i="17"/>
  <c r="M5785" i="17"/>
  <c r="M5784" i="17"/>
  <c r="M5783" i="17"/>
  <c r="M5782" i="17"/>
  <c r="M5781" i="17"/>
  <c r="M5780" i="17"/>
  <c r="M5779" i="17"/>
  <c r="M5778" i="17"/>
  <c r="M5777" i="17"/>
  <c r="M5776" i="17"/>
  <c r="M5775" i="17"/>
  <c r="M5774" i="17"/>
  <c r="M5773" i="17"/>
  <c r="M5772" i="17"/>
  <c r="M5771" i="17"/>
  <c r="M5770" i="17"/>
  <c r="M5769" i="17"/>
  <c r="M5768" i="17"/>
  <c r="M5767" i="17"/>
  <c r="M5766" i="17"/>
  <c r="M5765" i="17"/>
  <c r="M5764" i="17"/>
  <c r="M5763" i="17"/>
  <c r="M5762" i="17"/>
  <c r="M5761" i="17"/>
  <c r="M5760" i="17"/>
  <c r="M5759" i="17"/>
  <c r="M5758" i="17"/>
  <c r="M5757" i="17"/>
  <c r="M5756" i="17"/>
  <c r="M5755" i="17"/>
  <c r="M5754" i="17"/>
  <c r="M5753" i="17"/>
  <c r="M5752" i="17"/>
  <c r="M5751" i="17"/>
  <c r="M5750" i="17"/>
  <c r="M5749" i="17"/>
  <c r="M5748" i="17"/>
  <c r="M5747" i="17"/>
  <c r="M5746" i="17"/>
  <c r="M5745" i="17"/>
  <c r="M5744" i="17"/>
  <c r="M5743" i="17"/>
  <c r="M5742" i="17"/>
  <c r="M5741" i="17"/>
  <c r="M5740" i="17"/>
  <c r="M5739" i="17"/>
  <c r="M5738" i="17"/>
  <c r="M5737" i="17"/>
  <c r="M5736" i="17"/>
  <c r="M5735" i="17"/>
  <c r="M5734" i="17"/>
  <c r="M5733" i="17"/>
  <c r="M5732" i="17"/>
  <c r="M5731" i="17"/>
  <c r="M5730" i="17"/>
  <c r="M5729" i="17"/>
  <c r="M5728" i="17"/>
  <c r="M5727" i="17"/>
  <c r="M5726" i="17"/>
  <c r="M5725" i="17"/>
  <c r="M5724" i="17"/>
  <c r="M5723" i="17"/>
  <c r="M5722" i="17"/>
  <c r="M5721" i="17"/>
  <c r="M5720" i="17"/>
  <c r="M5719" i="17"/>
  <c r="M5718" i="17"/>
  <c r="M5717" i="17"/>
  <c r="M5716" i="17"/>
  <c r="M5715" i="17"/>
  <c r="M5714" i="17"/>
  <c r="M5713" i="17"/>
  <c r="M5712" i="17"/>
  <c r="M5711" i="17"/>
  <c r="M5710" i="17"/>
  <c r="M5709" i="17"/>
  <c r="M5708" i="17"/>
  <c r="M5707" i="17"/>
  <c r="M5706" i="17"/>
  <c r="M5705" i="17"/>
  <c r="M5704" i="17"/>
  <c r="M5703" i="17"/>
  <c r="M5702" i="17"/>
  <c r="M5701" i="17"/>
  <c r="M5700" i="17"/>
  <c r="M5699" i="17"/>
  <c r="M5698" i="17"/>
  <c r="M5697" i="17"/>
  <c r="M5696" i="17"/>
  <c r="M5695" i="17"/>
  <c r="M5694" i="17"/>
  <c r="M5693" i="17"/>
  <c r="M5692" i="17"/>
  <c r="M5691" i="17"/>
  <c r="M5690" i="17"/>
  <c r="M5689" i="17"/>
  <c r="M5688" i="17"/>
  <c r="M5687" i="17"/>
  <c r="M5686" i="17"/>
  <c r="M5685" i="17"/>
  <c r="M5684" i="17"/>
  <c r="M5683" i="17"/>
  <c r="M5682" i="17"/>
  <c r="M5681" i="17"/>
  <c r="M5680" i="17"/>
  <c r="M5679" i="17"/>
  <c r="M5678" i="17"/>
  <c r="M5677" i="17"/>
  <c r="M5676" i="17"/>
  <c r="M5675" i="17"/>
  <c r="M5674" i="17"/>
  <c r="M5673" i="17"/>
  <c r="M5672" i="17"/>
  <c r="M5671" i="17"/>
  <c r="M5670" i="17"/>
  <c r="M5669" i="17"/>
  <c r="M5668" i="17"/>
  <c r="M5667" i="17"/>
  <c r="M5666" i="17"/>
  <c r="M5665" i="17"/>
  <c r="M5664" i="17"/>
  <c r="M5663" i="17"/>
  <c r="M5662" i="17"/>
  <c r="M5661" i="17"/>
  <c r="M5660" i="17"/>
  <c r="M5659" i="17"/>
  <c r="M5658" i="17"/>
  <c r="M5657" i="17"/>
  <c r="M5656" i="17"/>
  <c r="M5655" i="17"/>
  <c r="M5654" i="17"/>
  <c r="M5653" i="17"/>
  <c r="M5652" i="17"/>
  <c r="M5651" i="17"/>
  <c r="M5650" i="17"/>
  <c r="M5649" i="17"/>
  <c r="M5648" i="17"/>
  <c r="M5647" i="17"/>
  <c r="M5646" i="17"/>
  <c r="M5645" i="17"/>
  <c r="M5644" i="17"/>
  <c r="M5643" i="17"/>
  <c r="M5642" i="17"/>
  <c r="M5641" i="17"/>
  <c r="M5640" i="17"/>
  <c r="M5639" i="17"/>
  <c r="M5638" i="17"/>
  <c r="M5637" i="17"/>
  <c r="M5636" i="17"/>
  <c r="M5635" i="17"/>
  <c r="M5634" i="17"/>
  <c r="M5633" i="17"/>
  <c r="M5632" i="17"/>
  <c r="M5631" i="17"/>
  <c r="M5630" i="17"/>
  <c r="M5629" i="17"/>
  <c r="M5628" i="17"/>
  <c r="M5627" i="17"/>
  <c r="M5626" i="17"/>
  <c r="M5625" i="17"/>
  <c r="M5624" i="17"/>
  <c r="M5623" i="17"/>
  <c r="M5622" i="17"/>
  <c r="M5621" i="17"/>
  <c r="M5620" i="17"/>
  <c r="M5619" i="17"/>
  <c r="M5618" i="17"/>
  <c r="M5617" i="17"/>
  <c r="M5616" i="17"/>
  <c r="M5615" i="17"/>
  <c r="M5614" i="17"/>
  <c r="M5613" i="17"/>
  <c r="M5612" i="17"/>
  <c r="M5611" i="17"/>
  <c r="M5610" i="17"/>
  <c r="M5609" i="17"/>
  <c r="M5608" i="17"/>
  <c r="M5607" i="17"/>
  <c r="M5606" i="17"/>
  <c r="M5605" i="17"/>
  <c r="M5604" i="17"/>
  <c r="M5603" i="17"/>
  <c r="M5602" i="17"/>
  <c r="M5601" i="17"/>
  <c r="M5600" i="17"/>
  <c r="M5599" i="17"/>
  <c r="M5598" i="17"/>
  <c r="M5597" i="17"/>
  <c r="M5596" i="17"/>
  <c r="M5595" i="17"/>
  <c r="M5594" i="17"/>
  <c r="M5593" i="17"/>
  <c r="M5592" i="17"/>
  <c r="M5591" i="17"/>
  <c r="M5590" i="17"/>
  <c r="M5589" i="17"/>
  <c r="M5588" i="17"/>
  <c r="M5587" i="17"/>
  <c r="M5586" i="17"/>
  <c r="M5585" i="17"/>
  <c r="M5584" i="17"/>
  <c r="M5583" i="17"/>
  <c r="M5582" i="17"/>
  <c r="M5581" i="17"/>
  <c r="M5580" i="17"/>
  <c r="M5579" i="17"/>
  <c r="M5578" i="17"/>
  <c r="M5577" i="17"/>
  <c r="M5576" i="17"/>
  <c r="M5575" i="17"/>
  <c r="M5574" i="17"/>
  <c r="M5573" i="17"/>
  <c r="M5572" i="17"/>
  <c r="M5571" i="17"/>
  <c r="M5570" i="17"/>
  <c r="M5569" i="17"/>
  <c r="M5568" i="17"/>
  <c r="M5567" i="17"/>
  <c r="M5566" i="17"/>
  <c r="M5565" i="17"/>
  <c r="M5564" i="17"/>
  <c r="M5563" i="17"/>
  <c r="M5562" i="17"/>
  <c r="M5561" i="17"/>
  <c r="M5560" i="17"/>
  <c r="M5559" i="17"/>
  <c r="M5558" i="17"/>
  <c r="M5557" i="17"/>
  <c r="M5556" i="17"/>
  <c r="M5555" i="17"/>
  <c r="M5554" i="17"/>
  <c r="M5553" i="17"/>
  <c r="M5552" i="17"/>
  <c r="M5551" i="17"/>
  <c r="M5550" i="17"/>
  <c r="M5549" i="17"/>
  <c r="M5548" i="17"/>
  <c r="M5547" i="17"/>
  <c r="M5546" i="17"/>
  <c r="M5545" i="17"/>
  <c r="M5544" i="17"/>
  <c r="M5543" i="17"/>
  <c r="M5542" i="17"/>
  <c r="M5541" i="17"/>
  <c r="M5540" i="17"/>
  <c r="M5539" i="17"/>
  <c r="M5538" i="17"/>
  <c r="M5537" i="17"/>
  <c r="M5536" i="17"/>
  <c r="M5535" i="17"/>
  <c r="M5534" i="17"/>
  <c r="M5533" i="17"/>
  <c r="M5532" i="17"/>
  <c r="M5531" i="17"/>
  <c r="M5530" i="17"/>
  <c r="M5529" i="17"/>
  <c r="M5528" i="17"/>
  <c r="M5527" i="17"/>
  <c r="M5526" i="17"/>
  <c r="M5525" i="17"/>
  <c r="M5524" i="17"/>
  <c r="M5523" i="17"/>
  <c r="M5522" i="17"/>
  <c r="M5521" i="17"/>
  <c r="M5520" i="17"/>
  <c r="M5519" i="17"/>
  <c r="M5518" i="17"/>
  <c r="M5517" i="17"/>
  <c r="M5516" i="17"/>
  <c r="M5515" i="17"/>
  <c r="M5514" i="17"/>
  <c r="M5513" i="17"/>
  <c r="M5512" i="17"/>
  <c r="M5511" i="17"/>
  <c r="M5510" i="17"/>
  <c r="M5509" i="17"/>
  <c r="M5508" i="17"/>
  <c r="M5507" i="17"/>
  <c r="M5506" i="17"/>
  <c r="M5505" i="17"/>
  <c r="M5504" i="17"/>
  <c r="M5503" i="17"/>
  <c r="M5502" i="17"/>
  <c r="M5501" i="17"/>
  <c r="M5500" i="17"/>
  <c r="M5499" i="17"/>
  <c r="M5498" i="17"/>
  <c r="M5497" i="17"/>
  <c r="M5496" i="17"/>
  <c r="M5495" i="17"/>
  <c r="M5494" i="17"/>
  <c r="M5493" i="17"/>
  <c r="M5492" i="17"/>
  <c r="M5491" i="17"/>
  <c r="M5490" i="17"/>
  <c r="M5489" i="17"/>
  <c r="M5488" i="17"/>
  <c r="M5487" i="17"/>
  <c r="M5486" i="17"/>
  <c r="M5485" i="17"/>
  <c r="M5484" i="17"/>
  <c r="M5483" i="17"/>
  <c r="M5482" i="17"/>
  <c r="M5481" i="17"/>
  <c r="M5480" i="17"/>
  <c r="M5479" i="17"/>
  <c r="M5478" i="17"/>
  <c r="M5477" i="17"/>
  <c r="M5476" i="17"/>
  <c r="M5475" i="17"/>
  <c r="M5474" i="17"/>
  <c r="M5473" i="17"/>
  <c r="M5472" i="17"/>
  <c r="M5471" i="17"/>
  <c r="M5470" i="17"/>
  <c r="M5469" i="17"/>
  <c r="M5468" i="17"/>
  <c r="M5467" i="17"/>
  <c r="M5466" i="17"/>
  <c r="M5465" i="17"/>
  <c r="M5464" i="17"/>
  <c r="M5463" i="17"/>
  <c r="M5462" i="17"/>
  <c r="M5461" i="17"/>
  <c r="M5460" i="17"/>
  <c r="M5459" i="17"/>
  <c r="M5458" i="17"/>
  <c r="M5457" i="17"/>
  <c r="M5456" i="17"/>
  <c r="M5455" i="17"/>
  <c r="M5454" i="17"/>
  <c r="M5453" i="17"/>
  <c r="M5452" i="17"/>
  <c r="M5451" i="17"/>
  <c r="M5450" i="17"/>
  <c r="M5449" i="17"/>
  <c r="M5448" i="17"/>
  <c r="M5447" i="17"/>
  <c r="M5446" i="17"/>
  <c r="M5445" i="17"/>
  <c r="M5444" i="17"/>
  <c r="M5443" i="17"/>
  <c r="M5442" i="17"/>
  <c r="M5441" i="17"/>
  <c r="M5440" i="17"/>
  <c r="M5439" i="17"/>
  <c r="M5438" i="17"/>
  <c r="M5437" i="17"/>
  <c r="M5436" i="17"/>
  <c r="M5435" i="17"/>
  <c r="M5434" i="17"/>
  <c r="M5433" i="17"/>
  <c r="M5432" i="17"/>
  <c r="M5431" i="17"/>
  <c r="M5430" i="17"/>
  <c r="M5429" i="17"/>
  <c r="M5428" i="17"/>
  <c r="M5427" i="17"/>
  <c r="M5426" i="17"/>
  <c r="M5425" i="17"/>
  <c r="M5424" i="17"/>
  <c r="M5423" i="17"/>
  <c r="M5422" i="17"/>
  <c r="M5421" i="17"/>
  <c r="M5420" i="17"/>
  <c r="M5419" i="17"/>
  <c r="M5418" i="17"/>
  <c r="M5417" i="17"/>
  <c r="M5416" i="17"/>
  <c r="M5415" i="17"/>
  <c r="M5414" i="17"/>
  <c r="M5413" i="17"/>
  <c r="M5412" i="17"/>
  <c r="M5411" i="17"/>
  <c r="M5410" i="17"/>
  <c r="M5409" i="17"/>
  <c r="M5408" i="17"/>
  <c r="M5407" i="17"/>
  <c r="M5406" i="17"/>
  <c r="M5405" i="17"/>
  <c r="M5404" i="17"/>
  <c r="M5403" i="17"/>
  <c r="M5402" i="17"/>
  <c r="M5401" i="17"/>
  <c r="M5400" i="17"/>
  <c r="M5399" i="17"/>
  <c r="M5398" i="17"/>
  <c r="M5397" i="17"/>
  <c r="M5396" i="17"/>
  <c r="M5395" i="17"/>
  <c r="M5394" i="17"/>
  <c r="M5393" i="17"/>
  <c r="M5392" i="17"/>
  <c r="M5391" i="17"/>
  <c r="M5390" i="17"/>
  <c r="M5389" i="17"/>
  <c r="M5388" i="17"/>
  <c r="M5387" i="17"/>
  <c r="M5386" i="17"/>
  <c r="M5385" i="17"/>
  <c r="M5384" i="17"/>
  <c r="M5383" i="17"/>
  <c r="M5382" i="17"/>
  <c r="M5381" i="17"/>
  <c r="M5380" i="17"/>
  <c r="M5379" i="17"/>
  <c r="M5378" i="17"/>
  <c r="M5377" i="17"/>
  <c r="M5376" i="17"/>
  <c r="M5375" i="17"/>
  <c r="M5374" i="17"/>
  <c r="M5373" i="17"/>
  <c r="M5372" i="17"/>
  <c r="M5371" i="17"/>
  <c r="M5370" i="17"/>
  <c r="M5369" i="17"/>
  <c r="M5368" i="17"/>
  <c r="M5367" i="17"/>
  <c r="M5366" i="17"/>
  <c r="M5365" i="17"/>
  <c r="M5364" i="17"/>
  <c r="M5363" i="17"/>
  <c r="M5362" i="17"/>
  <c r="M5361" i="17"/>
  <c r="M5360" i="17"/>
  <c r="M5359" i="17"/>
  <c r="M5358" i="17"/>
  <c r="M5357" i="17"/>
  <c r="M5356" i="17"/>
  <c r="M5355" i="17"/>
  <c r="M5354" i="17"/>
  <c r="M5353" i="17"/>
  <c r="M5352" i="17"/>
  <c r="M5351" i="17"/>
  <c r="M5350" i="17"/>
  <c r="M5349" i="17"/>
  <c r="M5348" i="17"/>
  <c r="M5347" i="17"/>
  <c r="M5346" i="17"/>
  <c r="M5345" i="17"/>
  <c r="M5344" i="17"/>
  <c r="M5343" i="17"/>
  <c r="M5342" i="17"/>
  <c r="M5341" i="17"/>
  <c r="M5340" i="17"/>
  <c r="M5339" i="17"/>
  <c r="M5338" i="17"/>
  <c r="M5337" i="17"/>
  <c r="M5336" i="17"/>
  <c r="M5335" i="17"/>
  <c r="M5334" i="17"/>
  <c r="M5333" i="17"/>
  <c r="M5332" i="17"/>
  <c r="M5331" i="17"/>
  <c r="M5330" i="17"/>
  <c r="M5329" i="17"/>
  <c r="M5328" i="17"/>
  <c r="M5327" i="17"/>
  <c r="M5326" i="17"/>
  <c r="M5325" i="17"/>
  <c r="M5324" i="17"/>
  <c r="M5323" i="17"/>
  <c r="M5322" i="17"/>
  <c r="M5321" i="17"/>
  <c r="M5320" i="17"/>
  <c r="M5319" i="17"/>
  <c r="M5318" i="17"/>
  <c r="M5317" i="17"/>
  <c r="M5316" i="17"/>
  <c r="M5315" i="17"/>
  <c r="M5314" i="17"/>
  <c r="M5313" i="17"/>
  <c r="M5312" i="17"/>
  <c r="M5311" i="17"/>
  <c r="M5310" i="17"/>
  <c r="M5309" i="17"/>
  <c r="M5308" i="17"/>
  <c r="M5307" i="17"/>
  <c r="M5306" i="17"/>
  <c r="M5305" i="17"/>
  <c r="M5304" i="17"/>
  <c r="M5303" i="17"/>
  <c r="M5302" i="17"/>
  <c r="M5301" i="17"/>
  <c r="M5300" i="17"/>
  <c r="M5299" i="17"/>
  <c r="M5298" i="17"/>
  <c r="M5297" i="17"/>
  <c r="M5296" i="17"/>
  <c r="M5295" i="17"/>
  <c r="M5294" i="17"/>
  <c r="M5293" i="17"/>
  <c r="M5292" i="17"/>
  <c r="M5291" i="17"/>
  <c r="M5290" i="17"/>
  <c r="M5289" i="17"/>
  <c r="M5288" i="17"/>
  <c r="M5287" i="17"/>
  <c r="M5286" i="17"/>
  <c r="M5285" i="17"/>
  <c r="M5284" i="17"/>
  <c r="M5283" i="17"/>
  <c r="M5282" i="17"/>
  <c r="M5281" i="17"/>
  <c r="M5280" i="17"/>
  <c r="M5279" i="17"/>
  <c r="M5278" i="17"/>
  <c r="M5277" i="17"/>
  <c r="M5276" i="17"/>
  <c r="M5275" i="17"/>
  <c r="M5274" i="17"/>
  <c r="M5273" i="17"/>
  <c r="M5272" i="17"/>
  <c r="M5271" i="17"/>
  <c r="M5270" i="17"/>
  <c r="M5269" i="17"/>
  <c r="M5268" i="17"/>
  <c r="M5267" i="17"/>
  <c r="M5266" i="17"/>
  <c r="M5265" i="17"/>
  <c r="M5264" i="17"/>
  <c r="M5263" i="17"/>
  <c r="M5262" i="17"/>
  <c r="M5261" i="17"/>
  <c r="M5260" i="17"/>
  <c r="M5259" i="17"/>
  <c r="M5258" i="17"/>
  <c r="M5257" i="17"/>
  <c r="M5256" i="17"/>
  <c r="M5255" i="17"/>
  <c r="M5254" i="17"/>
  <c r="M5253" i="17"/>
  <c r="M5252" i="17"/>
  <c r="M5251" i="17"/>
  <c r="M5250" i="17"/>
  <c r="M5249" i="17"/>
  <c r="M5248" i="17"/>
  <c r="M5247" i="17"/>
  <c r="M5246" i="17"/>
  <c r="M5245" i="17"/>
  <c r="M5244" i="17"/>
  <c r="M5243" i="17"/>
  <c r="M5242" i="17"/>
  <c r="M5241" i="17"/>
  <c r="M5240" i="17"/>
  <c r="M5239" i="17"/>
  <c r="M5238" i="17"/>
  <c r="M5237" i="17"/>
  <c r="M5236" i="17"/>
  <c r="M5235" i="17"/>
  <c r="M5234" i="17"/>
  <c r="M5233" i="17"/>
  <c r="M5232" i="17"/>
  <c r="M5231" i="17"/>
  <c r="M5230" i="17"/>
  <c r="M5229" i="17"/>
  <c r="M5228" i="17"/>
  <c r="M5227" i="17"/>
  <c r="M5226" i="17"/>
  <c r="M5225" i="17"/>
  <c r="M5224" i="17"/>
  <c r="M5223" i="17"/>
  <c r="M5222" i="17"/>
  <c r="M5221" i="17"/>
  <c r="M5220" i="17"/>
  <c r="M5219" i="17"/>
  <c r="M5218" i="17"/>
  <c r="M5217" i="17"/>
  <c r="M5216" i="17"/>
  <c r="M5215" i="17"/>
  <c r="M5214" i="17"/>
  <c r="M5213" i="17"/>
  <c r="M5212" i="17"/>
  <c r="M5211" i="17"/>
  <c r="M5210" i="17"/>
  <c r="M5209" i="17"/>
  <c r="M5208" i="17"/>
  <c r="M5207" i="17"/>
  <c r="M5206" i="17"/>
  <c r="M5205" i="17"/>
  <c r="M5204" i="17"/>
  <c r="M5203" i="17"/>
  <c r="M5202" i="17"/>
  <c r="M5201" i="17"/>
  <c r="M5200" i="17"/>
  <c r="M5199" i="17"/>
  <c r="M5198" i="17"/>
  <c r="M5197" i="17"/>
  <c r="M5196" i="17"/>
  <c r="M5195" i="17"/>
  <c r="M5194" i="17"/>
  <c r="M5193" i="17"/>
  <c r="M5192" i="17"/>
  <c r="M5191" i="17"/>
  <c r="M5190" i="17"/>
  <c r="M5189" i="17"/>
  <c r="M5188" i="17"/>
  <c r="M5187" i="17"/>
  <c r="M5186" i="17"/>
  <c r="M5185" i="17"/>
  <c r="M5184" i="17"/>
  <c r="M5183" i="17"/>
  <c r="M5182" i="17"/>
  <c r="M5181" i="17"/>
  <c r="M5180" i="17"/>
  <c r="M5179" i="17"/>
  <c r="M5178" i="17"/>
  <c r="M5177" i="17"/>
  <c r="M5176" i="17"/>
  <c r="M5175" i="17"/>
  <c r="M5174" i="17"/>
  <c r="M5173" i="17"/>
  <c r="M5172" i="17"/>
  <c r="M5171" i="17"/>
  <c r="M5170" i="17"/>
  <c r="M5169" i="17"/>
  <c r="M5168" i="17"/>
  <c r="M5167" i="17"/>
  <c r="M5166" i="17"/>
  <c r="M5165" i="17"/>
  <c r="M5164" i="17"/>
  <c r="M5163" i="17"/>
  <c r="M5162" i="17"/>
  <c r="M5161" i="17"/>
  <c r="M5160" i="17"/>
  <c r="M5159" i="17"/>
  <c r="M5158" i="17"/>
  <c r="M5157" i="17"/>
  <c r="M5156" i="17"/>
  <c r="M5155" i="17"/>
  <c r="M5154" i="17"/>
  <c r="M5153" i="17"/>
  <c r="M5152" i="17"/>
  <c r="M5151" i="17"/>
  <c r="M5150" i="17"/>
  <c r="M5149" i="17"/>
  <c r="M5148" i="17"/>
  <c r="M5147" i="17"/>
  <c r="M5146" i="17"/>
  <c r="M5145" i="17"/>
  <c r="M5144" i="17"/>
  <c r="M5143" i="17"/>
  <c r="M5142" i="17"/>
  <c r="M5141" i="17"/>
  <c r="M5140" i="17"/>
  <c r="M5139" i="17"/>
  <c r="M5138" i="17"/>
  <c r="M5137" i="17"/>
  <c r="M5136" i="17"/>
  <c r="M5135" i="17"/>
  <c r="M5134" i="17"/>
  <c r="M5133" i="17"/>
  <c r="M5132" i="17"/>
  <c r="M5131" i="17"/>
  <c r="M5130" i="17"/>
  <c r="M5129" i="17"/>
  <c r="M5128" i="17"/>
  <c r="M5127" i="17"/>
  <c r="M5126" i="17"/>
  <c r="M5125" i="17"/>
  <c r="M5124" i="17"/>
  <c r="M5123" i="17"/>
  <c r="M5122" i="17"/>
  <c r="M5121" i="17"/>
  <c r="M5120" i="17"/>
  <c r="M5119" i="17"/>
  <c r="M5118" i="17"/>
  <c r="M5117" i="17"/>
  <c r="M5116" i="17"/>
  <c r="M5115" i="17"/>
  <c r="M5114" i="17"/>
  <c r="M5113" i="17"/>
  <c r="M5112" i="17"/>
  <c r="M5111" i="17"/>
  <c r="M5110" i="17"/>
  <c r="M5109" i="17"/>
  <c r="M5108" i="17"/>
  <c r="M5107" i="17"/>
  <c r="M5106" i="17"/>
  <c r="M5105" i="17"/>
  <c r="M5104" i="17"/>
  <c r="M5103" i="17"/>
  <c r="M5102" i="17"/>
  <c r="M5101" i="17"/>
  <c r="M5100" i="17"/>
  <c r="M5099" i="17"/>
  <c r="M5098" i="17"/>
  <c r="M5097" i="17"/>
  <c r="M5096" i="17"/>
  <c r="M5095" i="17"/>
  <c r="M5094" i="17"/>
  <c r="M5093" i="17"/>
  <c r="M5092" i="17"/>
  <c r="M5091" i="17"/>
  <c r="M5090" i="17"/>
  <c r="M5089" i="17"/>
  <c r="M5088" i="17"/>
  <c r="M5087" i="17"/>
  <c r="M5086" i="17"/>
  <c r="M5085" i="17"/>
  <c r="M5084" i="17"/>
  <c r="M5083" i="17"/>
  <c r="M5082" i="17"/>
  <c r="M5081" i="17"/>
  <c r="M5080" i="17"/>
  <c r="M5079" i="17"/>
  <c r="M5078" i="17"/>
  <c r="M5077" i="17"/>
  <c r="M5076" i="17"/>
  <c r="M5075" i="17"/>
  <c r="M5074" i="17"/>
  <c r="M5073" i="17"/>
  <c r="M5072" i="17"/>
  <c r="M5071" i="17"/>
  <c r="M5070" i="17"/>
  <c r="M5069" i="17"/>
  <c r="M5068" i="17"/>
  <c r="M5067" i="17"/>
  <c r="M5066" i="17"/>
  <c r="M5065" i="17"/>
  <c r="M5064" i="17"/>
  <c r="M5063" i="17"/>
  <c r="M5062" i="17"/>
  <c r="M5061" i="17"/>
  <c r="M5060" i="17"/>
  <c r="M5059" i="17"/>
  <c r="M5058" i="17"/>
  <c r="M5057" i="17"/>
  <c r="M5056" i="17"/>
  <c r="M5055" i="17"/>
  <c r="M5054" i="17"/>
  <c r="M5053" i="17"/>
  <c r="M5052" i="17"/>
  <c r="M5051" i="17"/>
  <c r="M5050" i="17"/>
  <c r="M5049" i="17"/>
  <c r="M5048" i="17"/>
  <c r="M5047" i="17"/>
  <c r="M5046" i="17"/>
  <c r="M5045" i="17"/>
  <c r="M5044" i="17"/>
  <c r="M5043" i="17"/>
  <c r="M5042" i="17"/>
  <c r="M5041" i="17"/>
  <c r="M5040" i="17"/>
  <c r="M5039" i="17"/>
  <c r="M5038" i="17"/>
  <c r="M5037" i="17"/>
  <c r="M5036" i="17"/>
  <c r="M5035" i="17"/>
  <c r="M5034" i="17"/>
  <c r="M5033" i="17"/>
  <c r="M5032" i="17"/>
  <c r="M5031" i="17"/>
  <c r="M5030" i="17"/>
  <c r="M5029" i="17"/>
  <c r="M5028" i="17"/>
  <c r="M5027" i="17"/>
  <c r="M5026" i="17"/>
  <c r="M5025" i="17"/>
  <c r="M5024" i="17"/>
  <c r="M5023" i="17"/>
  <c r="M5022" i="17"/>
  <c r="M5021" i="17"/>
  <c r="M5020" i="17"/>
  <c r="M5019" i="17"/>
  <c r="M5018" i="17"/>
  <c r="M5017" i="17"/>
  <c r="M5016" i="17"/>
  <c r="M5015" i="17"/>
  <c r="M5014" i="17"/>
  <c r="M5013" i="17"/>
  <c r="M5012" i="17"/>
  <c r="M5011" i="17"/>
  <c r="M5010" i="17"/>
  <c r="M5009" i="17"/>
  <c r="M5008" i="17"/>
  <c r="M5007" i="17"/>
  <c r="M5006" i="17"/>
  <c r="M5005" i="17"/>
  <c r="M5004" i="17"/>
  <c r="M5003" i="17"/>
  <c r="M5002" i="17"/>
  <c r="M5001" i="17"/>
  <c r="M5000" i="17"/>
  <c r="M4999" i="17"/>
  <c r="M4998" i="17"/>
  <c r="M4997" i="17"/>
  <c r="M4996" i="17"/>
  <c r="M4995" i="17"/>
  <c r="M4994" i="17"/>
  <c r="M4993" i="17"/>
  <c r="M4992" i="17"/>
  <c r="M4991" i="17"/>
  <c r="M4990" i="17"/>
  <c r="M4989" i="17"/>
  <c r="M4988" i="17"/>
  <c r="M4987" i="17"/>
  <c r="M4986" i="17"/>
  <c r="M4985" i="17"/>
  <c r="M4984" i="17"/>
  <c r="M4983" i="17"/>
  <c r="M4982" i="17"/>
  <c r="M4981" i="17"/>
  <c r="M4980" i="17"/>
  <c r="M4979" i="17"/>
  <c r="M4978" i="17"/>
  <c r="M4977" i="17"/>
  <c r="M4976" i="17"/>
  <c r="M4975" i="17"/>
  <c r="M4974" i="17"/>
  <c r="M4973" i="17"/>
  <c r="M4972" i="17"/>
  <c r="M4971" i="17"/>
  <c r="M4970" i="17"/>
  <c r="M4969" i="17"/>
  <c r="M4968" i="17"/>
  <c r="M4967" i="17"/>
  <c r="M4966" i="17"/>
  <c r="M4965" i="17"/>
  <c r="M4964" i="17"/>
  <c r="M4963" i="17"/>
  <c r="M4962" i="17"/>
  <c r="M4961" i="17"/>
  <c r="M4960" i="17"/>
  <c r="M4959" i="17"/>
  <c r="M4958" i="17"/>
  <c r="M4957" i="17"/>
  <c r="M4956" i="17"/>
  <c r="M4955" i="17"/>
  <c r="M4954" i="17"/>
  <c r="M4953" i="17"/>
  <c r="M4952" i="17"/>
  <c r="M4951" i="17"/>
  <c r="M4950" i="17"/>
  <c r="M4949" i="17"/>
  <c r="M4948" i="17"/>
  <c r="M4947" i="17"/>
  <c r="M4946" i="17"/>
  <c r="M4945" i="17"/>
  <c r="M4944" i="17"/>
  <c r="M4943" i="17"/>
  <c r="M4942" i="17"/>
  <c r="M4941" i="17"/>
  <c r="M4940" i="17"/>
  <c r="M4939" i="17"/>
  <c r="M4938" i="17"/>
  <c r="M4937" i="17"/>
  <c r="M4936" i="17"/>
  <c r="M4935" i="17"/>
  <c r="M4934" i="17"/>
  <c r="M4933" i="17"/>
  <c r="M4932" i="17"/>
  <c r="M4931" i="17"/>
  <c r="M4930" i="17"/>
  <c r="M4929" i="17"/>
  <c r="M4928" i="17"/>
  <c r="M4927" i="17"/>
  <c r="M4926" i="17"/>
  <c r="M4925" i="17"/>
  <c r="M4924" i="17"/>
  <c r="M4923" i="17"/>
  <c r="M4922" i="17"/>
  <c r="M4921" i="17"/>
  <c r="M4920" i="17"/>
  <c r="M4919" i="17"/>
  <c r="M4918" i="17"/>
  <c r="M4917" i="17"/>
  <c r="M4916" i="17"/>
  <c r="M4915" i="17"/>
  <c r="M4914" i="17"/>
  <c r="M4913" i="17"/>
  <c r="M4912" i="17"/>
  <c r="M4911" i="17"/>
  <c r="M4910" i="17"/>
  <c r="M4909" i="17"/>
  <c r="M4908" i="17"/>
  <c r="M4907" i="17"/>
  <c r="M4906" i="17"/>
  <c r="M4905" i="17"/>
  <c r="M4904" i="17"/>
  <c r="M4903" i="17"/>
  <c r="M4902" i="17"/>
  <c r="M4901" i="17"/>
  <c r="M4900" i="17"/>
  <c r="M4899" i="17"/>
  <c r="M4898" i="17"/>
  <c r="M4897" i="17"/>
  <c r="M4896" i="17"/>
  <c r="M4895" i="17"/>
  <c r="M4894" i="17"/>
  <c r="M4893" i="17"/>
  <c r="M4892" i="17"/>
  <c r="M4891" i="17"/>
  <c r="M4890" i="17"/>
  <c r="M4889" i="17"/>
  <c r="M4888" i="17"/>
  <c r="M4887" i="17"/>
  <c r="M4886" i="17"/>
  <c r="M4885" i="17"/>
  <c r="M4884" i="17"/>
  <c r="M4883" i="17"/>
  <c r="M4882" i="17"/>
  <c r="M4881" i="17"/>
  <c r="M4880" i="17"/>
  <c r="M4879" i="17"/>
  <c r="M4878" i="17"/>
  <c r="M4877" i="17"/>
  <c r="M4876" i="17"/>
  <c r="M4875" i="17"/>
  <c r="M4874" i="17"/>
  <c r="M4873" i="17"/>
  <c r="M4872" i="17"/>
  <c r="M4871" i="17"/>
  <c r="M4870" i="17"/>
  <c r="M4869" i="17"/>
  <c r="M4868" i="17"/>
  <c r="M4867" i="17"/>
  <c r="M4866" i="17"/>
  <c r="M4865" i="17"/>
  <c r="M4864" i="17"/>
  <c r="M4863" i="17"/>
  <c r="M4862" i="17"/>
  <c r="M4861" i="17"/>
  <c r="M4860" i="17"/>
  <c r="M4859" i="17"/>
  <c r="M4858" i="17"/>
  <c r="M4857" i="17"/>
  <c r="M4856" i="17"/>
  <c r="M4855" i="17"/>
  <c r="M4854" i="17"/>
  <c r="M4853" i="17"/>
  <c r="M4852" i="17"/>
  <c r="M4851" i="17"/>
  <c r="M4850" i="17"/>
  <c r="M4849" i="17"/>
  <c r="M4848" i="17"/>
  <c r="M4847" i="17"/>
  <c r="M4846" i="17"/>
  <c r="M4845" i="17"/>
  <c r="M4844" i="17"/>
  <c r="M4843" i="17"/>
  <c r="M4842" i="17"/>
  <c r="M4841" i="17"/>
  <c r="M4840" i="17"/>
  <c r="M4839" i="17"/>
  <c r="M4838" i="17"/>
  <c r="M4837" i="17"/>
  <c r="M4836" i="17"/>
  <c r="M4835" i="17"/>
  <c r="M4834" i="17"/>
  <c r="M4833" i="17"/>
  <c r="M4832" i="17"/>
  <c r="M4831" i="17"/>
  <c r="M4830" i="17"/>
  <c r="M4829" i="17"/>
  <c r="M4828" i="17"/>
  <c r="M4827" i="17"/>
  <c r="M4826" i="17"/>
  <c r="M4825" i="17"/>
  <c r="M4824" i="17"/>
  <c r="M4823" i="17"/>
  <c r="M4822" i="17"/>
  <c r="M4821" i="17"/>
  <c r="M4820" i="17"/>
  <c r="M4819" i="17"/>
  <c r="M4818" i="17"/>
  <c r="M4817" i="17"/>
  <c r="M4816" i="17"/>
  <c r="M4815" i="17"/>
  <c r="M4814" i="17"/>
  <c r="M4813" i="17"/>
  <c r="M4812" i="17"/>
  <c r="M4811" i="17"/>
  <c r="M4810" i="17"/>
  <c r="M4809" i="17"/>
  <c r="M4808" i="17"/>
  <c r="M4807" i="17"/>
  <c r="M4806" i="17"/>
  <c r="M4805" i="17"/>
  <c r="M4804" i="17"/>
  <c r="M4803" i="17"/>
  <c r="M4802" i="17"/>
  <c r="M4801" i="17"/>
  <c r="M4800" i="17"/>
  <c r="M4799" i="17"/>
  <c r="M4798" i="17"/>
  <c r="M4797" i="17"/>
  <c r="M4796" i="17"/>
  <c r="M4795" i="17"/>
  <c r="M4794" i="17"/>
  <c r="M4793" i="17"/>
  <c r="M4792" i="17"/>
  <c r="M4791" i="17"/>
  <c r="M4790" i="17"/>
  <c r="M4789" i="17"/>
  <c r="M4788" i="17"/>
  <c r="M4787" i="17"/>
  <c r="M4786" i="17"/>
  <c r="M4785" i="17"/>
  <c r="M4784" i="17"/>
  <c r="M4783" i="17"/>
  <c r="M4782" i="17"/>
  <c r="M4781" i="17"/>
  <c r="M4780" i="17"/>
  <c r="M4779" i="17"/>
  <c r="M4778" i="17"/>
  <c r="M4777" i="17"/>
  <c r="M4776" i="17"/>
  <c r="M4775" i="17"/>
  <c r="M4774" i="17"/>
  <c r="M4773" i="17"/>
  <c r="M4772" i="17"/>
  <c r="M4771" i="17"/>
  <c r="M4770" i="17"/>
  <c r="M4769" i="17"/>
  <c r="M4768" i="17"/>
  <c r="M4767" i="17"/>
  <c r="M4766" i="17"/>
  <c r="M4765" i="17"/>
  <c r="M4764" i="17"/>
  <c r="M4763" i="17"/>
  <c r="M4762" i="17"/>
  <c r="M4761" i="17"/>
  <c r="M4760" i="17"/>
  <c r="M4759" i="17"/>
  <c r="M4758" i="17"/>
  <c r="M4757" i="17"/>
  <c r="M4756" i="17"/>
  <c r="M4755" i="17"/>
  <c r="M4754" i="17"/>
  <c r="M4753" i="17"/>
  <c r="M4752" i="17"/>
  <c r="M4751" i="17"/>
  <c r="M4750" i="17"/>
  <c r="M4749" i="17"/>
  <c r="M4748" i="17"/>
  <c r="M4747" i="17"/>
  <c r="M4746" i="17"/>
  <c r="M4745" i="17"/>
  <c r="M4744" i="17"/>
  <c r="M4743" i="17"/>
  <c r="M4742" i="17"/>
  <c r="M4741" i="17"/>
  <c r="M4740" i="17"/>
  <c r="M4739" i="17"/>
  <c r="M4738" i="17"/>
  <c r="M4737" i="17"/>
  <c r="M4736" i="17"/>
  <c r="M4735" i="17"/>
  <c r="M4734" i="17"/>
  <c r="M4733" i="17"/>
  <c r="M4732" i="17"/>
  <c r="M4731" i="17"/>
  <c r="M4730" i="17"/>
  <c r="M4729" i="17"/>
  <c r="M4728" i="17"/>
  <c r="M4727" i="17"/>
  <c r="M4726" i="17"/>
  <c r="M4725" i="17"/>
  <c r="M4724" i="17"/>
  <c r="M4723" i="17"/>
  <c r="M4722" i="17"/>
  <c r="M4721" i="17"/>
  <c r="M4720" i="17"/>
  <c r="M4719" i="17"/>
  <c r="M4718" i="17"/>
  <c r="M4717" i="17"/>
  <c r="M4716" i="17"/>
  <c r="M4715" i="17"/>
  <c r="M4714" i="17"/>
  <c r="M4713" i="17"/>
  <c r="M4712" i="17"/>
  <c r="M4711" i="17"/>
  <c r="M4710" i="17"/>
  <c r="M4709" i="17"/>
  <c r="M4708" i="17"/>
  <c r="M4707" i="17"/>
  <c r="M4706" i="17"/>
  <c r="M4705" i="17"/>
  <c r="M4704" i="17"/>
  <c r="M4703" i="17"/>
  <c r="M4702" i="17"/>
  <c r="M4701" i="17"/>
  <c r="M4700" i="17"/>
  <c r="M4699" i="17"/>
  <c r="M4698" i="17"/>
  <c r="M4697" i="17"/>
  <c r="M4696" i="17"/>
  <c r="M4695" i="17"/>
  <c r="M4694" i="17"/>
  <c r="M4693" i="17"/>
  <c r="M4692" i="17"/>
  <c r="M4691" i="17"/>
  <c r="M4690" i="17"/>
  <c r="M4689" i="17"/>
  <c r="M4688" i="17"/>
  <c r="M4687" i="17"/>
  <c r="M4686" i="17"/>
  <c r="M4685" i="17"/>
  <c r="M4684" i="17"/>
  <c r="M4683" i="17"/>
  <c r="M4682" i="17"/>
  <c r="M4681" i="17"/>
  <c r="M4680" i="17"/>
  <c r="M4679" i="17"/>
  <c r="M4678" i="17"/>
  <c r="M4677" i="17"/>
  <c r="M4676" i="17"/>
  <c r="M4675" i="17"/>
  <c r="M4674" i="17"/>
  <c r="M4673" i="17"/>
  <c r="M4672" i="17"/>
  <c r="M4671" i="17"/>
  <c r="M4670" i="17"/>
  <c r="M4669" i="17"/>
  <c r="M4668" i="17"/>
  <c r="M4667" i="17"/>
  <c r="M4666" i="17"/>
  <c r="M4665" i="17"/>
  <c r="M4664" i="17"/>
  <c r="M4663" i="17"/>
  <c r="M4662" i="17"/>
  <c r="M4661" i="17"/>
  <c r="M4660" i="17"/>
  <c r="M4659" i="17"/>
  <c r="M4658" i="17"/>
  <c r="M4657" i="17"/>
  <c r="M4656" i="17"/>
  <c r="M4655" i="17"/>
  <c r="M4654" i="17"/>
  <c r="M4653" i="17"/>
  <c r="M4652" i="17"/>
  <c r="M4651" i="17"/>
  <c r="M4650" i="17"/>
  <c r="M4649" i="17"/>
  <c r="M4648" i="17"/>
  <c r="M4647" i="17"/>
  <c r="M4646" i="17"/>
  <c r="M4645" i="17"/>
  <c r="M4644" i="17"/>
  <c r="M4643" i="17"/>
  <c r="M4642" i="17"/>
  <c r="M4641" i="17"/>
  <c r="M4640" i="17"/>
  <c r="M4639" i="17"/>
  <c r="M4638" i="17"/>
  <c r="M4637" i="17"/>
  <c r="M4636" i="17"/>
  <c r="M4635" i="17"/>
  <c r="M4634" i="17"/>
  <c r="M4633" i="17"/>
  <c r="M4632" i="17"/>
  <c r="M4631" i="17"/>
  <c r="M4630" i="17"/>
  <c r="M4629" i="17"/>
  <c r="M4628" i="17"/>
  <c r="M4627" i="17"/>
  <c r="M4626" i="17"/>
  <c r="M4625" i="17"/>
  <c r="M4624" i="17"/>
  <c r="M4623" i="17"/>
  <c r="M4622" i="17"/>
  <c r="M4621" i="17"/>
  <c r="M4620" i="17"/>
  <c r="M4619" i="17"/>
  <c r="M4618" i="17"/>
  <c r="M4617" i="17"/>
  <c r="M4616" i="17"/>
  <c r="M4615" i="17"/>
  <c r="M4614" i="17"/>
  <c r="M4613" i="17"/>
  <c r="M4612" i="17"/>
  <c r="M4611" i="17"/>
  <c r="M4610" i="17"/>
  <c r="M4609" i="17"/>
  <c r="M4608" i="17"/>
  <c r="M4607" i="17"/>
  <c r="M4606" i="17"/>
  <c r="M4605" i="17"/>
  <c r="M4604" i="17"/>
  <c r="M4603" i="17"/>
  <c r="M4602" i="17"/>
  <c r="M4601" i="17"/>
  <c r="M4600" i="17"/>
  <c r="M4599" i="17"/>
  <c r="M4598" i="17"/>
  <c r="M4597" i="17"/>
  <c r="M4596" i="17"/>
  <c r="M4595" i="17"/>
  <c r="M4594" i="17"/>
  <c r="M4593" i="17"/>
  <c r="M4592" i="17"/>
  <c r="M4591" i="17"/>
  <c r="M4590" i="17"/>
  <c r="M4589" i="17"/>
  <c r="M4588" i="17"/>
  <c r="M4587" i="17"/>
  <c r="M4586" i="17"/>
  <c r="M4585" i="17"/>
  <c r="M4584" i="17"/>
  <c r="M4583" i="17"/>
  <c r="M4582" i="17"/>
  <c r="M4581" i="17"/>
  <c r="M4580" i="17"/>
  <c r="M4579" i="17"/>
  <c r="M4578" i="17"/>
  <c r="M4577" i="17"/>
  <c r="M4576" i="17"/>
  <c r="M4575" i="17"/>
  <c r="M4574" i="17"/>
  <c r="M4573" i="17"/>
  <c r="M4572" i="17"/>
  <c r="M4571" i="17"/>
  <c r="M4570" i="17"/>
  <c r="M4569" i="17"/>
  <c r="M4568" i="17"/>
  <c r="M4567" i="17"/>
  <c r="M4566" i="17"/>
  <c r="M4565" i="17"/>
  <c r="M4564" i="17"/>
  <c r="M4563" i="17"/>
  <c r="M4562" i="17"/>
  <c r="M4561" i="17"/>
  <c r="M4560" i="17"/>
  <c r="M4559" i="17"/>
  <c r="M4558" i="17"/>
  <c r="M4557" i="17"/>
  <c r="M4556" i="17"/>
  <c r="M4555" i="17"/>
  <c r="M4554" i="17"/>
  <c r="M4553" i="17"/>
  <c r="M4552" i="17"/>
  <c r="M4551" i="17"/>
  <c r="M4550" i="17"/>
  <c r="M4549" i="17"/>
  <c r="M4548" i="17"/>
  <c r="M4547" i="17"/>
  <c r="M4546" i="17"/>
  <c r="M4545" i="17"/>
  <c r="M4544" i="17"/>
  <c r="M4543" i="17"/>
  <c r="M4542" i="17"/>
  <c r="M4541" i="17"/>
  <c r="M4540" i="17"/>
  <c r="M4539" i="17"/>
  <c r="M4538" i="17"/>
  <c r="M4537" i="17"/>
  <c r="M4536" i="17"/>
  <c r="M4535" i="17"/>
  <c r="M4534" i="17"/>
  <c r="M4533" i="17"/>
  <c r="M4532" i="17"/>
  <c r="M4531" i="17"/>
  <c r="M4530" i="17"/>
  <c r="M4529" i="17"/>
  <c r="M4528" i="17"/>
  <c r="M4527" i="17"/>
  <c r="M4526" i="17"/>
  <c r="M4525" i="17"/>
  <c r="M4524" i="17"/>
  <c r="M4523" i="17"/>
  <c r="M4522" i="17"/>
  <c r="M4521" i="17"/>
  <c r="M4520" i="17"/>
  <c r="M4519" i="17"/>
  <c r="M4518" i="17"/>
  <c r="M4517" i="17"/>
  <c r="M4516" i="17"/>
  <c r="M4515" i="17"/>
  <c r="M4514" i="17"/>
  <c r="M4513" i="17"/>
  <c r="M4512" i="17"/>
  <c r="M4511" i="17"/>
  <c r="M4510" i="17"/>
  <c r="M4509" i="17"/>
  <c r="M4508" i="17"/>
  <c r="M4507" i="17"/>
  <c r="M4506" i="17"/>
  <c r="M4505" i="17"/>
  <c r="M4504" i="17"/>
  <c r="M4503" i="17"/>
  <c r="M4502" i="17"/>
  <c r="M4501" i="17"/>
  <c r="M4500" i="17"/>
  <c r="M4499" i="17"/>
  <c r="M4498" i="17"/>
  <c r="M4497" i="17"/>
  <c r="M4496" i="17"/>
  <c r="M4495" i="17"/>
  <c r="M4494" i="17"/>
  <c r="M4493" i="17"/>
  <c r="M4492" i="17"/>
  <c r="M4491" i="17"/>
  <c r="M4490" i="17"/>
  <c r="M4489" i="17"/>
  <c r="M4488" i="17"/>
  <c r="M4487" i="17"/>
  <c r="M4486" i="17"/>
  <c r="M4485" i="17"/>
  <c r="M4484" i="17"/>
  <c r="M4483" i="17"/>
  <c r="M4482" i="17"/>
  <c r="M4481" i="17"/>
  <c r="M4480" i="17"/>
  <c r="M4479" i="17"/>
  <c r="M4478" i="17"/>
  <c r="M4477" i="17"/>
  <c r="M4476" i="17"/>
  <c r="M4475" i="17"/>
  <c r="M4474" i="17"/>
  <c r="M4473" i="17"/>
  <c r="M4472" i="17"/>
  <c r="M4471" i="17"/>
  <c r="M4470" i="17"/>
  <c r="M4469" i="17"/>
  <c r="M4468" i="17"/>
  <c r="M4467" i="17"/>
  <c r="M4466" i="17"/>
  <c r="M4465" i="17"/>
  <c r="M4464" i="17"/>
  <c r="M4463" i="17"/>
  <c r="M4462" i="17"/>
  <c r="M4461" i="17"/>
  <c r="M4460" i="17"/>
  <c r="M4459" i="17"/>
  <c r="M4458" i="17"/>
  <c r="M4457" i="17"/>
  <c r="M4456" i="17"/>
  <c r="M4455" i="17"/>
  <c r="M4454" i="17"/>
  <c r="M4453" i="17"/>
  <c r="M4452" i="17"/>
  <c r="M4451" i="17"/>
  <c r="M4450" i="17"/>
  <c r="M4449" i="17"/>
  <c r="M4448" i="17"/>
  <c r="M4447" i="17"/>
  <c r="M4446" i="17"/>
  <c r="M4445" i="17"/>
  <c r="M4444" i="17"/>
  <c r="M4443" i="17"/>
  <c r="M4442" i="17"/>
  <c r="M4441" i="17"/>
  <c r="M4440" i="17"/>
  <c r="M4439" i="17"/>
  <c r="M4438" i="17"/>
  <c r="M4437" i="17"/>
  <c r="M4436" i="17"/>
  <c r="M4435" i="17"/>
  <c r="M4434" i="17"/>
  <c r="M4433" i="17"/>
  <c r="M4432" i="17"/>
  <c r="M4431" i="17"/>
  <c r="M4430" i="17"/>
  <c r="M4429" i="17"/>
  <c r="M4428" i="17"/>
  <c r="M4427" i="17"/>
  <c r="M4426" i="17"/>
  <c r="M4425" i="17"/>
  <c r="M4424" i="17"/>
  <c r="M4423" i="17"/>
  <c r="M4422" i="17"/>
  <c r="M4421" i="17"/>
  <c r="M4420" i="17"/>
  <c r="M4419" i="17"/>
  <c r="M4418" i="17"/>
  <c r="M4417" i="17"/>
  <c r="M4416" i="17"/>
  <c r="M4415" i="17"/>
  <c r="M4414" i="17"/>
  <c r="M4413" i="17"/>
  <c r="M4412" i="17"/>
  <c r="M4411" i="17"/>
  <c r="M4410" i="17"/>
  <c r="M4409" i="17"/>
  <c r="M4408" i="17"/>
  <c r="M4407" i="17"/>
  <c r="M4406" i="17"/>
  <c r="M4405" i="17"/>
  <c r="M4404" i="17"/>
  <c r="M4403" i="17"/>
  <c r="M4402" i="17"/>
  <c r="M4401" i="17"/>
  <c r="M4400" i="17"/>
  <c r="M4399" i="17"/>
  <c r="M4398" i="17"/>
  <c r="M4397" i="17"/>
  <c r="M4396" i="17"/>
  <c r="M4395" i="17"/>
  <c r="M4394" i="17"/>
  <c r="M4393" i="17"/>
  <c r="M4392" i="17"/>
  <c r="M4391" i="17"/>
  <c r="M4390" i="17"/>
  <c r="M4389" i="17"/>
  <c r="M4388" i="17"/>
  <c r="M4387" i="17"/>
  <c r="M4386" i="17"/>
  <c r="M4385" i="17"/>
  <c r="M4384" i="17"/>
  <c r="M4383" i="17"/>
  <c r="M4382" i="17"/>
  <c r="M4381" i="17"/>
  <c r="M4380" i="17"/>
  <c r="M4379" i="17"/>
  <c r="M4378" i="17"/>
  <c r="M4377" i="17"/>
  <c r="M4376" i="17"/>
  <c r="M4375" i="17"/>
  <c r="M4374" i="17"/>
  <c r="M4373" i="17"/>
  <c r="M4372" i="17"/>
  <c r="M4371" i="17"/>
  <c r="M4370" i="17"/>
  <c r="M4369" i="17"/>
  <c r="M4368" i="17"/>
  <c r="M4367" i="17"/>
  <c r="M4366" i="17"/>
  <c r="M4365" i="17"/>
  <c r="M4364" i="17"/>
  <c r="M4363" i="17"/>
  <c r="M4362" i="17"/>
  <c r="M4361" i="17"/>
  <c r="M4360" i="17"/>
  <c r="M4359" i="17"/>
  <c r="M4358" i="17"/>
  <c r="M4357" i="17"/>
  <c r="M4356" i="17"/>
  <c r="M4355" i="17"/>
  <c r="M4354" i="17"/>
  <c r="M4353" i="17"/>
  <c r="M4352" i="17"/>
  <c r="M4351" i="17"/>
  <c r="M4350" i="17"/>
  <c r="M4349" i="17"/>
  <c r="M4348" i="17"/>
  <c r="M4347" i="17"/>
  <c r="M4346" i="17"/>
  <c r="M4345" i="17"/>
  <c r="M4344" i="17"/>
  <c r="M4343" i="17"/>
  <c r="M4342" i="17"/>
  <c r="M4341" i="17"/>
  <c r="M4340" i="17"/>
  <c r="M4339" i="17"/>
  <c r="M4338" i="17"/>
  <c r="M4337" i="17"/>
  <c r="M4336" i="17"/>
  <c r="M4335" i="17"/>
  <c r="M4334" i="17"/>
  <c r="M4333" i="17"/>
  <c r="M4332" i="17"/>
  <c r="M4331" i="17"/>
  <c r="M4330" i="17"/>
  <c r="M4329" i="17"/>
  <c r="M4328" i="17"/>
  <c r="M4327" i="17"/>
  <c r="M4326" i="17"/>
  <c r="M4325" i="17"/>
  <c r="M4324" i="17"/>
  <c r="M4323" i="17"/>
  <c r="M4322" i="17"/>
  <c r="M4321" i="17"/>
  <c r="M4320" i="17"/>
  <c r="M4319" i="17"/>
  <c r="M4318" i="17"/>
  <c r="M4317" i="17"/>
  <c r="M4316" i="17"/>
  <c r="M4315" i="17"/>
  <c r="M4314" i="17"/>
  <c r="M4313" i="17"/>
  <c r="M4312" i="17"/>
  <c r="M4311" i="17"/>
  <c r="M4310" i="17"/>
  <c r="M4309" i="17"/>
  <c r="M4308" i="17"/>
  <c r="M4307" i="17"/>
  <c r="M4306" i="17"/>
  <c r="M4305" i="17"/>
  <c r="M4304" i="17"/>
  <c r="M4303" i="17"/>
  <c r="M4302" i="17"/>
  <c r="M4301" i="17"/>
  <c r="M4300" i="17"/>
  <c r="M4299" i="17"/>
  <c r="M4298" i="17"/>
  <c r="M4297" i="17"/>
  <c r="M4296" i="17"/>
  <c r="M4295" i="17"/>
  <c r="M4294" i="17"/>
  <c r="M4293" i="17"/>
  <c r="M4292" i="17"/>
  <c r="M4291" i="17"/>
  <c r="M4290" i="17"/>
  <c r="M4289" i="17"/>
  <c r="M4288" i="17"/>
  <c r="M4287" i="17"/>
  <c r="M4286" i="17"/>
  <c r="M4285" i="17"/>
  <c r="M4284" i="17"/>
  <c r="M4283" i="17"/>
  <c r="M4282" i="17"/>
  <c r="M4281" i="17"/>
  <c r="M4280" i="17"/>
  <c r="M4279" i="17"/>
  <c r="M4278" i="17"/>
  <c r="M4277" i="17"/>
  <c r="M4276" i="17"/>
  <c r="M4275" i="17"/>
  <c r="M4274" i="17"/>
  <c r="M4273" i="17"/>
  <c r="M4272" i="17"/>
  <c r="M4271" i="17"/>
  <c r="M4270" i="17"/>
  <c r="M4269" i="17"/>
  <c r="M4268" i="17"/>
  <c r="M4267" i="17"/>
  <c r="M4266" i="17"/>
  <c r="M4265" i="17"/>
  <c r="M4264" i="17"/>
  <c r="M4263" i="17"/>
  <c r="M4262" i="17"/>
  <c r="M4261" i="17"/>
  <c r="M4260" i="17"/>
  <c r="M4259" i="17"/>
  <c r="M4258" i="17"/>
  <c r="M4257" i="17"/>
  <c r="M4256" i="17"/>
  <c r="M4255" i="17"/>
  <c r="M4254" i="17"/>
  <c r="M4253" i="17"/>
  <c r="M4252" i="17"/>
  <c r="M4251" i="17"/>
  <c r="M4250" i="17"/>
  <c r="M4249" i="17"/>
  <c r="M4248" i="17"/>
  <c r="M4247" i="17"/>
  <c r="M4246" i="17"/>
  <c r="M4245" i="17"/>
  <c r="M4244" i="17"/>
  <c r="M4243" i="17"/>
  <c r="M4242" i="17"/>
  <c r="M4241" i="17"/>
  <c r="M4240" i="17"/>
  <c r="M4239" i="17"/>
  <c r="M4238" i="17"/>
  <c r="M4237" i="17"/>
  <c r="M4236" i="17"/>
  <c r="M4235" i="17"/>
  <c r="M4234" i="17"/>
  <c r="M4233" i="17"/>
  <c r="M4232" i="17"/>
  <c r="M4231" i="17"/>
  <c r="M4230" i="17"/>
  <c r="M4229" i="17"/>
  <c r="M4228" i="17"/>
  <c r="M4227" i="17"/>
  <c r="M4226" i="17"/>
  <c r="M4225" i="17"/>
  <c r="M4224" i="17"/>
  <c r="M4223" i="17"/>
  <c r="M4222" i="17"/>
  <c r="M4221" i="17"/>
  <c r="M4220" i="17"/>
  <c r="M4219" i="17"/>
  <c r="M4218" i="17"/>
  <c r="M4217" i="17"/>
  <c r="M4216" i="17"/>
  <c r="M4215" i="17"/>
  <c r="M4214" i="17"/>
  <c r="M4213" i="17"/>
  <c r="M4212" i="17"/>
  <c r="M4211" i="17"/>
  <c r="M4210" i="17"/>
  <c r="M4209" i="17"/>
  <c r="M4208" i="17"/>
  <c r="M4207" i="17"/>
  <c r="M4206" i="17"/>
  <c r="M4205" i="17"/>
  <c r="M4204" i="17"/>
  <c r="M4203" i="17"/>
  <c r="M4202" i="17"/>
  <c r="M4201" i="17"/>
  <c r="M4200" i="17"/>
  <c r="M4199" i="17"/>
  <c r="M4198" i="17"/>
  <c r="M4197" i="17"/>
  <c r="M4196" i="17"/>
  <c r="M4195" i="17"/>
  <c r="M4194" i="17"/>
  <c r="M4193" i="17"/>
  <c r="M4192" i="17"/>
  <c r="M4191" i="17"/>
  <c r="M4190" i="17"/>
  <c r="M4189" i="17"/>
  <c r="M4188" i="17"/>
  <c r="M4187" i="17"/>
  <c r="M4186" i="17"/>
  <c r="M4185" i="17"/>
  <c r="M4184" i="17"/>
  <c r="M4183" i="17"/>
  <c r="M4182" i="17"/>
  <c r="M4181" i="17"/>
  <c r="M4180" i="17"/>
  <c r="M4179" i="17"/>
  <c r="M4178" i="17"/>
  <c r="M4177" i="17"/>
  <c r="M4176" i="17"/>
  <c r="M4175" i="17"/>
  <c r="M4174" i="17"/>
  <c r="M4173" i="17"/>
  <c r="M4172" i="17"/>
  <c r="M4171" i="17"/>
  <c r="M4170" i="17"/>
  <c r="M4169" i="17"/>
  <c r="M4168" i="17"/>
  <c r="M4167" i="17"/>
  <c r="M4166" i="17"/>
  <c r="M4165" i="17"/>
  <c r="M4164" i="17"/>
  <c r="M4163" i="17"/>
  <c r="M4162" i="17"/>
  <c r="M4161" i="17"/>
  <c r="M4160" i="17"/>
  <c r="M4159" i="17"/>
  <c r="M4158" i="17"/>
  <c r="M4157" i="17"/>
  <c r="M4156" i="17"/>
  <c r="M4155" i="17"/>
  <c r="M4154" i="17"/>
  <c r="M4153" i="17"/>
  <c r="M4152" i="17"/>
  <c r="M4151" i="17"/>
  <c r="M4150" i="17"/>
  <c r="M4149" i="17"/>
  <c r="M4148" i="17"/>
  <c r="M4147" i="17"/>
  <c r="M4146" i="17"/>
  <c r="M4145" i="17"/>
  <c r="M4144" i="17"/>
  <c r="M4143" i="17"/>
  <c r="M4142" i="17"/>
  <c r="M4141" i="17"/>
  <c r="M4140" i="17"/>
  <c r="M4139" i="17"/>
  <c r="M4138" i="17"/>
  <c r="M4137" i="17"/>
  <c r="M4136" i="17"/>
  <c r="M4135" i="17"/>
  <c r="M4134" i="17"/>
  <c r="M4133" i="17"/>
  <c r="M4132" i="17"/>
  <c r="M4131" i="17"/>
  <c r="M4130" i="17"/>
  <c r="M4129" i="17"/>
  <c r="M4128" i="17"/>
  <c r="M4127" i="17"/>
  <c r="M4126" i="17"/>
  <c r="M4125" i="17"/>
  <c r="M4124" i="17"/>
  <c r="M4123" i="17"/>
  <c r="M4122" i="17"/>
  <c r="M4121" i="17"/>
  <c r="M4120" i="17"/>
  <c r="M4119" i="17"/>
  <c r="M4118" i="17"/>
  <c r="M4117" i="17"/>
  <c r="M4116" i="17"/>
  <c r="M4115" i="17"/>
  <c r="M4114" i="17"/>
  <c r="M4113" i="17"/>
  <c r="M4112" i="17"/>
  <c r="M4111" i="17"/>
  <c r="M4110" i="17"/>
  <c r="M4109" i="17"/>
  <c r="M4108" i="17"/>
  <c r="M4107" i="17"/>
  <c r="M4106" i="17"/>
  <c r="M4105" i="17"/>
  <c r="M4104" i="17"/>
  <c r="M4103" i="17"/>
  <c r="M4102" i="17"/>
  <c r="M4101" i="17"/>
  <c r="M4100" i="17"/>
  <c r="M4099" i="17"/>
  <c r="M4098" i="17"/>
  <c r="M4097" i="17"/>
  <c r="M4096" i="17"/>
  <c r="M4095" i="17"/>
  <c r="M4094" i="17"/>
  <c r="M4093" i="17"/>
  <c r="M4092" i="17"/>
  <c r="M4091" i="17"/>
  <c r="M4090" i="17"/>
  <c r="M4089" i="17"/>
  <c r="M4088" i="17"/>
  <c r="M4087" i="17"/>
  <c r="M4086" i="17"/>
  <c r="M4085" i="17"/>
  <c r="M4084" i="17"/>
  <c r="M4083" i="17"/>
  <c r="M4082" i="17"/>
  <c r="M4081" i="17"/>
  <c r="M4080" i="17"/>
  <c r="M4079" i="17"/>
  <c r="M4078" i="17"/>
  <c r="M4077" i="17"/>
  <c r="M4076" i="17"/>
  <c r="M4075" i="17"/>
  <c r="M4074" i="17"/>
  <c r="M4073" i="17"/>
  <c r="M4072" i="17"/>
  <c r="M4071" i="17"/>
  <c r="M4070" i="17"/>
  <c r="M4069" i="17"/>
  <c r="M4068" i="17"/>
  <c r="M4067" i="17"/>
  <c r="M4066" i="17"/>
  <c r="M4065" i="17"/>
  <c r="M4064" i="17"/>
  <c r="M4063" i="17"/>
  <c r="M4062" i="17"/>
  <c r="M4061" i="17"/>
  <c r="M4060" i="17"/>
  <c r="M4059" i="17"/>
  <c r="M4058" i="17"/>
  <c r="M4057" i="17"/>
  <c r="M4056" i="17"/>
  <c r="M4055" i="17"/>
  <c r="M4054" i="17"/>
  <c r="M4053" i="17"/>
  <c r="M4052" i="17"/>
  <c r="M4051" i="17"/>
  <c r="M4050" i="17"/>
  <c r="M4049" i="17"/>
  <c r="M4048" i="17"/>
  <c r="M4047" i="17"/>
  <c r="M4046" i="17"/>
  <c r="M4045" i="17"/>
  <c r="M4044" i="17"/>
  <c r="M4043" i="17"/>
  <c r="M4042" i="17"/>
  <c r="M4041" i="17"/>
  <c r="M4040" i="17"/>
  <c r="M4039" i="17"/>
  <c r="M4038" i="17"/>
  <c r="M4037" i="17"/>
  <c r="M4036" i="17"/>
  <c r="M4035" i="17"/>
  <c r="M4034" i="17"/>
  <c r="M4033" i="17"/>
  <c r="M4032" i="17"/>
  <c r="M4031" i="17"/>
  <c r="M4030" i="17"/>
  <c r="M4029" i="17"/>
  <c r="M4028" i="17"/>
  <c r="M4027" i="17"/>
  <c r="M4026" i="17"/>
  <c r="M4025" i="17"/>
  <c r="M4024" i="17"/>
  <c r="M4023" i="17"/>
  <c r="M4022" i="17"/>
  <c r="M4021" i="17"/>
  <c r="M4020" i="17"/>
  <c r="M4019" i="17"/>
  <c r="M4018" i="17"/>
  <c r="M4017" i="17"/>
  <c r="M4016" i="17"/>
  <c r="M4015" i="17"/>
  <c r="M4014" i="17"/>
  <c r="M4013" i="17"/>
  <c r="M4012" i="17"/>
  <c r="M4011" i="17"/>
  <c r="M4010" i="17"/>
  <c r="M4009" i="17"/>
  <c r="M4008" i="17"/>
  <c r="M4007" i="17"/>
  <c r="M4006" i="17"/>
  <c r="M4005" i="17"/>
  <c r="M4004" i="17"/>
  <c r="M4003" i="17"/>
  <c r="M4002" i="17"/>
  <c r="M4001" i="17"/>
  <c r="M4000" i="17"/>
  <c r="M3999" i="17"/>
  <c r="M3998" i="17"/>
  <c r="M3997" i="17"/>
  <c r="M3996" i="17"/>
  <c r="M3995" i="17"/>
  <c r="M3994" i="17"/>
  <c r="M3993" i="17"/>
  <c r="M3992" i="17"/>
  <c r="M3991" i="17"/>
  <c r="M3990" i="17"/>
  <c r="M3989" i="17"/>
  <c r="M3988" i="17"/>
  <c r="M3987" i="17"/>
  <c r="M3986" i="17"/>
  <c r="M3985" i="17"/>
  <c r="M3984" i="17"/>
  <c r="M3983" i="17"/>
  <c r="M3982" i="17"/>
  <c r="M3981" i="17"/>
  <c r="M3980" i="17"/>
  <c r="M3979" i="17"/>
  <c r="M3978" i="17"/>
  <c r="M3977" i="17"/>
  <c r="M3976" i="17"/>
  <c r="M3975" i="17"/>
  <c r="M3974" i="17"/>
  <c r="M3973" i="17"/>
  <c r="M3972" i="17"/>
  <c r="M3971" i="17"/>
  <c r="M3970" i="17"/>
  <c r="M3969" i="17"/>
  <c r="M3968" i="17"/>
  <c r="M3967" i="17"/>
  <c r="M3966" i="17"/>
  <c r="M3965" i="17"/>
  <c r="M3964" i="17"/>
  <c r="M3963" i="17"/>
  <c r="M3962" i="17"/>
  <c r="M3961" i="17"/>
  <c r="M3960" i="17"/>
  <c r="M3959" i="17"/>
  <c r="M3958" i="17"/>
  <c r="M3957" i="17"/>
  <c r="M3956" i="17"/>
  <c r="M3955" i="17"/>
  <c r="M3954" i="17"/>
  <c r="M3953" i="17"/>
  <c r="M3952" i="17"/>
  <c r="M3951" i="17"/>
  <c r="M3950" i="17"/>
  <c r="M3949" i="17"/>
  <c r="M3948" i="17"/>
  <c r="M3947" i="17"/>
  <c r="M3946" i="17"/>
  <c r="M3945" i="17"/>
  <c r="M3944" i="17"/>
  <c r="M3943" i="17"/>
  <c r="M3942" i="17"/>
  <c r="M3941" i="17"/>
  <c r="M3940" i="17"/>
  <c r="M3939" i="17"/>
  <c r="M3938" i="17"/>
  <c r="M3937" i="17"/>
  <c r="M3936" i="17"/>
  <c r="M3935" i="17"/>
  <c r="M3934" i="17"/>
  <c r="M3933" i="17"/>
  <c r="M3932" i="17"/>
  <c r="M3931" i="17"/>
  <c r="M3930" i="17"/>
  <c r="M3929" i="17"/>
  <c r="M3928" i="17"/>
  <c r="M3927" i="17"/>
  <c r="M3926" i="17"/>
  <c r="M3925" i="17"/>
  <c r="M3924" i="17"/>
  <c r="M3923" i="17"/>
  <c r="M3922" i="17"/>
  <c r="M3921" i="17"/>
  <c r="M3920" i="17"/>
  <c r="M3919" i="17"/>
  <c r="M3918" i="17"/>
  <c r="M3917" i="17"/>
  <c r="M3916" i="17"/>
  <c r="M3915" i="17"/>
  <c r="M3914" i="17"/>
  <c r="M3913" i="17"/>
  <c r="M3912" i="17"/>
  <c r="M3911" i="17"/>
  <c r="M3910" i="17"/>
  <c r="M3909" i="17"/>
  <c r="M3908" i="17"/>
  <c r="M3907" i="17"/>
  <c r="M3906" i="17"/>
  <c r="M3905" i="17"/>
  <c r="M3904" i="17"/>
  <c r="M3903" i="17"/>
  <c r="M3902" i="17"/>
  <c r="M3901" i="17"/>
  <c r="M3900" i="17"/>
  <c r="M3899" i="17"/>
  <c r="M3898" i="17"/>
  <c r="M3897" i="17"/>
  <c r="M3896" i="17"/>
  <c r="M3895" i="17"/>
  <c r="M3894" i="17"/>
  <c r="M3893" i="17"/>
  <c r="M3892" i="17"/>
  <c r="M3891" i="17"/>
  <c r="M3890" i="17"/>
  <c r="M3889" i="17"/>
  <c r="M3888" i="17"/>
  <c r="M3887" i="17"/>
  <c r="M3886" i="17"/>
  <c r="M3885" i="17"/>
  <c r="M3884" i="17"/>
  <c r="M3883" i="17"/>
  <c r="M3882" i="17"/>
  <c r="M3881" i="17"/>
  <c r="M3880" i="17"/>
  <c r="M3879" i="17"/>
  <c r="M3878" i="17"/>
  <c r="M3877" i="17"/>
  <c r="M3876" i="17"/>
  <c r="M3875" i="17"/>
  <c r="M3874" i="17"/>
  <c r="M3873" i="17"/>
  <c r="M3872" i="17"/>
  <c r="M3871" i="17"/>
  <c r="M3870" i="17"/>
  <c r="M3869" i="17"/>
  <c r="M3868" i="17"/>
  <c r="M3867" i="17"/>
  <c r="M3866" i="17"/>
  <c r="M3865" i="17"/>
  <c r="M3864" i="17"/>
  <c r="M3863" i="17"/>
  <c r="M3862" i="17"/>
  <c r="M3861" i="17"/>
  <c r="M3860" i="17"/>
  <c r="M3859" i="17"/>
  <c r="M3858" i="17"/>
  <c r="M3857" i="17"/>
  <c r="M3856" i="17"/>
  <c r="M3855" i="17"/>
  <c r="M3854" i="17"/>
  <c r="M3853" i="17"/>
  <c r="M3852" i="17"/>
  <c r="M3851" i="17"/>
  <c r="M3850" i="17"/>
  <c r="M3849" i="17"/>
  <c r="M3848" i="17"/>
  <c r="M3847" i="17"/>
  <c r="M3846" i="17"/>
  <c r="M3845" i="17"/>
  <c r="M3844" i="17"/>
  <c r="M3843" i="17"/>
  <c r="M3842" i="17"/>
  <c r="M3841" i="17"/>
  <c r="M3840" i="17"/>
  <c r="M3839" i="17"/>
  <c r="M3838" i="17"/>
  <c r="M3837" i="17"/>
  <c r="M3836" i="17"/>
  <c r="M3835" i="17"/>
  <c r="M3834" i="17"/>
  <c r="M3833" i="17"/>
  <c r="M3832" i="17"/>
  <c r="M3831" i="17"/>
  <c r="M3830" i="17"/>
  <c r="M3829" i="17"/>
  <c r="M3828" i="17"/>
  <c r="M3827" i="17"/>
  <c r="M3826" i="17"/>
  <c r="M3825" i="17"/>
  <c r="M3824" i="17"/>
  <c r="M3823" i="17"/>
  <c r="M3822" i="17"/>
  <c r="M3821" i="17"/>
  <c r="M3820" i="17"/>
  <c r="M3819" i="17"/>
  <c r="M3818" i="17"/>
  <c r="M3817" i="17"/>
  <c r="M3816" i="17"/>
  <c r="M3815" i="17"/>
  <c r="M3814" i="17"/>
  <c r="M3813" i="17"/>
  <c r="M3812" i="17"/>
  <c r="M3811" i="17"/>
  <c r="M3810" i="17"/>
  <c r="M3809" i="17"/>
  <c r="M3808" i="17"/>
  <c r="M3807" i="17"/>
  <c r="M3806" i="17"/>
  <c r="M3805" i="17"/>
  <c r="M3804" i="17"/>
  <c r="M3803" i="17"/>
  <c r="M3802" i="17"/>
  <c r="M3801" i="17"/>
  <c r="M3800" i="17"/>
  <c r="M3799" i="17"/>
  <c r="M3798" i="17"/>
  <c r="M3797" i="17"/>
  <c r="M3796" i="17"/>
  <c r="M3795" i="17"/>
  <c r="M3794" i="17"/>
  <c r="M3793" i="17"/>
  <c r="M3792" i="17"/>
  <c r="M3791" i="17"/>
  <c r="M3790" i="17"/>
  <c r="M3789" i="17"/>
  <c r="M3788" i="17"/>
  <c r="M3787" i="17"/>
  <c r="M3786" i="17"/>
  <c r="M3785" i="17"/>
  <c r="M3784" i="17"/>
  <c r="M3783" i="17"/>
  <c r="M3782" i="17"/>
  <c r="M3781" i="17"/>
  <c r="M3780" i="17"/>
  <c r="M3779" i="17"/>
  <c r="M3778" i="17"/>
  <c r="M3777" i="17"/>
  <c r="M3776" i="17"/>
  <c r="M3775" i="17"/>
  <c r="M3774" i="17"/>
  <c r="M3773" i="17"/>
  <c r="M3772" i="17"/>
  <c r="M3771" i="17"/>
  <c r="M3770" i="17"/>
  <c r="M3769" i="17"/>
  <c r="M3768" i="17"/>
  <c r="M3767" i="17"/>
  <c r="M3766" i="17"/>
  <c r="M3765" i="17"/>
  <c r="M3764" i="17"/>
  <c r="M3763" i="17"/>
  <c r="M3762" i="17"/>
  <c r="M3761" i="17"/>
  <c r="M3760" i="17"/>
  <c r="M3759" i="17"/>
  <c r="M3758" i="17"/>
  <c r="M3757" i="17"/>
  <c r="M3756" i="17"/>
  <c r="M3755" i="17"/>
  <c r="M3754" i="17"/>
  <c r="M3753" i="17"/>
  <c r="M3752" i="17"/>
  <c r="M3751" i="17"/>
  <c r="M3750" i="17"/>
  <c r="M3749" i="17"/>
  <c r="M3748" i="17"/>
  <c r="M3747" i="17"/>
  <c r="M3746" i="17"/>
  <c r="M3745" i="17"/>
  <c r="M3744" i="17"/>
  <c r="M3743" i="17"/>
  <c r="M3742" i="17"/>
  <c r="M3741" i="17"/>
  <c r="M3740" i="17"/>
  <c r="M3739" i="17"/>
  <c r="M3738" i="17"/>
  <c r="M3737" i="17"/>
  <c r="M3736" i="17"/>
  <c r="M3735" i="17"/>
  <c r="M3734" i="17"/>
  <c r="M3733" i="17"/>
  <c r="M3732" i="17"/>
  <c r="M3731" i="17"/>
  <c r="M3730" i="17"/>
  <c r="M3729" i="17"/>
  <c r="M3728" i="17"/>
  <c r="M3727" i="17"/>
  <c r="M3726" i="17"/>
  <c r="M3725" i="17"/>
  <c r="M3724" i="17"/>
  <c r="M3723" i="17"/>
  <c r="M3722" i="17"/>
  <c r="M3721" i="17"/>
  <c r="M3720" i="17"/>
  <c r="M3719" i="17"/>
  <c r="M3718" i="17"/>
  <c r="M3717" i="17"/>
  <c r="M3716" i="17"/>
  <c r="M3715" i="17"/>
  <c r="M3714" i="17"/>
  <c r="M3713" i="17"/>
  <c r="M3712" i="17"/>
  <c r="M3711" i="17"/>
  <c r="M3710" i="17"/>
  <c r="M3709" i="17"/>
  <c r="M3708" i="17"/>
  <c r="M3707" i="17"/>
  <c r="M3706" i="17"/>
  <c r="M3705" i="17"/>
  <c r="M3704" i="17"/>
  <c r="M3703" i="17"/>
  <c r="M3702" i="17"/>
  <c r="M3701" i="17"/>
  <c r="M3700" i="17"/>
  <c r="M3699" i="17"/>
  <c r="M3698" i="17"/>
  <c r="M3697" i="17"/>
  <c r="M3696" i="17"/>
  <c r="M3695" i="17"/>
  <c r="M3694" i="17"/>
  <c r="M3693" i="17"/>
  <c r="M3692" i="17"/>
  <c r="M3691" i="17"/>
  <c r="M3690" i="17"/>
  <c r="M3689" i="17"/>
  <c r="M3688" i="17"/>
  <c r="M3687" i="17"/>
  <c r="M3686" i="17"/>
  <c r="M3685" i="17"/>
  <c r="M3684" i="17"/>
  <c r="M3683" i="17"/>
  <c r="M3682" i="17"/>
  <c r="M3681" i="17"/>
  <c r="M3680" i="17"/>
  <c r="M3679" i="17"/>
  <c r="M3678" i="17"/>
  <c r="M3677" i="17"/>
  <c r="M3676" i="17"/>
  <c r="M3675" i="17"/>
  <c r="M3674" i="17"/>
  <c r="M3673" i="17"/>
  <c r="M3672" i="17"/>
  <c r="M3671" i="17"/>
  <c r="M3670" i="17"/>
  <c r="M3669" i="17"/>
  <c r="M3668" i="17"/>
  <c r="M3667" i="17"/>
  <c r="M3666" i="17"/>
  <c r="M3665" i="17"/>
  <c r="M3664" i="17"/>
  <c r="M3663" i="17"/>
  <c r="M3662" i="17"/>
  <c r="M3661" i="17"/>
  <c r="M3660" i="17"/>
  <c r="M3659" i="17"/>
  <c r="M3658" i="17"/>
  <c r="M3657" i="17"/>
  <c r="M3656" i="17"/>
  <c r="M3655" i="17"/>
  <c r="M3654" i="17"/>
  <c r="M3653" i="17"/>
  <c r="M3652" i="17"/>
  <c r="M3651" i="17"/>
  <c r="M3650" i="17"/>
  <c r="M3649" i="17"/>
  <c r="M3648" i="17"/>
  <c r="M3647" i="17"/>
  <c r="M3646" i="17"/>
  <c r="M3645" i="17"/>
  <c r="M3644" i="17"/>
  <c r="M3643" i="17"/>
  <c r="M3642" i="17"/>
  <c r="M3641" i="17"/>
  <c r="M3640" i="17"/>
  <c r="M3639" i="17"/>
  <c r="M3638" i="17"/>
  <c r="M3637" i="17"/>
  <c r="M3636" i="17"/>
  <c r="M3635" i="17"/>
  <c r="M3634" i="17"/>
  <c r="M3633" i="17"/>
  <c r="M3632" i="17"/>
  <c r="M3631" i="17"/>
  <c r="M3630" i="17"/>
  <c r="M3629" i="17"/>
  <c r="M3628" i="17"/>
  <c r="M3627" i="17"/>
  <c r="M3626" i="17"/>
  <c r="M3625" i="17"/>
  <c r="M3624" i="17"/>
  <c r="M3623" i="17"/>
  <c r="M3622" i="17"/>
  <c r="M3621" i="17"/>
  <c r="M3620" i="17"/>
  <c r="M3619" i="17"/>
  <c r="M3618" i="17"/>
  <c r="M3617" i="17"/>
  <c r="M3616" i="17"/>
  <c r="M3615" i="17"/>
  <c r="M3614" i="17"/>
  <c r="M3613" i="17"/>
  <c r="M3612" i="17"/>
  <c r="M3611" i="17"/>
  <c r="M3610" i="17"/>
  <c r="M3609" i="17"/>
  <c r="M3608" i="17"/>
  <c r="M3607" i="17"/>
  <c r="M3606" i="17"/>
  <c r="M3605" i="17"/>
  <c r="M3604" i="17"/>
  <c r="M3603" i="17"/>
  <c r="M3602" i="17"/>
  <c r="M3601" i="17"/>
  <c r="M3600" i="17"/>
  <c r="M3599" i="17"/>
  <c r="M3598" i="17"/>
  <c r="M3597" i="17"/>
  <c r="M3596" i="17"/>
  <c r="M3595" i="17"/>
  <c r="M3594" i="17"/>
  <c r="M3593" i="17"/>
  <c r="M3592" i="17"/>
  <c r="M3591" i="17"/>
  <c r="M3590" i="17"/>
  <c r="M3589" i="17"/>
  <c r="M3588" i="17"/>
  <c r="M3587" i="17"/>
  <c r="M3586" i="17"/>
  <c r="M3585" i="17"/>
  <c r="M3584" i="17"/>
  <c r="M3583" i="17"/>
  <c r="M3582" i="17"/>
  <c r="M3581" i="17"/>
  <c r="M3580" i="17"/>
  <c r="M3579" i="17"/>
  <c r="M3578" i="17"/>
  <c r="M3577" i="17"/>
  <c r="M3576" i="17"/>
  <c r="M3575" i="17"/>
  <c r="M3574" i="17"/>
  <c r="M3573" i="17"/>
  <c r="M3572" i="17"/>
  <c r="M3571" i="17"/>
  <c r="M3570" i="17"/>
  <c r="M3569" i="17"/>
  <c r="M3568" i="17"/>
  <c r="M3567" i="17"/>
  <c r="M3566" i="17"/>
  <c r="M3565" i="17"/>
  <c r="M3564" i="17"/>
  <c r="M3563" i="17"/>
  <c r="M3562" i="17"/>
  <c r="M3561" i="17"/>
  <c r="M3560" i="17"/>
  <c r="M3559" i="17"/>
  <c r="M3558" i="17"/>
  <c r="M3557" i="17"/>
  <c r="M3556" i="17"/>
  <c r="M3555" i="17"/>
  <c r="M3554" i="17"/>
  <c r="M3553" i="17"/>
  <c r="M3552" i="17"/>
  <c r="M3551" i="17"/>
  <c r="M3550" i="17"/>
  <c r="M3549" i="17"/>
  <c r="M3548" i="17"/>
  <c r="M3547" i="17"/>
  <c r="M3546" i="17"/>
  <c r="M3545" i="17"/>
  <c r="M3544" i="17"/>
  <c r="M3543" i="17"/>
  <c r="M3542" i="17"/>
  <c r="M3541" i="17"/>
  <c r="M3540" i="17"/>
  <c r="M3539" i="17"/>
  <c r="M3538" i="17"/>
  <c r="M3537" i="17"/>
  <c r="M3536" i="17"/>
  <c r="M3535" i="17"/>
  <c r="M3534" i="17"/>
  <c r="M3533" i="17"/>
  <c r="M3532" i="17"/>
  <c r="M3531" i="17"/>
  <c r="M3530" i="17"/>
  <c r="M3529" i="17"/>
  <c r="M3528" i="17"/>
  <c r="M3527" i="17"/>
  <c r="M3526" i="17"/>
  <c r="M3525" i="17"/>
  <c r="M3524" i="17"/>
  <c r="M3523" i="17"/>
  <c r="M3522" i="17"/>
  <c r="M3521" i="17"/>
  <c r="M3520" i="17"/>
  <c r="M3519" i="17"/>
  <c r="M3518" i="17"/>
  <c r="M3517" i="17"/>
  <c r="M3516" i="17"/>
  <c r="M3515" i="17"/>
  <c r="M3514" i="17"/>
  <c r="M3513" i="17"/>
  <c r="M3512" i="17"/>
  <c r="M3511" i="17"/>
  <c r="M3510" i="17"/>
  <c r="M3509" i="17"/>
  <c r="M3508" i="17"/>
  <c r="M3507" i="17"/>
  <c r="M3506" i="17"/>
  <c r="M3505" i="17"/>
  <c r="M3504" i="17"/>
  <c r="M3503" i="17"/>
  <c r="M3502" i="17"/>
  <c r="M3501" i="17"/>
  <c r="M3500" i="17"/>
  <c r="M3499" i="17"/>
  <c r="M3498" i="17"/>
  <c r="M3497" i="17"/>
  <c r="M3496" i="17"/>
  <c r="M3495" i="17"/>
  <c r="M3494" i="17"/>
  <c r="M3493" i="17"/>
  <c r="M3492" i="17"/>
  <c r="M3491" i="17"/>
  <c r="M3490" i="17"/>
  <c r="M3489" i="17"/>
  <c r="M3488" i="17"/>
  <c r="M3487" i="17"/>
  <c r="M3486" i="17"/>
  <c r="M3485" i="17"/>
  <c r="M3484" i="17"/>
  <c r="M3483" i="17"/>
  <c r="M3482" i="17"/>
  <c r="M3481" i="17"/>
  <c r="M3480" i="17"/>
  <c r="M3479" i="17"/>
  <c r="M3478" i="17"/>
  <c r="M3477" i="17"/>
  <c r="M3476" i="17"/>
  <c r="M3475" i="17"/>
  <c r="M3474" i="17"/>
  <c r="M3473" i="17"/>
  <c r="M3472" i="17"/>
  <c r="M3471" i="17"/>
  <c r="M3470" i="17"/>
  <c r="M3469" i="17"/>
  <c r="M3468" i="17"/>
  <c r="M3467" i="17"/>
  <c r="M3466" i="17"/>
  <c r="M3465" i="17"/>
  <c r="M3464" i="17"/>
  <c r="M3463" i="17"/>
  <c r="M3462" i="17"/>
  <c r="M3461" i="17"/>
  <c r="M3460" i="17"/>
  <c r="M3459" i="17"/>
  <c r="M3458" i="17"/>
  <c r="M3457" i="17"/>
  <c r="M3456" i="17"/>
  <c r="M3455" i="17"/>
  <c r="M3454" i="17"/>
  <c r="M3453" i="17"/>
  <c r="M3452" i="17"/>
  <c r="M3451" i="17"/>
  <c r="M3450" i="17"/>
  <c r="M3449" i="17"/>
  <c r="M3448" i="17"/>
  <c r="M3447" i="17"/>
  <c r="M3446" i="17"/>
  <c r="M3445" i="17"/>
  <c r="M3444" i="17"/>
  <c r="M3443" i="17"/>
  <c r="M3442" i="17"/>
  <c r="M3441" i="17"/>
  <c r="M3440" i="17"/>
  <c r="M3439" i="17"/>
  <c r="M3438" i="17"/>
  <c r="M3437" i="17"/>
  <c r="M3436" i="17"/>
  <c r="M3435" i="17"/>
  <c r="M3434" i="17"/>
  <c r="M3433" i="17"/>
  <c r="M3432" i="17"/>
  <c r="M3431" i="17"/>
  <c r="M3430" i="17"/>
  <c r="M3429" i="17"/>
  <c r="M3428" i="17"/>
  <c r="M3427" i="17"/>
  <c r="M3426" i="17"/>
  <c r="M3425" i="17"/>
  <c r="M3424" i="17"/>
  <c r="M3423" i="17"/>
  <c r="M3422" i="17"/>
  <c r="M3421" i="17"/>
  <c r="M3420" i="17"/>
  <c r="M3419" i="17"/>
  <c r="M3418" i="17"/>
  <c r="M3417" i="17"/>
  <c r="M3416" i="17"/>
  <c r="M3415" i="17"/>
  <c r="M3414" i="17"/>
  <c r="M3413" i="17"/>
  <c r="M3412" i="17"/>
  <c r="M3411" i="17"/>
  <c r="M3410" i="17"/>
  <c r="M3409" i="17"/>
  <c r="M3408" i="17"/>
  <c r="M3407" i="17"/>
  <c r="M3406" i="17"/>
  <c r="M3405" i="17"/>
  <c r="M3404" i="17"/>
  <c r="M3403" i="17"/>
  <c r="M3402" i="17"/>
  <c r="M3401" i="17"/>
  <c r="M3400" i="17"/>
  <c r="M3399" i="17"/>
  <c r="M3398" i="17"/>
  <c r="M3397" i="17"/>
  <c r="M3396" i="17"/>
  <c r="M3395" i="17"/>
  <c r="M3394" i="17"/>
  <c r="M3393" i="17"/>
  <c r="M3392" i="17"/>
  <c r="M3391" i="17"/>
  <c r="M3390" i="17"/>
  <c r="M3389" i="17"/>
  <c r="M3388" i="17"/>
  <c r="M3387" i="17"/>
  <c r="M3386" i="17"/>
  <c r="M3385" i="17"/>
  <c r="M3384" i="17"/>
  <c r="M3383" i="17"/>
  <c r="M3382" i="17"/>
  <c r="M3381" i="17"/>
  <c r="M3380" i="17"/>
  <c r="M3379" i="17"/>
  <c r="M3378" i="17"/>
  <c r="M3377" i="17"/>
  <c r="M3376" i="17"/>
  <c r="M3375" i="17"/>
  <c r="M3374" i="17"/>
  <c r="M3373" i="17"/>
  <c r="M3372" i="17"/>
  <c r="M3371" i="17"/>
  <c r="M3370" i="17"/>
  <c r="M3369" i="17"/>
  <c r="M3368" i="17"/>
  <c r="M3367" i="17"/>
  <c r="M3366" i="17"/>
  <c r="M3365" i="17"/>
  <c r="M3364" i="17"/>
  <c r="M3363" i="17"/>
  <c r="M3362" i="17"/>
  <c r="M3361" i="17"/>
  <c r="M3360" i="17"/>
  <c r="M3359" i="17"/>
  <c r="M3358" i="17"/>
  <c r="M3357" i="17"/>
  <c r="M3356" i="17"/>
  <c r="M3355" i="17"/>
  <c r="M3354" i="17"/>
  <c r="M3353" i="17"/>
  <c r="M3352" i="17"/>
  <c r="M3351" i="17"/>
  <c r="M3350" i="17"/>
  <c r="M3349" i="17"/>
  <c r="M3348" i="17"/>
  <c r="M3347" i="17"/>
  <c r="M3346" i="17"/>
  <c r="M3345" i="17"/>
  <c r="M3344" i="17"/>
  <c r="M3343" i="17"/>
  <c r="M3342" i="17"/>
  <c r="M3341" i="17"/>
  <c r="M3340" i="17"/>
  <c r="M3339" i="17"/>
  <c r="M3338" i="17"/>
  <c r="M3337" i="17"/>
  <c r="M3336" i="17"/>
  <c r="M3335" i="17"/>
  <c r="M3334" i="17"/>
  <c r="M3333" i="17"/>
  <c r="M3332" i="17"/>
  <c r="M3331" i="17"/>
  <c r="M3330" i="17"/>
  <c r="M3329" i="17"/>
  <c r="M3328" i="17"/>
  <c r="M3327" i="17"/>
  <c r="M3326" i="17"/>
  <c r="M3325" i="17"/>
  <c r="M3324" i="17"/>
  <c r="M3323" i="17"/>
  <c r="M3322" i="17"/>
  <c r="M3321" i="17"/>
  <c r="M3320" i="17"/>
  <c r="M3319" i="17"/>
  <c r="M3318" i="17"/>
  <c r="M3317" i="17"/>
  <c r="M3316" i="17"/>
  <c r="M3315" i="17"/>
  <c r="M3314" i="17"/>
  <c r="M3313" i="17"/>
  <c r="M3312" i="17"/>
  <c r="M3311" i="17"/>
  <c r="M3310" i="17"/>
  <c r="M3309" i="17"/>
  <c r="M3308" i="17"/>
  <c r="M3307" i="17"/>
  <c r="M3306" i="17"/>
  <c r="M3305" i="17"/>
  <c r="M3304" i="17"/>
  <c r="M3303" i="17"/>
  <c r="M3302" i="17"/>
  <c r="M3301" i="17"/>
  <c r="M3300" i="17"/>
  <c r="M3299" i="17"/>
  <c r="M3298" i="17"/>
  <c r="M3297" i="17"/>
  <c r="M3296" i="17"/>
  <c r="M3295" i="17"/>
  <c r="M3294" i="17"/>
  <c r="M3293" i="17"/>
  <c r="M3292" i="17"/>
  <c r="M3291" i="17"/>
  <c r="M3290" i="17"/>
  <c r="M3289" i="17"/>
  <c r="M3288" i="17"/>
  <c r="M3287" i="17"/>
  <c r="M3286" i="17"/>
  <c r="M3285" i="17"/>
  <c r="M3284" i="17"/>
  <c r="M3283" i="17"/>
  <c r="M3282" i="17"/>
  <c r="M3281" i="17"/>
  <c r="M3280" i="17"/>
  <c r="M3279" i="17"/>
  <c r="M3278" i="17"/>
  <c r="M3277" i="17"/>
  <c r="M3276" i="17"/>
  <c r="M3275" i="17"/>
  <c r="M3274" i="17"/>
  <c r="M3273" i="17"/>
  <c r="M3272" i="17"/>
  <c r="M3271" i="17"/>
  <c r="M3270" i="17"/>
  <c r="M3269" i="17"/>
  <c r="M3268" i="17"/>
  <c r="M3267" i="17"/>
  <c r="M3266" i="17"/>
  <c r="M3265" i="17"/>
  <c r="M3264" i="17"/>
  <c r="M3263" i="17"/>
  <c r="M3262" i="17"/>
  <c r="M3261" i="17"/>
  <c r="M3260" i="17"/>
  <c r="M3259" i="17"/>
  <c r="M3258" i="17"/>
  <c r="M3257" i="17"/>
  <c r="M3256" i="17"/>
  <c r="M3255" i="17"/>
  <c r="M3254" i="17"/>
  <c r="M3253" i="17"/>
  <c r="M3252" i="17"/>
  <c r="M3251" i="17"/>
  <c r="M3250" i="17"/>
  <c r="M3249" i="17"/>
  <c r="M3248" i="17"/>
  <c r="M3247" i="17"/>
  <c r="M3246" i="17"/>
  <c r="M3245" i="17"/>
  <c r="M3244" i="17"/>
  <c r="M3243" i="17"/>
  <c r="M3242" i="17"/>
  <c r="M3241" i="17"/>
  <c r="M3240" i="17"/>
  <c r="M3239" i="17"/>
  <c r="M3238" i="17"/>
  <c r="M3237" i="17"/>
  <c r="M3236" i="17"/>
  <c r="M3235" i="17"/>
  <c r="M3234" i="17"/>
  <c r="M3233" i="17"/>
  <c r="M3232" i="17"/>
  <c r="M3231" i="17"/>
  <c r="M3230" i="17"/>
  <c r="M3229" i="17"/>
  <c r="M3228" i="17"/>
  <c r="M3227" i="17"/>
  <c r="M3226" i="17"/>
  <c r="M3225" i="17"/>
  <c r="M3224" i="17"/>
  <c r="M3223" i="17"/>
  <c r="M3222" i="17"/>
  <c r="M3221" i="17"/>
  <c r="M3220" i="17"/>
  <c r="M3219" i="17"/>
  <c r="M3218" i="17"/>
  <c r="M3217" i="17"/>
  <c r="M3216" i="17"/>
  <c r="M3215" i="17"/>
  <c r="M3214" i="17"/>
  <c r="M3213" i="17"/>
  <c r="M3212" i="17"/>
  <c r="M3211" i="17"/>
  <c r="M3210" i="17"/>
  <c r="M3209" i="17"/>
  <c r="M3208" i="17"/>
  <c r="M3207" i="17"/>
  <c r="M3206" i="17"/>
  <c r="M3205" i="17"/>
  <c r="M3204" i="17"/>
  <c r="M3203" i="17"/>
  <c r="M3202" i="17"/>
  <c r="M3201" i="17"/>
  <c r="M3200" i="17"/>
  <c r="M3199" i="17"/>
  <c r="M3198" i="17"/>
  <c r="M3197" i="17"/>
  <c r="M3196" i="17"/>
  <c r="M3195" i="17"/>
  <c r="M3194" i="17"/>
  <c r="M3193" i="17"/>
  <c r="M3192" i="17"/>
  <c r="M3191" i="17"/>
  <c r="M3190" i="17"/>
  <c r="M3189" i="17"/>
  <c r="M3188" i="17"/>
  <c r="M3187" i="17"/>
  <c r="M3186" i="17"/>
  <c r="M3185" i="17"/>
  <c r="M3184" i="17"/>
  <c r="M3183" i="17"/>
  <c r="M3182" i="17"/>
  <c r="M3181" i="17"/>
  <c r="M3180" i="17"/>
  <c r="M3179" i="17"/>
  <c r="M3178" i="17"/>
  <c r="M3177" i="17"/>
  <c r="M3176" i="17"/>
  <c r="M3175" i="17"/>
  <c r="M3174" i="17"/>
  <c r="M3173" i="17"/>
  <c r="M3172" i="17"/>
  <c r="M3171" i="17"/>
  <c r="M3170" i="17"/>
  <c r="M3169" i="17"/>
  <c r="M3168" i="17"/>
  <c r="M3167" i="17"/>
  <c r="M3166" i="17"/>
  <c r="M3165" i="17"/>
  <c r="M3164" i="17"/>
  <c r="M3163" i="17"/>
  <c r="M3162" i="17"/>
  <c r="M3161" i="17"/>
  <c r="M3160" i="17"/>
  <c r="M3159" i="17"/>
  <c r="M3158" i="17"/>
  <c r="M3157" i="17"/>
  <c r="M3156" i="17"/>
  <c r="M3155" i="17"/>
  <c r="M3154" i="17"/>
  <c r="M3153" i="17"/>
  <c r="M3152" i="17"/>
  <c r="M3151" i="17"/>
  <c r="M3150" i="17"/>
  <c r="M3149" i="17"/>
  <c r="M3148" i="17"/>
  <c r="M3147" i="17"/>
  <c r="M3146" i="17"/>
  <c r="M3145" i="17"/>
  <c r="M3144" i="17"/>
  <c r="M3143" i="17"/>
  <c r="M3142" i="17"/>
  <c r="M3141" i="17"/>
  <c r="M3140" i="17"/>
  <c r="M3139" i="17"/>
  <c r="M3138" i="17"/>
  <c r="M3137" i="17"/>
  <c r="M3136" i="17"/>
  <c r="M3135" i="17"/>
  <c r="M3134" i="17"/>
  <c r="M3133" i="17"/>
  <c r="M3132" i="17"/>
  <c r="M3131" i="17"/>
  <c r="M3130" i="17"/>
  <c r="M3129" i="17"/>
  <c r="M3128" i="17"/>
  <c r="M3127" i="17"/>
  <c r="M3126" i="17"/>
  <c r="M3125" i="17"/>
  <c r="M3124" i="17"/>
  <c r="M3123" i="17"/>
  <c r="M3122" i="17"/>
  <c r="M3121" i="17"/>
  <c r="M3120" i="17"/>
  <c r="M3119" i="17"/>
  <c r="M3118" i="17"/>
  <c r="M3117" i="17"/>
  <c r="M3116" i="17"/>
  <c r="M3115" i="17"/>
  <c r="M3114" i="17"/>
  <c r="M3113" i="17"/>
  <c r="M3112" i="17"/>
  <c r="M3111" i="17"/>
  <c r="M3110" i="17"/>
  <c r="M3109" i="17"/>
  <c r="M3108" i="17"/>
  <c r="M3107" i="17"/>
  <c r="M3106" i="17"/>
  <c r="M3105" i="17"/>
  <c r="M3104" i="17"/>
  <c r="M3103" i="17"/>
  <c r="M3102" i="17"/>
  <c r="M3101" i="17"/>
  <c r="M3100" i="17"/>
  <c r="M3099" i="17"/>
  <c r="M3098" i="17"/>
  <c r="M3097" i="17"/>
  <c r="M3096" i="17"/>
  <c r="M3095" i="17"/>
  <c r="M3094" i="17"/>
  <c r="M3093" i="17"/>
  <c r="M3092" i="17"/>
  <c r="M3091" i="17"/>
  <c r="M3090" i="17"/>
  <c r="M3089" i="17"/>
  <c r="M3088" i="17"/>
  <c r="M3087" i="17"/>
  <c r="M3086" i="17"/>
  <c r="M3085" i="17"/>
  <c r="M3084" i="17"/>
  <c r="M3083" i="17"/>
  <c r="M3082" i="17"/>
  <c r="M3081" i="17"/>
  <c r="M3080" i="17"/>
  <c r="M3079" i="17"/>
  <c r="M3078" i="17"/>
  <c r="M3077" i="17"/>
  <c r="M3076" i="17"/>
  <c r="M3075" i="17"/>
  <c r="M3074" i="17"/>
  <c r="M3073" i="17"/>
  <c r="M3072" i="17"/>
  <c r="M3071" i="17"/>
  <c r="M3070" i="17"/>
  <c r="M3069" i="17"/>
  <c r="M3068" i="17"/>
  <c r="M3067" i="17"/>
  <c r="M3066" i="17"/>
  <c r="M3065" i="17"/>
  <c r="M3064" i="17"/>
  <c r="M3063" i="17"/>
  <c r="M3062" i="17"/>
  <c r="M3061" i="17"/>
  <c r="M3060" i="17"/>
  <c r="M3059" i="17"/>
  <c r="M3058" i="17"/>
  <c r="M3057" i="17"/>
  <c r="M3056" i="17"/>
  <c r="M3055" i="17"/>
  <c r="M3054" i="17"/>
  <c r="M3053" i="17"/>
  <c r="M3052" i="17"/>
  <c r="M3051" i="17"/>
  <c r="M3050" i="17"/>
  <c r="M3049" i="17"/>
  <c r="M3048" i="17"/>
  <c r="M3047" i="17"/>
  <c r="M3046" i="17"/>
  <c r="M3045" i="17"/>
  <c r="M3044" i="17"/>
  <c r="M3043" i="17"/>
  <c r="M3042" i="17"/>
  <c r="M3041" i="17"/>
  <c r="M3040" i="17"/>
  <c r="M3039" i="17"/>
  <c r="M3038" i="17"/>
  <c r="M3037" i="17"/>
  <c r="M3036" i="17"/>
  <c r="M3035" i="17"/>
  <c r="M3034" i="17"/>
  <c r="M3033" i="17"/>
  <c r="M3032" i="17"/>
  <c r="M3031" i="17"/>
  <c r="M3030" i="17"/>
  <c r="M3029" i="17"/>
  <c r="M3028" i="17"/>
  <c r="M3027" i="17"/>
  <c r="M3026" i="17"/>
  <c r="M3025" i="17"/>
  <c r="M3024" i="17"/>
  <c r="M3023" i="17"/>
  <c r="M3022" i="17"/>
  <c r="M3021" i="17"/>
  <c r="M3020" i="17"/>
  <c r="M3019" i="17"/>
  <c r="M3018" i="17"/>
  <c r="M3017" i="17"/>
  <c r="M3016" i="17"/>
  <c r="M3015" i="17"/>
  <c r="M3014" i="17"/>
  <c r="M3013" i="17"/>
  <c r="M3012" i="17"/>
  <c r="M3011" i="17"/>
  <c r="M3010" i="17"/>
  <c r="M3009" i="17"/>
  <c r="M3008" i="17"/>
  <c r="M3007" i="17"/>
  <c r="M3006" i="17"/>
  <c r="M3005" i="17"/>
  <c r="M3004" i="17"/>
  <c r="M3003" i="17"/>
  <c r="M3002" i="17"/>
  <c r="M3001" i="17"/>
  <c r="M3000" i="17"/>
  <c r="M2999" i="17"/>
  <c r="M2998" i="17"/>
  <c r="M2997" i="17"/>
  <c r="M2996" i="17"/>
  <c r="M2995" i="17"/>
  <c r="M2994" i="17"/>
  <c r="M2993" i="17"/>
  <c r="M2992" i="17"/>
  <c r="M2991" i="17"/>
  <c r="M2990" i="17"/>
  <c r="M2989" i="17"/>
  <c r="M2988" i="17"/>
  <c r="M2987" i="17"/>
  <c r="M2986" i="17"/>
  <c r="M2985" i="17"/>
  <c r="M2984" i="17"/>
  <c r="M2983" i="17"/>
  <c r="M2982" i="17"/>
  <c r="M2981" i="17"/>
  <c r="M2980" i="17"/>
  <c r="M2979" i="17"/>
  <c r="M2978" i="17"/>
  <c r="M2977" i="17"/>
  <c r="M2976" i="17"/>
  <c r="M2975" i="17"/>
  <c r="M2974" i="17"/>
  <c r="M2973" i="17"/>
  <c r="M2972" i="17"/>
  <c r="M2971" i="17"/>
  <c r="M2970" i="17"/>
  <c r="M2969" i="17"/>
  <c r="M2968" i="17"/>
  <c r="M2967" i="17"/>
  <c r="M2966" i="17"/>
  <c r="M2965" i="17"/>
  <c r="M2964" i="17"/>
  <c r="M2963" i="17"/>
  <c r="M2962" i="17"/>
  <c r="M2961" i="17"/>
  <c r="M2960" i="17"/>
  <c r="M2959" i="17"/>
  <c r="M2958" i="17"/>
  <c r="M2957" i="17"/>
  <c r="M2956" i="17"/>
  <c r="M2955" i="17"/>
  <c r="M2954" i="17"/>
  <c r="M2953" i="17"/>
  <c r="M2952" i="17"/>
  <c r="M2951" i="17"/>
  <c r="M2950" i="17"/>
  <c r="M2949" i="17"/>
  <c r="M2948" i="17"/>
  <c r="M2947" i="17"/>
  <c r="M2946" i="17"/>
  <c r="M2945" i="17"/>
  <c r="M2944" i="17"/>
  <c r="M2943" i="17"/>
  <c r="M2942" i="17"/>
  <c r="M2941" i="17"/>
  <c r="M2940" i="17"/>
  <c r="M2939" i="17"/>
  <c r="M2938" i="17"/>
  <c r="M2937" i="17"/>
  <c r="M2936" i="17"/>
  <c r="M2935" i="17"/>
  <c r="M2934" i="17"/>
  <c r="M2933" i="17"/>
  <c r="M2932" i="17"/>
  <c r="M2931" i="17"/>
  <c r="M2930" i="17"/>
  <c r="M2929" i="17"/>
  <c r="M2928" i="17"/>
  <c r="M2927" i="17"/>
  <c r="M2926" i="17"/>
  <c r="M2925" i="17"/>
  <c r="M2924" i="17"/>
  <c r="M2923" i="17"/>
  <c r="M2922" i="17"/>
  <c r="M2921" i="17"/>
  <c r="M2920" i="17"/>
  <c r="M2919" i="17"/>
  <c r="M2918" i="17"/>
  <c r="M2917" i="17"/>
  <c r="M2916" i="17"/>
  <c r="M2915" i="17"/>
  <c r="M2914" i="17"/>
  <c r="M2913" i="17"/>
  <c r="M2912" i="17"/>
  <c r="M2911" i="17"/>
  <c r="M2910" i="17"/>
  <c r="M2909" i="17"/>
  <c r="M2908" i="17"/>
  <c r="M2907" i="17"/>
  <c r="M2906" i="17"/>
  <c r="M2905" i="17"/>
  <c r="M2904" i="17"/>
  <c r="M2903" i="17"/>
  <c r="M2902" i="17"/>
  <c r="M2901" i="17"/>
  <c r="M2900" i="17"/>
  <c r="M2899" i="17"/>
  <c r="M2898" i="17"/>
  <c r="M2897" i="17"/>
  <c r="M2896" i="17"/>
  <c r="M2895" i="17"/>
  <c r="M2894" i="17"/>
  <c r="M2893" i="17"/>
  <c r="M2892" i="17"/>
  <c r="M2891" i="17"/>
  <c r="M2890" i="17"/>
  <c r="M2889" i="17"/>
  <c r="M2888" i="17"/>
  <c r="M2887" i="17"/>
  <c r="M2886" i="17"/>
  <c r="M2885" i="17"/>
  <c r="M2884" i="17"/>
  <c r="M2883" i="17"/>
  <c r="M2882" i="17"/>
  <c r="M2881" i="17"/>
  <c r="M2880" i="17"/>
  <c r="M2879" i="17"/>
  <c r="M2878" i="17"/>
  <c r="M2877" i="17"/>
  <c r="M2876" i="17"/>
  <c r="M2875" i="17"/>
  <c r="M2874" i="17"/>
  <c r="M2873" i="17"/>
  <c r="M2872" i="17"/>
  <c r="M2871" i="17"/>
  <c r="M2870" i="17"/>
  <c r="M2869" i="17"/>
  <c r="M2868" i="17"/>
  <c r="M2867" i="17"/>
  <c r="M2866" i="17"/>
  <c r="M2865" i="17"/>
  <c r="M2864" i="17"/>
  <c r="M2863" i="17"/>
  <c r="M2862" i="17"/>
  <c r="M2861" i="17"/>
  <c r="M2860" i="17"/>
  <c r="M2859" i="17"/>
  <c r="M2858" i="17"/>
  <c r="M2857" i="17"/>
  <c r="M2856" i="17"/>
  <c r="M2855" i="17"/>
  <c r="M2854" i="17"/>
  <c r="M2853" i="17"/>
  <c r="M2852" i="17"/>
  <c r="M2851" i="17"/>
  <c r="M2850" i="17"/>
  <c r="M2849" i="17"/>
  <c r="M2848" i="17"/>
  <c r="M2847" i="17"/>
  <c r="M2846" i="17"/>
  <c r="M2845" i="17"/>
  <c r="M2844" i="17"/>
  <c r="M2843" i="17"/>
  <c r="M2842" i="17"/>
  <c r="M2841" i="17"/>
  <c r="M2840" i="17"/>
  <c r="M2839" i="17"/>
  <c r="M2838" i="17"/>
  <c r="M2837" i="17"/>
  <c r="M2836" i="17"/>
  <c r="M2835" i="17"/>
  <c r="M2834" i="17"/>
  <c r="M2833" i="17"/>
  <c r="M2832" i="17"/>
  <c r="M2831" i="17"/>
  <c r="M2830" i="17"/>
  <c r="M2829" i="17"/>
  <c r="M2828" i="17"/>
  <c r="M2827" i="17"/>
  <c r="M2826" i="17"/>
  <c r="M2825" i="17"/>
  <c r="M2824" i="17"/>
  <c r="M2823" i="17"/>
  <c r="M2822" i="17"/>
  <c r="M2821" i="17"/>
  <c r="M2820" i="17"/>
  <c r="M2819" i="17"/>
  <c r="M2818" i="17"/>
  <c r="M2817" i="17"/>
  <c r="M2816" i="17"/>
  <c r="M2815" i="17"/>
  <c r="M2814" i="17"/>
  <c r="M2813" i="17"/>
  <c r="M2812" i="17"/>
  <c r="M2811" i="17"/>
  <c r="M2810" i="17"/>
  <c r="M2809" i="17"/>
  <c r="M2808" i="17"/>
  <c r="M2807" i="17"/>
  <c r="M2806" i="17"/>
  <c r="M2805" i="17"/>
  <c r="M2804" i="17"/>
  <c r="M2803" i="17"/>
  <c r="M2802" i="17"/>
  <c r="M2801" i="17"/>
  <c r="M2800" i="17"/>
  <c r="M2799" i="17"/>
  <c r="M2798" i="17"/>
  <c r="M2797" i="17"/>
  <c r="M2796" i="17"/>
  <c r="M2795" i="17"/>
  <c r="M2794" i="17"/>
  <c r="M2793" i="17"/>
  <c r="M2792" i="17"/>
  <c r="M2791" i="17"/>
  <c r="M2790" i="17"/>
  <c r="M2789" i="17"/>
  <c r="M2788" i="17"/>
  <c r="M2787" i="17"/>
  <c r="M2786" i="17"/>
  <c r="M2785" i="17"/>
  <c r="M2784" i="17"/>
  <c r="M2783" i="17"/>
  <c r="M2782" i="17"/>
  <c r="M2781" i="17"/>
  <c r="M2780" i="17"/>
  <c r="M2779" i="17"/>
  <c r="M2778" i="17"/>
  <c r="M2777" i="17"/>
  <c r="M2776" i="17"/>
  <c r="M2775" i="17"/>
  <c r="M2774" i="17"/>
  <c r="M2773" i="17"/>
  <c r="M2772" i="17"/>
  <c r="M2771" i="17"/>
  <c r="M2770" i="17"/>
  <c r="M2769" i="17"/>
  <c r="M2768" i="17"/>
  <c r="M2767" i="17"/>
  <c r="M2766" i="17"/>
  <c r="M2765" i="17"/>
  <c r="M2764" i="17"/>
  <c r="M2763" i="17"/>
  <c r="M2762" i="17"/>
  <c r="M2761" i="17"/>
  <c r="M2760" i="17"/>
  <c r="M2759" i="17"/>
  <c r="M2758" i="17"/>
  <c r="M2757" i="17"/>
  <c r="M2756" i="17"/>
  <c r="M2755" i="17"/>
  <c r="M2754" i="17"/>
  <c r="M2753" i="17"/>
  <c r="M2752" i="17"/>
  <c r="M2751" i="17"/>
  <c r="M2750" i="17"/>
  <c r="M2749" i="17"/>
  <c r="M2748" i="17"/>
  <c r="M2747" i="17"/>
  <c r="M2746" i="17"/>
  <c r="M2745" i="17"/>
  <c r="M2744" i="17"/>
  <c r="M2743" i="17"/>
  <c r="M2742" i="17"/>
  <c r="M2741" i="17"/>
  <c r="M2740" i="17"/>
  <c r="M2739" i="17"/>
  <c r="M2738" i="17"/>
  <c r="M2737" i="17"/>
  <c r="M2736" i="17"/>
  <c r="M2735" i="17"/>
  <c r="M2734" i="17"/>
  <c r="M2733" i="17"/>
  <c r="M2732" i="17"/>
  <c r="M2731" i="17"/>
  <c r="M2730" i="17"/>
  <c r="M2729" i="17"/>
  <c r="M2728" i="17"/>
  <c r="M2727" i="17"/>
  <c r="M2726" i="17"/>
  <c r="M2725" i="17"/>
  <c r="M2724" i="17"/>
  <c r="M2723" i="17"/>
  <c r="M2722" i="17"/>
  <c r="M2721" i="17"/>
  <c r="M2720" i="17"/>
  <c r="M2719" i="17"/>
  <c r="M2718" i="17"/>
  <c r="M2717" i="17"/>
  <c r="M2716" i="17"/>
  <c r="M2715" i="17"/>
  <c r="M2714" i="17"/>
  <c r="M2713" i="17"/>
  <c r="M2712" i="17"/>
  <c r="M2711" i="17"/>
  <c r="M2710" i="17"/>
  <c r="M2709" i="17"/>
  <c r="M2708" i="17"/>
  <c r="M2707" i="17"/>
  <c r="M2706" i="17"/>
  <c r="M2705" i="17"/>
  <c r="M2704" i="17"/>
  <c r="M2703" i="17"/>
  <c r="M2702" i="17"/>
  <c r="M2701" i="17"/>
  <c r="M2700" i="17"/>
  <c r="M2699" i="17"/>
  <c r="M2698" i="17"/>
  <c r="M2697" i="17"/>
  <c r="M2696" i="17"/>
  <c r="M2695" i="17"/>
  <c r="M2694" i="17"/>
  <c r="M2693" i="17"/>
  <c r="M2692" i="17"/>
  <c r="M2691" i="17"/>
  <c r="M2690" i="17"/>
  <c r="M2689" i="17"/>
  <c r="M2688" i="17"/>
  <c r="M2687" i="17"/>
  <c r="I87" i="22" l="1"/>
  <c r="H56" i="22"/>
  <c r="I56" i="22"/>
  <c r="I2318" i="17"/>
  <c r="I2685" i="17" l="1"/>
  <c r="I2684" i="17"/>
  <c r="I2683" i="17"/>
  <c r="I2682" i="17"/>
  <c r="I2681" i="17"/>
  <c r="I2680" i="17"/>
  <c r="I2679" i="17"/>
  <c r="I2678" i="17"/>
  <c r="I2677" i="17"/>
  <c r="I2676" i="17"/>
  <c r="I2675" i="17"/>
  <c r="I2674" i="17"/>
  <c r="I2673" i="17"/>
  <c r="I2672" i="17"/>
  <c r="I2649" i="17"/>
  <c r="I2620" i="17"/>
  <c r="I2621" i="17"/>
  <c r="I2537" i="17"/>
  <c r="I2538" i="17"/>
  <c r="I2539" i="17"/>
  <c r="I2511" i="17"/>
  <c r="I2510" i="17"/>
  <c r="I2512" i="17"/>
  <c r="I2513" i="17"/>
  <c r="I2491" i="17"/>
  <c r="I2492" i="17"/>
  <c r="I2493" i="17"/>
  <c r="I2458" i="17"/>
  <c r="I2459" i="17"/>
  <c r="I2460" i="17"/>
  <c r="I2461" i="17"/>
  <c r="I2462" i="17"/>
  <c r="I2463" i="17"/>
  <c r="I2464" i="17"/>
  <c r="I2465" i="17"/>
  <c r="I2466" i="17"/>
  <c r="I2467" i="17"/>
  <c r="I2468" i="17"/>
  <c r="I2469" i="17"/>
  <c r="I2470" i="17"/>
  <c r="I2437" i="17"/>
  <c r="I2438" i="17"/>
  <c r="I2406" i="17"/>
  <c r="I2407" i="17"/>
  <c r="I2399" i="17"/>
  <c r="I2359" i="17"/>
  <c r="I2382" i="17"/>
  <c r="I2342" i="17"/>
  <c r="I2343" i="17"/>
  <c r="I2344" i="17"/>
  <c r="I2345" i="17"/>
  <c r="I2319" i="17"/>
  <c r="I2292" i="17"/>
  <c r="I2293" i="17"/>
  <c r="I2261" i="17"/>
  <c r="I2243" i="17"/>
  <c r="I2224" i="17"/>
  <c r="I2222" i="17"/>
  <c r="I2223" i="17"/>
  <c r="I2226" i="17"/>
  <c r="I2225" i="17"/>
  <c r="I2151" i="17"/>
  <c r="I2136" i="17"/>
  <c r="I2135" i="17"/>
  <c r="I2" i="22" l="1"/>
  <c r="I2670" i="17"/>
  <c r="I2669" i="17"/>
  <c r="I1616" i="17" l="1"/>
  <c r="B4" i="25"/>
  <c r="B6" i="25"/>
  <c r="N20073" i="17"/>
  <c r="N20072" i="17"/>
  <c r="N20071" i="17"/>
  <c r="N20070" i="17"/>
  <c r="N20069" i="17"/>
  <c r="N20068" i="17"/>
  <c r="N20067" i="17"/>
  <c r="N20066" i="17"/>
  <c r="N20065" i="17"/>
  <c r="N20064" i="17"/>
  <c r="N20063" i="17"/>
  <c r="N20062" i="17"/>
  <c r="N20061" i="17"/>
  <c r="N20060" i="17"/>
  <c r="N20059" i="17"/>
  <c r="N20058" i="17"/>
  <c r="N20057" i="17"/>
  <c r="N20056" i="17"/>
  <c r="N20055" i="17"/>
  <c r="N20054" i="17"/>
  <c r="N20053" i="17"/>
  <c r="N20052" i="17"/>
  <c r="N20051" i="17"/>
  <c r="N20050" i="17"/>
  <c r="N20049" i="17"/>
  <c r="N20048" i="17"/>
  <c r="N20047" i="17"/>
  <c r="N20046" i="17"/>
  <c r="N20045" i="17"/>
  <c r="N20044" i="17"/>
  <c r="N20043" i="17"/>
  <c r="N20042" i="17"/>
  <c r="N20041" i="17"/>
  <c r="N20040" i="17"/>
  <c r="N20039" i="17"/>
  <c r="N20038" i="17"/>
  <c r="N20037" i="17"/>
  <c r="N20036" i="17"/>
  <c r="N20035" i="17"/>
  <c r="N20034" i="17"/>
  <c r="N20033" i="17"/>
  <c r="N20032" i="17"/>
  <c r="N20031" i="17"/>
  <c r="N20030" i="17"/>
  <c r="N20029" i="17"/>
  <c r="N20028" i="17"/>
  <c r="N20027" i="17"/>
  <c r="N20026" i="17"/>
  <c r="N20025" i="17"/>
  <c r="N20024" i="17"/>
  <c r="N20023" i="17"/>
  <c r="N20022" i="17"/>
  <c r="N20021" i="17"/>
  <c r="N20020" i="17"/>
  <c r="N20019" i="17"/>
  <c r="N20018" i="17"/>
  <c r="N20017" i="17"/>
  <c r="N20016" i="17"/>
  <c r="N20015" i="17"/>
  <c r="N20014" i="17"/>
  <c r="N20013" i="17"/>
  <c r="N20012" i="17"/>
  <c r="N20011" i="17"/>
  <c r="N20010" i="17"/>
  <c r="N20009" i="17"/>
  <c r="N20008" i="17"/>
  <c r="N20007" i="17"/>
  <c r="N20006" i="17"/>
  <c r="N20005" i="17"/>
  <c r="N20004" i="17"/>
  <c r="N20003" i="17"/>
  <c r="N20002" i="17"/>
  <c r="N20001" i="17"/>
  <c r="N20000" i="17"/>
  <c r="N19999" i="17"/>
  <c r="N3" i="17"/>
  <c r="M20073" i="17"/>
  <c r="M20072" i="17"/>
  <c r="M20071" i="17"/>
  <c r="M20070" i="17"/>
  <c r="M20069" i="17"/>
  <c r="M20068" i="17"/>
  <c r="M20067" i="17"/>
  <c r="M20066" i="17"/>
  <c r="M20065" i="17"/>
  <c r="M20064" i="17"/>
  <c r="M20063" i="17"/>
  <c r="M20062" i="17"/>
  <c r="M20061" i="17"/>
  <c r="M20060" i="17"/>
  <c r="M20059" i="17"/>
  <c r="M20058" i="17"/>
  <c r="M20057" i="17"/>
  <c r="M20056" i="17"/>
  <c r="M20055" i="17"/>
  <c r="M20054" i="17"/>
  <c r="M20053" i="17"/>
  <c r="M20052" i="17"/>
  <c r="M20051" i="17"/>
  <c r="M20050" i="17"/>
  <c r="M20049" i="17"/>
  <c r="M20048" i="17"/>
  <c r="M20047" i="17"/>
  <c r="M20046" i="17"/>
  <c r="M20045" i="17"/>
  <c r="M20044" i="17"/>
  <c r="M20043" i="17"/>
  <c r="M20042" i="17"/>
  <c r="M20041" i="17"/>
  <c r="M20040" i="17"/>
  <c r="M20039" i="17"/>
  <c r="M20038" i="17"/>
  <c r="M20037" i="17"/>
  <c r="M20036" i="17"/>
  <c r="M20035" i="17"/>
  <c r="M20034" i="17"/>
  <c r="M20033" i="17"/>
  <c r="M20032" i="17"/>
  <c r="M20031" i="17"/>
  <c r="M20030" i="17"/>
  <c r="M20029" i="17"/>
  <c r="M20028" i="17"/>
  <c r="M20027" i="17"/>
  <c r="M20026" i="17"/>
  <c r="M20025" i="17"/>
  <c r="M20024" i="17"/>
  <c r="M20023" i="17"/>
  <c r="M20022" i="17"/>
  <c r="M20021" i="17"/>
  <c r="M20020" i="17"/>
  <c r="M20019" i="17"/>
  <c r="M20018" i="17"/>
  <c r="M20017" i="17"/>
  <c r="M20016" i="17"/>
  <c r="M20015" i="17"/>
  <c r="M20014" i="17"/>
  <c r="M20013" i="17"/>
  <c r="M20012" i="17"/>
  <c r="M20011" i="17"/>
  <c r="M20010" i="17"/>
  <c r="M20009" i="17"/>
  <c r="M20008" i="17"/>
  <c r="M20007" i="17"/>
  <c r="M20006" i="17"/>
  <c r="M20005" i="17"/>
  <c r="M20004" i="17"/>
  <c r="M20003" i="17"/>
  <c r="M20002" i="17"/>
  <c r="M20001" i="17"/>
  <c r="M20000" i="17"/>
  <c r="M19999" i="17"/>
  <c r="E89" i="22" l="1"/>
  <c r="D18" i="22"/>
  <c r="E18" i="22"/>
  <c r="I18" i="22"/>
  <c r="F18" i="22"/>
  <c r="G18" i="22"/>
  <c r="H18" i="22"/>
  <c r="H62" i="22"/>
  <c r="G62" i="22"/>
  <c r="I62" i="22"/>
  <c r="D62" i="22"/>
  <c r="F62" i="22"/>
  <c r="E62" i="22"/>
  <c r="D64" i="22"/>
  <c r="F64" i="22"/>
  <c r="G64" i="22"/>
  <c r="I64" i="22"/>
  <c r="E64" i="22"/>
  <c r="H64" i="22"/>
  <c r="D17" i="22"/>
  <c r="E16" i="22"/>
  <c r="G87" i="22"/>
  <c r="E86" i="22"/>
  <c r="C20" i="24" s="1"/>
  <c r="I65" i="22"/>
  <c r="B5" i="25"/>
  <c r="H86" i="22"/>
  <c r="F20" i="24" s="1"/>
  <c r="F86" i="22"/>
  <c r="D20" i="24" s="1"/>
  <c r="H87" i="22"/>
  <c r="G86" i="22"/>
  <c r="E20" i="24" s="1"/>
  <c r="D65" i="22"/>
  <c r="I86" i="22"/>
  <c r="G20" i="24" s="1"/>
  <c r="E65" i="22"/>
  <c r="D87" i="22"/>
  <c r="F65" i="22"/>
  <c r="E87" i="22"/>
  <c r="G65" i="22"/>
  <c r="D86" i="22"/>
  <c r="F87" i="22"/>
  <c r="H65" i="22"/>
  <c r="G2" i="25"/>
  <c r="H4" i="25"/>
  <c r="H2" i="25"/>
  <c r="C4" i="25"/>
  <c r="C2" i="25"/>
  <c r="D4" i="25"/>
  <c r="D2" i="25"/>
  <c r="E4" i="25"/>
  <c r="E2" i="25"/>
  <c r="F4" i="25"/>
  <c r="F2" i="25"/>
  <c r="G4" i="25"/>
  <c r="I2622" i="17"/>
  <c r="I2604" i="17"/>
  <c r="I2535" i="17"/>
  <c r="I2514" i="17"/>
  <c r="I2439" i="17"/>
  <c r="I2403" i="17"/>
  <c r="I2400" i="17"/>
  <c r="I2383" i="17"/>
  <c r="I2346" i="17"/>
  <c r="I2320" i="17"/>
  <c r="I2296" i="17"/>
  <c r="I2264" i="17"/>
  <c r="I2184" i="17"/>
  <c r="I2158" i="17"/>
  <c r="I2152" i="17"/>
  <c r="I1037" i="17"/>
  <c r="I2625" i="17"/>
  <c r="I2624" i="17"/>
  <c r="I2587" i="17"/>
  <c r="I2544" i="17"/>
  <c r="I2495" i="17"/>
  <c r="I2474" i="17"/>
  <c r="I2441" i="17"/>
  <c r="I2405" i="17"/>
  <c r="I2347" i="17"/>
  <c r="I2192" i="17"/>
  <c r="I2161" i="17"/>
  <c r="C86" i="22" l="1"/>
  <c r="B20" i="24"/>
  <c r="H20" i="24" s="1"/>
  <c r="C87" i="22"/>
  <c r="C62" i="22"/>
  <c r="C64" i="22"/>
  <c r="C65" i="22"/>
  <c r="N20112" i="17"/>
  <c r="N20111" i="17"/>
  <c r="N20110" i="17"/>
  <c r="N20109" i="17"/>
  <c r="N20108" i="17"/>
  <c r="N20107" i="17"/>
  <c r="N20106" i="17"/>
  <c r="N20105" i="17"/>
  <c r="N20104" i="17"/>
  <c r="N20103" i="17"/>
  <c r="N20102" i="17"/>
  <c r="N20101" i="17"/>
  <c r="N20100" i="17"/>
  <c r="N20099" i="17"/>
  <c r="N20098" i="17"/>
  <c r="N20097" i="17"/>
  <c r="N20096" i="17"/>
  <c r="N20095" i="17"/>
  <c r="N20094" i="17"/>
  <c r="N20093" i="17"/>
  <c r="N20092" i="17"/>
  <c r="N20091" i="17"/>
  <c r="N20090" i="17"/>
  <c r="N20089" i="17"/>
  <c r="N20088" i="17"/>
  <c r="N20087" i="17"/>
  <c r="N20086" i="17"/>
  <c r="N20085" i="17"/>
  <c r="N20084" i="17"/>
  <c r="N20083" i="17"/>
  <c r="N20082" i="17"/>
  <c r="N20081" i="17"/>
  <c r="N20080" i="17"/>
  <c r="N20079" i="17"/>
  <c r="N20078" i="17"/>
  <c r="N20077" i="17"/>
  <c r="N20076" i="17"/>
  <c r="N20075" i="17"/>
  <c r="N20074" i="17"/>
  <c r="M20112" i="17"/>
  <c r="M20111" i="17"/>
  <c r="M20110" i="17"/>
  <c r="M20109" i="17"/>
  <c r="M20108" i="17"/>
  <c r="M20107" i="17"/>
  <c r="M20106" i="17"/>
  <c r="M20105" i="17"/>
  <c r="M20104" i="17"/>
  <c r="M20103" i="17"/>
  <c r="M20102" i="17"/>
  <c r="M20101" i="17"/>
  <c r="M20100" i="17"/>
  <c r="M20099" i="17"/>
  <c r="M20098" i="17"/>
  <c r="M20097" i="17"/>
  <c r="M20096" i="17"/>
  <c r="M20095" i="17"/>
  <c r="M20094" i="17"/>
  <c r="M20093" i="17"/>
  <c r="M20092" i="17"/>
  <c r="M20091" i="17"/>
  <c r="M20090" i="17"/>
  <c r="M20089" i="17"/>
  <c r="M20088" i="17"/>
  <c r="M20087" i="17"/>
  <c r="M20086" i="17"/>
  <c r="M20085" i="17"/>
  <c r="M20084" i="17"/>
  <c r="M20083" i="17"/>
  <c r="M20082" i="17"/>
  <c r="M20081" i="17"/>
  <c r="M20080" i="17"/>
  <c r="M20079" i="17"/>
  <c r="M20078" i="17"/>
  <c r="M20077" i="17"/>
  <c r="M20076" i="17"/>
  <c r="M20075" i="17"/>
  <c r="M20074" i="17"/>
  <c r="I20112" i="17"/>
  <c r="I20111" i="17"/>
  <c r="I20110" i="17"/>
  <c r="I20109" i="17"/>
  <c r="I20108" i="17"/>
  <c r="I20107" i="17"/>
  <c r="I20106" i="17"/>
  <c r="I20105" i="17"/>
  <c r="I20104" i="17"/>
  <c r="I20103" i="17"/>
  <c r="I20102" i="17"/>
  <c r="I20101" i="17"/>
  <c r="I20100" i="17"/>
  <c r="I20099" i="17"/>
  <c r="I20098" i="17"/>
  <c r="I20097" i="17"/>
  <c r="I20096" i="17"/>
  <c r="I20095" i="17"/>
  <c r="I20094" i="17"/>
  <c r="I20093" i="17"/>
  <c r="I20092" i="17"/>
  <c r="I20091" i="17"/>
  <c r="I20090" i="17"/>
  <c r="I20089" i="17"/>
  <c r="I20088" i="17"/>
  <c r="I20087" i="17"/>
  <c r="I20086" i="17"/>
  <c r="I20085" i="17"/>
  <c r="I20084" i="17"/>
  <c r="I20083" i="17"/>
  <c r="I20082" i="17"/>
  <c r="I20081" i="17"/>
  <c r="I20080" i="17"/>
  <c r="I20079" i="17"/>
  <c r="I20078" i="17"/>
  <c r="I20077" i="17"/>
  <c r="I20076" i="17"/>
  <c r="I20075" i="17"/>
  <c r="I20074" i="17"/>
  <c r="I20073" i="17"/>
  <c r="I20072" i="17"/>
  <c r="I20071" i="17"/>
  <c r="I20070" i="17"/>
  <c r="I20069" i="17"/>
  <c r="I20068" i="17"/>
  <c r="I20067" i="17"/>
  <c r="I20066" i="17"/>
  <c r="I20065" i="17"/>
  <c r="I20064" i="17"/>
  <c r="I20063" i="17"/>
  <c r="I20062" i="17"/>
  <c r="I20061" i="17"/>
  <c r="I20060" i="17"/>
  <c r="I20059" i="17"/>
  <c r="I20058" i="17"/>
  <c r="I20057" i="17"/>
  <c r="I20056" i="17"/>
  <c r="I20055" i="17"/>
  <c r="I20054" i="17"/>
  <c r="I20053" i="17"/>
  <c r="I20052" i="17"/>
  <c r="I20051" i="17"/>
  <c r="I20050" i="17"/>
  <c r="I20049" i="17"/>
  <c r="I20048" i="17"/>
  <c r="I20047" i="17"/>
  <c r="I20046" i="17"/>
  <c r="I20045" i="17"/>
  <c r="I20044" i="17"/>
  <c r="I20043" i="17"/>
  <c r="I20042" i="17"/>
  <c r="I20041" i="17"/>
  <c r="I20040" i="17"/>
  <c r="I20039" i="17"/>
  <c r="I20038" i="17"/>
  <c r="I20037" i="17"/>
  <c r="I20036" i="17"/>
  <c r="I20035" i="17"/>
  <c r="I20034" i="17"/>
  <c r="I20033" i="17"/>
  <c r="I20032" i="17"/>
  <c r="I20031" i="17"/>
  <c r="I20030" i="17"/>
  <c r="I20029" i="17"/>
  <c r="I20028" i="17"/>
  <c r="I20027" i="17"/>
  <c r="I20026" i="17"/>
  <c r="I20025" i="17"/>
  <c r="I20024" i="17"/>
  <c r="I20023" i="17"/>
  <c r="I20022" i="17"/>
  <c r="I20021" i="17"/>
  <c r="I20020" i="17"/>
  <c r="I20019" i="17"/>
  <c r="I20018" i="17"/>
  <c r="I20017" i="17"/>
  <c r="I20016" i="17"/>
  <c r="I20015" i="17"/>
  <c r="I20014" i="17"/>
  <c r="I20013" i="17"/>
  <c r="I20012" i="17"/>
  <c r="I20011" i="17"/>
  <c r="I20010" i="17"/>
  <c r="I20009" i="17"/>
  <c r="I20008" i="17"/>
  <c r="I20007" i="17"/>
  <c r="I20006" i="17"/>
  <c r="I20005" i="17"/>
  <c r="I20004" i="17"/>
  <c r="I20003" i="17"/>
  <c r="I20002" i="17"/>
  <c r="I20001" i="17"/>
  <c r="I20000" i="17"/>
  <c r="I19999" i="17"/>
  <c r="I19998" i="17"/>
  <c r="I19997" i="17"/>
  <c r="I19996" i="17"/>
  <c r="I19995" i="17"/>
  <c r="I19994" i="17"/>
  <c r="I19993" i="17"/>
  <c r="I19992" i="17"/>
  <c r="I19991" i="17"/>
  <c r="I19990" i="17"/>
  <c r="I19989" i="17"/>
  <c r="I19988" i="17"/>
  <c r="I19987" i="17"/>
  <c r="I19986" i="17"/>
  <c r="I19985" i="17"/>
  <c r="I19984" i="17"/>
  <c r="I19983" i="17"/>
  <c r="I19982" i="17"/>
  <c r="I19981" i="17"/>
  <c r="I19980" i="17"/>
  <c r="I19979" i="17"/>
  <c r="I19978" i="17"/>
  <c r="I19977" i="17"/>
  <c r="I19976" i="17"/>
  <c r="I19975" i="17"/>
  <c r="I19974" i="17"/>
  <c r="I19973" i="17"/>
  <c r="I19972" i="17"/>
  <c r="I19971" i="17"/>
  <c r="I19970" i="17"/>
  <c r="I19969" i="17"/>
  <c r="I19968" i="17"/>
  <c r="I19967" i="17"/>
  <c r="I19966" i="17"/>
  <c r="I19965" i="17"/>
  <c r="I19964" i="17"/>
  <c r="I19963" i="17"/>
  <c r="I19962" i="17"/>
  <c r="I19961" i="17"/>
  <c r="I19960" i="17"/>
  <c r="I19959" i="17"/>
  <c r="I19958" i="17"/>
  <c r="I19957" i="17"/>
  <c r="I19956" i="17"/>
  <c r="I19955" i="17"/>
  <c r="I19954" i="17"/>
  <c r="I19953" i="17"/>
  <c r="I19952" i="17"/>
  <c r="I19951" i="17"/>
  <c r="I19950" i="17"/>
  <c r="I19949" i="17"/>
  <c r="I19948" i="17"/>
  <c r="I19947" i="17"/>
  <c r="I19946" i="17"/>
  <c r="I19945" i="17"/>
  <c r="I19944" i="17"/>
  <c r="I19943" i="17"/>
  <c r="I19942" i="17"/>
  <c r="I19941" i="17"/>
  <c r="I19940" i="17"/>
  <c r="I19939" i="17"/>
  <c r="I19938" i="17"/>
  <c r="I19937" i="17"/>
  <c r="I19936" i="17"/>
  <c r="I19935" i="17"/>
  <c r="I19934" i="17"/>
  <c r="I19933" i="17"/>
  <c r="I19932" i="17"/>
  <c r="I19931" i="17"/>
  <c r="I19930" i="17"/>
  <c r="I19929" i="17"/>
  <c r="I19928" i="17"/>
  <c r="I19927" i="17"/>
  <c r="I19926" i="17"/>
  <c r="I19925" i="17"/>
  <c r="I19924" i="17"/>
  <c r="I19923" i="17"/>
  <c r="I19922" i="17"/>
  <c r="I19921" i="17"/>
  <c r="I19920" i="17"/>
  <c r="I19919" i="17"/>
  <c r="I19918" i="17"/>
  <c r="I19917" i="17"/>
  <c r="I19916" i="17"/>
  <c r="I19915" i="17"/>
  <c r="I19914" i="17"/>
  <c r="I19913" i="17"/>
  <c r="I19912" i="17"/>
  <c r="I19911" i="17"/>
  <c r="I19910" i="17"/>
  <c r="I19909" i="17"/>
  <c r="I19908" i="17"/>
  <c r="I19907" i="17"/>
  <c r="I19906" i="17"/>
  <c r="I19905" i="17"/>
  <c r="I19904" i="17"/>
  <c r="I19903" i="17"/>
  <c r="I19902" i="17"/>
  <c r="I19901" i="17"/>
  <c r="I19900" i="17"/>
  <c r="I19899" i="17"/>
  <c r="I19898" i="17"/>
  <c r="I19897" i="17"/>
  <c r="I19896" i="17"/>
  <c r="I19895" i="17"/>
  <c r="I19894" i="17"/>
  <c r="I19893" i="17"/>
  <c r="I19892" i="17"/>
  <c r="I19891" i="17"/>
  <c r="I19890" i="17"/>
  <c r="I19889" i="17"/>
  <c r="I19888" i="17"/>
  <c r="I19887" i="17"/>
  <c r="I19886" i="17"/>
  <c r="I19885" i="17"/>
  <c r="I19884" i="17"/>
  <c r="I19883" i="17"/>
  <c r="I19882" i="17"/>
  <c r="I19881" i="17"/>
  <c r="I19880" i="17"/>
  <c r="I19879" i="17"/>
  <c r="I19878" i="17"/>
  <c r="I19877" i="17"/>
  <c r="I19876" i="17"/>
  <c r="I19875" i="17"/>
  <c r="I19874" i="17"/>
  <c r="I19873" i="17"/>
  <c r="I19872" i="17"/>
  <c r="I19871" i="17"/>
  <c r="I19870" i="17"/>
  <c r="I19869" i="17"/>
  <c r="I19868" i="17"/>
  <c r="I19867" i="17"/>
  <c r="I19866" i="17"/>
  <c r="I19865" i="17"/>
  <c r="I19864" i="17"/>
  <c r="I19863" i="17"/>
  <c r="I19862" i="17"/>
  <c r="I19861" i="17"/>
  <c r="I19860" i="17"/>
  <c r="I19859" i="17"/>
  <c r="I19858" i="17"/>
  <c r="I19857" i="17"/>
  <c r="I19856" i="17"/>
  <c r="I19855" i="17"/>
  <c r="I19854" i="17"/>
  <c r="I19853" i="17"/>
  <c r="I19852" i="17"/>
  <c r="I19851" i="17"/>
  <c r="I19850" i="17"/>
  <c r="I19849" i="17"/>
  <c r="I19848" i="17"/>
  <c r="I19847" i="17"/>
  <c r="I19846" i="17"/>
  <c r="I19845" i="17"/>
  <c r="I19844" i="17"/>
  <c r="I19843" i="17"/>
  <c r="I19842" i="17"/>
  <c r="I19841" i="17"/>
  <c r="I19840" i="17"/>
  <c r="I19839" i="17"/>
  <c r="I19838" i="17"/>
  <c r="I19837" i="17"/>
  <c r="I19836" i="17"/>
  <c r="I19835" i="17"/>
  <c r="I19834" i="17"/>
  <c r="I19833" i="17"/>
  <c r="I19832" i="17"/>
  <c r="I19831" i="17"/>
  <c r="I19830" i="17"/>
  <c r="I19829" i="17"/>
  <c r="I19828" i="17"/>
  <c r="I19827" i="17"/>
  <c r="I19826" i="17"/>
  <c r="I19825" i="17"/>
  <c r="I19824" i="17"/>
  <c r="I19823" i="17"/>
  <c r="I19822" i="17"/>
  <c r="I19821" i="17"/>
  <c r="I19820" i="17"/>
  <c r="I19819" i="17"/>
  <c r="I19818" i="17"/>
  <c r="I19817" i="17"/>
  <c r="I19816" i="17"/>
  <c r="I19815" i="17"/>
  <c r="I19814" i="17"/>
  <c r="I19813" i="17"/>
  <c r="I19812" i="17"/>
  <c r="I19811" i="17"/>
  <c r="I19810" i="17"/>
  <c r="I19809" i="17"/>
  <c r="I19808" i="17"/>
  <c r="I19807" i="17"/>
  <c r="I19806" i="17"/>
  <c r="I19805" i="17"/>
  <c r="I19804" i="17"/>
  <c r="I19803" i="17"/>
  <c r="I19802" i="17"/>
  <c r="I19801" i="17"/>
  <c r="I19800" i="17"/>
  <c r="I19799" i="17"/>
  <c r="I19798" i="17"/>
  <c r="I19797" i="17"/>
  <c r="I19796" i="17"/>
  <c r="I19795" i="17"/>
  <c r="I19794" i="17"/>
  <c r="I19793" i="17"/>
  <c r="I19792" i="17"/>
  <c r="I19791" i="17"/>
  <c r="I19790" i="17"/>
  <c r="I19789" i="17"/>
  <c r="I19788" i="17"/>
  <c r="I19787" i="17"/>
  <c r="I19786" i="17"/>
  <c r="I19785" i="17"/>
  <c r="I19784" i="17"/>
  <c r="I19783" i="17"/>
  <c r="I19782" i="17"/>
  <c r="I19781" i="17"/>
  <c r="I19780" i="17"/>
  <c r="I19779" i="17"/>
  <c r="I19778" i="17"/>
  <c r="I19777" i="17"/>
  <c r="I19776" i="17"/>
  <c r="I19775" i="17"/>
  <c r="I19774" i="17"/>
  <c r="I19773" i="17"/>
  <c r="I19772" i="17"/>
  <c r="I19771" i="17"/>
  <c r="I19770" i="17"/>
  <c r="I19769" i="17"/>
  <c r="I19768" i="17"/>
  <c r="I19767" i="17"/>
  <c r="I19766" i="17"/>
  <c r="I19765" i="17"/>
  <c r="I19764" i="17"/>
  <c r="I19763" i="17"/>
  <c r="I19762" i="17"/>
  <c r="I19761" i="17"/>
  <c r="I19760" i="17"/>
  <c r="I19759" i="17"/>
  <c r="I19758" i="17"/>
  <c r="I19757" i="17"/>
  <c r="I19756" i="17"/>
  <c r="I19755" i="17"/>
  <c r="I19754" i="17"/>
  <c r="I19753" i="17"/>
  <c r="I19752" i="17"/>
  <c r="I19751" i="17"/>
  <c r="I19750" i="17"/>
  <c r="I19749" i="17"/>
  <c r="I19748" i="17"/>
  <c r="I19747" i="17"/>
  <c r="I19746" i="17"/>
  <c r="I19745" i="17"/>
  <c r="I19744" i="17"/>
  <c r="I19743" i="17"/>
  <c r="I19742" i="17"/>
  <c r="I19741" i="17"/>
  <c r="I19740" i="17"/>
  <c r="I19739" i="17"/>
  <c r="I19738" i="17"/>
  <c r="I19737" i="17"/>
  <c r="I19736" i="17"/>
  <c r="I19735" i="17"/>
  <c r="I19734" i="17"/>
  <c r="I19733" i="17"/>
  <c r="I19732" i="17"/>
  <c r="I19731" i="17"/>
  <c r="I19730" i="17"/>
  <c r="I19729" i="17"/>
  <c r="I19728" i="17"/>
  <c r="I19727" i="17"/>
  <c r="I19726" i="17"/>
  <c r="I19725" i="17"/>
  <c r="I19724" i="17"/>
  <c r="I19723" i="17"/>
  <c r="I19722" i="17"/>
  <c r="I19721" i="17"/>
  <c r="I19720" i="17"/>
  <c r="I19719" i="17"/>
  <c r="I19718" i="17"/>
  <c r="I19717" i="17"/>
  <c r="I19716" i="17"/>
  <c r="I19715" i="17"/>
  <c r="I19714" i="17"/>
  <c r="I19713" i="17"/>
  <c r="I19712" i="17"/>
  <c r="I19711" i="17"/>
  <c r="I19710" i="17"/>
  <c r="I19709" i="17"/>
  <c r="I19708" i="17"/>
  <c r="I19707" i="17"/>
  <c r="I19706" i="17"/>
  <c r="I19705" i="17"/>
  <c r="I19704" i="17"/>
  <c r="I19703" i="17"/>
  <c r="I19702" i="17"/>
  <c r="I19701" i="17"/>
  <c r="I19700" i="17"/>
  <c r="I19699" i="17"/>
  <c r="I19698" i="17"/>
  <c r="I19697" i="17"/>
  <c r="I19696" i="17"/>
  <c r="I19695" i="17"/>
  <c r="I19694" i="17"/>
  <c r="I19693" i="17"/>
  <c r="I19692" i="17"/>
  <c r="I19691" i="17"/>
  <c r="I19690" i="17"/>
  <c r="I19689" i="17"/>
  <c r="I19688" i="17"/>
  <c r="I19687" i="17"/>
  <c r="I19686" i="17"/>
  <c r="I19685" i="17"/>
  <c r="I19684" i="17"/>
  <c r="I19683" i="17"/>
  <c r="I19682" i="17"/>
  <c r="I19681" i="17"/>
  <c r="I19680" i="17"/>
  <c r="I19679" i="17"/>
  <c r="I19678" i="17"/>
  <c r="I19677" i="17"/>
  <c r="I19676" i="17"/>
  <c r="I19675" i="17"/>
  <c r="I19674" i="17"/>
  <c r="I19673" i="17"/>
  <c r="I19672" i="17"/>
  <c r="I19671" i="17"/>
  <c r="I19670" i="17"/>
  <c r="I19669" i="17"/>
  <c r="I19668" i="17"/>
  <c r="I19667" i="17"/>
  <c r="I19666" i="17"/>
  <c r="I19665" i="17"/>
  <c r="I19664" i="17"/>
  <c r="I19663" i="17"/>
  <c r="I19662" i="17"/>
  <c r="I19661" i="17"/>
  <c r="I19660" i="17"/>
  <c r="I19659" i="17"/>
  <c r="I19658" i="17"/>
  <c r="I19657" i="17"/>
  <c r="I19656" i="17"/>
  <c r="I19655" i="17"/>
  <c r="I19654" i="17"/>
  <c r="I19653" i="17"/>
  <c r="I19652" i="17"/>
  <c r="I19651" i="17"/>
  <c r="I19650" i="17"/>
  <c r="I19649" i="17"/>
  <c r="I19648" i="17"/>
  <c r="I19647" i="17"/>
  <c r="I19646" i="17"/>
  <c r="I19645" i="17"/>
  <c r="I19644" i="17"/>
  <c r="I19643" i="17"/>
  <c r="I19642" i="17"/>
  <c r="I19641" i="17"/>
  <c r="I19640" i="17"/>
  <c r="I19639" i="17"/>
  <c r="I19638" i="17"/>
  <c r="I19637" i="17"/>
  <c r="I19636" i="17"/>
  <c r="I19635" i="17"/>
  <c r="I19634" i="17"/>
  <c r="I19633" i="17"/>
  <c r="I19632" i="17"/>
  <c r="I19631" i="17"/>
  <c r="I19630" i="17"/>
  <c r="I19629" i="17"/>
  <c r="I19628" i="17"/>
  <c r="I19627" i="17"/>
  <c r="I19626" i="17"/>
  <c r="I19625" i="17"/>
  <c r="I19624" i="17"/>
  <c r="I19623" i="17"/>
  <c r="I19622" i="17"/>
  <c r="I19621" i="17"/>
  <c r="I19620" i="17"/>
  <c r="I19619" i="17"/>
  <c r="I19618" i="17"/>
  <c r="I19617" i="17"/>
  <c r="I19616" i="17"/>
  <c r="I19615" i="17"/>
  <c r="I19614" i="17"/>
  <c r="I19613" i="17"/>
  <c r="I19612" i="17"/>
  <c r="I19611" i="17"/>
  <c r="I19610" i="17"/>
  <c r="I19609" i="17"/>
  <c r="I19608" i="17"/>
  <c r="I19607" i="17"/>
  <c r="I19606" i="17"/>
  <c r="I19605" i="17"/>
  <c r="I19604" i="17"/>
  <c r="I19603" i="17"/>
  <c r="I19602" i="17"/>
  <c r="I19601" i="17"/>
  <c r="I19600" i="17"/>
  <c r="I19599" i="17"/>
  <c r="I19598" i="17"/>
  <c r="I19597" i="17"/>
  <c r="I19596" i="17"/>
  <c r="I19595" i="17"/>
  <c r="I19594" i="17"/>
  <c r="I19593" i="17"/>
  <c r="I19592" i="17"/>
  <c r="I19591" i="17"/>
  <c r="I19590" i="17"/>
  <c r="I19589" i="17"/>
  <c r="I19588" i="17"/>
  <c r="I19587" i="17"/>
  <c r="I19586" i="17"/>
  <c r="I19585" i="17"/>
  <c r="I19584" i="17"/>
  <c r="I19583" i="17"/>
  <c r="I19582" i="17"/>
  <c r="I19581" i="17"/>
  <c r="I19580" i="17"/>
  <c r="I19579" i="17"/>
  <c r="I19578" i="17"/>
  <c r="I19577" i="17"/>
  <c r="I19576" i="17"/>
  <c r="I19575" i="17"/>
  <c r="I19574" i="17"/>
  <c r="I19573" i="17"/>
  <c r="I19572" i="17"/>
  <c r="I19571" i="17"/>
  <c r="I19570" i="17"/>
  <c r="I19569" i="17"/>
  <c r="I19568" i="17"/>
  <c r="I19567" i="17"/>
  <c r="I19566" i="17"/>
  <c r="I19565" i="17"/>
  <c r="I19564" i="17"/>
  <c r="I19563" i="17"/>
  <c r="I19562" i="17"/>
  <c r="I19561" i="17"/>
  <c r="I19560" i="17"/>
  <c r="I19559" i="17"/>
  <c r="I19558" i="17"/>
  <c r="I19557" i="17"/>
  <c r="I19556" i="17"/>
  <c r="I19555" i="17"/>
  <c r="I19554" i="17"/>
  <c r="I19553" i="17"/>
  <c r="I19552" i="17"/>
  <c r="I19551" i="17"/>
  <c r="I19550" i="17"/>
  <c r="I19549" i="17"/>
  <c r="I19548" i="17"/>
  <c r="I19547" i="17"/>
  <c r="I19546" i="17"/>
  <c r="I19545" i="17"/>
  <c r="I19544" i="17"/>
  <c r="I19543" i="17"/>
  <c r="I19542" i="17"/>
  <c r="I19541" i="17"/>
  <c r="I19540" i="17"/>
  <c r="I19539" i="17"/>
  <c r="I19538" i="17"/>
  <c r="I19537" i="17"/>
  <c r="I19536" i="17"/>
  <c r="I19535" i="17"/>
  <c r="I19534" i="17"/>
  <c r="I19533" i="17"/>
  <c r="I19532" i="17"/>
  <c r="I19531" i="17"/>
  <c r="I19530" i="17"/>
  <c r="I19529" i="17"/>
  <c r="I19528" i="17"/>
  <c r="I19527" i="17"/>
  <c r="I19526" i="17"/>
  <c r="I19525" i="17"/>
  <c r="I19524" i="17"/>
  <c r="I19523" i="17"/>
  <c r="I19522" i="17"/>
  <c r="I19521" i="17"/>
  <c r="I19520" i="17"/>
  <c r="I19519" i="17"/>
  <c r="I19518" i="17"/>
  <c r="I19517" i="17"/>
  <c r="I19516" i="17"/>
  <c r="I19515" i="17"/>
  <c r="I19514" i="17"/>
  <c r="I19513" i="17"/>
  <c r="I19512" i="17"/>
  <c r="I19511" i="17"/>
  <c r="I19510" i="17"/>
  <c r="I19509" i="17"/>
  <c r="I19508" i="17"/>
  <c r="I19507" i="17"/>
  <c r="I19506" i="17"/>
  <c r="I19505" i="17"/>
  <c r="I19504" i="17"/>
  <c r="I19503" i="17"/>
  <c r="I19502" i="17"/>
  <c r="I19501" i="17"/>
  <c r="I19500" i="17"/>
  <c r="I19499" i="17"/>
  <c r="I19498" i="17"/>
  <c r="I19497" i="17"/>
  <c r="I19496" i="17"/>
  <c r="I19495" i="17"/>
  <c r="I19494" i="17"/>
  <c r="I19493" i="17"/>
  <c r="I19492" i="17"/>
  <c r="I19491" i="17"/>
  <c r="I19490" i="17"/>
  <c r="I19489" i="17"/>
  <c r="I19488" i="17"/>
  <c r="I19487" i="17"/>
  <c r="I19486" i="17"/>
  <c r="I19485" i="17"/>
  <c r="I19484" i="17"/>
  <c r="I19483" i="17"/>
  <c r="I19482" i="17"/>
  <c r="I19481" i="17"/>
  <c r="I19480" i="17"/>
  <c r="I19479" i="17"/>
  <c r="I19478" i="17"/>
  <c r="I19477" i="17"/>
  <c r="I19476" i="17"/>
  <c r="I19475" i="17"/>
  <c r="I19474" i="17"/>
  <c r="I19473" i="17"/>
  <c r="I19472" i="17"/>
  <c r="I19471" i="17"/>
  <c r="I19470" i="17"/>
  <c r="I19469" i="17"/>
  <c r="I19468" i="17"/>
  <c r="I19467" i="17"/>
  <c r="I19466" i="17"/>
  <c r="I19465" i="17"/>
  <c r="I19464" i="17"/>
  <c r="I19463" i="17"/>
  <c r="I19462" i="17"/>
  <c r="I19461" i="17"/>
  <c r="I19460" i="17"/>
  <c r="I19459" i="17"/>
  <c r="I19458" i="17"/>
  <c r="I19457" i="17"/>
  <c r="I19456" i="17"/>
  <c r="I19455" i="17"/>
  <c r="I19454" i="17"/>
  <c r="I19453" i="17"/>
  <c r="I19452" i="17"/>
  <c r="I19451" i="17"/>
  <c r="I19450" i="17"/>
  <c r="I19449" i="17"/>
  <c r="I19448" i="17"/>
  <c r="I19447" i="17"/>
  <c r="I19446" i="17"/>
  <c r="I19445" i="17"/>
  <c r="I19444" i="17"/>
  <c r="I19443" i="17"/>
  <c r="I19442" i="17"/>
  <c r="I19441" i="17"/>
  <c r="I19440" i="17"/>
  <c r="I19439" i="17"/>
  <c r="I19438" i="17"/>
  <c r="I19437" i="17"/>
  <c r="I19436" i="17"/>
  <c r="I19435" i="17"/>
  <c r="I19434" i="17"/>
  <c r="I19433" i="17"/>
  <c r="I19432" i="17"/>
  <c r="I19431" i="17"/>
  <c r="I19430" i="17"/>
  <c r="I19429" i="17"/>
  <c r="I19428" i="17"/>
  <c r="I19427" i="17"/>
  <c r="I19426" i="17"/>
  <c r="I19425" i="17"/>
  <c r="I19424" i="17"/>
  <c r="I19423" i="17"/>
  <c r="I19422" i="17"/>
  <c r="I19421" i="17"/>
  <c r="I19420" i="17"/>
  <c r="I19419" i="17"/>
  <c r="I19418" i="17"/>
  <c r="I19417" i="17"/>
  <c r="I19416" i="17"/>
  <c r="I19415" i="17"/>
  <c r="I19414" i="17"/>
  <c r="I19413" i="17"/>
  <c r="I19412" i="17"/>
  <c r="I19411" i="17"/>
  <c r="I19410" i="17"/>
  <c r="I19409" i="17"/>
  <c r="I19408" i="17"/>
  <c r="I19407" i="17"/>
  <c r="I19406" i="17"/>
  <c r="I19405" i="17"/>
  <c r="I19404" i="17"/>
  <c r="I19403" i="17"/>
  <c r="I19402" i="17"/>
  <c r="I19401" i="17"/>
  <c r="I19400" i="17"/>
  <c r="I19399" i="17"/>
  <c r="I19398" i="17"/>
  <c r="I19397" i="17"/>
  <c r="I19396" i="17"/>
  <c r="I19395" i="17"/>
  <c r="I19394" i="17"/>
  <c r="I19393" i="17"/>
  <c r="I19392" i="17"/>
  <c r="I19391" i="17"/>
  <c r="I19390" i="17"/>
  <c r="I19389" i="17"/>
  <c r="I19388" i="17"/>
  <c r="I19387" i="17"/>
  <c r="I19386" i="17"/>
  <c r="I19385" i="17"/>
  <c r="I19384" i="17"/>
  <c r="I19383" i="17"/>
  <c r="I19382" i="17"/>
  <c r="I19381" i="17"/>
  <c r="I19380" i="17"/>
  <c r="I19379" i="17"/>
  <c r="I19378" i="17"/>
  <c r="I19377" i="17"/>
  <c r="I19376" i="17"/>
  <c r="I19375" i="17"/>
  <c r="I19374" i="17"/>
  <c r="I19373" i="17"/>
  <c r="I19372" i="17"/>
  <c r="I19371" i="17"/>
  <c r="I19370" i="17"/>
  <c r="I19369" i="17"/>
  <c r="I19368" i="17"/>
  <c r="I19367" i="17"/>
  <c r="I19366" i="17"/>
  <c r="I19365" i="17"/>
  <c r="I19364" i="17"/>
  <c r="I19363" i="17"/>
  <c r="I19362" i="17"/>
  <c r="I19361" i="17"/>
  <c r="I19360" i="17"/>
  <c r="I19359" i="17"/>
  <c r="I19358" i="17"/>
  <c r="I19357" i="17"/>
  <c r="I19356" i="17"/>
  <c r="I19355" i="17"/>
  <c r="I19354" i="17"/>
  <c r="I19353" i="17"/>
  <c r="I19352" i="17"/>
  <c r="I19351" i="17"/>
  <c r="I19350" i="17"/>
  <c r="I19349" i="17"/>
  <c r="I19348" i="17"/>
  <c r="I19347" i="17"/>
  <c r="I19346" i="17"/>
  <c r="I19345" i="17"/>
  <c r="I19344" i="17"/>
  <c r="I19343" i="17"/>
  <c r="I19342" i="17"/>
  <c r="I19341" i="17"/>
  <c r="I19340" i="17"/>
  <c r="I19339" i="17"/>
  <c r="I19338" i="17"/>
  <c r="I19337" i="17"/>
  <c r="I19336" i="17"/>
  <c r="I19335" i="17"/>
  <c r="I19334" i="17"/>
  <c r="I19333" i="17"/>
  <c r="I19332" i="17"/>
  <c r="I19331" i="17"/>
  <c r="I19330" i="17"/>
  <c r="I19329" i="17"/>
  <c r="I19328" i="17"/>
  <c r="I19327" i="17"/>
  <c r="I19326" i="17"/>
  <c r="I19325" i="17"/>
  <c r="I19324" i="17"/>
  <c r="I19323" i="17"/>
  <c r="I19322" i="17"/>
  <c r="I19321" i="17"/>
  <c r="I19320" i="17"/>
  <c r="I19319" i="17"/>
  <c r="I19318" i="17"/>
  <c r="I19317" i="17"/>
  <c r="I19316" i="17"/>
  <c r="I19315" i="17"/>
  <c r="I19314" i="17"/>
  <c r="I19313" i="17"/>
  <c r="I19312" i="17"/>
  <c r="I19311" i="17"/>
  <c r="I19310" i="17"/>
  <c r="I19309" i="17"/>
  <c r="I19308" i="17"/>
  <c r="I19307" i="17"/>
  <c r="I19306" i="17"/>
  <c r="I19305" i="17"/>
  <c r="I19304" i="17"/>
  <c r="I19303" i="17"/>
  <c r="I19302" i="17"/>
  <c r="I19301" i="17"/>
  <c r="I19300" i="17"/>
  <c r="I19299" i="17"/>
  <c r="I19298" i="17"/>
  <c r="I19297" i="17"/>
  <c r="I19296" i="17"/>
  <c r="I19295" i="17"/>
  <c r="I19294" i="17"/>
  <c r="I19293" i="17"/>
  <c r="I19292" i="17"/>
  <c r="I19291" i="17"/>
  <c r="I19290" i="17"/>
  <c r="I19289" i="17"/>
  <c r="I19288" i="17"/>
  <c r="I19287" i="17"/>
  <c r="I19286" i="17"/>
  <c r="I19285" i="17"/>
  <c r="I19284" i="17"/>
  <c r="I19283" i="17"/>
  <c r="I19282" i="17"/>
  <c r="I19281" i="17"/>
  <c r="I19280" i="17"/>
  <c r="I19279" i="17"/>
  <c r="I19278" i="17"/>
  <c r="I19277" i="17"/>
  <c r="I19276" i="17"/>
  <c r="I19275" i="17"/>
  <c r="I19274" i="17"/>
  <c r="I19273" i="17"/>
  <c r="I19272" i="17"/>
  <c r="I19271" i="17"/>
  <c r="I19270" i="17"/>
  <c r="I19269" i="17"/>
  <c r="I19268" i="17"/>
  <c r="I19267" i="17"/>
  <c r="I19266" i="17"/>
  <c r="I19265" i="17"/>
  <c r="I19264" i="17"/>
  <c r="I19263" i="17"/>
  <c r="I19262" i="17"/>
  <c r="I19261" i="17"/>
  <c r="I19260" i="17"/>
  <c r="I19259" i="17"/>
  <c r="I19258" i="17"/>
  <c r="I19257" i="17"/>
  <c r="I19256" i="17"/>
  <c r="I19255" i="17"/>
  <c r="I19254" i="17"/>
  <c r="I19253" i="17"/>
  <c r="I19252" i="17"/>
  <c r="I19251" i="17"/>
  <c r="I19250" i="17"/>
  <c r="I19249" i="17"/>
  <c r="I19248" i="17"/>
  <c r="I19247" i="17"/>
  <c r="I19246" i="17"/>
  <c r="I19245" i="17"/>
  <c r="I19244" i="17"/>
  <c r="I19243" i="17"/>
  <c r="I19242" i="17"/>
  <c r="I19241" i="17"/>
  <c r="I19240" i="17"/>
  <c r="I19239" i="17"/>
  <c r="I19238" i="17"/>
  <c r="I19237" i="17"/>
  <c r="I19236" i="17"/>
  <c r="I19235" i="17"/>
  <c r="I19234" i="17"/>
  <c r="I19233" i="17"/>
  <c r="I19232" i="17"/>
  <c r="I19231" i="17"/>
  <c r="I19230" i="17"/>
  <c r="I19229" i="17"/>
  <c r="I19228" i="17"/>
  <c r="I19227" i="17"/>
  <c r="I19226" i="17"/>
  <c r="I19225" i="17"/>
  <c r="I19224" i="17"/>
  <c r="I19223" i="17"/>
  <c r="I19222" i="17"/>
  <c r="I19221" i="17"/>
  <c r="I19220" i="17"/>
  <c r="I19219" i="17"/>
  <c r="I19218" i="17"/>
  <c r="I19217" i="17"/>
  <c r="I19216" i="17"/>
  <c r="I19215" i="17"/>
  <c r="I19214" i="17"/>
  <c r="I19213" i="17"/>
  <c r="I19212" i="17"/>
  <c r="I19211" i="17"/>
  <c r="I19210" i="17"/>
  <c r="I19209" i="17"/>
  <c r="I19208" i="17"/>
  <c r="I19207" i="17"/>
  <c r="I19206" i="17"/>
  <c r="I19205" i="17"/>
  <c r="I19204" i="17"/>
  <c r="I19203" i="17"/>
  <c r="I19202" i="17"/>
  <c r="I19201" i="17"/>
  <c r="I19200" i="17"/>
  <c r="I19199" i="17"/>
  <c r="I19198" i="17"/>
  <c r="I19197" i="17"/>
  <c r="I19196" i="17"/>
  <c r="I19195" i="17"/>
  <c r="I19194" i="17"/>
  <c r="I19193" i="17"/>
  <c r="I19192" i="17"/>
  <c r="I19191" i="17"/>
  <c r="I19190" i="17"/>
  <c r="I19189" i="17"/>
  <c r="I19188" i="17"/>
  <c r="I19187" i="17"/>
  <c r="I19186" i="17"/>
  <c r="I19185" i="17"/>
  <c r="I19184" i="17"/>
  <c r="I19183" i="17"/>
  <c r="I19182" i="17"/>
  <c r="I19181" i="17"/>
  <c r="I19180" i="17"/>
  <c r="I19179" i="17"/>
  <c r="I19178" i="17"/>
  <c r="I19177" i="17"/>
  <c r="I19176" i="17"/>
  <c r="I19175" i="17"/>
  <c r="I19174" i="17"/>
  <c r="I19173" i="17"/>
  <c r="I19172" i="17"/>
  <c r="I19171" i="17"/>
  <c r="I19170" i="17"/>
  <c r="I19169" i="17"/>
  <c r="I19168" i="17"/>
  <c r="I19167" i="17"/>
  <c r="I19166" i="17"/>
  <c r="I19165" i="17"/>
  <c r="I19164" i="17"/>
  <c r="I19163" i="17"/>
  <c r="I19162" i="17"/>
  <c r="I19161" i="17"/>
  <c r="I19160" i="17"/>
  <c r="I19159" i="17"/>
  <c r="I19158" i="17"/>
  <c r="I19157" i="17"/>
  <c r="I19156" i="17"/>
  <c r="I19155" i="17"/>
  <c r="I19154" i="17"/>
  <c r="I19153" i="17"/>
  <c r="I19152" i="17"/>
  <c r="I19151" i="17"/>
  <c r="I19150" i="17"/>
  <c r="I19149" i="17"/>
  <c r="I19148" i="17"/>
  <c r="I19147" i="17"/>
  <c r="I19146" i="17"/>
  <c r="I19145" i="17"/>
  <c r="I19144" i="17"/>
  <c r="I19143" i="17"/>
  <c r="I19142" i="17"/>
  <c r="I19141" i="17"/>
  <c r="I19140" i="17"/>
  <c r="I19139" i="17"/>
  <c r="I19138" i="17"/>
  <c r="I19137" i="17"/>
  <c r="I19136" i="17"/>
  <c r="I19135" i="17"/>
  <c r="I19134" i="17"/>
  <c r="I19133" i="17"/>
  <c r="I19132" i="17"/>
  <c r="I19131" i="17"/>
  <c r="I19130" i="17"/>
  <c r="I19129" i="17"/>
  <c r="I19128" i="17"/>
  <c r="I19127" i="17"/>
  <c r="I19126" i="17"/>
  <c r="I19125" i="17"/>
  <c r="I19124" i="17"/>
  <c r="I19123" i="17"/>
  <c r="I19122" i="17"/>
  <c r="I19121" i="17"/>
  <c r="I19120" i="17"/>
  <c r="I19119" i="17"/>
  <c r="I19118" i="17"/>
  <c r="I19117" i="17"/>
  <c r="I19116" i="17"/>
  <c r="I19115" i="17"/>
  <c r="I19114" i="17"/>
  <c r="I19113" i="17"/>
  <c r="I19112" i="17"/>
  <c r="I19111" i="17"/>
  <c r="I19110" i="17"/>
  <c r="I19109" i="17"/>
  <c r="I19108" i="17"/>
  <c r="I19107" i="17"/>
  <c r="I19106" i="17"/>
  <c r="I19105" i="17"/>
  <c r="I19104" i="17"/>
  <c r="I19103" i="17"/>
  <c r="I19102" i="17"/>
  <c r="I19101" i="17"/>
  <c r="I19100" i="17"/>
  <c r="I19099" i="17"/>
  <c r="I19098" i="17"/>
  <c r="I19097" i="17"/>
  <c r="I19096" i="17"/>
  <c r="I19095" i="17"/>
  <c r="I19094" i="17"/>
  <c r="I19093" i="17"/>
  <c r="I19092" i="17"/>
  <c r="I19091" i="17"/>
  <c r="I19090" i="17"/>
  <c r="I19089" i="17"/>
  <c r="I19088" i="17"/>
  <c r="I19087" i="17"/>
  <c r="I19086" i="17"/>
  <c r="I19085" i="17"/>
  <c r="I19084" i="17"/>
  <c r="I19083" i="17"/>
  <c r="I19082" i="17"/>
  <c r="I19081" i="17"/>
  <c r="I19080" i="17"/>
  <c r="I19079" i="17"/>
  <c r="I19078" i="17"/>
  <c r="I19077" i="17"/>
  <c r="I19076" i="17"/>
  <c r="I19075" i="17"/>
  <c r="I19074" i="17"/>
  <c r="I19073" i="17"/>
  <c r="I19072" i="17"/>
  <c r="I19071" i="17"/>
  <c r="I19070" i="17"/>
  <c r="I19069" i="17"/>
  <c r="I19068" i="17"/>
  <c r="I19067" i="17"/>
  <c r="I19066" i="17"/>
  <c r="I19065" i="17"/>
  <c r="I19064" i="17"/>
  <c r="I19063" i="17"/>
  <c r="I19062" i="17"/>
  <c r="I19061" i="17"/>
  <c r="I19060" i="17"/>
  <c r="I19059" i="17"/>
  <c r="I19058" i="17"/>
  <c r="I19057" i="17"/>
  <c r="I19056" i="17"/>
  <c r="I19055" i="17"/>
  <c r="I19054" i="17"/>
  <c r="I19053" i="17"/>
  <c r="I19052" i="17"/>
  <c r="I19051" i="17"/>
  <c r="I19050" i="17"/>
  <c r="I19049" i="17"/>
  <c r="I19048" i="17"/>
  <c r="I19047" i="17"/>
  <c r="I19046" i="17"/>
  <c r="I19045" i="17"/>
  <c r="I19044" i="17"/>
  <c r="I19043" i="17"/>
  <c r="I19042" i="17"/>
  <c r="I19041" i="17"/>
  <c r="I19040" i="17"/>
  <c r="I19039" i="17"/>
  <c r="I19038" i="17"/>
  <c r="I19037" i="17"/>
  <c r="I19036" i="17"/>
  <c r="I19035" i="17"/>
  <c r="I19034" i="17"/>
  <c r="I19033" i="17"/>
  <c r="I19032" i="17"/>
  <c r="I19031" i="17"/>
  <c r="I19030" i="17"/>
  <c r="I19029" i="17"/>
  <c r="I19028" i="17"/>
  <c r="I19027" i="17"/>
  <c r="I19026" i="17"/>
  <c r="I19025" i="17"/>
  <c r="I19024" i="17"/>
  <c r="I19023" i="17"/>
  <c r="I19022" i="17"/>
  <c r="I19021" i="17"/>
  <c r="I19020" i="17"/>
  <c r="I19019" i="17"/>
  <c r="I19018" i="17"/>
  <c r="I19017" i="17"/>
  <c r="I19016" i="17"/>
  <c r="I19015" i="17"/>
  <c r="I19014" i="17"/>
  <c r="I19013" i="17"/>
  <c r="I19012" i="17"/>
  <c r="I19011" i="17"/>
  <c r="I19010" i="17"/>
  <c r="I19009" i="17"/>
  <c r="I19008" i="17"/>
  <c r="I19007" i="17"/>
  <c r="I19006" i="17"/>
  <c r="I19005" i="17"/>
  <c r="I19004" i="17"/>
  <c r="I19003" i="17"/>
  <c r="I19002" i="17"/>
  <c r="I19001" i="17"/>
  <c r="I19000" i="17"/>
  <c r="I18999" i="17"/>
  <c r="I18998" i="17"/>
  <c r="I18997" i="17"/>
  <c r="I18996" i="17"/>
  <c r="I18995" i="17"/>
  <c r="I18994" i="17"/>
  <c r="I18993" i="17"/>
  <c r="I18992" i="17"/>
  <c r="I18991" i="17"/>
  <c r="I18990" i="17"/>
  <c r="I18989" i="17"/>
  <c r="I18988" i="17"/>
  <c r="I18987" i="17"/>
  <c r="I18986" i="17"/>
  <c r="I18985" i="17"/>
  <c r="I18984" i="17"/>
  <c r="I18983" i="17"/>
  <c r="I18982" i="17"/>
  <c r="I18981" i="17"/>
  <c r="I18980" i="17"/>
  <c r="I18979" i="17"/>
  <c r="I18978" i="17"/>
  <c r="I18977" i="17"/>
  <c r="I18976" i="17"/>
  <c r="I18975" i="17"/>
  <c r="I18974" i="17"/>
  <c r="I18973" i="17"/>
  <c r="I18972" i="17"/>
  <c r="I18971" i="17"/>
  <c r="I18970" i="17"/>
  <c r="I18969" i="17"/>
  <c r="I18968" i="17"/>
  <c r="I18967" i="17"/>
  <c r="I18966" i="17"/>
  <c r="I18965" i="17"/>
  <c r="I18964" i="17"/>
  <c r="I18963" i="17"/>
  <c r="I18962" i="17"/>
  <c r="I18961" i="17"/>
  <c r="I18960" i="17"/>
  <c r="I18959" i="17"/>
  <c r="I18958" i="17"/>
  <c r="I18957" i="17"/>
  <c r="I18956" i="17"/>
  <c r="I18955" i="17"/>
  <c r="I18954" i="17"/>
  <c r="I18953" i="17"/>
  <c r="I18952" i="17"/>
  <c r="I18951" i="17"/>
  <c r="I18950" i="17"/>
  <c r="I18949" i="17"/>
  <c r="I18948" i="17"/>
  <c r="I18947" i="17"/>
  <c r="I18946" i="17"/>
  <c r="I18945" i="17"/>
  <c r="I18944" i="17"/>
  <c r="I18943" i="17"/>
  <c r="I18942" i="17"/>
  <c r="I18941" i="17"/>
  <c r="I18940" i="17"/>
  <c r="I18939" i="17"/>
  <c r="I18938" i="17"/>
  <c r="I18937" i="17"/>
  <c r="I18936" i="17"/>
  <c r="I18935" i="17"/>
  <c r="I18934" i="17"/>
  <c r="I18933" i="17"/>
  <c r="I18932" i="17"/>
  <c r="I18931" i="17"/>
  <c r="I18930" i="17"/>
  <c r="I18929" i="17"/>
  <c r="I18928" i="17"/>
  <c r="I18927" i="17"/>
  <c r="I18926" i="17"/>
  <c r="I18925" i="17"/>
  <c r="I18924" i="17"/>
  <c r="I18923" i="17"/>
  <c r="I18922" i="17"/>
  <c r="I18921" i="17"/>
  <c r="I18920" i="17"/>
  <c r="I18919" i="17"/>
  <c r="I18918" i="17"/>
  <c r="I18917" i="17"/>
  <c r="I18916" i="17"/>
  <c r="I18915" i="17"/>
  <c r="I18914" i="17"/>
  <c r="I18913" i="17"/>
  <c r="I18912" i="17"/>
  <c r="I18911" i="17"/>
  <c r="I18910" i="17"/>
  <c r="I18909" i="17"/>
  <c r="I18908" i="17"/>
  <c r="I18907" i="17"/>
  <c r="I18906" i="17"/>
  <c r="I18905" i="17"/>
  <c r="I18904" i="17"/>
  <c r="I18903" i="17"/>
  <c r="I18902" i="17"/>
  <c r="I18901" i="17"/>
  <c r="I18900" i="17"/>
  <c r="I18899" i="17"/>
  <c r="I18898" i="17"/>
  <c r="I18897" i="17"/>
  <c r="I18896" i="17"/>
  <c r="I18895" i="17"/>
  <c r="I18894" i="17"/>
  <c r="I18893" i="17"/>
  <c r="I18892" i="17"/>
  <c r="I18891" i="17"/>
  <c r="I18890" i="17"/>
  <c r="I18889" i="17"/>
  <c r="I18888" i="17"/>
  <c r="I18887" i="17"/>
  <c r="I18886" i="17"/>
  <c r="I18885" i="17"/>
  <c r="I18884" i="17"/>
  <c r="I18883" i="17"/>
  <c r="I18882" i="17"/>
  <c r="I18881" i="17"/>
  <c r="I18880" i="17"/>
  <c r="I18879" i="17"/>
  <c r="I18878" i="17"/>
  <c r="I18877" i="17"/>
  <c r="I18876" i="17"/>
  <c r="I18875" i="17"/>
  <c r="I18874" i="17"/>
  <c r="I18873" i="17"/>
  <c r="I18872" i="17"/>
  <c r="I18871" i="17"/>
  <c r="I18870" i="17"/>
  <c r="I18869" i="17"/>
  <c r="I18868" i="17"/>
  <c r="I18867" i="17"/>
  <c r="I18866" i="17"/>
  <c r="I18865" i="17"/>
  <c r="I18864" i="17"/>
  <c r="I18863" i="17"/>
  <c r="I18862" i="17"/>
  <c r="I18861" i="17"/>
  <c r="I18860" i="17"/>
  <c r="I18859" i="17"/>
  <c r="I18858" i="17"/>
  <c r="I18857" i="17"/>
  <c r="I18856" i="17"/>
  <c r="I18855" i="17"/>
  <c r="I18854" i="17"/>
  <c r="I18853" i="17"/>
  <c r="I18852" i="17"/>
  <c r="I18851" i="17"/>
  <c r="I18850" i="17"/>
  <c r="I18849" i="17"/>
  <c r="I18848" i="17"/>
  <c r="I18847" i="17"/>
  <c r="I18846" i="17"/>
  <c r="I18845" i="17"/>
  <c r="I18844" i="17"/>
  <c r="I18843" i="17"/>
  <c r="I18842" i="17"/>
  <c r="I18841" i="17"/>
  <c r="I18840" i="17"/>
  <c r="I18839" i="17"/>
  <c r="I18838" i="17"/>
  <c r="I18837" i="17"/>
  <c r="I18836" i="17"/>
  <c r="I18835" i="17"/>
  <c r="I18834" i="17"/>
  <c r="I18833" i="17"/>
  <c r="I18832" i="17"/>
  <c r="I18831" i="17"/>
  <c r="I18830" i="17"/>
  <c r="I18829" i="17"/>
  <c r="I18828" i="17"/>
  <c r="I18827" i="17"/>
  <c r="I18826" i="17"/>
  <c r="I18825" i="17"/>
  <c r="I18824" i="17"/>
  <c r="I18823" i="17"/>
  <c r="I18822" i="17"/>
  <c r="I18821" i="17"/>
  <c r="I18820" i="17"/>
  <c r="I18819" i="17"/>
  <c r="I18818" i="17"/>
  <c r="I18817" i="17"/>
  <c r="I18816" i="17"/>
  <c r="I18815" i="17"/>
  <c r="I18814" i="17"/>
  <c r="I18813" i="17"/>
  <c r="I18812" i="17"/>
  <c r="I18811" i="17"/>
  <c r="I18810" i="17"/>
  <c r="I18809" i="17"/>
  <c r="I18808" i="17"/>
  <c r="I18807" i="17"/>
  <c r="I18806" i="17"/>
  <c r="I18805" i="17"/>
  <c r="I18804" i="17"/>
  <c r="I18803" i="17"/>
  <c r="I18802" i="17"/>
  <c r="I18801" i="17"/>
  <c r="I18800" i="17"/>
  <c r="I18799" i="17"/>
  <c r="I18798" i="17"/>
  <c r="I18797" i="17"/>
  <c r="I18796" i="17"/>
  <c r="I18795" i="17"/>
  <c r="I18794" i="17"/>
  <c r="I18793" i="17"/>
  <c r="I18792" i="17"/>
  <c r="I18791" i="17"/>
  <c r="I18790" i="17"/>
  <c r="I18789" i="17"/>
  <c r="I18788" i="17"/>
  <c r="I18787" i="17"/>
  <c r="I18786" i="17"/>
  <c r="I18785" i="17"/>
  <c r="I18784" i="17"/>
  <c r="I18783" i="17"/>
  <c r="I18782" i="17"/>
  <c r="I18781" i="17"/>
  <c r="I18780" i="17"/>
  <c r="I18779" i="17"/>
  <c r="I18778" i="17"/>
  <c r="I18777" i="17"/>
  <c r="I18776" i="17"/>
  <c r="I18775" i="17"/>
  <c r="I18774" i="17"/>
  <c r="I18773" i="17"/>
  <c r="I18772" i="17"/>
  <c r="I18771" i="17"/>
  <c r="I18770" i="17"/>
  <c r="I18769" i="17"/>
  <c r="I18768" i="17"/>
  <c r="I18767" i="17"/>
  <c r="I18766" i="17"/>
  <c r="I18765" i="17"/>
  <c r="I18764" i="17"/>
  <c r="I18763" i="17"/>
  <c r="I18762" i="17"/>
  <c r="I18761" i="17"/>
  <c r="I18760" i="17"/>
  <c r="I18759" i="17"/>
  <c r="I18758" i="17"/>
  <c r="I18757" i="17"/>
  <c r="I18756" i="17"/>
  <c r="I18755" i="17"/>
  <c r="I18754" i="17"/>
  <c r="I18753" i="17"/>
  <c r="I18752" i="17"/>
  <c r="I18751" i="17"/>
  <c r="I18750" i="17"/>
  <c r="I18749" i="17"/>
  <c r="I18748" i="17"/>
  <c r="I18747" i="17"/>
  <c r="I18746" i="17"/>
  <c r="I18745" i="17"/>
  <c r="I18744" i="17"/>
  <c r="I18743" i="17"/>
  <c r="I18742" i="17"/>
  <c r="I18741" i="17"/>
  <c r="I18740" i="17"/>
  <c r="I18739" i="17"/>
  <c r="I18738" i="17"/>
  <c r="I18737" i="17"/>
  <c r="I18736" i="17"/>
  <c r="I18735" i="17"/>
  <c r="I18734" i="17"/>
  <c r="I18733" i="17"/>
  <c r="I18732" i="17"/>
  <c r="I18731" i="17"/>
  <c r="I18730" i="17"/>
  <c r="I18729" i="17"/>
  <c r="I18728" i="17"/>
  <c r="I18727" i="17"/>
  <c r="I18726" i="17"/>
  <c r="I18725" i="17"/>
  <c r="I18724" i="17"/>
  <c r="I18723" i="17"/>
  <c r="I18722" i="17"/>
  <c r="I18721" i="17"/>
  <c r="I18720" i="17"/>
  <c r="I18719" i="17"/>
  <c r="I18718" i="17"/>
  <c r="I18717" i="17"/>
  <c r="I18716" i="17"/>
  <c r="I18715" i="17"/>
  <c r="I18714" i="17"/>
  <c r="I18713" i="17"/>
  <c r="I18712" i="17"/>
  <c r="I18711" i="17"/>
  <c r="I18710" i="17"/>
  <c r="I18709" i="17"/>
  <c r="I18708" i="17"/>
  <c r="I18707" i="17"/>
  <c r="I18706" i="17"/>
  <c r="I18705" i="17"/>
  <c r="I18704" i="17"/>
  <c r="I18703" i="17"/>
  <c r="I18702" i="17"/>
  <c r="I18701" i="17"/>
  <c r="I18700" i="17"/>
  <c r="I18699" i="17"/>
  <c r="I18698" i="17"/>
  <c r="I18697" i="17"/>
  <c r="I18696" i="17"/>
  <c r="I18695" i="17"/>
  <c r="I18694" i="17"/>
  <c r="I18693" i="17"/>
  <c r="I18692" i="17"/>
  <c r="I18691" i="17"/>
  <c r="I18690" i="17"/>
  <c r="I18689" i="17"/>
  <c r="I18688" i="17"/>
  <c r="I18687" i="17"/>
  <c r="I18686" i="17"/>
  <c r="I18685" i="17"/>
  <c r="I18684" i="17"/>
  <c r="I18683" i="17"/>
  <c r="I18682" i="17"/>
  <c r="I18681" i="17"/>
  <c r="I18680" i="17"/>
  <c r="I18679" i="17"/>
  <c r="I18678" i="17"/>
  <c r="I18677" i="17"/>
  <c r="I18676" i="17"/>
  <c r="I18675" i="17"/>
  <c r="I18674" i="17"/>
  <c r="I18673" i="17"/>
  <c r="I18672" i="17"/>
  <c r="I18671" i="17"/>
  <c r="I18670" i="17"/>
  <c r="I18669" i="17"/>
  <c r="I18668" i="17"/>
  <c r="I18667" i="17"/>
  <c r="I18666" i="17"/>
  <c r="I18665" i="17"/>
  <c r="I18664" i="17"/>
  <c r="I18663" i="17"/>
  <c r="I18662" i="17"/>
  <c r="I18661" i="17"/>
  <c r="I18660" i="17"/>
  <c r="I18659" i="17"/>
  <c r="I18658" i="17"/>
  <c r="I18657" i="17"/>
  <c r="I18656" i="17"/>
  <c r="I18655" i="17"/>
  <c r="I18654" i="17"/>
  <c r="I18653" i="17"/>
  <c r="I18652" i="17"/>
  <c r="I18651" i="17"/>
  <c r="I18650" i="17"/>
  <c r="I18649" i="17"/>
  <c r="I18648" i="17"/>
  <c r="I18647" i="17"/>
  <c r="I18646" i="17"/>
  <c r="I18645" i="17"/>
  <c r="I18644" i="17"/>
  <c r="I18643" i="17"/>
  <c r="I18642" i="17"/>
  <c r="I18641" i="17"/>
  <c r="I18640" i="17"/>
  <c r="I18639" i="17"/>
  <c r="I18638" i="17"/>
  <c r="I18637" i="17"/>
  <c r="I18636" i="17"/>
  <c r="I18635" i="17"/>
  <c r="I18634" i="17"/>
  <c r="I18633" i="17"/>
  <c r="I18632" i="17"/>
  <c r="I18631" i="17"/>
  <c r="I18630" i="17"/>
  <c r="I18629" i="17"/>
  <c r="I18628" i="17"/>
  <c r="I18627" i="17"/>
  <c r="I18626" i="17"/>
  <c r="I18625" i="17"/>
  <c r="I18624" i="17"/>
  <c r="I18623" i="17"/>
  <c r="I18622" i="17"/>
  <c r="I18621" i="17"/>
  <c r="I18620" i="17"/>
  <c r="I18619" i="17"/>
  <c r="I18618" i="17"/>
  <c r="I18617" i="17"/>
  <c r="I18616" i="17"/>
  <c r="I18615" i="17"/>
  <c r="I18614" i="17"/>
  <c r="I18613" i="17"/>
  <c r="I18612" i="17"/>
  <c r="I18611" i="17"/>
  <c r="I18610" i="17"/>
  <c r="I18609" i="17"/>
  <c r="I18608" i="17"/>
  <c r="I18607" i="17"/>
  <c r="I18606" i="17"/>
  <c r="I18605" i="17"/>
  <c r="I18604" i="17"/>
  <c r="I18603" i="17"/>
  <c r="I18602" i="17"/>
  <c r="I18601" i="17"/>
  <c r="I18600" i="17"/>
  <c r="I18599" i="17"/>
  <c r="I18598" i="17"/>
  <c r="I18597" i="17"/>
  <c r="I18596" i="17"/>
  <c r="I18595" i="17"/>
  <c r="I18594" i="17"/>
  <c r="I18593" i="17"/>
  <c r="I18592" i="17"/>
  <c r="I18591" i="17"/>
  <c r="I18590" i="17"/>
  <c r="I18589" i="17"/>
  <c r="I18588" i="17"/>
  <c r="I18587" i="17"/>
  <c r="I18586" i="17"/>
  <c r="I18585" i="17"/>
  <c r="I18584" i="17"/>
  <c r="I18583" i="17"/>
  <c r="I18582" i="17"/>
  <c r="I18581" i="17"/>
  <c r="I18580" i="17"/>
  <c r="I18579" i="17"/>
  <c r="I18578" i="17"/>
  <c r="I18577" i="17"/>
  <c r="I18576" i="17"/>
  <c r="I18575" i="17"/>
  <c r="I18574" i="17"/>
  <c r="I18573" i="17"/>
  <c r="I18572" i="17"/>
  <c r="I18571" i="17"/>
  <c r="I18570" i="17"/>
  <c r="I18569" i="17"/>
  <c r="I18568" i="17"/>
  <c r="I18567" i="17"/>
  <c r="I18566" i="17"/>
  <c r="I18565" i="17"/>
  <c r="I18564" i="17"/>
  <c r="I18563" i="17"/>
  <c r="I18562" i="17"/>
  <c r="I18561" i="17"/>
  <c r="I18560" i="17"/>
  <c r="I18559" i="17"/>
  <c r="I18558" i="17"/>
  <c r="I18557" i="17"/>
  <c r="I18556" i="17"/>
  <c r="I18555" i="17"/>
  <c r="I18554" i="17"/>
  <c r="I18553" i="17"/>
  <c r="I18552" i="17"/>
  <c r="I18551" i="17"/>
  <c r="I18550" i="17"/>
  <c r="I18549" i="17"/>
  <c r="I18548" i="17"/>
  <c r="I18547" i="17"/>
  <c r="I18546" i="17"/>
  <c r="I18545" i="17"/>
  <c r="I18544" i="17"/>
  <c r="I18543" i="17"/>
  <c r="I18542" i="17"/>
  <c r="I18541" i="17"/>
  <c r="I18540" i="17"/>
  <c r="I18539" i="17"/>
  <c r="I18538" i="17"/>
  <c r="I18537" i="17"/>
  <c r="I18536" i="17"/>
  <c r="I18535" i="17"/>
  <c r="I18534" i="17"/>
  <c r="I18533" i="17"/>
  <c r="I18532" i="17"/>
  <c r="I18531" i="17"/>
  <c r="I18530" i="17"/>
  <c r="I18529" i="17"/>
  <c r="I18528" i="17"/>
  <c r="I18527" i="17"/>
  <c r="I18526" i="17"/>
  <c r="I18525" i="17"/>
  <c r="I18524" i="17"/>
  <c r="I18523" i="17"/>
  <c r="I18522" i="17"/>
  <c r="I18521" i="17"/>
  <c r="I18520" i="17"/>
  <c r="I18519" i="17"/>
  <c r="I18518" i="17"/>
  <c r="I18517" i="17"/>
  <c r="I18516" i="17"/>
  <c r="I18515" i="17"/>
  <c r="I18514" i="17"/>
  <c r="I18513" i="17"/>
  <c r="I18512" i="17"/>
  <c r="I18511" i="17"/>
  <c r="I18510" i="17"/>
  <c r="I18509" i="17"/>
  <c r="I18508" i="17"/>
  <c r="I18507" i="17"/>
  <c r="I18506" i="17"/>
  <c r="I18505" i="17"/>
  <c r="I18504" i="17"/>
  <c r="I18503" i="17"/>
  <c r="I18502" i="17"/>
  <c r="I18501" i="17"/>
  <c r="I18500" i="17"/>
  <c r="I18499" i="17"/>
  <c r="I18498" i="17"/>
  <c r="I18497" i="17"/>
  <c r="I18496" i="17"/>
  <c r="I18495" i="17"/>
  <c r="I18494" i="17"/>
  <c r="I18493" i="17"/>
  <c r="I18492" i="17"/>
  <c r="I18491" i="17"/>
  <c r="I18490" i="17"/>
  <c r="I18489" i="17"/>
  <c r="I18488" i="17"/>
  <c r="I18487" i="17"/>
  <c r="I18486" i="17"/>
  <c r="I18485" i="17"/>
  <c r="I18484" i="17"/>
  <c r="I18483" i="17"/>
  <c r="I18482" i="17"/>
  <c r="I18481" i="17"/>
  <c r="I18480" i="17"/>
  <c r="I18479" i="17"/>
  <c r="I18478" i="17"/>
  <c r="I18477" i="17"/>
  <c r="I18476" i="17"/>
  <c r="I18475" i="17"/>
  <c r="I18474" i="17"/>
  <c r="I18473" i="17"/>
  <c r="I18472" i="17"/>
  <c r="I18471" i="17"/>
  <c r="I18470" i="17"/>
  <c r="I18469" i="17"/>
  <c r="I18468" i="17"/>
  <c r="I18467" i="17"/>
  <c r="I18466" i="17"/>
  <c r="I18465" i="17"/>
  <c r="I18464" i="17"/>
  <c r="I18463" i="17"/>
  <c r="I18462" i="17"/>
  <c r="I18461" i="17"/>
  <c r="I18460" i="17"/>
  <c r="I18459" i="17"/>
  <c r="I18458" i="17"/>
  <c r="I18457" i="17"/>
  <c r="I18456" i="17"/>
  <c r="I18455" i="17"/>
  <c r="I18454" i="17"/>
  <c r="I18453" i="17"/>
  <c r="I18452" i="17"/>
  <c r="I18451" i="17"/>
  <c r="I18450" i="17"/>
  <c r="I18449" i="17"/>
  <c r="I18448" i="17"/>
  <c r="I18447" i="17"/>
  <c r="I18446" i="17"/>
  <c r="I18445" i="17"/>
  <c r="I18444" i="17"/>
  <c r="I18443" i="17"/>
  <c r="I18442" i="17"/>
  <c r="I18441" i="17"/>
  <c r="I18440" i="17"/>
  <c r="I18439" i="17"/>
  <c r="I18438" i="17"/>
  <c r="I18437" i="17"/>
  <c r="I18436" i="17"/>
  <c r="I18435" i="17"/>
  <c r="I18434" i="17"/>
  <c r="I18433" i="17"/>
  <c r="I18432" i="17"/>
  <c r="I18431" i="17"/>
  <c r="I18430" i="17"/>
  <c r="I18429" i="17"/>
  <c r="I18428" i="17"/>
  <c r="I18427" i="17"/>
  <c r="I18426" i="17"/>
  <c r="I18425" i="17"/>
  <c r="I18424" i="17"/>
  <c r="I18423" i="17"/>
  <c r="I18422" i="17"/>
  <c r="I18421" i="17"/>
  <c r="I18420" i="17"/>
  <c r="I18419" i="17"/>
  <c r="I18418" i="17"/>
  <c r="I18417" i="17"/>
  <c r="I18416" i="17"/>
  <c r="I18415" i="17"/>
  <c r="I18414" i="17"/>
  <c r="I18413" i="17"/>
  <c r="I18412" i="17"/>
  <c r="I18411" i="17"/>
  <c r="I18410" i="17"/>
  <c r="I18409" i="17"/>
  <c r="I18408" i="17"/>
  <c r="I18407" i="17"/>
  <c r="I18406" i="17"/>
  <c r="I18405" i="17"/>
  <c r="I18404" i="17"/>
  <c r="I18403" i="17"/>
  <c r="I18402" i="17"/>
  <c r="I18401" i="17"/>
  <c r="I18400" i="17"/>
  <c r="I18399" i="17"/>
  <c r="I18398" i="17"/>
  <c r="I18397" i="17"/>
  <c r="I18396" i="17"/>
  <c r="I18395" i="17"/>
  <c r="I18394" i="17"/>
  <c r="I18393" i="17"/>
  <c r="I18392" i="17"/>
  <c r="I18391" i="17"/>
  <c r="I18390" i="17"/>
  <c r="I18389" i="17"/>
  <c r="I18388" i="17"/>
  <c r="I18387" i="17"/>
  <c r="I18386" i="17"/>
  <c r="I18385" i="17"/>
  <c r="I18384" i="17"/>
  <c r="I18383" i="17"/>
  <c r="I18382" i="17"/>
  <c r="I18381" i="17"/>
  <c r="I18380" i="17"/>
  <c r="I18379" i="17"/>
  <c r="I18378" i="17"/>
  <c r="I18377" i="17"/>
  <c r="I18376" i="17"/>
  <c r="I18375" i="17"/>
  <c r="I18374" i="17"/>
  <c r="I18373" i="17"/>
  <c r="I18372" i="17"/>
  <c r="I18371" i="17"/>
  <c r="I18370" i="17"/>
  <c r="I18369" i="17"/>
  <c r="I18368" i="17"/>
  <c r="I18367" i="17"/>
  <c r="I18366" i="17"/>
  <c r="I18365" i="17"/>
  <c r="I18364" i="17"/>
  <c r="I18363" i="17"/>
  <c r="I18362" i="17"/>
  <c r="I18361" i="17"/>
  <c r="I18360" i="17"/>
  <c r="I18359" i="17"/>
  <c r="I18358" i="17"/>
  <c r="I18357" i="17"/>
  <c r="I18356" i="17"/>
  <c r="I18355" i="17"/>
  <c r="I18354" i="17"/>
  <c r="I18353" i="17"/>
  <c r="I18352" i="17"/>
  <c r="I18351" i="17"/>
  <c r="I18350" i="17"/>
  <c r="I18349" i="17"/>
  <c r="I18348" i="17"/>
  <c r="I18347" i="17"/>
  <c r="I18346" i="17"/>
  <c r="I18345" i="17"/>
  <c r="I18344" i="17"/>
  <c r="I18343" i="17"/>
  <c r="I18342" i="17"/>
  <c r="I18341" i="17"/>
  <c r="I18340" i="17"/>
  <c r="I18339" i="17"/>
  <c r="I18338" i="17"/>
  <c r="I18337" i="17"/>
  <c r="I18336" i="17"/>
  <c r="I18335" i="17"/>
  <c r="I18334" i="17"/>
  <c r="I18333" i="17"/>
  <c r="I18332" i="17"/>
  <c r="I18331" i="17"/>
  <c r="I18330" i="17"/>
  <c r="I18329" i="17"/>
  <c r="I18328" i="17"/>
  <c r="I18327" i="17"/>
  <c r="I18326" i="17"/>
  <c r="I18325" i="17"/>
  <c r="I18324" i="17"/>
  <c r="I18323" i="17"/>
  <c r="I18322" i="17"/>
  <c r="I18321" i="17"/>
  <c r="I18320" i="17"/>
  <c r="I18319" i="17"/>
  <c r="I18318" i="17"/>
  <c r="I18317" i="17"/>
  <c r="I18316" i="17"/>
  <c r="I18315" i="17"/>
  <c r="I18314" i="17"/>
  <c r="I18313" i="17"/>
  <c r="I18312" i="17"/>
  <c r="I18311" i="17"/>
  <c r="I18310" i="17"/>
  <c r="I18309" i="17"/>
  <c r="I18308" i="17"/>
  <c r="I18307" i="17"/>
  <c r="I18306" i="17"/>
  <c r="I18305" i="17"/>
  <c r="I18304" i="17"/>
  <c r="I18303" i="17"/>
  <c r="I18302" i="17"/>
  <c r="I18301" i="17"/>
  <c r="I18300" i="17"/>
  <c r="I18299" i="17"/>
  <c r="I18298" i="17"/>
  <c r="I18297" i="17"/>
  <c r="I18296" i="17"/>
  <c r="I18295" i="17"/>
  <c r="I18294" i="17"/>
  <c r="I18293" i="17"/>
  <c r="I18292" i="17"/>
  <c r="I18291" i="17"/>
  <c r="I18290" i="17"/>
  <c r="I18289" i="17"/>
  <c r="I18288" i="17"/>
  <c r="I18287" i="17"/>
  <c r="I18286" i="17"/>
  <c r="I18285" i="17"/>
  <c r="I18284" i="17"/>
  <c r="I18283" i="17"/>
  <c r="I18282" i="17"/>
  <c r="I18281" i="17"/>
  <c r="I18280" i="17"/>
  <c r="I18279" i="17"/>
  <c r="I18278" i="17"/>
  <c r="I18277" i="17"/>
  <c r="I18276" i="17"/>
  <c r="I18275" i="17"/>
  <c r="I18274" i="17"/>
  <c r="I18273" i="17"/>
  <c r="I18272" i="17"/>
  <c r="I18271" i="17"/>
  <c r="I18270" i="17"/>
  <c r="I18269" i="17"/>
  <c r="I18268" i="17"/>
  <c r="I18267" i="17"/>
  <c r="I18266" i="17"/>
  <c r="I18265" i="17"/>
  <c r="I18264" i="17"/>
  <c r="I18263" i="17"/>
  <c r="I18262" i="17"/>
  <c r="I18261" i="17"/>
  <c r="I18260" i="17"/>
  <c r="I18259" i="17"/>
  <c r="I18258" i="17"/>
  <c r="I18257" i="17"/>
  <c r="I18256" i="17"/>
  <c r="I18255" i="17"/>
  <c r="I18254" i="17"/>
  <c r="I18253" i="17"/>
  <c r="I18252" i="17"/>
  <c r="I18251" i="17"/>
  <c r="I18250" i="17"/>
  <c r="I18249" i="17"/>
  <c r="I18248" i="17"/>
  <c r="I18247" i="17"/>
  <c r="I18246" i="17"/>
  <c r="I18245" i="17"/>
  <c r="I18244" i="17"/>
  <c r="I18243" i="17"/>
  <c r="I18242" i="17"/>
  <c r="I18241" i="17"/>
  <c r="I18240" i="17"/>
  <c r="I18239" i="17"/>
  <c r="I18238" i="17"/>
  <c r="I18237" i="17"/>
  <c r="I18236" i="17"/>
  <c r="I18235" i="17"/>
  <c r="I18234" i="17"/>
  <c r="I18233" i="17"/>
  <c r="I18232" i="17"/>
  <c r="I18231" i="17"/>
  <c r="I18230" i="17"/>
  <c r="I18229" i="17"/>
  <c r="I18228" i="17"/>
  <c r="I18227" i="17"/>
  <c r="I18226" i="17"/>
  <c r="I18225" i="17"/>
  <c r="I18224" i="17"/>
  <c r="I18223" i="17"/>
  <c r="I18222" i="17"/>
  <c r="I18221" i="17"/>
  <c r="I18220" i="17"/>
  <c r="I18219" i="17"/>
  <c r="I18218" i="17"/>
  <c r="I18217" i="17"/>
  <c r="I18216" i="17"/>
  <c r="I18215" i="17"/>
  <c r="I18214" i="17"/>
  <c r="I18213" i="17"/>
  <c r="I18212" i="17"/>
  <c r="I18211" i="17"/>
  <c r="I18210" i="17"/>
  <c r="I18209" i="17"/>
  <c r="I18208" i="17"/>
  <c r="I18207" i="17"/>
  <c r="I18206" i="17"/>
  <c r="I18205" i="17"/>
  <c r="I18204" i="17"/>
  <c r="I18203" i="17"/>
  <c r="I18202" i="17"/>
  <c r="I18201" i="17"/>
  <c r="I18200" i="17"/>
  <c r="I18199" i="17"/>
  <c r="I18198" i="17"/>
  <c r="I18197" i="17"/>
  <c r="I18196" i="17"/>
  <c r="I18195" i="17"/>
  <c r="I18194" i="17"/>
  <c r="I18193" i="17"/>
  <c r="I18192" i="17"/>
  <c r="I18191" i="17"/>
  <c r="I18190" i="17"/>
  <c r="I18189" i="17"/>
  <c r="I18188" i="17"/>
  <c r="I18187" i="17"/>
  <c r="I18186" i="17"/>
  <c r="I18185" i="17"/>
  <c r="I18184" i="17"/>
  <c r="I18183" i="17"/>
  <c r="I18182" i="17"/>
  <c r="I18181" i="17"/>
  <c r="I18180" i="17"/>
  <c r="I18179" i="17"/>
  <c r="I18178" i="17"/>
  <c r="I18177" i="17"/>
  <c r="I18176" i="17"/>
  <c r="I18175" i="17"/>
  <c r="I18174" i="17"/>
  <c r="I18173" i="17"/>
  <c r="I18172" i="17"/>
  <c r="I18171" i="17"/>
  <c r="I18170" i="17"/>
  <c r="I18169" i="17"/>
  <c r="I18168" i="17"/>
  <c r="I18167" i="17"/>
  <c r="I18166" i="17"/>
  <c r="I18165" i="17"/>
  <c r="I18164" i="17"/>
  <c r="I18163" i="17"/>
  <c r="I18162" i="17"/>
  <c r="I18161" i="17"/>
  <c r="I18160" i="17"/>
  <c r="I18159" i="17"/>
  <c r="I18158" i="17"/>
  <c r="I18157" i="17"/>
  <c r="I18156" i="17"/>
  <c r="I18155" i="17"/>
  <c r="I18154" i="17"/>
  <c r="I18153" i="17"/>
  <c r="I18152" i="17"/>
  <c r="I18151" i="17"/>
  <c r="I18150" i="17"/>
  <c r="I18149" i="17"/>
  <c r="I18148" i="17"/>
  <c r="I18147" i="17"/>
  <c r="I18146" i="17"/>
  <c r="I18145" i="17"/>
  <c r="I18144" i="17"/>
  <c r="I18143" i="17"/>
  <c r="I18142" i="17"/>
  <c r="I18141" i="17"/>
  <c r="I18140" i="17"/>
  <c r="I18139" i="17"/>
  <c r="I18138" i="17"/>
  <c r="I18137" i="17"/>
  <c r="I18136" i="17"/>
  <c r="I18135" i="17"/>
  <c r="I18134" i="17"/>
  <c r="I18133" i="17"/>
  <c r="I18132" i="17"/>
  <c r="I18131" i="17"/>
  <c r="I18130" i="17"/>
  <c r="I18129" i="17"/>
  <c r="I18128" i="17"/>
  <c r="I18127" i="17"/>
  <c r="I18126" i="17"/>
  <c r="I18125" i="17"/>
  <c r="I18124" i="17"/>
  <c r="I18123" i="17"/>
  <c r="I18122" i="17"/>
  <c r="I18121" i="17"/>
  <c r="I18120" i="17"/>
  <c r="I18119" i="17"/>
  <c r="I18118" i="17"/>
  <c r="I18117" i="17"/>
  <c r="I18116" i="17"/>
  <c r="I18115" i="17"/>
  <c r="I18114" i="17"/>
  <c r="I18113" i="17"/>
  <c r="I18112" i="17"/>
  <c r="I18111" i="17"/>
  <c r="I18110" i="17"/>
  <c r="I18109" i="17"/>
  <c r="I18108" i="17"/>
  <c r="I18107" i="17"/>
  <c r="I18106" i="17"/>
  <c r="I18105" i="17"/>
  <c r="I18104" i="17"/>
  <c r="I18103" i="17"/>
  <c r="I18102" i="17"/>
  <c r="I18101" i="17"/>
  <c r="I18100" i="17"/>
  <c r="I18099" i="17"/>
  <c r="I18098" i="17"/>
  <c r="I18097" i="17"/>
  <c r="I18096" i="17"/>
  <c r="I18095" i="17"/>
  <c r="I18094" i="17"/>
  <c r="I18093" i="17"/>
  <c r="I18092" i="17"/>
  <c r="I18091" i="17"/>
  <c r="I18090" i="17"/>
  <c r="I18089" i="17"/>
  <c r="I18088" i="17"/>
  <c r="I18087" i="17"/>
  <c r="I18086" i="17"/>
  <c r="I18085" i="17"/>
  <c r="I18084" i="17"/>
  <c r="I18083" i="17"/>
  <c r="I18082" i="17"/>
  <c r="I18081" i="17"/>
  <c r="I18080" i="17"/>
  <c r="I18079" i="17"/>
  <c r="I18078" i="17"/>
  <c r="I18077" i="17"/>
  <c r="I18076" i="17"/>
  <c r="I18075" i="17"/>
  <c r="I18074" i="17"/>
  <c r="I18073" i="17"/>
  <c r="I18072" i="17"/>
  <c r="I18071" i="17"/>
  <c r="I18070" i="17"/>
  <c r="I18069" i="17"/>
  <c r="I18068" i="17"/>
  <c r="I18067" i="17"/>
  <c r="I18066" i="17"/>
  <c r="I18065" i="17"/>
  <c r="I18064" i="17"/>
  <c r="I18063" i="17"/>
  <c r="I18062" i="17"/>
  <c r="I18061" i="17"/>
  <c r="I18060" i="17"/>
  <c r="I18059" i="17"/>
  <c r="I18058" i="17"/>
  <c r="I18057" i="17"/>
  <c r="I18056" i="17"/>
  <c r="I18055" i="17"/>
  <c r="I18054" i="17"/>
  <c r="I18053" i="17"/>
  <c r="I18052" i="17"/>
  <c r="I18051" i="17"/>
  <c r="I18050" i="17"/>
  <c r="I18049" i="17"/>
  <c r="I18048" i="17"/>
  <c r="I18047" i="17"/>
  <c r="I18046" i="17"/>
  <c r="I18045" i="17"/>
  <c r="I18044" i="17"/>
  <c r="I18043" i="17"/>
  <c r="I18042" i="17"/>
  <c r="I18041" i="17"/>
  <c r="I18040" i="17"/>
  <c r="I18039" i="17"/>
  <c r="I18038" i="17"/>
  <c r="I18037" i="17"/>
  <c r="I18036" i="17"/>
  <c r="I18035" i="17"/>
  <c r="I18034" i="17"/>
  <c r="I18033" i="17"/>
  <c r="I18032" i="17"/>
  <c r="I18031" i="17"/>
  <c r="I18030" i="17"/>
  <c r="I18029" i="17"/>
  <c r="I18028" i="17"/>
  <c r="I18027" i="17"/>
  <c r="I18026" i="17"/>
  <c r="I18025" i="17"/>
  <c r="I18024" i="17"/>
  <c r="I18023" i="17"/>
  <c r="I18022" i="17"/>
  <c r="I18021" i="17"/>
  <c r="I18020" i="17"/>
  <c r="I18019" i="17"/>
  <c r="I18018" i="17"/>
  <c r="I18017" i="17"/>
  <c r="I18016" i="17"/>
  <c r="I18015" i="17"/>
  <c r="I18014" i="17"/>
  <c r="I18013" i="17"/>
  <c r="I18012" i="17"/>
  <c r="I18011" i="17"/>
  <c r="I18010" i="17"/>
  <c r="I18009" i="17"/>
  <c r="I18008" i="17"/>
  <c r="I18007" i="17"/>
  <c r="I18006" i="17"/>
  <c r="I18005" i="17"/>
  <c r="I18004" i="17"/>
  <c r="I18003" i="17"/>
  <c r="I18002" i="17"/>
  <c r="I18001" i="17"/>
  <c r="I18000" i="17"/>
  <c r="I17999" i="17"/>
  <c r="I17998" i="17"/>
  <c r="I17997" i="17"/>
  <c r="I17996" i="17"/>
  <c r="I17995" i="17"/>
  <c r="I17994" i="17"/>
  <c r="I17993" i="17"/>
  <c r="I17992" i="17"/>
  <c r="I17991" i="17"/>
  <c r="I17990" i="17"/>
  <c r="I17989" i="17"/>
  <c r="I17988" i="17"/>
  <c r="I17987" i="17"/>
  <c r="I17986" i="17"/>
  <c r="I17985" i="17"/>
  <c r="I17984" i="17"/>
  <c r="I17983" i="17"/>
  <c r="I17982" i="17"/>
  <c r="I17981" i="17"/>
  <c r="I17980" i="17"/>
  <c r="I17979" i="17"/>
  <c r="I17978" i="17"/>
  <c r="I17977" i="17"/>
  <c r="I17976" i="17"/>
  <c r="I17975" i="17"/>
  <c r="I17974" i="17"/>
  <c r="I17973" i="17"/>
  <c r="I17972" i="17"/>
  <c r="I17971" i="17"/>
  <c r="I17970" i="17"/>
  <c r="I17969" i="17"/>
  <c r="I17968" i="17"/>
  <c r="I17967" i="17"/>
  <c r="I17966" i="17"/>
  <c r="I17965" i="17"/>
  <c r="I17964" i="17"/>
  <c r="I17963" i="17"/>
  <c r="I17962" i="17"/>
  <c r="I17961" i="17"/>
  <c r="I17960" i="17"/>
  <c r="I17959" i="17"/>
  <c r="I17958" i="17"/>
  <c r="I17957" i="17"/>
  <c r="I17956" i="17"/>
  <c r="I17955" i="17"/>
  <c r="I17954" i="17"/>
  <c r="I17953" i="17"/>
  <c r="I17952" i="17"/>
  <c r="I17951" i="17"/>
  <c r="I17950" i="17"/>
  <c r="I17949" i="17"/>
  <c r="I17948" i="17"/>
  <c r="I17947" i="17"/>
  <c r="I17946" i="17"/>
  <c r="I17945" i="17"/>
  <c r="I17944" i="17"/>
  <c r="I17943" i="17"/>
  <c r="I17942" i="17"/>
  <c r="I17941" i="17"/>
  <c r="I17940" i="17"/>
  <c r="I17939" i="17"/>
  <c r="I17938" i="17"/>
  <c r="I17937" i="17"/>
  <c r="I17936" i="17"/>
  <c r="I17935" i="17"/>
  <c r="I17934" i="17"/>
  <c r="I17933" i="17"/>
  <c r="I17932" i="17"/>
  <c r="I17931" i="17"/>
  <c r="I17930" i="17"/>
  <c r="I17929" i="17"/>
  <c r="I17928" i="17"/>
  <c r="I17927" i="17"/>
  <c r="I17926" i="17"/>
  <c r="I17925" i="17"/>
  <c r="I17924" i="17"/>
  <c r="I17923" i="17"/>
  <c r="I17922" i="17"/>
  <c r="I17921" i="17"/>
  <c r="I17920" i="17"/>
  <c r="I17919" i="17"/>
  <c r="I17918" i="17"/>
  <c r="I17917" i="17"/>
  <c r="I17916" i="17"/>
  <c r="I17915" i="17"/>
  <c r="I17914" i="17"/>
  <c r="I17913" i="17"/>
  <c r="I17912" i="17"/>
  <c r="I17911" i="17"/>
  <c r="I17910" i="17"/>
  <c r="I17909" i="17"/>
  <c r="I17908" i="17"/>
  <c r="I17907" i="17"/>
  <c r="I17906" i="17"/>
  <c r="I17905" i="17"/>
  <c r="I17904" i="17"/>
  <c r="I17903" i="17"/>
  <c r="I17902" i="17"/>
  <c r="I17901" i="17"/>
  <c r="I17900" i="17"/>
  <c r="I17899" i="17"/>
  <c r="I17898" i="17"/>
  <c r="I17897" i="17"/>
  <c r="I17896" i="17"/>
  <c r="I17895" i="17"/>
  <c r="I17894" i="17"/>
  <c r="I17893" i="17"/>
  <c r="I17892" i="17"/>
  <c r="I17891" i="17"/>
  <c r="I17890" i="17"/>
  <c r="I17889" i="17"/>
  <c r="I17888" i="17"/>
  <c r="I17887" i="17"/>
  <c r="I17886" i="17"/>
  <c r="I17885" i="17"/>
  <c r="I17884" i="17"/>
  <c r="I17883" i="17"/>
  <c r="I17882" i="17"/>
  <c r="I17881" i="17"/>
  <c r="I17880" i="17"/>
  <c r="I17879" i="17"/>
  <c r="I17878" i="17"/>
  <c r="I17877" i="17"/>
  <c r="I17876" i="17"/>
  <c r="I17875" i="17"/>
  <c r="I17874" i="17"/>
  <c r="I17873" i="17"/>
  <c r="I17872" i="17"/>
  <c r="I17871" i="17"/>
  <c r="I17870" i="17"/>
  <c r="I17869" i="17"/>
  <c r="I17868" i="17"/>
  <c r="I17867" i="17"/>
  <c r="I17866" i="17"/>
  <c r="I17865" i="17"/>
  <c r="I17864" i="17"/>
  <c r="I17863" i="17"/>
  <c r="I17862" i="17"/>
  <c r="I17861" i="17"/>
  <c r="I17860" i="17"/>
  <c r="I17859" i="17"/>
  <c r="I17858" i="17"/>
  <c r="I17857" i="17"/>
  <c r="I17856" i="17"/>
  <c r="I17855" i="17"/>
  <c r="I17854" i="17"/>
  <c r="I17853" i="17"/>
  <c r="I17852" i="17"/>
  <c r="I17851" i="17"/>
  <c r="I17850" i="17"/>
  <c r="I17849" i="17"/>
  <c r="I17848" i="17"/>
  <c r="I17847" i="17"/>
  <c r="I17846" i="17"/>
  <c r="I17845" i="17"/>
  <c r="I17844" i="17"/>
  <c r="I17843" i="17"/>
  <c r="I17842" i="17"/>
  <c r="I17841" i="17"/>
  <c r="I17840" i="17"/>
  <c r="I17839" i="17"/>
  <c r="I17838" i="17"/>
  <c r="I17837" i="17"/>
  <c r="I17836" i="17"/>
  <c r="I17835" i="17"/>
  <c r="I17834" i="17"/>
  <c r="I17833" i="17"/>
  <c r="I17832" i="17"/>
  <c r="I17831" i="17"/>
  <c r="I17830" i="17"/>
  <c r="I17829" i="17"/>
  <c r="I17828" i="17"/>
  <c r="I17827" i="17"/>
  <c r="I17826" i="17"/>
  <c r="I17825" i="17"/>
  <c r="I17824" i="17"/>
  <c r="I17823" i="17"/>
  <c r="I17822" i="17"/>
  <c r="I17821" i="17"/>
  <c r="I17820" i="17"/>
  <c r="I17819" i="17"/>
  <c r="I17818" i="17"/>
  <c r="I17817" i="17"/>
  <c r="I17816" i="17"/>
  <c r="I17815" i="17"/>
  <c r="I17814" i="17"/>
  <c r="I17813" i="17"/>
  <c r="I17812" i="17"/>
  <c r="I17811" i="17"/>
  <c r="I17810" i="17"/>
  <c r="I17809" i="17"/>
  <c r="I17808" i="17"/>
  <c r="I17807" i="17"/>
  <c r="I17806" i="17"/>
  <c r="I17805" i="17"/>
  <c r="I17804" i="17"/>
  <c r="I17803" i="17"/>
  <c r="I17802" i="17"/>
  <c r="I17801" i="17"/>
  <c r="I17800" i="17"/>
  <c r="I17799" i="17"/>
  <c r="I17798" i="17"/>
  <c r="I17797" i="17"/>
  <c r="I17796" i="17"/>
  <c r="I17795" i="17"/>
  <c r="I17794" i="17"/>
  <c r="I17793" i="17"/>
  <c r="I17792" i="17"/>
  <c r="I17791" i="17"/>
  <c r="I17790" i="17"/>
  <c r="I17789" i="17"/>
  <c r="I17788" i="17"/>
  <c r="I17787" i="17"/>
  <c r="I17786" i="17"/>
  <c r="I17785" i="17"/>
  <c r="I17784" i="17"/>
  <c r="I17783" i="17"/>
  <c r="I17782" i="17"/>
  <c r="I17781" i="17"/>
  <c r="I17780" i="17"/>
  <c r="I17779" i="17"/>
  <c r="I17778" i="17"/>
  <c r="I17777" i="17"/>
  <c r="I17776" i="17"/>
  <c r="I17775" i="17"/>
  <c r="I17774" i="17"/>
  <c r="I17773" i="17"/>
  <c r="I17772" i="17"/>
  <c r="I17771" i="17"/>
  <c r="I17770" i="17"/>
  <c r="I17769" i="17"/>
  <c r="I17768" i="17"/>
  <c r="I17767" i="17"/>
  <c r="I17766" i="17"/>
  <c r="I17765" i="17"/>
  <c r="I17764" i="17"/>
  <c r="I17763" i="17"/>
  <c r="I17762" i="17"/>
  <c r="I17761" i="17"/>
  <c r="I17760" i="17"/>
  <c r="I17759" i="17"/>
  <c r="I17758" i="17"/>
  <c r="I17757" i="17"/>
  <c r="I17756" i="17"/>
  <c r="I17755" i="17"/>
  <c r="I17754" i="17"/>
  <c r="I17753" i="17"/>
  <c r="I17752" i="17"/>
  <c r="I17751" i="17"/>
  <c r="I17750" i="17"/>
  <c r="I17749" i="17"/>
  <c r="I17748" i="17"/>
  <c r="I17747" i="17"/>
  <c r="I17746" i="17"/>
  <c r="I17745" i="17"/>
  <c r="I17744" i="17"/>
  <c r="I17743" i="17"/>
  <c r="I17742" i="17"/>
  <c r="I17741" i="17"/>
  <c r="I17740" i="17"/>
  <c r="I17739" i="17"/>
  <c r="I17738" i="17"/>
  <c r="I17737" i="17"/>
  <c r="I17736" i="17"/>
  <c r="I17735" i="17"/>
  <c r="I17734" i="17"/>
  <c r="I17733" i="17"/>
  <c r="I17732" i="17"/>
  <c r="I17731" i="17"/>
  <c r="I17730" i="17"/>
  <c r="I17729" i="17"/>
  <c r="I17728" i="17"/>
  <c r="I17727" i="17"/>
  <c r="I17726" i="17"/>
  <c r="I17725" i="17"/>
  <c r="I17724" i="17"/>
  <c r="I17723" i="17"/>
  <c r="I17722" i="17"/>
  <c r="I17721" i="17"/>
  <c r="I17720" i="17"/>
  <c r="I17719" i="17"/>
  <c r="I17718" i="17"/>
  <c r="I17717" i="17"/>
  <c r="I17716" i="17"/>
  <c r="I17715" i="17"/>
  <c r="I17714" i="17"/>
  <c r="I17713" i="17"/>
  <c r="I17712" i="17"/>
  <c r="I17711" i="17"/>
  <c r="I17710" i="17"/>
  <c r="I17709" i="17"/>
  <c r="I17708" i="17"/>
  <c r="I17707" i="17"/>
  <c r="I17706" i="17"/>
  <c r="I17705" i="17"/>
  <c r="I17704" i="17"/>
  <c r="I17703" i="17"/>
  <c r="I17702" i="17"/>
  <c r="I17701" i="17"/>
  <c r="I17700" i="17"/>
  <c r="I17699" i="17"/>
  <c r="I17698" i="17"/>
  <c r="I17697" i="17"/>
  <c r="I17696" i="17"/>
  <c r="I17695" i="17"/>
  <c r="I17694" i="17"/>
  <c r="I17693" i="17"/>
  <c r="I17692" i="17"/>
  <c r="I17691" i="17"/>
  <c r="I17690" i="17"/>
  <c r="I17689" i="17"/>
  <c r="I17688" i="17"/>
  <c r="I17687" i="17"/>
  <c r="I17686" i="17"/>
  <c r="I17685" i="17"/>
  <c r="I17684" i="17"/>
  <c r="I17683" i="17"/>
  <c r="I17682" i="17"/>
  <c r="I17681" i="17"/>
  <c r="I17680" i="17"/>
  <c r="I17679" i="17"/>
  <c r="I17678" i="17"/>
  <c r="I17677" i="17"/>
  <c r="I17676" i="17"/>
  <c r="I17675" i="17"/>
  <c r="I17674" i="17"/>
  <c r="I17673" i="17"/>
  <c r="I17672" i="17"/>
  <c r="I17671" i="17"/>
  <c r="I17670" i="17"/>
  <c r="I17669" i="17"/>
  <c r="I17668" i="17"/>
  <c r="I17667" i="17"/>
  <c r="I17666" i="17"/>
  <c r="I17665" i="17"/>
  <c r="I17664" i="17"/>
  <c r="I17663" i="17"/>
  <c r="I17662" i="17"/>
  <c r="I17661" i="17"/>
  <c r="I17660" i="17"/>
  <c r="I17659" i="17"/>
  <c r="I17658" i="17"/>
  <c r="I17657" i="17"/>
  <c r="I17656" i="17"/>
  <c r="I17655" i="17"/>
  <c r="I17654" i="17"/>
  <c r="I17653" i="17"/>
  <c r="I17652" i="17"/>
  <c r="I17651" i="17"/>
  <c r="I17650" i="17"/>
  <c r="I17649" i="17"/>
  <c r="I17648" i="17"/>
  <c r="I17647" i="17"/>
  <c r="I17646" i="17"/>
  <c r="I17645" i="17"/>
  <c r="I17644" i="17"/>
  <c r="I17643" i="17"/>
  <c r="I17642" i="17"/>
  <c r="I17641" i="17"/>
  <c r="I17640" i="17"/>
  <c r="I17639" i="17"/>
  <c r="I17638" i="17"/>
  <c r="I17637" i="17"/>
  <c r="I17636" i="17"/>
  <c r="I17635" i="17"/>
  <c r="I17634" i="17"/>
  <c r="I17633" i="17"/>
  <c r="I17632" i="17"/>
  <c r="I17631" i="17"/>
  <c r="I17630" i="17"/>
  <c r="I17629" i="17"/>
  <c r="I17628" i="17"/>
  <c r="I17627" i="17"/>
  <c r="I17626" i="17"/>
  <c r="I17625" i="17"/>
  <c r="I17624" i="17"/>
  <c r="I17623" i="17"/>
  <c r="I17622" i="17"/>
  <c r="I17621" i="17"/>
  <c r="I17620" i="17"/>
  <c r="I17619" i="17"/>
  <c r="I17618" i="17"/>
  <c r="I17617" i="17"/>
  <c r="I17616" i="17"/>
  <c r="I17615" i="17"/>
  <c r="I17614" i="17"/>
  <c r="I17613" i="17"/>
  <c r="I17612" i="17"/>
  <c r="I17611" i="17"/>
  <c r="I17610" i="17"/>
  <c r="I17609" i="17"/>
  <c r="I17608" i="17"/>
  <c r="I17607" i="17"/>
  <c r="I17606" i="17"/>
  <c r="I17605" i="17"/>
  <c r="I17604" i="17"/>
  <c r="I17603" i="17"/>
  <c r="I17602" i="17"/>
  <c r="I17601" i="17"/>
  <c r="I17600" i="17"/>
  <c r="I17599" i="17"/>
  <c r="I17598" i="17"/>
  <c r="I17597" i="17"/>
  <c r="I17596" i="17"/>
  <c r="I17595" i="17"/>
  <c r="I17594" i="17"/>
  <c r="I17593" i="17"/>
  <c r="I17592" i="17"/>
  <c r="I17591" i="17"/>
  <c r="I17590" i="17"/>
  <c r="I17589" i="17"/>
  <c r="I17588" i="17"/>
  <c r="I17587" i="17"/>
  <c r="I17586" i="17"/>
  <c r="I17585" i="17"/>
  <c r="I17584" i="17"/>
  <c r="I17583" i="17"/>
  <c r="I17582" i="17"/>
  <c r="I17581" i="17"/>
  <c r="I17580" i="17"/>
  <c r="I17579" i="17"/>
  <c r="I17578" i="17"/>
  <c r="I17577" i="17"/>
  <c r="I17576" i="17"/>
  <c r="I17575" i="17"/>
  <c r="I17574" i="17"/>
  <c r="I17573" i="17"/>
  <c r="I17572" i="17"/>
  <c r="I17571" i="17"/>
  <c r="I17570" i="17"/>
  <c r="I17569" i="17"/>
  <c r="I17568" i="17"/>
  <c r="I17567" i="17"/>
  <c r="I17566" i="17"/>
  <c r="I17565" i="17"/>
  <c r="I17564" i="17"/>
  <c r="I17563" i="17"/>
  <c r="I17562" i="17"/>
  <c r="I17561" i="17"/>
  <c r="I17560" i="17"/>
  <c r="I17559" i="17"/>
  <c r="I17558" i="17"/>
  <c r="I17557" i="17"/>
  <c r="I17556" i="17"/>
  <c r="I17555" i="17"/>
  <c r="I17554" i="17"/>
  <c r="I17553" i="17"/>
  <c r="I17552" i="17"/>
  <c r="I17551" i="17"/>
  <c r="I17550" i="17"/>
  <c r="I17549" i="17"/>
  <c r="I17548" i="17"/>
  <c r="I17547" i="17"/>
  <c r="I17546" i="17"/>
  <c r="I17545" i="17"/>
  <c r="I17544" i="17"/>
  <c r="I17543" i="17"/>
  <c r="I17542" i="17"/>
  <c r="I17541" i="17"/>
  <c r="I17540" i="17"/>
  <c r="I17539" i="17"/>
  <c r="I17538" i="17"/>
  <c r="I17537" i="17"/>
  <c r="I17536" i="17"/>
  <c r="I17535" i="17"/>
  <c r="I17534" i="17"/>
  <c r="I17533" i="17"/>
  <c r="I17532" i="17"/>
  <c r="I17531" i="17"/>
  <c r="I17530" i="17"/>
  <c r="I17529" i="17"/>
  <c r="I17528" i="17"/>
  <c r="I17527" i="17"/>
  <c r="I17526" i="17"/>
  <c r="I17525" i="17"/>
  <c r="I17524" i="17"/>
  <c r="I17523" i="17"/>
  <c r="I17522" i="17"/>
  <c r="I17521" i="17"/>
  <c r="I17520" i="17"/>
  <c r="I17519" i="17"/>
  <c r="I17518" i="17"/>
  <c r="I17517" i="17"/>
  <c r="I17516" i="17"/>
  <c r="I17515" i="17"/>
  <c r="I17514" i="17"/>
  <c r="I17513" i="17"/>
  <c r="I17512" i="17"/>
  <c r="I17511" i="17"/>
  <c r="I17510" i="17"/>
  <c r="I17509" i="17"/>
  <c r="I17508" i="17"/>
  <c r="I17507" i="17"/>
  <c r="I17506" i="17"/>
  <c r="I17505" i="17"/>
  <c r="I17504" i="17"/>
  <c r="I17503" i="17"/>
  <c r="I17502" i="17"/>
  <c r="I17501" i="17"/>
  <c r="I17500" i="17"/>
  <c r="I17499" i="17"/>
  <c r="I17498" i="17"/>
  <c r="I17497" i="17"/>
  <c r="I17496" i="17"/>
  <c r="I17495" i="17"/>
  <c r="I17494" i="17"/>
  <c r="I17493" i="17"/>
  <c r="I17492" i="17"/>
  <c r="I17491" i="17"/>
  <c r="I17490" i="17"/>
  <c r="I17489" i="17"/>
  <c r="I17488" i="17"/>
  <c r="I17487" i="17"/>
  <c r="I17486" i="17"/>
  <c r="I17485" i="17"/>
  <c r="I17484" i="17"/>
  <c r="I17483" i="17"/>
  <c r="I17482" i="17"/>
  <c r="I17481" i="17"/>
  <c r="I17480" i="17"/>
  <c r="I17479" i="17"/>
  <c r="I17478" i="17"/>
  <c r="I17477" i="17"/>
  <c r="I17476" i="17"/>
  <c r="I17475" i="17"/>
  <c r="I17474" i="17"/>
  <c r="I17473" i="17"/>
  <c r="I17472" i="17"/>
  <c r="I17471" i="17"/>
  <c r="I17470" i="17"/>
  <c r="I17469" i="17"/>
  <c r="I17468" i="17"/>
  <c r="I17467" i="17"/>
  <c r="I17466" i="17"/>
  <c r="I17465" i="17"/>
  <c r="I17464" i="17"/>
  <c r="I17463" i="17"/>
  <c r="I17462" i="17"/>
  <c r="I17461" i="17"/>
  <c r="I17460" i="17"/>
  <c r="I17459" i="17"/>
  <c r="I17458" i="17"/>
  <c r="I17457" i="17"/>
  <c r="I17456" i="17"/>
  <c r="I17455" i="17"/>
  <c r="I17454" i="17"/>
  <c r="I17453" i="17"/>
  <c r="I17452" i="17"/>
  <c r="I17451" i="17"/>
  <c r="I17450" i="17"/>
  <c r="I17449" i="17"/>
  <c r="I17448" i="17"/>
  <c r="I17447" i="17"/>
  <c r="I17446" i="17"/>
  <c r="I17445" i="17"/>
  <c r="I17444" i="17"/>
  <c r="I17443" i="17"/>
  <c r="I17442" i="17"/>
  <c r="I17441" i="17"/>
  <c r="I17440" i="17"/>
  <c r="I17439" i="17"/>
  <c r="I17438" i="17"/>
  <c r="I17437" i="17"/>
  <c r="I17436" i="17"/>
  <c r="I17435" i="17"/>
  <c r="I17434" i="17"/>
  <c r="I17433" i="17"/>
  <c r="I17432" i="17"/>
  <c r="I17431" i="17"/>
  <c r="I17430" i="17"/>
  <c r="I17429" i="17"/>
  <c r="I17428" i="17"/>
  <c r="I17427" i="17"/>
  <c r="I17426" i="17"/>
  <c r="I17425" i="17"/>
  <c r="I17424" i="17"/>
  <c r="I17423" i="17"/>
  <c r="I17422" i="17"/>
  <c r="I17421" i="17"/>
  <c r="I17420" i="17"/>
  <c r="I17419" i="17"/>
  <c r="I17418" i="17"/>
  <c r="I17417" i="17"/>
  <c r="I17416" i="17"/>
  <c r="I17415" i="17"/>
  <c r="I17414" i="17"/>
  <c r="I17413" i="17"/>
  <c r="I17412" i="17"/>
  <c r="I17411" i="17"/>
  <c r="I17410" i="17"/>
  <c r="I17409" i="17"/>
  <c r="I17408" i="17"/>
  <c r="I17407" i="17"/>
  <c r="I17406" i="17"/>
  <c r="I17405" i="17"/>
  <c r="I17404" i="17"/>
  <c r="I17403" i="17"/>
  <c r="I17402" i="17"/>
  <c r="I17401" i="17"/>
  <c r="I17400" i="17"/>
  <c r="I17399" i="17"/>
  <c r="I17398" i="17"/>
  <c r="I17397" i="17"/>
  <c r="I17396" i="17"/>
  <c r="I17395" i="17"/>
  <c r="I17394" i="17"/>
  <c r="I17393" i="17"/>
  <c r="I17392" i="17"/>
  <c r="I17391" i="17"/>
  <c r="I17390" i="17"/>
  <c r="I17389" i="17"/>
  <c r="I17388" i="17"/>
  <c r="I17387" i="17"/>
  <c r="I17386" i="17"/>
  <c r="I17385" i="17"/>
  <c r="I17384" i="17"/>
  <c r="I17383" i="17"/>
  <c r="I17382" i="17"/>
  <c r="I17381" i="17"/>
  <c r="I17380" i="17"/>
  <c r="I17379" i="17"/>
  <c r="I17378" i="17"/>
  <c r="I17377" i="17"/>
  <c r="I17376" i="17"/>
  <c r="I17375" i="17"/>
  <c r="I17374" i="17"/>
  <c r="I17373" i="17"/>
  <c r="I17372" i="17"/>
  <c r="I17371" i="17"/>
  <c r="I17370" i="17"/>
  <c r="I17369" i="17"/>
  <c r="I17368" i="17"/>
  <c r="I17367" i="17"/>
  <c r="I17366" i="17"/>
  <c r="I17365" i="17"/>
  <c r="I17364" i="17"/>
  <c r="I17363" i="17"/>
  <c r="I17362" i="17"/>
  <c r="I17361" i="17"/>
  <c r="I17360" i="17"/>
  <c r="I17359" i="17"/>
  <c r="I17358" i="17"/>
  <c r="I17357" i="17"/>
  <c r="I17356" i="17"/>
  <c r="I17355" i="17"/>
  <c r="I17354" i="17"/>
  <c r="I17353" i="17"/>
  <c r="I17352" i="17"/>
  <c r="I17351" i="17"/>
  <c r="I17350" i="17"/>
  <c r="I17349" i="17"/>
  <c r="I17348" i="17"/>
  <c r="I17347" i="17"/>
  <c r="I17346" i="17"/>
  <c r="I17345" i="17"/>
  <c r="I17344" i="17"/>
  <c r="I17343" i="17"/>
  <c r="I17342" i="17"/>
  <c r="I17341" i="17"/>
  <c r="I17340" i="17"/>
  <c r="I17339" i="17"/>
  <c r="I17338" i="17"/>
  <c r="I17337" i="17"/>
  <c r="I17336" i="17"/>
  <c r="I17335" i="17"/>
  <c r="I17334" i="17"/>
  <c r="I17333" i="17"/>
  <c r="I17332" i="17"/>
  <c r="I17331" i="17"/>
  <c r="I17330" i="17"/>
  <c r="I17329" i="17"/>
  <c r="I17328" i="17"/>
  <c r="I17327" i="17"/>
  <c r="I17326" i="17"/>
  <c r="I17325" i="17"/>
  <c r="I17324" i="17"/>
  <c r="I17323" i="17"/>
  <c r="I17322" i="17"/>
  <c r="I17321" i="17"/>
  <c r="I17320" i="17"/>
  <c r="I17319" i="17"/>
  <c r="I17318" i="17"/>
  <c r="I17317" i="17"/>
  <c r="I17316" i="17"/>
  <c r="I17315" i="17"/>
  <c r="I17314" i="17"/>
  <c r="I17313" i="17"/>
  <c r="I17312" i="17"/>
  <c r="I17311" i="17"/>
  <c r="I17310" i="17"/>
  <c r="I17309" i="17"/>
  <c r="I17308" i="17"/>
  <c r="I17307" i="17"/>
  <c r="I17306" i="17"/>
  <c r="I17305" i="17"/>
  <c r="I17304" i="17"/>
  <c r="I17303" i="17"/>
  <c r="I17302" i="17"/>
  <c r="I17301" i="17"/>
  <c r="I17300" i="17"/>
  <c r="I17299" i="17"/>
  <c r="I17298" i="17"/>
  <c r="I17297" i="17"/>
  <c r="I17296" i="17"/>
  <c r="I17295" i="17"/>
  <c r="I17294" i="17"/>
  <c r="I17293" i="17"/>
  <c r="I17292" i="17"/>
  <c r="I17291" i="17"/>
  <c r="I17290" i="17"/>
  <c r="I17289" i="17"/>
  <c r="I17288" i="17"/>
  <c r="I17287" i="17"/>
  <c r="I17286" i="17"/>
  <c r="I17285" i="17"/>
  <c r="I17284" i="17"/>
  <c r="I17283" i="17"/>
  <c r="I17282" i="17"/>
  <c r="I17281" i="17"/>
  <c r="I17280" i="17"/>
  <c r="I17279" i="17"/>
  <c r="I17278" i="17"/>
  <c r="I17277" i="17"/>
  <c r="I17276" i="17"/>
  <c r="I17275" i="17"/>
  <c r="I17274" i="17"/>
  <c r="I17273" i="17"/>
  <c r="I17272" i="17"/>
  <c r="I17271" i="17"/>
  <c r="I17270" i="17"/>
  <c r="I17269" i="17"/>
  <c r="I17268" i="17"/>
  <c r="I17267" i="17"/>
  <c r="I17266" i="17"/>
  <c r="I17265" i="17"/>
  <c r="I17264" i="17"/>
  <c r="I17263" i="17"/>
  <c r="I17262" i="17"/>
  <c r="I17261" i="17"/>
  <c r="I17260" i="17"/>
  <c r="I17259" i="17"/>
  <c r="I17258" i="17"/>
  <c r="I17257" i="17"/>
  <c r="I17256" i="17"/>
  <c r="I17255" i="17"/>
  <c r="I17254" i="17"/>
  <c r="I17253" i="17"/>
  <c r="I17252" i="17"/>
  <c r="I17251" i="17"/>
  <c r="I17250" i="17"/>
  <c r="I17249" i="17"/>
  <c r="I17248" i="17"/>
  <c r="I17247" i="17"/>
  <c r="I17246" i="17"/>
  <c r="I17245" i="17"/>
  <c r="I17244" i="17"/>
  <c r="I17243" i="17"/>
  <c r="I17242" i="17"/>
  <c r="I17241" i="17"/>
  <c r="I17240" i="17"/>
  <c r="I17239" i="17"/>
  <c r="I17238" i="17"/>
  <c r="I17237" i="17"/>
  <c r="I17236" i="17"/>
  <c r="I17235" i="17"/>
  <c r="I17234" i="17"/>
  <c r="I17233" i="17"/>
  <c r="I17232" i="17"/>
  <c r="I17231" i="17"/>
  <c r="I17230" i="17"/>
  <c r="I17229" i="17"/>
  <c r="I17228" i="17"/>
  <c r="I17227" i="17"/>
  <c r="I17226" i="17"/>
  <c r="I17225" i="17"/>
  <c r="I17224" i="17"/>
  <c r="I17223" i="17"/>
  <c r="I17222" i="17"/>
  <c r="I17221" i="17"/>
  <c r="I17220" i="17"/>
  <c r="I17219" i="17"/>
  <c r="I17218" i="17"/>
  <c r="I17217" i="17"/>
  <c r="I17216" i="17"/>
  <c r="I17215" i="17"/>
  <c r="I17214" i="17"/>
  <c r="I17213" i="17"/>
  <c r="I17212" i="17"/>
  <c r="I17211" i="17"/>
  <c r="I17210" i="17"/>
  <c r="I17209" i="17"/>
  <c r="I17208" i="17"/>
  <c r="I17207" i="17"/>
  <c r="I17206" i="17"/>
  <c r="I17205" i="17"/>
  <c r="I17204" i="17"/>
  <c r="I17203" i="17"/>
  <c r="I17202" i="17"/>
  <c r="I17201" i="17"/>
  <c r="I17200" i="17"/>
  <c r="I17199" i="17"/>
  <c r="I17198" i="17"/>
  <c r="I17197" i="17"/>
  <c r="I17196" i="17"/>
  <c r="I17195" i="17"/>
  <c r="I17194" i="17"/>
  <c r="I17193" i="17"/>
  <c r="I17192" i="17"/>
  <c r="I17191" i="17"/>
  <c r="I17190" i="17"/>
  <c r="I17189" i="17"/>
  <c r="I17188" i="17"/>
  <c r="I17187" i="17"/>
  <c r="I17186" i="17"/>
  <c r="I17185" i="17"/>
  <c r="I17184" i="17"/>
  <c r="I17183" i="17"/>
  <c r="I17182" i="17"/>
  <c r="I17181" i="17"/>
  <c r="I17180" i="17"/>
  <c r="I17179" i="17"/>
  <c r="I17178" i="17"/>
  <c r="I17177" i="17"/>
  <c r="I17176" i="17"/>
  <c r="I17175" i="17"/>
  <c r="I17174" i="17"/>
  <c r="I17173" i="17"/>
  <c r="I17172" i="17"/>
  <c r="I17171" i="17"/>
  <c r="I17170" i="17"/>
  <c r="I17169" i="17"/>
  <c r="I17168" i="17"/>
  <c r="I17167" i="17"/>
  <c r="I17166" i="17"/>
  <c r="I17165" i="17"/>
  <c r="I17164" i="17"/>
  <c r="I17163" i="17"/>
  <c r="I17162" i="17"/>
  <c r="I17161" i="17"/>
  <c r="I17160" i="17"/>
  <c r="I17159" i="17"/>
  <c r="I17158" i="17"/>
  <c r="I17157" i="17"/>
  <c r="I17156" i="17"/>
  <c r="I17155" i="17"/>
  <c r="I17154" i="17"/>
  <c r="I17153" i="17"/>
  <c r="I17152" i="17"/>
  <c r="I17151" i="17"/>
  <c r="I17150" i="17"/>
  <c r="I17149" i="17"/>
  <c r="I17148" i="17"/>
  <c r="I17147" i="17"/>
  <c r="I17146" i="17"/>
  <c r="I17145" i="17"/>
  <c r="I17144" i="17"/>
  <c r="I17143" i="17"/>
  <c r="I17142" i="17"/>
  <c r="I17141" i="17"/>
  <c r="I17140" i="17"/>
  <c r="I17139" i="17"/>
  <c r="I17138" i="17"/>
  <c r="I17137" i="17"/>
  <c r="I17136" i="17"/>
  <c r="I17135" i="17"/>
  <c r="I17134" i="17"/>
  <c r="I17133" i="17"/>
  <c r="I17132" i="17"/>
  <c r="I17131" i="17"/>
  <c r="I17130" i="17"/>
  <c r="I17129" i="17"/>
  <c r="I17128" i="17"/>
  <c r="I17127" i="17"/>
  <c r="I17126" i="17"/>
  <c r="I17125" i="17"/>
  <c r="I17124" i="17"/>
  <c r="I17123" i="17"/>
  <c r="I17122" i="17"/>
  <c r="I17121" i="17"/>
  <c r="I17120" i="17"/>
  <c r="I17119" i="17"/>
  <c r="I17118" i="17"/>
  <c r="I17117" i="17"/>
  <c r="I17116" i="17"/>
  <c r="I17115" i="17"/>
  <c r="I17114" i="17"/>
  <c r="I17113" i="17"/>
  <c r="I17112" i="17"/>
  <c r="I17111" i="17"/>
  <c r="I17110" i="17"/>
  <c r="I17109" i="17"/>
  <c r="I17108" i="17"/>
  <c r="I17107" i="17"/>
  <c r="I17106" i="17"/>
  <c r="I17105" i="17"/>
  <c r="I17104" i="17"/>
  <c r="I17103" i="17"/>
  <c r="I17102" i="17"/>
  <c r="I17101" i="17"/>
  <c r="I17100" i="17"/>
  <c r="I17099" i="17"/>
  <c r="I17098" i="17"/>
  <c r="I17097" i="17"/>
  <c r="I17096" i="17"/>
  <c r="I17095" i="17"/>
  <c r="I17094" i="17"/>
  <c r="I17093" i="17"/>
  <c r="I17092" i="17"/>
  <c r="I17091" i="17"/>
  <c r="I17090" i="17"/>
  <c r="I17089" i="17"/>
  <c r="I17088" i="17"/>
  <c r="I17087" i="17"/>
  <c r="I17086" i="17"/>
  <c r="I17085" i="17"/>
  <c r="I17084" i="17"/>
  <c r="I17083" i="17"/>
  <c r="I17082" i="17"/>
  <c r="I17081" i="17"/>
  <c r="I17080" i="17"/>
  <c r="I17079" i="17"/>
  <c r="I17078" i="17"/>
  <c r="I17077" i="17"/>
  <c r="I17076" i="17"/>
  <c r="I17075" i="17"/>
  <c r="I17074" i="17"/>
  <c r="I17073" i="17"/>
  <c r="I17072" i="17"/>
  <c r="I17071" i="17"/>
  <c r="I17070" i="17"/>
  <c r="I17069" i="17"/>
  <c r="I17068" i="17"/>
  <c r="I17067" i="17"/>
  <c r="I17066" i="17"/>
  <c r="I17065" i="17"/>
  <c r="I17064" i="17"/>
  <c r="I17063" i="17"/>
  <c r="I17062" i="17"/>
  <c r="I17061" i="17"/>
  <c r="I17060" i="17"/>
  <c r="I17059" i="17"/>
  <c r="I17058" i="17"/>
  <c r="I17057" i="17"/>
  <c r="I17056" i="17"/>
  <c r="I17055" i="17"/>
  <c r="I17054" i="17"/>
  <c r="I17053" i="17"/>
  <c r="I17052" i="17"/>
  <c r="I17051" i="17"/>
  <c r="I17050" i="17"/>
  <c r="I17049" i="17"/>
  <c r="I17048" i="17"/>
  <c r="I17047" i="17"/>
  <c r="I17046" i="17"/>
  <c r="I17045" i="17"/>
  <c r="I17044" i="17"/>
  <c r="I17043" i="17"/>
  <c r="I17042" i="17"/>
  <c r="I17041" i="17"/>
  <c r="I17040" i="17"/>
  <c r="I17039" i="17"/>
  <c r="I17038" i="17"/>
  <c r="I17037" i="17"/>
  <c r="I17036" i="17"/>
  <c r="I17035" i="17"/>
  <c r="I17034" i="17"/>
  <c r="I17033" i="17"/>
  <c r="I17032" i="17"/>
  <c r="I17031" i="17"/>
  <c r="I17030" i="17"/>
  <c r="I17029" i="17"/>
  <c r="I17028" i="17"/>
  <c r="I17027" i="17"/>
  <c r="I17026" i="17"/>
  <c r="I17025" i="17"/>
  <c r="I17024" i="17"/>
  <c r="I17023" i="17"/>
  <c r="I17022" i="17"/>
  <c r="I17021" i="17"/>
  <c r="I17020" i="17"/>
  <c r="I17019" i="17"/>
  <c r="I17018" i="17"/>
  <c r="I17017" i="17"/>
  <c r="I17016" i="17"/>
  <c r="I17015" i="17"/>
  <c r="I17014" i="17"/>
  <c r="I17013" i="17"/>
  <c r="I17012" i="17"/>
  <c r="I17011" i="17"/>
  <c r="I17010" i="17"/>
  <c r="I17009" i="17"/>
  <c r="I17008" i="17"/>
  <c r="I17007" i="17"/>
  <c r="I17006" i="17"/>
  <c r="I17005" i="17"/>
  <c r="I17004" i="17"/>
  <c r="I17003" i="17"/>
  <c r="I17002" i="17"/>
  <c r="I17001" i="17"/>
  <c r="I17000" i="17"/>
  <c r="I16999" i="17"/>
  <c r="I16998" i="17"/>
  <c r="I16997" i="17"/>
  <c r="I16996" i="17"/>
  <c r="I16995" i="17"/>
  <c r="I16994" i="17"/>
  <c r="I16993" i="17"/>
  <c r="I16992" i="17"/>
  <c r="I16991" i="17"/>
  <c r="I16990" i="17"/>
  <c r="I16989" i="17"/>
  <c r="I16988" i="17"/>
  <c r="I16987" i="17"/>
  <c r="I16986" i="17"/>
  <c r="I16985" i="17"/>
  <c r="I16984" i="17"/>
  <c r="I16983" i="17"/>
  <c r="I16982" i="17"/>
  <c r="I16981" i="17"/>
  <c r="I16980" i="17"/>
  <c r="I16979" i="17"/>
  <c r="I16978" i="17"/>
  <c r="I16977" i="17"/>
  <c r="I16976" i="17"/>
  <c r="I16975" i="17"/>
  <c r="I16974" i="17"/>
  <c r="I16973" i="17"/>
  <c r="I16972" i="17"/>
  <c r="I16971" i="17"/>
  <c r="I16970" i="17"/>
  <c r="I16969" i="17"/>
  <c r="I16968" i="17"/>
  <c r="I16967" i="17"/>
  <c r="I16966" i="17"/>
  <c r="I16965" i="17"/>
  <c r="I16964" i="17"/>
  <c r="I16963" i="17"/>
  <c r="I16962" i="17"/>
  <c r="I16961" i="17"/>
  <c r="I16960" i="17"/>
  <c r="I16959" i="17"/>
  <c r="I16958" i="17"/>
  <c r="I16957" i="17"/>
  <c r="I16956" i="17"/>
  <c r="I16955" i="17"/>
  <c r="I16954" i="17"/>
  <c r="I16953" i="17"/>
  <c r="I16952" i="17"/>
  <c r="I16951" i="17"/>
  <c r="I16950" i="17"/>
  <c r="I16949" i="17"/>
  <c r="I16948" i="17"/>
  <c r="I16947" i="17"/>
  <c r="I16946" i="17"/>
  <c r="I16945" i="17"/>
  <c r="I16944" i="17"/>
  <c r="I16943" i="17"/>
  <c r="I16942" i="17"/>
  <c r="I16941" i="17"/>
  <c r="I16940" i="17"/>
  <c r="I16939" i="17"/>
  <c r="I16938" i="17"/>
  <c r="I16937" i="17"/>
  <c r="I16936" i="17"/>
  <c r="I16935" i="17"/>
  <c r="I16934" i="17"/>
  <c r="I16933" i="17"/>
  <c r="I16932" i="17"/>
  <c r="I16931" i="17"/>
  <c r="I16930" i="17"/>
  <c r="I16929" i="17"/>
  <c r="I16928" i="17"/>
  <c r="I16927" i="17"/>
  <c r="I16926" i="17"/>
  <c r="I16925" i="17"/>
  <c r="I16924" i="17"/>
  <c r="I16923" i="17"/>
  <c r="I16922" i="17"/>
  <c r="I16921" i="17"/>
  <c r="I16920" i="17"/>
  <c r="I16919" i="17"/>
  <c r="I16918" i="17"/>
  <c r="I16917" i="17"/>
  <c r="I16916" i="17"/>
  <c r="I16915" i="17"/>
  <c r="I16914" i="17"/>
  <c r="I16913" i="17"/>
  <c r="I16912" i="17"/>
  <c r="I16911" i="17"/>
  <c r="I16910" i="17"/>
  <c r="I16909" i="17"/>
  <c r="I16908" i="17"/>
  <c r="I16907" i="17"/>
  <c r="I16906" i="17"/>
  <c r="I16905" i="17"/>
  <c r="I16904" i="17"/>
  <c r="I16903" i="17"/>
  <c r="I16902" i="17"/>
  <c r="I16901" i="17"/>
  <c r="I16900" i="17"/>
  <c r="I16899" i="17"/>
  <c r="I16898" i="17"/>
  <c r="I16897" i="17"/>
  <c r="I16896" i="17"/>
  <c r="I16895" i="17"/>
  <c r="I16894" i="17"/>
  <c r="I16893" i="17"/>
  <c r="I16892" i="17"/>
  <c r="I16891" i="17"/>
  <c r="I16890" i="17"/>
  <c r="I16889" i="17"/>
  <c r="I16888" i="17"/>
  <c r="I16887" i="17"/>
  <c r="I16886" i="17"/>
  <c r="I16885" i="17"/>
  <c r="I16884" i="17"/>
  <c r="I16883" i="17"/>
  <c r="I16882" i="17"/>
  <c r="I16881" i="17"/>
  <c r="I16880" i="17"/>
  <c r="I16879" i="17"/>
  <c r="I16878" i="17"/>
  <c r="I16877" i="17"/>
  <c r="I16876" i="17"/>
  <c r="I16875" i="17"/>
  <c r="I16874" i="17"/>
  <c r="I16873" i="17"/>
  <c r="I16872" i="17"/>
  <c r="I16871" i="17"/>
  <c r="I16870" i="17"/>
  <c r="I16869" i="17"/>
  <c r="I16868" i="17"/>
  <c r="I16867" i="17"/>
  <c r="I16866" i="17"/>
  <c r="I16865" i="17"/>
  <c r="I16864" i="17"/>
  <c r="I16863" i="17"/>
  <c r="I16862" i="17"/>
  <c r="I16861" i="17"/>
  <c r="I16860" i="17"/>
  <c r="I16859" i="17"/>
  <c r="I16858" i="17"/>
  <c r="I16857" i="17"/>
  <c r="I16856" i="17"/>
  <c r="I16855" i="17"/>
  <c r="I16854" i="17"/>
  <c r="I16853" i="17"/>
  <c r="I16852" i="17"/>
  <c r="I16851" i="17"/>
  <c r="I16850" i="17"/>
  <c r="I16849" i="17"/>
  <c r="I16848" i="17"/>
  <c r="I16847" i="17"/>
  <c r="I16846" i="17"/>
  <c r="I16845" i="17"/>
  <c r="I16844" i="17"/>
  <c r="I16843" i="17"/>
  <c r="I16842" i="17"/>
  <c r="I16841" i="17"/>
  <c r="I16840" i="17"/>
  <c r="I16839" i="17"/>
  <c r="I16838" i="17"/>
  <c r="I16837" i="17"/>
  <c r="I16836" i="17"/>
  <c r="I16835" i="17"/>
  <c r="I16834" i="17"/>
  <c r="I16833" i="17"/>
  <c r="I16832" i="17"/>
  <c r="I16831" i="17"/>
  <c r="I16830" i="17"/>
  <c r="I16829" i="17"/>
  <c r="I16828" i="17"/>
  <c r="I16827" i="17"/>
  <c r="I16826" i="17"/>
  <c r="I16825" i="17"/>
  <c r="I16824" i="17"/>
  <c r="I16823" i="17"/>
  <c r="I16822" i="17"/>
  <c r="I16821" i="17"/>
  <c r="I16820" i="17"/>
  <c r="I16819" i="17"/>
  <c r="I16818" i="17"/>
  <c r="I16817" i="17"/>
  <c r="I16816" i="17"/>
  <c r="I16815" i="17"/>
  <c r="I16814" i="17"/>
  <c r="I16813" i="17"/>
  <c r="I16812" i="17"/>
  <c r="I16811" i="17"/>
  <c r="I16810" i="17"/>
  <c r="I16809" i="17"/>
  <c r="I16808" i="17"/>
  <c r="I16807" i="17"/>
  <c r="I16806" i="17"/>
  <c r="I16805" i="17"/>
  <c r="I16804" i="17"/>
  <c r="I16803" i="17"/>
  <c r="I16802" i="17"/>
  <c r="I16801" i="17"/>
  <c r="I16800" i="17"/>
  <c r="I16799" i="17"/>
  <c r="I16798" i="17"/>
  <c r="I16797" i="17"/>
  <c r="I16796" i="17"/>
  <c r="I16795" i="17"/>
  <c r="I16794" i="17"/>
  <c r="I16793" i="17"/>
  <c r="I16792" i="17"/>
  <c r="I16791" i="17"/>
  <c r="I16790" i="17"/>
  <c r="I16789" i="17"/>
  <c r="I16788" i="17"/>
  <c r="I16787" i="17"/>
  <c r="I16786" i="17"/>
  <c r="I16785" i="17"/>
  <c r="I16784" i="17"/>
  <c r="I16783" i="17"/>
  <c r="I16782" i="17"/>
  <c r="I16781" i="17"/>
  <c r="I16780" i="17"/>
  <c r="I16779" i="17"/>
  <c r="I16778" i="17"/>
  <c r="I16777" i="17"/>
  <c r="I16776" i="17"/>
  <c r="I16775" i="17"/>
  <c r="I16774" i="17"/>
  <c r="I16773" i="17"/>
  <c r="I16772" i="17"/>
  <c r="I16771" i="17"/>
  <c r="I16770" i="17"/>
  <c r="I16769" i="17"/>
  <c r="I16768" i="17"/>
  <c r="I16767" i="17"/>
  <c r="I16766" i="17"/>
  <c r="I16765" i="17"/>
  <c r="I16764" i="17"/>
  <c r="I16763" i="17"/>
  <c r="I16762" i="17"/>
  <c r="I16761" i="17"/>
  <c r="I16760" i="17"/>
  <c r="I16759" i="17"/>
  <c r="I16758" i="17"/>
  <c r="I16757" i="17"/>
  <c r="I16756" i="17"/>
  <c r="I16755" i="17"/>
  <c r="I16754" i="17"/>
  <c r="I16753" i="17"/>
  <c r="I16752" i="17"/>
  <c r="I16751" i="17"/>
  <c r="I16750" i="17"/>
  <c r="I16749" i="17"/>
  <c r="I16748" i="17"/>
  <c r="I16747" i="17"/>
  <c r="I16746" i="17"/>
  <c r="I16745" i="17"/>
  <c r="I16744" i="17"/>
  <c r="I16743" i="17"/>
  <c r="I16742" i="17"/>
  <c r="I16741" i="17"/>
  <c r="I16740" i="17"/>
  <c r="I16739" i="17"/>
  <c r="I16738" i="17"/>
  <c r="I16737" i="17"/>
  <c r="I16736" i="17"/>
  <c r="I16735" i="17"/>
  <c r="I16734" i="17"/>
  <c r="I16733" i="17"/>
  <c r="I16732" i="17"/>
  <c r="I16731" i="17"/>
  <c r="I16730" i="17"/>
  <c r="I16729" i="17"/>
  <c r="I16728" i="17"/>
  <c r="I16727" i="17"/>
  <c r="I16726" i="17"/>
  <c r="I16725" i="17"/>
  <c r="I16724" i="17"/>
  <c r="I16723" i="17"/>
  <c r="I16722" i="17"/>
  <c r="I16721" i="17"/>
  <c r="I16720" i="17"/>
  <c r="I16719" i="17"/>
  <c r="I16718" i="17"/>
  <c r="I16717" i="17"/>
  <c r="I16716" i="17"/>
  <c r="I16715" i="17"/>
  <c r="I16714" i="17"/>
  <c r="I16713" i="17"/>
  <c r="I16712" i="17"/>
  <c r="I16711" i="17"/>
  <c r="I16710" i="17"/>
  <c r="I16709" i="17"/>
  <c r="I16708" i="17"/>
  <c r="I16707" i="17"/>
  <c r="I16706" i="17"/>
  <c r="I16705" i="17"/>
  <c r="I16704" i="17"/>
  <c r="I16703" i="17"/>
  <c r="I16702" i="17"/>
  <c r="I16701" i="17"/>
  <c r="I16700" i="17"/>
  <c r="I16699" i="17"/>
  <c r="I16698" i="17"/>
  <c r="I16697" i="17"/>
  <c r="I16696" i="17"/>
  <c r="I16695" i="17"/>
  <c r="I16694" i="17"/>
  <c r="I16693" i="17"/>
  <c r="I16692" i="17"/>
  <c r="I16691" i="17"/>
  <c r="I16690" i="17"/>
  <c r="I16689" i="17"/>
  <c r="I16688" i="17"/>
  <c r="I16687" i="17"/>
  <c r="I16686" i="17"/>
  <c r="I16685" i="17"/>
  <c r="I16684" i="17"/>
  <c r="I16683" i="17"/>
  <c r="I16682" i="17"/>
  <c r="I16681" i="17"/>
  <c r="I16680" i="17"/>
  <c r="I16679" i="17"/>
  <c r="I16678" i="17"/>
  <c r="I16677" i="17"/>
  <c r="I16676" i="17"/>
  <c r="I16675" i="17"/>
  <c r="I16674" i="17"/>
  <c r="I16673" i="17"/>
  <c r="I16672" i="17"/>
  <c r="I16671" i="17"/>
  <c r="I16670" i="17"/>
  <c r="I16669" i="17"/>
  <c r="I16668" i="17"/>
  <c r="I16667" i="17"/>
  <c r="I16666" i="17"/>
  <c r="I16665" i="17"/>
  <c r="I16664" i="17"/>
  <c r="I16663" i="17"/>
  <c r="I16662" i="17"/>
  <c r="I16661" i="17"/>
  <c r="I16660" i="17"/>
  <c r="I16659" i="17"/>
  <c r="I16658" i="17"/>
  <c r="I16657" i="17"/>
  <c r="I16656" i="17"/>
  <c r="I16655" i="17"/>
  <c r="I16654" i="17"/>
  <c r="I16653" i="17"/>
  <c r="I16652" i="17"/>
  <c r="I16651" i="17"/>
  <c r="I16650" i="17"/>
  <c r="I16649" i="17"/>
  <c r="I16648" i="17"/>
  <c r="I16647" i="17"/>
  <c r="I16646" i="17"/>
  <c r="I16645" i="17"/>
  <c r="I16644" i="17"/>
  <c r="I16643" i="17"/>
  <c r="I16642" i="17"/>
  <c r="I16641" i="17"/>
  <c r="I16640" i="17"/>
  <c r="I16639" i="17"/>
  <c r="I16638" i="17"/>
  <c r="I16637" i="17"/>
  <c r="I16636" i="17"/>
  <c r="I16635" i="17"/>
  <c r="I16634" i="17"/>
  <c r="I16633" i="17"/>
  <c r="I16632" i="17"/>
  <c r="I16631" i="17"/>
  <c r="I16630" i="17"/>
  <c r="I16629" i="17"/>
  <c r="I16628" i="17"/>
  <c r="I16627" i="17"/>
  <c r="I16626" i="17"/>
  <c r="I16625" i="17"/>
  <c r="I16624" i="17"/>
  <c r="I16623" i="17"/>
  <c r="I16622" i="17"/>
  <c r="I16621" i="17"/>
  <c r="I16620" i="17"/>
  <c r="I16619" i="17"/>
  <c r="I16618" i="17"/>
  <c r="I16617" i="17"/>
  <c r="I16616" i="17"/>
  <c r="I16615" i="17"/>
  <c r="I16614" i="17"/>
  <c r="I16613" i="17"/>
  <c r="I16612" i="17"/>
  <c r="I16611" i="17"/>
  <c r="I16610" i="17"/>
  <c r="I16609" i="17"/>
  <c r="I16608" i="17"/>
  <c r="I16607" i="17"/>
  <c r="I16606" i="17"/>
  <c r="I16605" i="17"/>
  <c r="I16604" i="17"/>
  <c r="I16603" i="17"/>
  <c r="I16602" i="17"/>
  <c r="I16601" i="17"/>
  <c r="I16600" i="17"/>
  <c r="I16599" i="17"/>
  <c r="I16598" i="17"/>
  <c r="I16597" i="17"/>
  <c r="I16596" i="17"/>
  <c r="I16595" i="17"/>
  <c r="I16594" i="17"/>
  <c r="I16593" i="17"/>
  <c r="I16592" i="17"/>
  <c r="I16591" i="17"/>
  <c r="I16590" i="17"/>
  <c r="I16589" i="17"/>
  <c r="I16588" i="17"/>
  <c r="I16587" i="17"/>
  <c r="I16586" i="17"/>
  <c r="I16585" i="17"/>
  <c r="I16584" i="17"/>
  <c r="I16583" i="17"/>
  <c r="I16582" i="17"/>
  <c r="I16581" i="17"/>
  <c r="I16580" i="17"/>
  <c r="I16579" i="17"/>
  <c r="I16578" i="17"/>
  <c r="I16577" i="17"/>
  <c r="I16576" i="17"/>
  <c r="I16575" i="17"/>
  <c r="I16574" i="17"/>
  <c r="I16573" i="17"/>
  <c r="I16572" i="17"/>
  <c r="I16571" i="17"/>
  <c r="I16570" i="17"/>
  <c r="I16569" i="17"/>
  <c r="I16568" i="17"/>
  <c r="I16567" i="17"/>
  <c r="I16566" i="17"/>
  <c r="I16565" i="17"/>
  <c r="I16564" i="17"/>
  <c r="I16563" i="17"/>
  <c r="I16562" i="17"/>
  <c r="I16561" i="17"/>
  <c r="I16560" i="17"/>
  <c r="I16559" i="17"/>
  <c r="I16558" i="17"/>
  <c r="I16557" i="17"/>
  <c r="I16556" i="17"/>
  <c r="I16555" i="17"/>
  <c r="I16554" i="17"/>
  <c r="I16553" i="17"/>
  <c r="I16552" i="17"/>
  <c r="I16551" i="17"/>
  <c r="I16550" i="17"/>
  <c r="I16549" i="17"/>
  <c r="I16548" i="17"/>
  <c r="I16547" i="17"/>
  <c r="I16546" i="17"/>
  <c r="I16545" i="17"/>
  <c r="I16544" i="17"/>
  <c r="I16543" i="17"/>
  <c r="I16542" i="17"/>
  <c r="I16541" i="17"/>
  <c r="I16540" i="17"/>
  <c r="I16539" i="17"/>
  <c r="I16538" i="17"/>
  <c r="I16537" i="17"/>
  <c r="I16536" i="17"/>
  <c r="I16535" i="17"/>
  <c r="I16534" i="17"/>
  <c r="I16533" i="17"/>
  <c r="I16532" i="17"/>
  <c r="I16531" i="17"/>
  <c r="I16530" i="17"/>
  <c r="I16529" i="17"/>
  <c r="I16528" i="17"/>
  <c r="I16527" i="17"/>
  <c r="I16526" i="17"/>
  <c r="I16525" i="17"/>
  <c r="I16524" i="17"/>
  <c r="I16523" i="17"/>
  <c r="I16522" i="17"/>
  <c r="I16521" i="17"/>
  <c r="I16520" i="17"/>
  <c r="I16519" i="17"/>
  <c r="I16518" i="17"/>
  <c r="I16517" i="17"/>
  <c r="I16516" i="17"/>
  <c r="I16515" i="17"/>
  <c r="I16514" i="17"/>
  <c r="I16513" i="17"/>
  <c r="I16512" i="17"/>
  <c r="I16511" i="17"/>
  <c r="I16510" i="17"/>
  <c r="I16509" i="17"/>
  <c r="I16508" i="17"/>
  <c r="I16507" i="17"/>
  <c r="I16506" i="17"/>
  <c r="I16505" i="17"/>
  <c r="I16504" i="17"/>
  <c r="I16503" i="17"/>
  <c r="I16502" i="17"/>
  <c r="I16501" i="17"/>
  <c r="I16500" i="17"/>
  <c r="I16499" i="17"/>
  <c r="I16498" i="17"/>
  <c r="I16497" i="17"/>
  <c r="I16496" i="17"/>
  <c r="I16495" i="17"/>
  <c r="I16494" i="17"/>
  <c r="I16493" i="17"/>
  <c r="I16492" i="17"/>
  <c r="I16491" i="17"/>
  <c r="I16490" i="17"/>
  <c r="I16489" i="17"/>
  <c r="I16488" i="17"/>
  <c r="I16487" i="17"/>
  <c r="I16486" i="17"/>
  <c r="I16485" i="17"/>
  <c r="I16484" i="17"/>
  <c r="I16483" i="17"/>
  <c r="I16482" i="17"/>
  <c r="I16481" i="17"/>
  <c r="I16480" i="17"/>
  <c r="I16479" i="17"/>
  <c r="I16478" i="17"/>
  <c r="I16477" i="17"/>
  <c r="I16476" i="17"/>
  <c r="I16475" i="17"/>
  <c r="I16474" i="17"/>
  <c r="I16473" i="17"/>
  <c r="I16472" i="17"/>
  <c r="I16471" i="17"/>
  <c r="I16470" i="17"/>
  <c r="I16469" i="17"/>
  <c r="I16468" i="17"/>
  <c r="I16467" i="17"/>
  <c r="I16466" i="17"/>
  <c r="I16465" i="17"/>
  <c r="I16464" i="17"/>
  <c r="I16463" i="17"/>
  <c r="I16462" i="17"/>
  <c r="I16461" i="17"/>
  <c r="I16460" i="17"/>
  <c r="I16459" i="17"/>
  <c r="I16458" i="17"/>
  <c r="I16457" i="17"/>
  <c r="I16456" i="17"/>
  <c r="I16455" i="17"/>
  <c r="I16454" i="17"/>
  <c r="I16453" i="17"/>
  <c r="I16452" i="17"/>
  <c r="I16451" i="17"/>
  <c r="I16450" i="17"/>
  <c r="I16449" i="17"/>
  <c r="I16448" i="17"/>
  <c r="I16447" i="17"/>
  <c r="I16446" i="17"/>
  <c r="I16445" i="17"/>
  <c r="I16444" i="17"/>
  <c r="I16443" i="17"/>
  <c r="I16442" i="17"/>
  <c r="I16441" i="17"/>
  <c r="I16440" i="17"/>
  <c r="I16439" i="17"/>
  <c r="I16438" i="17"/>
  <c r="I16437" i="17"/>
  <c r="I16436" i="17"/>
  <c r="I16435" i="17"/>
  <c r="I16434" i="17"/>
  <c r="I16433" i="17"/>
  <c r="I16432" i="17"/>
  <c r="I16431" i="17"/>
  <c r="I16430" i="17"/>
  <c r="I16429" i="17"/>
  <c r="I16428" i="17"/>
  <c r="I16427" i="17"/>
  <c r="I16426" i="17"/>
  <c r="I16425" i="17"/>
  <c r="I16424" i="17"/>
  <c r="I16423" i="17"/>
  <c r="I16422" i="17"/>
  <c r="I16421" i="17"/>
  <c r="I16420" i="17"/>
  <c r="I16419" i="17"/>
  <c r="I16418" i="17"/>
  <c r="I16417" i="17"/>
  <c r="I16416" i="17"/>
  <c r="I16415" i="17"/>
  <c r="I16414" i="17"/>
  <c r="I16413" i="17"/>
  <c r="I16412" i="17"/>
  <c r="I16411" i="17"/>
  <c r="I16410" i="17"/>
  <c r="I16409" i="17"/>
  <c r="I16408" i="17"/>
  <c r="I16407" i="17"/>
  <c r="I16406" i="17"/>
  <c r="I16405" i="17"/>
  <c r="I16404" i="17"/>
  <c r="I16403" i="17"/>
  <c r="I16402" i="17"/>
  <c r="I16401" i="17"/>
  <c r="I16400" i="17"/>
  <c r="I16399" i="17"/>
  <c r="I16398" i="17"/>
  <c r="I16397" i="17"/>
  <c r="I16396" i="17"/>
  <c r="I16395" i="17"/>
  <c r="I16394" i="17"/>
  <c r="I16393" i="17"/>
  <c r="I16392" i="17"/>
  <c r="I16391" i="17"/>
  <c r="I16390" i="17"/>
  <c r="I16389" i="17"/>
  <c r="I16388" i="17"/>
  <c r="I16387" i="17"/>
  <c r="I16386" i="17"/>
  <c r="I16385" i="17"/>
  <c r="I16384" i="17"/>
  <c r="I16383" i="17"/>
  <c r="I16382" i="17"/>
  <c r="I16381" i="17"/>
  <c r="I16380" i="17"/>
  <c r="I16379" i="17"/>
  <c r="I16378" i="17"/>
  <c r="I16377" i="17"/>
  <c r="I16376" i="17"/>
  <c r="I16375" i="17"/>
  <c r="I16374" i="17"/>
  <c r="I16373" i="17"/>
  <c r="I16372" i="17"/>
  <c r="I16371" i="17"/>
  <c r="I16370" i="17"/>
  <c r="I16369" i="17"/>
  <c r="I16368" i="17"/>
  <c r="I16367" i="17"/>
  <c r="I16366" i="17"/>
  <c r="I16365" i="17"/>
  <c r="I16364" i="17"/>
  <c r="I16363" i="17"/>
  <c r="I16362" i="17"/>
  <c r="I16361" i="17"/>
  <c r="I16360" i="17"/>
  <c r="I16359" i="17"/>
  <c r="I16358" i="17"/>
  <c r="I16357" i="17"/>
  <c r="I16356" i="17"/>
  <c r="I16355" i="17"/>
  <c r="I16354" i="17"/>
  <c r="I16353" i="17"/>
  <c r="I16352" i="17"/>
  <c r="I16351" i="17"/>
  <c r="I16350" i="17"/>
  <c r="I16349" i="17"/>
  <c r="I16348" i="17"/>
  <c r="I16347" i="17"/>
  <c r="I16346" i="17"/>
  <c r="I16345" i="17"/>
  <c r="I16344" i="17"/>
  <c r="I16343" i="17"/>
  <c r="I16342" i="17"/>
  <c r="I16341" i="17"/>
  <c r="I16340" i="17"/>
  <c r="I16339" i="17"/>
  <c r="I16338" i="17"/>
  <c r="I16337" i="17"/>
  <c r="I16336" i="17"/>
  <c r="I16335" i="17"/>
  <c r="I16334" i="17"/>
  <c r="I16333" i="17"/>
  <c r="I16332" i="17"/>
  <c r="I16331" i="17"/>
  <c r="I16330" i="17"/>
  <c r="I16329" i="17"/>
  <c r="I16328" i="17"/>
  <c r="I16327" i="17"/>
  <c r="I16326" i="17"/>
  <c r="I16325" i="17"/>
  <c r="I16324" i="17"/>
  <c r="I16323" i="17"/>
  <c r="I16322" i="17"/>
  <c r="I16321" i="17"/>
  <c r="I16320" i="17"/>
  <c r="I16319" i="17"/>
  <c r="I16318" i="17"/>
  <c r="I16317" i="17"/>
  <c r="I16316" i="17"/>
  <c r="I16315" i="17"/>
  <c r="I16314" i="17"/>
  <c r="I16313" i="17"/>
  <c r="I16312" i="17"/>
  <c r="I16311" i="17"/>
  <c r="I16310" i="17"/>
  <c r="I16309" i="17"/>
  <c r="I16308" i="17"/>
  <c r="I16307" i="17"/>
  <c r="I16306" i="17"/>
  <c r="I16305" i="17"/>
  <c r="I16304" i="17"/>
  <c r="I16303" i="17"/>
  <c r="I16302" i="17"/>
  <c r="I16301" i="17"/>
  <c r="I16300" i="17"/>
  <c r="I16299" i="17"/>
  <c r="I16298" i="17"/>
  <c r="I16297" i="17"/>
  <c r="I16296" i="17"/>
  <c r="I16295" i="17"/>
  <c r="I16294" i="17"/>
  <c r="I16293" i="17"/>
  <c r="I16292" i="17"/>
  <c r="I16291" i="17"/>
  <c r="I16290" i="17"/>
  <c r="I16289" i="17"/>
  <c r="I16288" i="17"/>
  <c r="I16287" i="17"/>
  <c r="I16286" i="17"/>
  <c r="I16285" i="17"/>
  <c r="I16284" i="17"/>
  <c r="I16283" i="17"/>
  <c r="I16282" i="17"/>
  <c r="I16281" i="17"/>
  <c r="I16280" i="17"/>
  <c r="I16279" i="17"/>
  <c r="I16278" i="17"/>
  <c r="I16277" i="17"/>
  <c r="I16276" i="17"/>
  <c r="I16275" i="17"/>
  <c r="I16274" i="17"/>
  <c r="I16273" i="17"/>
  <c r="I16272" i="17"/>
  <c r="I16271" i="17"/>
  <c r="I16270" i="17"/>
  <c r="I16269" i="17"/>
  <c r="I16268" i="17"/>
  <c r="I16267" i="17"/>
  <c r="I16266" i="17"/>
  <c r="I16265" i="17"/>
  <c r="I16264" i="17"/>
  <c r="I16263" i="17"/>
  <c r="I16262" i="17"/>
  <c r="I16261" i="17"/>
  <c r="I16260" i="17"/>
  <c r="I16259" i="17"/>
  <c r="I16258" i="17"/>
  <c r="I16257" i="17"/>
  <c r="I16256" i="17"/>
  <c r="I16255" i="17"/>
  <c r="I16254" i="17"/>
  <c r="I16253" i="17"/>
  <c r="I16252" i="17"/>
  <c r="I16251" i="17"/>
  <c r="I16250" i="17"/>
  <c r="I16249" i="17"/>
  <c r="I16248" i="17"/>
  <c r="I16247" i="17"/>
  <c r="I16246" i="17"/>
  <c r="I16245" i="17"/>
  <c r="I16244" i="17"/>
  <c r="I16243" i="17"/>
  <c r="I16242" i="17"/>
  <c r="I16241" i="17"/>
  <c r="I16240" i="17"/>
  <c r="I16239" i="17"/>
  <c r="I16238" i="17"/>
  <c r="I16237" i="17"/>
  <c r="I16236" i="17"/>
  <c r="I16235" i="17"/>
  <c r="I16234" i="17"/>
  <c r="I16233" i="17"/>
  <c r="I16232" i="17"/>
  <c r="I16231" i="17"/>
  <c r="I16230" i="17"/>
  <c r="I16229" i="17"/>
  <c r="I16228" i="17"/>
  <c r="I16227" i="17"/>
  <c r="I16226" i="17"/>
  <c r="I16225" i="17"/>
  <c r="I16224" i="17"/>
  <c r="I16223" i="17"/>
  <c r="I16222" i="17"/>
  <c r="I16221" i="17"/>
  <c r="I16220" i="17"/>
  <c r="I16219" i="17"/>
  <c r="I16218" i="17"/>
  <c r="I16217" i="17"/>
  <c r="I16216" i="17"/>
  <c r="I16215" i="17"/>
  <c r="I16214" i="17"/>
  <c r="I16213" i="17"/>
  <c r="I16212" i="17"/>
  <c r="I16211" i="17"/>
  <c r="I16210" i="17"/>
  <c r="I16209" i="17"/>
  <c r="I16208" i="17"/>
  <c r="I16207" i="17"/>
  <c r="I16206" i="17"/>
  <c r="I16205" i="17"/>
  <c r="I16204" i="17"/>
  <c r="I16203" i="17"/>
  <c r="I16202" i="17"/>
  <c r="I16201" i="17"/>
  <c r="I16200" i="17"/>
  <c r="I16199" i="17"/>
  <c r="I16198" i="17"/>
  <c r="I16197" i="17"/>
  <c r="I16196" i="17"/>
  <c r="I16195" i="17"/>
  <c r="I16194" i="17"/>
  <c r="I16193" i="17"/>
  <c r="I16192" i="17"/>
  <c r="I16191" i="17"/>
  <c r="I16190" i="17"/>
  <c r="I16189" i="17"/>
  <c r="I16188" i="17"/>
  <c r="I16187" i="17"/>
  <c r="I16186" i="17"/>
  <c r="I16185" i="17"/>
  <c r="I16184" i="17"/>
  <c r="I16183" i="17"/>
  <c r="I16182" i="17"/>
  <c r="I16181" i="17"/>
  <c r="I16180" i="17"/>
  <c r="I16179" i="17"/>
  <c r="I16178" i="17"/>
  <c r="I16177" i="17"/>
  <c r="I16176" i="17"/>
  <c r="I16175" i="17"/>
  <c r="I16174" i="17"/>
  <c r="I16173" i="17"/>
  <c r="I16172" i="17"/>
  <c r="I16171" i="17"/>
  <c r="I16170" i="17"/>
  <c r="I16169" i="17"/>
  <c r="I16168" i="17"/>
  <c r="I16167" i="17"/>
  <c r="I16166" i="17"/>
  <c r="I16165" i="17"/>
  <c r="I16164" i="17"/>
  <c r="I16163" i="17"/>
  <c r="I16162" i="17"/>
  <c r="I16161" i="17"/>
  <c r="I16160" i="17"/>
  <c r="I16159" i="17"/>
  <c r="I16158" i="17"/>
  <c r="I16157" i="17"/>
  <c r="I16156" i="17"/>
  <c r="I16155" i="17"/>
  <c r="I16154" i="17"/>
  <c r="I16153" i="17"/>
  <c r="I16152" i="17"/>
  <c r="I16151" i="17"/>
  <c r="I16150" i="17"/>
  <c r="I16149" i="17"/>
  <c r="I16148" i="17"/>
  <c r="I16147" i="17"/>
  <c r="I16146" i="17"/>
  <c r="I16145" i="17"/>
  <c r="I16144" i="17"/>
  <c r="I16143" i="17"/>
  <c r="I16142" i="17"/>
  <c r="I16141" i="17"/>
  <c r="I16140" i="17"/>
  <c r="I16139" i="17"/>
  <c r="I16138" i="17"/>
  <c r="I16137" i="17"/>
  <c r="I16136" i="17"/>
  <c r="I16135" i="17"/>
  <c r="I16134" i="17"/>
  <c r="I16133" i="17"/>
  <c r="I16132" i="17"/>
  <c r="I16131" i="17"/>
  <c r="I16130" i="17"/>
  <c r="I16129" i="17"/>
  <c r="I16128" i="17"/>
  <c r="I16127" i="17"/>
  <c r="I16126" i="17"/>
  <c r="I16125" i="17"/>
  <c r="I16124" i="17"/>
  <c r="I16123" i="17"/>
  <c r="I16122" i="17"/>
  <c r="I16121" i="17"/>
  <c r="I16120" i="17"/>
  <c r="I16119" i="17"/>
  <c r="I16118" i="17"/>
  <c r="I16117" i="17"/>
  <c r="I16116" i="17"/>
  <c r="I16115" i="17"/>
  <c r="I16114" i="17"/>
  <c r="I16113" i="17"/>
  <c r="I16112" i="17"/>
  <c r="I16111" i="17"/>
  <c r="I16110" i="17"/>
  <c r="I16109" i="17"/>
  <c r="I16108" i="17"/>
  <c r="I16107" i="17"/>
  <c r="I16106" i="17"/>
  <c r="I16105" i="17"/>
  <c r="I16104" i="17"/>
  <c r="I16103" i="17"/>
  <c r="I16102" i="17"/>
  <c r="I16101" i="17"/>
  <c r="I16100" i="17"/>
  <c r="I16099" i="17"/>
  <c r="I16098" i="17"/>
  <c r="I16097" i="17"/>
  <c r="I16096" i="17"/>
  <c r="I16095" i="17"/>
  <c r="I16094" i="17"/>
  <c r="I16093" i="17"/>
  <c r="I16092" i="17"/>
  <c r="I16091" i="17"/>
  <c r="I16090" i="17"/>
  <c r="I16089" i="17"/>
  <c r="I16088" i="17"/>
  <c r="I16087" i="17"/>
  <c r="I16086" i="17"/>
  <c r="I16085" i="17"/>
  <c r="I16084" i="17"/>
  <c r="I16083" i="17"/>
  <c r="I16082" i="17"/>
  <c r="I16081" i="17"/>
  <c r="I16080" i="17"/>
  <c r="I16079" i="17"/>
  <c r="I16078" i="17"/>
  <c r="I16077" i="17"/>
  <c r="I16076" i="17"/>
  <c r="I16075" i="17"/>
  <c r="I16074" i="17"/>
  <c r="I16073" i="17"/>
  <c r="I16072" i="17"/>
  <c r="I16071" i="17"/>
  <c r="I16070" i="17"/>
  <c r="I16069" i="17"/>
  <c r="I16068" i="17"/>
  <c r="I16067" i="17"/>
  <c r="I16066" i="17"/>
  <c r="I16065" i="17"/>
  <c r="I16064" i="17"/>
  <c r="I16063" i="17"/>
  <c r="I16062" i="17"/>
  <c r="I16061" i="17"/>
  <c r="I16060" i="17"/>
  <c r="I16059" i="17"/>
  <c r="I16058" i="17"/>
  <c r="I16057" i="17"/>
  <c r="I16056" i="17"/>
  <c r="I16055" i="17"/>
  <c r="I16054" i="17"/>
  <c r="I16053" i="17"/>
  <c r="I16052" i="17"/>
  <c r="I16051" i="17"/>
  <c r="I16050" i="17"/>
  <c r="I16049" i="17"/>
  <c r="I16048" i="17"/>
  <c r="I16047" i="17"/>
  <c r="I16046" i="17"/>
  <c r="I16045" i="17"/>
  <c r="I16044" i="17"/>
  <c r="I16043" i="17"/>
  <c r="I16042" i="17"/>
  <c r="I16041" i="17"/>
  <c r="I16040" i="17"/>
  <c r="I16039" i="17"/>
  <c r="I16038" i="17"/>
  <c r="I16037" i="17"/>
  <c r="I16036" i="17"/>
  <c r="I16035" i="17"/>
  <c r="I16034" i="17"/>
  <c r="I16033" i="17"/>
  <c r="I16032" i="17"/>
  <c r="I16031" i="17"/>
  <c r="I16030" i="17"/>
  <c r="I16029" i="17"/>
  <c r="I16028" i="17"/>
  <c r="I16027" i="17"/>
  <c r="I16026" i="17"/>
  <c r="I16025" i="17"/>
  <c r="I16024" i="17"/>
  <c r="I16023" i="17"/>
  <c r="I16022" i="17"/>
  <c r="I16021" i="17"/>
  <c r="I16020" i="17"/>
  <c r="I16019" i="17"/>
  <c r="I16018" i="17"/>
  <c r="I16017" i="17"/>
  <c r="I16016" i="17"/>
  <c r="I16015" i="17"/>
  <c r="I16014" i="17"/>
  <c r="I16013" i="17"/>
  <c r="I16012" i="17"/>
  <c r="I16011" i="17"/>
  <c r="I16010" i="17"/>
  <c r="I16009" i="17"/>
  <c r="I16008" i="17"/>
  <c r="I16007" i="17"/>
  <c r="I16006" i="17"/>
  <c r="I16005" i="17"/>
  <c r="I16004" i="17"/>
  <c r="I16003" i="17"/>
  <c r="I16002" i="17"/>
  <c r="I16001" i="17"/>
  <c r="I16000" i="17"/>
  <c r="I15999" i="17"/>
  <c r="I15998" i="17"/>
  <c r="I15997" i="17"/>
  <c r="I15996" i="17"/>
  <c r="I15995" i="17"/>
  <c r="I15994" i="17"/>
  <c r="I15993" i="17"/>
  <c r="I15992" i="17"/>
  <c r="I15991" i="17"/>
  <c r="I15990" i="17"/>
  <c r="I15989" i="17"/>
  <c r="I15988" i="17"/>
  <c r="I15987" i="17"/>
  <c r="I15986" i="17"/>
  <c r="I15985" i="17"/>
  <c r="I15984" i="17"/>
  <c r="I15983" i="17"/>
  <c r="I15982" i="17"/>
  <c r="I15981" i="17"/>
  <c r="I15980" i="17"/>
  <c r="I15979" i="17"/>
  <c r="I15978" i="17"/>
  <c r="I15977" i="17"/>
  <c r="I15976" i="17"/>
  <c r="I15975" i="17"/>
  <c r="I15974" i="17"/>
  <c r="I15973" i="17"/>
  <c r="I15972" i="17"/>
  <c r="I15971" i="17"/>
  <c r="I15970" i="17"/>
  <c r="I15969" i="17"/>
  <c r="I15968" i="17"/>
  <c r="I15967" i="17"/>
  <c r="I15966" i="17"/>
  <c r="I15965" i="17"/>
  <c r="I15964" i="17"/>
  <c r="I15963" i="17"/>
  <c r="I15962" i="17"/>
  <c r="I15961" i="17"/>
  <c r="I15960" i="17"/>
  <c r="I15959" i="17"/>
  <c r="I15958" i="17"/>
  <c r="I15957" i="17"/>
  <c r="I15956" i="17"/>
  <c r="I15955" i="17"/>
  <c r="I15954" i="17"/>
  <c r="I15953" i="17"/>
  <c r="I15952" i="17"/>
  <c r="I15951" i="17"/>
  <c r="I15950" i="17"/>
  <c r="I15949" i="17"/>
  <c r="I15948" i="17"/>
  <c r="I15947" i="17"/>
  <c r="I15946" i="17"/>
  <c r="I15945" i="17"/>
  <c r="I15944" i="17"/>
  <c r="I15943" i="17"/>
  <c r="I15942" i="17"/>
  <c r="I15941" i="17"/>
  <c r="I15940" i="17"/>
  <c r="I15939" i="17"/>
  <c r="I15938" i="17"/>
  <c r="I15937" i="17"/>
  <c r="I15936" i="17"/>
  <c r="I15935" i="17"/>
  <c r="I15934" i="17"/>
  <c r="I15933" i="17"/>
  <c r="I15932" i="17"/>
  <c r="I15931" i="17"/>
  <c r="I15930" i="17"/>
  <c r="I15929" i="17"/>
  <c r="I15928" i="17"/>
  <c r="I15927" i="17"/>
  <c r="I15926" i="17"/>
  <c r="I15925" i="17"/>
  <c r="I15924" i="17"/>
  <c r="I15923" i="17"/>
  <c r="I15922" i="17"/>
  <c r="I15921" i="17"/>
  <c r="I15920" i="17"/>
  <c r="I15919" i="17"/>
  <c r="I15918" i="17"/>
  <c r="I15917" i="17"/>
  <c r="I15916" i="17"/>
  <c r="I15915" i="17"/>
  <c r="I15914" i="17"/>
  <c r="I15913" i="17"/>
  <c r="I15912" i="17"/>
  <c r="I15911" i="17"/>
  <c r="I15910" i="17"/>
  <c r="I15909" i="17"/>
  <c r="I15908" i="17"/>
  <c r="I15907" i="17"/>
  <c r="I15906" i="17"/>
  <c r="I15905" i="17"/>
  <c r="I15904" i="17"/>
  <c r="I15903" i="17"/>
  <c r="I15902" i="17"/>
  <c r="I15901" i="17"/>
  <c r="I15900" i="17"/>
  <c r="I15899" i="17"/>
  <c r="I15898" i="17"/>
  <c r="I15897" i="17"/>
  <c r="I15896" i="17"/>
  <c r="I15895" i="17"/>
  <c r="I15894" i="17"/>
  <c r="I15893" i="17"/>
  <c r="I15892" i="17"/>
  <c r="I15891" i="17"/>
  <c r="I15890" i="17"/>
  <c r="I15889" i="17"/>
  <c r="I15888" i="17"/>
  <c r="I15887" i="17"/>
  <c r="I15886" i="17"/>
  <c r="I15885" i="17"/>
  <c r="I15884" i="17"/>
  <c r="I15883" i="17"/>
  <c r="I15882" i="17"/>
  <c r="I15881" i="17"/>
  <c r="I15880" i="17"/>
  <c r="I15879" i="17"/>
  <c r="I15878" i="17"/>
  <c r="I15877" i="17"/>
  <c r="I15876" i="17"/>
  <c r="I15875" i="17"/>
  <c r="I15874" i="17"/>
  <c r="I15873" i="17"/>
  <c r="I15872" i="17"/>
  <c r="I15871" i="17"/>
  <c r="I15870" i="17"/>
  <c r="I15869" i="17"/>
  <c r="I15868" i="17"/>
  <c r="I15867" i="17"/>
  <c r="I15866" i="17"/>
  <c r="I15865" i="17"/>
  <c r="I15864" i="17"/>
  <c r="I15863" i="17"/>
  <c r="I15862" i="17"/>
  <c r="I15861" i="17"/>
  <c r="I15860" i="17"/>
  <c r="I15859" i="17"/>
  <c r="I15858" i="17"/>
  <c r="I15857" i="17"/>
  <c r="I15856" i="17"/>
  <c r="I15855" i="17"/>
  <c r="I15854" i="17"/>
  <c r="I15853" i="17"/>
  <c r="I15852" i="17"/>
  <c r="I15851" i="17"/>
  <c r="I15850" i="17"/>
  <c r="I15849" i="17"/>
  <c r="I15848" i="17"/>
  <c r="I15847" i="17"/>
  <c r="I15846" i="17"/>
  <c r="I15845" i="17"/>
  <c r="I15844" i="17"/>
  <c r="I15843" i="17"/>
  <c r="I15842" i="17"/>
  <c r="I15841" i="17"/>
  <c r="I15840" i="17"/>
  <c r="I15839" i="17"/>
  <c r="I15838" i="17"/>
  <c r="I15837" i="17"/>
  <c r="I15836" i="17"/>
  <c r="I15835" i="17"/>
  <c r="I15834" i="17"/>
  <c r="I15833" i="17"/>
  <c r="I15832" i="17"/>
  <c r="I15831" i="17"/>
  <c r="I15830" i="17"/>
  <c r="I15829" i="17"/>
  <c r="I15828" i="17"/>
  <c r="I15827" i="17"/>
  <c r="I15826" i="17"/>
  <c r="I15825" i="17"/>
  <c r="I15824" i="17"/>
  <c r="I15823" i="17"/>
  <c r="I15822" i="17"/>
  <c r="I15821" i="17"/>
  <c r="I15820" i="17"/>
  <c r="I15819" i="17"/>
  <c r="I15818" i="17"/>
  <c r="I15817" i="17"/>
  <c r="I15816" i="17"/>
  <c r="I15815" i="17"/>
  <c r="I15814" i="17"/>
  <c r="I15813" i="17"/>
  <c r="I15812" i="17"/>
  <c r="I15811" i="17"/>
  <c r="I15810" i="17"/>
  <c r="I15809" i="17"/>
  <c r="I15808" i="17"/>
  <c r="I15807" i="17"/>
  <c r="I15806" i="17"/>
  <c r="I15805" i="17"/>
  <c r="I15804" i="17"/>
  <c r="I15803" i="17"/>
  <c r="I15802" i="17"/>
  <c r="I15801" i="17"/>
  <c r="I15800" i="17"/>
  <c r="I15799" i="17"/>
  <c r="I15798" i="17"/>
  <c r="I15797" i="17"/>
  <c r="I15796" i="17"/>
  <c r="I15795" i="17"/>
  <c r="I15794" i="17"/>
  <c r="I15793" i="17"/>
  <c r="I15792" i="17"/>
  <c r="I15791" i="17"/>
  <c r="I15790" i="17"/>
  <c r="I15789" i="17"/>
  <c r="I15788" i="17"/>
  <c r="I15787" i="17"/>
  <c r="I15786" i="17"/>
  <c r="I15785" i="17"/>
  <c r="I15784" i="17"/>
  <c r="I15783" i="17"/>
  <c r="I15782" i="17"/>
  <c r="I15781" i="17"/>
  <c r="I15780" i="17"/>
  <c r="I15779" i="17"/>
  <c r="I15778" i="17"/>
  <c r="I15777" i="17"/>
  <c r="I15776" i="17"/>
  <c r="I15775" i="17"/>
  <c r="I15774" i="17"/>
  <c r="I15773" i="17"/>
  <c r="I15772" i="17"/>
  <c r="I15771" i="17"/>
  <c r="I15770" i="17"/>
  <c r="I15769" i="17"/>
  <c r="I15768" i="17"/>
  <c r="I15767" i="17"/>
  <c r="I15766" i="17"/>
  <c r="I15765" i="17"/>
  <c r="I15764" i="17"/>
  <c r="I15763" i="17"/>
  <c r="I15762" i="17"/>
  <c r="I15761" i="17"/>
  <c r="I15760" i="17"/>
  <c r="I15759" i="17"/>
  <c r="I15758" i="17"/>
  <c r="I15757" i="17"/>
  <c r="I15756" i="17"/>
  <c r="I15755" i="17"/>
  <c r="I15754" i="17"/>
  <c r="I15753" i="17"/>
  <c r="I15752" i="17"/>
  <c r="I15751" i="17"/>
  <c r="I15750" i="17"/>
  <c r="I15749" i="17"/>
  <c r="I15748" i="17"/>
  <c r="I15747" i="17"/>
  <c r="I15746" i="17"/>
  <c r="I15745" i="17"/>
  <c r="I15744" i="17"/>
  <c r="I15743" i="17"/>
  <c r="I15742" i="17"/>
  <c r="I15741" i="17"/>
  <c r="I15740" i="17"/>
  <c r="I15739" i="17"/>
  <c r="I15738" i="17"/>
  <c r="I15737" i="17"/>
  <c r="I15736" i="17"/>
  <c r="I15735" i="17"/>
  <c r="I15734" i="17"/>
  <c r="I15733" i="17"/>
  <c r="I15732" i="17"/>
  <c r="I15731" i="17"/>
  <c r="I15730" i="17"/>
  <c r="I15729" i="17"/>
  <c r="I15728" i="17"/>
  <c r="I15727" i="17"/>
  <c r="I15726" i="17"/>
  <c r="I15725" i="17"/>
  <c r="I15724" i="17"/>
  <c r="I15723" i="17"/>
  <c r="I15722" i="17"/>
  <c r="I15721" i="17"/>
  <c r="I15720" i="17"/>
  <c r="I15719" i="17"/>
  <c r="I15718" i="17"/>
  <c r="I15717" i="17"/>
  <c r="I15716" i="17"/>
  <c r="I15715" i="17"/>
  <c r="I15714" i="17"/>
  <c r="I15713" i="17"/>
  <c r="I15712" i="17"/>
  <c r="I15711" i="17"/>
  <c r="I15710" i="17"/>
  <c r="I15709" i="17"/>
  <c r="I15708" i="17"/>
  <c r="I15707" i="17"/>
  <c r="I15706" i="17"/>
  <c r="I15705" i="17"/>
  <c r="I15704" i="17"/>
  <c r="I15703" i="17"/>
  <c r="I15702" i="17"/>
  <c r="I15701" i="17"/>
  <c r="I15700" i="17"/>
  <c r="I15699" i="17"/>
  <c r="I15698" i="17"/>
  <c r="I15697" i="17"/>
  <c r="I15696" i="17"/>
  <c r="I15695" i="17"/>
  <c r="I15694" i="17"/>
  <c r="I15693" i="17"/>
  <c r="I15692" i="17"/>
  <c r="I15691" i="17"/>
  <c r="I15690" i="17"/>
  <c r="I15689" i="17"/>
  <c r="I15688" i="17"/>
  <c r="I15687" i="17"/>
  <c r="I15686" i="17"/>
  <c r="I15685" i="17"/>
  <c r="I15684" i="17"/>
  <c r="I15683" i="17"/>
  <c r="I15682" i="17"/>
  <c r="I15681" i="17"/>
  <c r="I15680" i="17"/>
  <c r="I15679" i="17"/>
  <c r="I15678" i="17"/>
  <c r="I15677" i="17"/>
  <c r="I15676" i="17"/>
  <c r="I15675" i="17"/>
  <c r="I15674" i="17"/>
  <c r="I15673" i="17"/>
  <c r="I15672" i="17"/>
  <c r="I15671" i="17"/>
  <c r="I15670" i="17"/>
  <c r="I15669" i="17"/>
  <c r="I15668" i="17"/>
  <c r="I15667" i="17"/>
  <c r="I15666" i="17"/>
  <c r="I15665" i="17"/>
  <c r="I15664" i="17"/>
  <c r="I15663" i="17"/>
  <c r="I15662" i="17"/>
  <c r="I15661" i="17"/>
  <c r="I15660" i="17"/>
  <c r="I15659" i="17"/>
  <c r="I15658" i="17"/>
  <c r="I15657" i="17"/>
  <c r="I15656" i="17"/>
  <c r="I15655" i="17"/>
  <c r="I15654" i="17"/>
  <c r="I15653" i="17"/>
  <c r="I15652" i="17"/>
  <c r="I15651" i="17"/>
  <c r="I15650" i="17"/>
  <c r="I15649" i="17"/>
  <c r="I15648" i="17"/>
  <c r="I15647" i="17"/>
  <c r="I15646" i="17"/>
  <c r="I15645" i="17"/>
  <c r="I15644" i="17"/>
  <c r="I15643" i="17"/>
  <c r="I15642" i="17"/>
  <c r="I15641" i="17"/>
  <c r="I15640" i="17"/>
  <c r="I15639" i="17"/>
  <c r="I15638" i="17"/>
  <c r="I15637" i="17"/>
  <c r="I15636" i="17"/>
  <c r="I15635" i="17"/>
  <c r="I15634" i="17"/>
  <c r="I15633" i="17"/>
  <c r="I15632" i="17"/>
  <c r="I15631" i="17"/>
  <c r="I15630" i="17"/>
  <c r="I15629" i="17"/>
  <c r="I15628" i="17"/>
  <c r="I15627" i="17"/>
  <c r="I15626" i="17"/>
  <c r="I15625" i="17"/>
  <c r="I15624" i="17"/>
  <c r="I15623" i="17"/>
  <c r="I15622" i="17"/>
  <c r="I15621" i="17"/>
  <c r="I15620" i="17"/>
  <c r="I15619" i="17"/>
  <c r="I15618" i="17"/>
  <c r="I15617" i="17"/>
  <c r="I15616" i="17"/>
  <c r="I15615" i="17"/>
  <c r="I15614" i="17"/>
  <c r="I15613" i="17"/>
  <c r="I15612" i="17"/>
  <c r="I15611" i="17"/>
  <c r="I15610" i="17"/>
  <c r="I15609" i="17"/>
  <c r="I15608" i="17"/>
  <c r="I15607" i="17"/>
  <c r="I15606" i="17"/>
  <c r="I15605" i="17"/>
  <c r="I15604" i="17"/>
  <c r="I15603" i="17"/>
  <c r="I15602" i="17"/>
  <c r="I15601" i="17"/>
  <c r="I15600" i="17"/>
  <c r="I15599" i="17"/>
  <c r="I15598" i="17"/>
  <c r="I15597" i="17"/>
  <c r="I15596" i="17"/>
  <c r="I15595" i="17"/>
  <c r="I15594" i="17"/>
  <c r="I15593" i="17"/>
  <c r="I15592" i="17"/>
  <c r="I15591" i="17"/>
  <c r="I15590" i="17"/>
  <c r="I15589" i="17"/>
  <c r="I15588" i="17"/>
  <c r="I15587" i="17"/>
  <c r="I15586" i="17"/>
  <c r="I15585" i="17"/>
  <c r="I15584" i="17"/>
  <c r="I15583" i="17"/>
  <c r="I15582" i="17"/>
  <c r="I15581" i="17"/>
  <c r="I15580" i="17"/>
  <c r="I15579" i="17"/>
  <c r="I15578" i="17"/>
  <c r="I15577" i="17"/>
  <c r="I15576" i="17"/>
  <c r="I15575" i="17"/>
  <c r="I15574" i="17"/>
  <c r="I15573" i="17"/>
  <c r="I15572" i="17"/>
  <c r="I15571" i="17"/>
  <c r="I15570" i="17"/>
  <c r="I15569" i="17"/>
  <c r="I15568" i="17"/>
  <c r="I15567" i="17"/>
  <c r="I15566" i="17"/>
  <c r="I15565" i="17"/>
  <c r="I15564" i="17"/>
  <c r="I15563" i="17"/>
  <c r="I15562" i="17"/>
  <c r="I15561" i="17"/>
  <c r="I15560" i="17"/>
  <c r="I15559" i="17"/>
  <c r="I15558" i="17"/>
  <c r="I15557" i="17"/>
  <c r="I15556" i="17"/>
  <c r="I15555" i="17"/>
  <c r="I15554" i="17"/>
  <c r="I15553" i="17"/>
  <c r="I15552" i="17"/>
  <c r="I15551" i="17"/>
  <c r="I15550" i="17"/>
  <c r="I15549" i="17"/>
  <c r="I15548" i="17"/>
  <c r="I15547" i="17"/>
  <c r="I15546" i="17"/>
  <c r="I15545" i="17"/>
  <c r="I15544" i="17"/>
  <c r="I15543" i="17"/>
  <c r="I15542" i="17"/>
  <c r="I15541" i="17"/>
  <c r="I15540" i="17"/>
  <c r="I15539" i="17"/>
  <c r="I15538" i="17"/>
  <c r="I15537" i="17"/>
  <c r="I15536" i="17"/>
  <c r="I15535" i="17"/>
  <c r="I15534" i="17"/>
  <c r="I15533" i="17"/>
  <c r="I15532" i="17"/>
  <c r="I15531" i="17"/>
  <c r="I15530" i="17"/>
  <c r="I15529" i="17"/>
  <c r="I15528" i="17"/>
  <c r="I15527" i="17"/>
  <c r="I15526" i="17"/>
  <c r="I15525" i="17"/>
  <c r="I15524" i="17"/>
  <c r="I15523" i="17"/>
  <c r="I15522" i="17"/>
  <c r="I15521" i="17"/>
  <c r="I15520" i="17"/>
  <c r="I15519" i="17"/>
  <c r="I15518" i="17"/>
  <c r="I15517" i="17"/>
  <c r="I15516" i="17"/>
  <c r="I15515" i="17"/>
  <c r="I15514" i="17"/>
  <c r="I15513" i="17"/>
  <c r="I15512" i="17"/>
  <c r="I15511" i="17"/>
  <c r="I15510" i="17"/>
  <c r="I15509" i="17"/>
  <c r="I15508" i="17"/>
  <c r="I15507" i="17"/>
  <c r="I15506" i="17"/>
  <c r="I15505" i="17"/>
  <c r="I15504" i="17"/>
  <c r="I15503" i="17"/>
  <c r="I15502" i="17"/>
  <c r="I15501" i="17"/>
  <c r="I15500" i="17"/>
  <c r="I15499" i="17"/>
  <c r="I15498" i="17"/>
  <c r="I15497" i="17"/>
  <c r="I15496" i="17"/>
  <c r="I15495" i="17"/>
  <c r="I15494" i="17"/>
  <c r="I15493" i="17"/>
  <c r="I15492" i="17"/>
  <c r="I15491" i="17"/>
  <c r="I15490" i="17"/>
  <c r="I15489" i="17"/>
  <c r="I15488" i="17"/>
  <c r="I15487" i="17"/>
  <c r="I15486" i="17"/>
  <c r="I15485" i="17"/>
  <c r="I15484" i="17"/>
  <c r="I15483" i="17"/>
  <c r="I15482" i="17"/>
  <c r="I15481" i="17"/>
  <c r="I15480" i="17"/>
  <c r="I15479" i="17"/>
  <c r="I15478" i="17"/>
  <c r="I15477" i="17"/>
  <c r="I15476" i="17"/>
  <c r="I15475" i="17"/>
  <c r="I15474" i="17"/>
  <c r="I15473" i="17"/>
  <c r="I15472" i="17"/>
  <c r="I15471" i="17"/>
  <c r="I15470" i="17"/>
  <c r="I15469" i="17"/>
  <c r="I15468" i="17"/>
  <c r="I15467" i="17"/>
  <c r="I15466" i="17"/>
  <c r="I15465" i="17"/>
  <c r="I15464" i="17"/>
  <c r="I15463" i="17"/>
  <c r="I15462" i="17"/>
  <c r="I15461" i="17"/>
  <c r="I15460" i="17"/>
  <c r="I15459" i="17"/>
  <c r="I15458" i="17"/>
  <c r="I15457" i="17"/>
  <c r="I15456" i="17"/>
  <c r="I15455" i="17"/>
  <c r="I15454" i="17"/>
  <c r="I15453" i="17"/>
  <c r="I15452" i="17"/>
  <c r="I15451" i="17"/>
  <c r="I15450" i="17"/>
  <c r="I15449" i="17"/>
  <c r="I15448" i="17"/>
  <c r="I15447" i="17"/>
  <c r="I15446" i="17"/>
  <c r="I15445" i="17"/>
  <c r="I15444" i="17"/>
  <c r="I15443" i="17"/>
  <c r="I15442" i="17"/>
  <c r="I15441" i="17"/>
  <c r="I15440" i="17"/>
  <c r="I15439" i="17"/>
  <c r="I15438" i="17"/>
  <c r="I15437" i="17"/>
  <c r="I15436" i="17"/>
  <c r="I15435" i="17"/>
  <c r="I15434" i="17"/>
  <c r="I15433" i="17"/>
  <c r="I15432" i="17"/>
  <c r="I15431" i="17"/>
  <c r="I15430" i="17"/>
  <c r="I15429" i="17"/>
  <c r="I15428" i="17"/>
  <c r="I15427" i="17"/>
  <c r="I15426" i="17"/>
  <c r="I15425" i="17"/>
  <c r="I15424" i="17"/>
  <c r="I15423" i="17"/>
  <c r="I15422" i="17"/>
  <c r="I15421" i="17"/>
  <c r="I15420" i="17"/>
  <c r="I15419" i="17"/>
  <c r="I15418" i="17"/>
  <c r="I15417" i="17"/>
  <c r="I15416" i="17"/>
  <c r="I15415" i="17"/>
  <c r="I15414" i="17"/>
  <c r="I15413" i="17"/>
  <c r="I15412" i="17"/>
  <c r="I15411" i="17"/>
  <c r="I15410" i="17"/>
  <c r="I15409" i="17"/>
  <c r="I15408" i="17"/>
  <c r="I15407" i="17"/>
  <c r="I15406" i="17"/>
  <c r="I15405" i="17"/>
  <c r="I15404" i="17"/>
  <c r="I15403" i="17"/>
  <c r="I15402" i="17"/>
  <c r="I15401" i="17"/>
  <c r="I15400" i="17"/>
  <c r="I15399" i="17"/>
  <c r="I15398" i="17"/>
  <c r="I15397" i="17"/>
  <c r="I15396" i="17"/>
  <c r="I15395" i="17"/>
  <c r="I15394" i="17"/>
  <c r="I15393" i="17"/>
  <c r="I15392" i="17"/>
  <c r="I15391" i="17"/>
  <c r="I15390" i="17"/>
  <c r="I15389" i="17"/>
  <c r="I15388" i="17"/>
  <c r="I15387" i="17"/>
  <c r="I15386" i="17"/>
  <c r="I15385" i="17"/>
  <c r="I15384" i="17"/>
  <c r="I15383" i="17"/>
  <c r="I15382" i="17"/>
  <c r="I15381" i="17"/>
  <c r="I15380" i="17"/>
  <c r="I15379" i="17"/>
  <c r="I15378" i="17"/>
  <c r="I15377" i="17"/>
  <c r="I15376" i="17"/>
  <c r="I15375" i="17"/>
  <c r="I15374" i="17"/>
  <c r="I15373" i="17"/>
  <c r="I15372" i="17"/>
  <c r="I15371" i="17"/>
  <c r="I15370" i="17"/>
  <c r="I15369" i="17"/>
  <c r="I15368" i="17"/>
  <c r="I15367" i="17"/>
  <c r="I15366" i="17"/>
  <c r="I15365" i="17"/>
  <c r="I15364" i="17"/>
  <c r="I15363" i="17"/>
  <c r="I15362" i="17"/>
  <c r="I15361" i="17"/>
  <c r="I15360" i="17"/>
  <c r="I15359" i="17"/>
  <c r="I15358" i="17"/>
  <c r="I15357" i="17"/>
  <c r="I15356" i="17"/>
  <c r="I15355" i="17"/>
  <c r="I15354" i="17"/>
  <c r="I15353" i="17"/>
  <c r="I15352" i="17"/>
  <c r="I15351" i="17"/>
  <c r="I15350" i="17"/>
  <c r="I15349" i="17"/>
  <c r="I15348" i="17"/>
  <c r="I15347" i="17"/>
  <c r="I15346" i="17"/>
  <c r="I15345" i="17"/>
  <c r="I15344" i="17"/>
  <c r="I15343" i="17"/>
  <c r="I15342" i="17"/>
  <c r="I15341" i="17"/>
  <c r="I15340" i="17"/>
  <c r="I15339" i="17"/>
  <c r="I15338" i="17"/>
  <c r="I15337" i="17"/>
  <c r="I15336" i="17"/>
  <c r="I15335" i="17"/>
  <c r="I15334" i="17"/>
  <c r="I15333" i="17"/>
  <c r="I15332" i="17"/>
  <c r="I15331" i="17"/>
  <c r="I15330" i="17"/>
  <c r="I15329" i="17"/>
  <c r="I15328" i="17"/>
  <c r="I15327" i="17"/>
  <c r="I15326" i="17"/>
  <c r="I15325" i="17"/>
  <c r="I15324" i="17"/>
  <c r="I15323" i="17"/>
  <c r="I15322" i="17"/>
  <c r="I15321" i="17"/>
  <c r="I15320" i="17"/>
  <c r="I15319" i="17"/>
  <c r="I15318" i="17"/>
  <c r="I15317" i="17"/>
  <c r="I15316" i="17"/>
  <c r="I15315" i="17"/>
  <c r="I15314" i="17"/>
  <c r="I15313" i="17"/>
  <c r="I15312" i="17"/>
  <c r="I15311" i="17"/>
  <c r="I15310" i="17"/>
  <c r="I15309" i="17"/>
  <c r="I15308" i="17"/>
  <c r="I15307" i="17"/>
  <c r="I15306" i="17"/>
  <c r="I15305" i="17"/>
  <c r="I15304" i="17"/>
  <c r="I15303" i="17"/>
  <c r="I15302" i="17"/>
  <c r="I15301" i="17"/>
  <c r="I15300" i="17"/>
  <c r="I15299" i="17"/>
  <c r="I15298" i="17"/>
  <c r="I15297" i="17"/>
  <c r="I15296" i="17"/>
  <c r="I15295" i="17"/>
  <c r="I15294" i="17"/>
  <c r="I15293" i="17"/>
  <c r="I15292" i="17"/>
  <c r="I15291" i="17"/>
  <c r="I15290" i="17"/>
  <c r="I15289" i="17"/>
  <c r="I15288" i="17"/>
  <c r="I15287" i="17"/>
  <c r="I15286" i="17"/>
  <c r="I15285" i="17"/>
  <c r="I15284" i="17"/>
  <c r="I15283" i="17"/>
  <c r="I15282" i="17"/>
  <c r="I15281" i="17"/>
  <c r="I15280" i="17"/>
  <c r="I15279" i="17"/>
  <c r="I15278" i="17"/>
  <c r="I15277" i="17"/>
  <c r="I15276" i="17"/>
  <c r="I15275" i="17"/>
  <c r="I15274" i="17"/>
  <c r="I15273" i="17"/>
  <c r="I15272" i="17"/>
  <c r="I15271" i="17"/>
  <c r="I15270" i="17"/>
  <c r="I15269" i="17"/>
  <c r="I15268" i="17"/>
  <c r="I15267" i="17"/>
  <c r="I15266" i="17"/>
  <c r="I15265" i="17"/>
  <c r="I15264" i="17"/>
  <c r="I15263" i="17"/>
  <c r="I15262" i="17"/>
  <c r="I15261" i="17"/>
  <c r="I15260" i="17"/>
  <c r="I15259" i="17"/>
  <c r="I15258" i="17"/>
  <c r="I15257" i="17"/>
  <c r="I15256" i="17"/>
  <c r="I15255" i="17"/>
  <c r="I15254" i="17"/>
  <c r="I15253" i="17"/>
  <c r="I15252" i="17"/>
  <c r="I15251" i="17"/>
  <c r="I15250" i="17"/>
  <c r="I15249" i="17"/>
  <c r="I15248" i="17"/>
  <c r="I15247" i="17"/>
  <c r="I15246" i="17"/>
  <c r="I15245" i="17"/>
  <c r="I15244" i="17"/>
  <c r="I15243" i="17"/>
  <c r="I15242" i="17"/>
  <c r="I15241" i="17"/>
  <c r="I15240" i="17"/>
  <c r="I15239" i="17"/>
  <c r="I15238" i="17"/>
  <c r="I15237" i="17"/>
  <c r="I15236" i="17"/>
  <c r="I15235" i="17"/>
  <c r="I15234" i="17"/>
  <c r="I15233" i="17"/>
  <c r="I15232" i="17"/>
  <c r="I15231" i="17"/>
  <c r="I15230" i="17"/>
  <c r="I15229" i="17"/>
  <c r="I15228" i="17"/>
  <c r="I15227" i="17"/>
  <c r="I15226" i="17"/>
  <c r="I15225" i="17"/>
  <c r="I15224" i="17"/>
  <c r="I15223" i="17"/>
  <c r="I15222" i="17"/>
  <c r="I15221" i="17"/>
  <c r="I15220" i="17"/>
  <c r="I15219" i="17"/>
  <c r="I15218" i="17"/>
  <c r="I15217" i="17"/>
  <c r="I15216" i="17"/>
  <c r="I15215" i="17"/>
  <c r="I15214" i="17"/>
  <c r="I15213" i="17"/>
  <c r="I15212" i="17"/>
  <c r="I15211" i="17"/>
  <c r="I15210" i="17"/>
  <c r="I15209" i="17"/>
  <c r="I15208" i="17"/>
  <c r="I15207" i="17"/>
  <c r="I15206" i="17"/>
  <c r="I15205" i="17"/>
  <c r="I15204" i="17"/>
  <c r="I15203" i="17"/>
  <c r="I15202" i="17"/>
  <c r="I15201" i="17"/>
  <c r="I15200" i="17"/>
  <c r="I15199" i="17"/>
  <c r="I15198" i="17"/>
  <c r="I15197" i="17"/>
  <c r="I15196" i="17"/>
  <c r="I15195" i="17"/>
  <c r="I15194" i="17"/>
  <c r="I15193" i="17"/>
  <c r="I15192" i="17"/>
  <c r="I15191" i="17"/>
  <c r="I15190" i="17"/>
  <c r="I15189" i="17"/>
  <c r="I15188" i="17"/>
  <c r="I15187" i="17"/>
  <c r="I15186" i="17"/>
  <c r="I15185" i="17"/>
  <c r="I15184" i="17"/>
  <c r="I15183" i="17"/>
  <c r="I15182" i="17"/>
  <c r="I15181" i="17"/>
  <c r="I15180" i="17"/>
  <c r="I15179" i="17"/>
  <c r="I15178" i="17"/>
  <c r="I15177" i="17"/>
  <c r="I15176" i="17"/>
  <c r="I15175" i="17"/>
  <c r="I15174" i="17"/>
  <c r="I15173" i="17"/>
  <c r="I15172" i="17"/>
  <c r="I15171" i="17"/>
  <c r="I15170" i="17"/>
  <c r="I15169" i="17"/>
  <c r="I15168" i="17"/>
  <c r="I15167" i="17"/>
  <c r="I15166" i="17"/>
  <c r="I15165" i="17"/>
  <c r="I15164" i="17"/>
  <c r="I15163" i="17"/>
  <c r="I15162" i="17"/>
  <c r="I15161" i="17"/>
  <c r="I15160" i="17"/>
  <c r="I15159" i="17"/>
  <c r="I15158" i="17"/>
  <c r="I15157" i="17"/>
  <c r="I15156" i="17"/>
  <c r="I15155" i="17"/>
  <c r="I15154" i="17"/>
  <c r="I15153" i="17"/>
  <c r="I15152" i="17"/>
  <c r="I15151" i="17"/>
  <c r="I15150" i="17"/>
  <c r="I15149" i="17"/>
  <c r="I15148" i="17"/>
  <c r="I15147" i="17"/>
  <c r="I15146" i="17"/>
  <c r="I15145" i="17"/>
  <c r="I15144" i="17"/>
  <c r="I15143" i="17"/>
  <c r="I15142" i="17"/>
  <c r="I15141" i="17"/>
  <c r="I15140" i="17"/>
  <c r="I15139" i="17"/>
  <c r="I15138" i="17"/>
  <c r="I15137" i="17"/>
  <c r="I15136" i="17"/>
  <c r="I15135" i="17"/>
  <c r="I15134" i="17"/>
  <c r="I15133" i="17"/>
  <c r="I15132" i="17"/>
  <c r="I15131" i="17"/>
  <c r="I15130" i="17"/>
  <c r="I15129" i="17"/>
  <c r="I15128" i="17"/>
  <c r="I15127" i="17"/>
  <c r="I15126" i="17"/>
  <c r="I15125" i="17"/>
  <c r="I15124" i="17"/>
  <c r="I15123" i="17"/>
  <c r="I15122" i="17"/>
  <c r="I15121" i="17"/>
  <c r="I15120" i="17"/>
  <c r="I15119" i="17"/>
  <c r="I15118" i="17"/>
  <c r="I15117" i="17"/>
  <c r="I15116" i="17"/>
  <c r="I15115" i="17"/>
  <c r="I15114" i="17"/>
  <c r="I15113" i="17"/>
  <c r="I15112" i="17"/>
  <c r="I15111" i="17"/>
  <c r="I15110" i="17"/>
  <c r="I15109" i="17"/>
  <c r="I15108" i="17"/>
  <c r="I15107" i="17"/>
  <c r="I15106" i="17"/>
  <c r="I15105" i="17"/>
  <c r="I15104" i="17"/>
  <c r="I15103" i="17"/>
  <c r="I15102" i="17"/>
  <c r="I15101" i="17"/>
  <c r="I15100" i="17"/>
  <c r="I15099" i="17"/>
  <c r="I15098" i="17"/>
  <c r="I15097" i="17"/>
  <c r="I15096" i="17"/>
  <c r="I15095" i="17"/>
  <c r="I15094" i="17"/>
  <c r="I15093" i="17"/>
  <c r="I15092" i="17"/>
  <c r="I15091" i="17"/>
  <c r="I15090" i="17"/>
  <c r="I15089" i="17"/>
  <c r="I15088" i="17"/>
  <c r="I15087" i="17"/>
  <c r="I15086" i="17"/>
  <c r="I15085" i="17"/>
  <c r="I15084" i="17"/>
  <c r="I15083" i="17"/>
  <c r="I15082" i="17"/>
  <c r="I15081" i="17"/>
  <c r="I15080" i="17"/>
  <c r="I15079" i="17"/>
  <c r="I15078" i="17"/>
  <c r="I15077" i="17"/>
  <c r="I15076" i="17"/>
  <c r="I15075" i="17"/>
  <c r="I15074" i="17"/>
  <c r="I15073" i="17"/>
  <c r="I15072" i="17"/>
  <c r="I15071" i="17"/>
  <c r="I15070" i="17"/>
  <c r="I15069" i="17"/>
  <c r="I15068" i="17"/>
  <c r="I15067" i="17"/>
  <c r="I15066" i="17"/>
  <c r="I15065" i="17"/>
  <c r="I15064" i="17"/>
  <c r="I15063" i="17"/>
  <c r="I15062" i="17"/>
  <c r="I15061" i="17"/>
  <c r="I15060" i="17"/>
  <c r="I15059" i="17"/>
  <c r="I15058" i="17"/>
  <c r="I15057" i="17"/>
  <c r="I15056" i="17"/>
  <c r="I15055" i="17"/>
  <c r="I15054" i="17"/>
  <c r="I15053" i="17"/>
  <c r="I15052" i="17"/>
  <c r="I15051" i="17"/>
  <c r="I15050" i="17"/>
  <c r="I15049" i="17"/>
  <c r="I15048" i="17"/>
  <c r="I15047" i="17"/>
  <c r="I15046" i="17"/>
  <c r="I15045" i="17"/>
  <c r="I15044" i="17"/>
  <c r="I15043" i="17"/>
  <c r="I15042" i="17"/>
  <c r="I15041" i="17"/>
  <c r="I15040" i="17"/>
  <c r="I15039" i="17"/>
  <c r="I15038" i="17"/>
  <c r="I15037" i="17"/>
  <c r="I15036" i="17"/>
  <c r="I15035" i="17"/>
  <c r="I15034" i="17"/>
  <c r="I15033" i="17"/>
  <c r="I15032" i="17"/>
  <c r="I15031" i="17"/>
  <c r="I15030" i="17"/>
  <c r="I15029" i="17"/>
  <c r="I15028" i="17"/>
  <c r="I15027" i="17"/>
  <c r="I15026" i="17"/>
  <c r="I15025" i="17"/>
  <c r="I15024" i="17"/>
  <c r="I15023" i="17"/>
  <c r="I15022" i="17"/>
  <c r="I15021" i="17"/>
  <c r="I15020" i="17"/>
  <c r="I15019" i="17"/>
  <c r="I15018" i="17"/>
  <c r="I15017" i="17"/>
  <c r="I15016" i="17"/>
  <c r="I15015" i="17"/>
  <c r="I15014" i="17"/>
  <c r="I15013" i="17"/>
  <c r="I15012" i="17"/>
  <c r="I15011" i="17"/>
  <c r="I15010" i="17"/>
  <c r="I15009" i="17"/>
  <c r="I15008" i="17"/>
  <c r="I15007" i="17"/>
  <c r="I15006" i="17"/>
  <c r="I15005" i="17"/>
  <c r="I15004" i="17"/>
  <c r="I15003" i="17"/>
  <c r="I15002" i="17"/>
  <c r="I15001" i="17"/>
  <c r="I15000" i="17"/>
  <c r="I14999" i="17"/>
  <c r="I14998" i="17"/>
  <c r="I14997" i="17"/>
  <c r="I14996" i="17"/>
  <c r="I14995" i="17"/>
  <c r="I14994" i="17"/>
  <c r="I14993" i="17"/>
  <c r="I14992" i="17"/>
  <c r="I14991" i="17"/>
  <c r="I14990" i="17"/>
  <c r="I14989" i="17"/>
  <c r="I14988" i="17"/>
  <c r="I14987" i="17"/>
  <c r="I14986" i="17"/>
  <c r="I14985" i="17"/>
  <c r="I14984" i="17"/>
  <c r="I14983" i="17"/>
  <c r="I14982" i="17"/>
  <c r="I14981" i="17"/>
  <c r="I14980" i="17"/>
  <c r="I14979" i="17"/>
  <c r="I14978" i="17"/>
  <c r="I14977" i="17"/>
  <c r="I14976" i="17"/>
  <c r="I14975" i="17"/>
  <c r="I14974" i="17"/>
  <c r="I14973" i="17"/>
  <c r="I14972" i="17"/>
  <c r="I14971" i="17"/>
  <c r="I14970" i="17"/>
  <c r="I14969" i="17"/>
  <c r="I14968" i="17"/>
  <c r="I14967" i="17"/>
  <c r="I14966" i="17"/>
  <c r="I14965" i="17"/>
  <c r="I14964" i="17"/>
  <c r="I14963" i="17"/>
  <c r="I14962" i="17"/>
  <c r="I14961" i="17"/>
  <c r="I14960" i="17"/>
  <c r="I14959" i="17"/>
  <c r="I14958" i="17"/>
  <c r="I14957" i="17"/>
  <c r="I14956" i="17"/>
  <c r="I14955" i="17"/>
  <c r="I14954" i="17"/>
  <c r="I14953" i="17"/>
  <c r="I14952" i="17"/>
  <c r="I14951" i="17"/>
  <c r="I14950" i="17"/>
  <c r="I14949" i="17"/>
  <c r="I14948" i="17"/>
  <c r="I14947" i="17"/>
  <c r="I14946" i="17"/>
  <c r="I14945" i="17"/>
  <c r="I14944" i="17"/>
  <c r="I14943" i="17"/>
  <c r="I14942" i="17"/>
  <c r="I14941" i="17"/>
  <c r="I14940" i="17"/>
  <c r="I14939" i="17"/>
  <c r="I14938" i="17"/>
  <c r="I14937" i="17"/>
  <c r="I14936" i="17"/>
  <c r="I14935" i="17"/>
  <c r="I14934" i="17"/>
  <c r="I14933" i="17"/>
  <c r="I14932" i="17"/>
  <c r="I14931" i="17"/>
  <c r="I14930" i="17"/>
  <c r="I14929" i="17"/>
  <c r="I14928" i="17"/>
  <c r="I14927" i="17"/>
  <c r="I14926" i="17"/>
  <c r="I14925" i="17"/>
  <c r="I14924" i="17"/>
  <c r="I14923" i="17"/>
  <c r="I14922" i="17"/>
  <c r="I14921" i="17"/>
  <c r="I14920" i="17"/>
  <c r="I14919" i="17"/>
  <c r="I14918" i="17"/>
  <c r="I14917" i="17"/>
  <c r="I14916" i="17"/>
  <c r="I14915" i="17"/>
  <c r="I14914" i="17"/>
  <c r="I14913" i="17"/>
  <c r="I14912" i="17"/>
  <c r="I14911" i="17"/>
  <c r="I14910" i="17"/>
  <c r="I14909" i="17"/>
  <c r="I14908" i="17"/>
  <c r="I14907" i="17"/>
  <c r="I14906" i="17"/>
  <c r="I14905" i="17"/>
  <c r="I14904" i="17"/>
  <c r="I14903" i="17"/>
  <c r="I14902" i="17"/>
  <c r="I14901" i="17"/>
  <c r="I14900" i="17"/>
  <c r="I14899" i="17"/>
  <c r="I14898" i="17"/>
  <c r="I14897" i="17"/>
  <c r="I14896" i="17"/>
  <c r="I14895" i="17"/>
  <c r="I14894" i="17"/>
  <c r="I14893" i="17"/>
  <c r="I14892" i="17"/>
  <c r="I14891" i="17"/>
  <c r="I14890" i="17"/>
  <c r="I14889" i="17"/>
  <c r="I14888" i="17"/>
  <c r="I14887" i="17"/>
  <c r="I14886" i="17"/>
  <c r="I14885" i="17"/>
  <c r="I14884" i="17"/>
  <c r="I14883" i="17"/>
  <c r="I14882" i="17"/>
  <c r="I14881" i="17"/>
  <c r="I14880" i="17"/>
  <c r="I14879" i="17"/>
  <c r="I14878" i="17"/>
  <c r="I14877" i="17"/>
  <c r="I14876" i="17"/>
  <c r="I14875" i="17"/>
  <c r="I14874" i="17"/>
  <c r="I14873" i="17"/>
  <c r="I14872" i="17"/>
  <c r="I14871" i="17"/>
  <c r="I14870" i="17"/>
  <c r="I14869" i="17"/>
  <c r="I14868" i="17"/>
  <c r="I14867" i="17"/>
  <c r="I14866" i="17"/>
  <c r="I14865" i="17"/>
  <c r="I14864" i="17"/>
  <c r="I14863" i="17"/>
  <c r="I14862" i="17"/>
  <c r="I14861" i="17"/>
  <c r="I14860" i="17"/>
  <c r="I14859" i="17"/>
  <c r="I14858" i="17"/>
  <c r="I14857" i="17"/>
  <c r="I14856" i="17"/>
  <c r="I14855" i="17"/>
  <c r="I14854" i="17"/>
  <c r="I14853" i="17"/>
  <c r="I14852" i="17"/>
  <c r="I14851" i="17"/>
  <c r="I14850" i="17"/>
  <c r="I14849" i="17"/>
  <c r="I14848" i="17"/>
  <c r="I14847" i="17"/>
  <c r="I14846" i="17"/>
  <c r="I14845" i="17"/>
  <c r="I14844" i="17"/>
  <c r="I14843" i="17"/>
  <c r="I14842" i="17"/>
  <c r="I14841" i="17"/>
  <c r="I14840" i="17"/>
  <c r="I14839" i="17"/>
  <c r="I14838" i="17"/>
  <c r="I14837" i="17"/>
  <c r="I14836" i="17"/>
  <c r="I14835" i="17"/>
  <c r="I14834" i="17"/>
  <c r="I14833" i="17"/>
  <c r="I14832" i="17"/>
  <c r="I14831" i="17"/>
  <c r="I14830" i="17"/>
  <c r="I14829" i="17"/>
  <c r="I14828" i="17"/>
  <c r="I14827" i="17"/>
  <c r="I14826" i="17"/>
  <c r="I14825" i="17"/>
  <c r="I14824" i="17"/>
  <c r="I14823" i="17"/>
  <c r="I14822" i="17"/>
  <c r="I14821" i="17"/>
  <c r="I14820" i="17"/>
  <c r="I14819" i="17"/>
  <c r="I14818" i="17"/>
  <c r="I14817" i="17"/>
  <c r="I14816" i="17"/>
  <c r="I14815" i="17"/>
  <c r="I14814" i="17"/>
  <c r="I14813" i="17"/>
  <c r="I14812" i="17"/>
  <c r="I14811" i="17"/>
  <c r="I14810" i="17"/>
  <c r="I14809" i="17"/>
  <c r="I14808" i="17"/>
  <c r="I14807" i="17"/>
  <c r="I14806" i="17"/>
  <c r="I14805" i="17"/>
  <c r="I14804" i="17"/>
  <c r="I14803" i="17"/>
  <c r="I14802" i="17"/>
  <c r="I14801" i="17"/>
  <c r="I14800" i="17"/>
  <c r="I14799" i="17"/>
  <c r="I14798" i="17"/>
  <c r="I14797" i="17"/>
  <c r="I14796" i="17"/>
  <c r="I14795" i="17"/>
  <c r="I14794" i="17"/>
  <c r="I14793" i="17"/>
  <c r="I14792" i="17"/>
  <c r="I14791" i="17"/>
  <c r="I14790" i="17"/>
  <c r="I14789" i="17"/>
  <c r="I14788" i="17"/>
  <c r="I14787" i="17"/>
  <c r="I14786" i="17"/>
  <c r="I14785" i="17"/>
  <c r="I14784" i="17"/>
  <c r="I14783" i="17"/>
  <c r="I14782" i="17"/>
  <c r="I14781" i="17"/>
  <c r="I14780" i="17"/>
  <c r="I14779" i="17"/>
  <c r="I14778" i="17"/>
  <c r="I14777" i="17"/>
  <c r="I14776" i="17"/>
  <c r="I14775" i="17"/>
  <c r="I14774" i="17"/>
  <c r="I14773" i="17"/>
  <c r="I14772" i="17"/>
  <c r="I14771" i="17"/>
  <c r="I14770" i="17"/>
  <c r="I14769" i="17"/>
  <c r="I14768" i="17"/>
  <c r="I14767" i="17"/>
  <c r="I14766" i="17"/>
  <c r="I14765" i="17"/>
  <c r="I14764" i="17"/>
  <c r="I14763" i="17"/>
  <c r="I14762" i="17"/>
  <c r="I14761" i="17"/>
  <c r="I14760" i="17"/>
  <c r="I14759" i="17"/>
  <c r="I14758" i="17"/>
  <c r="I14757" i="17"/>
  <c r="I14756" i="17"/>
  <c r="I14755" i="17"/>
  <c r="I14754" i="17"/>
  <c r="I14753" i="17"/>
  <c r="I14752" i="17"/>
  <c r="I14751" i="17"/>
  <c r="I14750" i="17"/>
  <c r="I14749" i="17"/>
  <c r="I14748" i="17"/>
  <c r="I14747" i="17"/>
  <c r="I14746" i="17"/>
  <c r="I14745" i="17"/>
  <c r="I14744" i="17"/>
  <c r="I14743" i="17"/>
  <c r="I14742" i="17"/>
  <c r="I14741" i="17"/>
  <c r="I14740" i="17"/>
  <c r="I14739" i="17"/>
  <c r="I14738" i="17"/>
  <c r="I14737" i="17"/>
  <c r="I14736" i="17"/>
  <c r="I14735" i="17"/>
  <c r="I14734" i="17"/>
  <c r="I14733" i="17"/>
  <c r="I14732" i="17"/>
  <c r="I14731" i="17"/>
  <c r="I14730" i="17"/>
  <c r="I14729" i="17"/>
  <c r="I14728" i="17"/>
  <c r="I14727" i="17"/>
  <c r="I14726" i="17"/>
  <c r="I14725" i="17"/>
  <c r="I14724" i="17"/>
  <c r="I14723" i="17"/>
  <c r="I14722" i="17"/>
  <c r="I14721" i="17"/>
  <c r="I14720" i="17"/>
  <c r="I14719" i="17"/>
  <c r="I14718" i="17"/>
  <c r="I14717" i="17"/>
  <c r="I14716" i="17"/>
  <c r="I14715" i="17"/>
  <c r="I14714" i="17"/>
  <c r="I14713" i="17"/>
  <c r="I14712" i="17"/>
  <c r="I14711" i="17"/>
  <c r="I14710" i="17"/>
  <c r="I14709" i="17"/>
  <c r="I14708" i="17"/>
  <c r="I14707" i="17"/>
  <c r="I14706" i="17"/>
  <c r="I14705" i="17"/>
  <c r="I14704" i="17"/>
  <c r="I14703" i="17"/>
  <c r="I14702" i="17"/>
  <c r="I14701" i="17"/>
  <c r="I14700" i="17"/>
  <c r="I14699" i="17"/>
  <c r="I14698" i="17"/>
  <c r="I14697" i="17"/>
  <c r="I14696" i="17"/>
  <c r="I14695" i="17"/>
  <c r="I14694" i="17"/>
  <c r="I14693" i="17"/>
  <c r="I14692" i="17"/>
  <c r="I14691" i="17"/>
  <c r="I14690" i="17"/>
  <c r="I14689" i="17"/>
  <c r="I14688" i="17"/>
  <c r="I14687" i="17"/>
  <c r="I14686" i="17"/>
  <c r="I14685" i="17"/>
  <c r="I14684" i="17"/>
  <c r="I14683" i="17"/>
  <c r="I14682" i="17"/>
  <c r="I14681" i="17"/>
  <c r="I14680" i="17"/>
  <c r="I14679" i="17"/>
  <c r="I14678" i="17"/>
  <c r="I14677" i="17"/>
  <c r="I14676" i="17"/>
  <c r="I14675" i="17"/>
  <c r="I14674" i="17"/>
  <c r="I14673" i="17"/>
  <c r="I14672" i="17"/>
  <c r="I14671" i="17"/>
  <c r="I14670" i="17"/>
  <c r="I14669" i="17"/>
  <c r="I14668" i="17"/>
  <c r="I14667" i="17"/>
  <c r="I14666" i="17"/>
  <c r="I14665" i="17"/>
  <c r="I14664" i="17"/>
  <c r="I14663" i="17"/>
  <c r="I14662" i="17"/>
  <c r="I14661" i="17"/>
  <c r="I14660" i="17"/>
  <c r="I14659" i="17"/>
  <c r="I14658" i="17"/>
  <c r="I14657" i="17"/>
  <c r="I14656" i="17"/>
  <c r="I14655" i="17"/>
  <c r="I14654" i="17"/>
  <c r="I14653" i="17"/>
  <c r="I14652" i="17"/>
  <c r="I14651" i="17"/>
  <c r="I14650" i="17"/>
  <c r="I14649" i="17"/>
  <c r="I14648" i="17"/>
  <c r="I14647" i="17"/>
  <c r="I14646" i="17"/>
  <c r="I14645" i="17"/>
  <c r="I14644" i="17"/>
  <c r="I14643" i="17"/>
  <c r="I14642" i="17"/>
  <c r="I14641" i="17"/>
  <c r="I14640" i="17"/>
  <c r="I14639" i="17"/>
  <c r="I14638" i="17"/>
  <c r="I14637" i="17"/>
  <c r="I14636" i="17"/>
  <c r="I14635" i="17"/>
  <c r="I14634" i="17"/>
  <c r="I14633" i="17"/>
  <c r="I14632" i="17"/>
  <c r="I14631" i="17"/>
  <c r="I14630" i="17"/>
  <c r="I14629" i="17"/>
  <c r="I14628" i="17"/>
  <c r="I14627" i="17"/>
  <c r="I14626" i="17"/>
  <c r="I14625" i="17"/>
  <c r="I14624" i="17"/>
  <c r="I14623" i="17"/>
  <c r="I14622" i="17"/>
  <c r="I14621" i="17"/>
  <c r="I14620" i="17"/>
  <c r="I14619" i="17"/>
  <c r="I14618" i="17"/>
  <c r="I14617" i="17"/>
  <c r="I14616" i="17"/>
  <c r="I14615" i="17"/>
  <c r="I14614" i="17"/>
  <c r="I14613" i="17"/>
  <c r="I14612" i="17"/>
  <c r="I14611" i="17"/>
  <c r="I14610" i="17"/>
  <c r="I14609" i="17"/>
  <c r="I14608" i="17"/>
  <c r="I14607" i="17"/>
  <c r="I14606" i="17"/>
  <c r="I14605" i="17"/>
  <c r="I14604" i="17"/>
  <c r="I14603" i="17"/>
  <c r="I14602" i="17"/>
  <c r="I14601" i="17"/>
  <c r="I14600" i="17"/>
  <c r="I14599" i="17"/>
  <c r="I14598" i="17"/>
  <c r="I14597" i="17"/>
  <c r="I14596" i="17"/>
  <c r="I14595" i="17"/>
  <c r="I14594" i="17"/>
  <c r="I14593" i="17"/>
  <c r="I14592" i="17"/>
  <c r="I14591" i="17"/>
  <c r="I14590" i="17"/>
  <c r="I14589" i="17"/>
  <c r="I14588" i="17"/>
  <c r="I14587" i="17"/>
  <c r="I14586" i="17"/>
  <c r="I14585" i="17"/>
  <c r="I14584" i="17"/>
  <c r="I14583" i="17"/>
  <c r="I14582" i="17"/>
  <c r="I14581" i="17"/>
  <c r="I14580" i="17"/>
  <c r="I14579" i="17"/>
  <c r="I14578" i="17"/>
  <c r="I14577" i="17"/>
  <c r="I14576" i="17"/>
  <c r="I14575" i="17"/>
  <c r="I14574" i="17"/>
  <c r="I14573" i="17"/>
  <c r="I14572" i="17"/>
  <c r="I14571" i="17"/>
  <c r="I14570" i="17"/>
  <c r="I14569" i="17"/>
  <c r="I14568" i="17"/>
  <c r="I14567" i="17"/>
  <c r="I14566" i="17"/>
  <c r="I14565" i="17"/>
  <c r="I14564" i="17"/>
  <c r="I14563" i="17"/>
  <c r="I14562" i="17"/>
  <c r="I14561" i="17"/>
  <c r="I14560" i="17"/>
  <c r="I14559" i="17"/>
  <c r="I14558" i="17"/>
  <c r="I14557" i="17"/>
  <c r="I14556" i="17"/>
  <c r="I14555" i="17"/>
  <c r="I14554" i="17"/>
  <c r="I14553" i="17"/>
  <c r="I14552" i="17"/>
  <c r="I14551" i="17"/>
  <c r="I14550" i="17"/>
  <c r="I14549" i="17"/>
  <c r="I14548" i="17"/>
  <c r="I14547" i="17"/>
  <c r="I14546" i="17"/>
  <c r="I14545" i="17"/>
  <c r="I14544" i="17"/>
  <c r="I14543" i="17"/>
  <c r="I14542" i="17"/>
  <c r="I14541" i="17"/>
  <c r="I14540" i="17"/>
  <c r="I14539" i="17"/>
  <c r="I14538" i="17"/>
  <c r="I14537" i="17"/>
  <c r="I14536" i="17"/>
  <c r="I14535" i="17"/>
  <c r="I14534" i="17"/>
  <c r="I14533" i="17"/>
  <c r="I14532" i="17"/>
  <c r="I14531" i="17"/>
  <c r="I14530" i="17"/>
  <c r="I14529" i="17"/>
  <c r="I14528" i="17"/>
  <c r="I14527" i="17"/>
  <c r="I14526" i="17"/>
  <c r="I14525" i="17"/>
  <c r="I14524" i="17"/>
  <c r="I14523" i="17"/>
  <c r="I14522" i="17"/>
  <c r="I14521" i="17"/>
  <c r="I14520" i="17"/>
  <c r="I14519" i="17"/>
  <c r="I14518" i="17"/>
  <c r="I14517" i="17"/>
  <c r="I14516" i="17"/>
  <c r="I14515" i="17"/>
  <c r="I14514" i="17"/>
  <c r="I14513" i="17"/>
  <c r="I14512" i="17"/>
  <c r="I14511" i="17"/>
  <c r="I14510" i="17"/>
  <c r="I14509" i="17"/>
  <c r="I14508" i="17"/>
  <c r="I14507" i="17"/>
  <c r="I14506" i="17"/>
  <c r="I14505" i="17"/>
  <c r="I14504" i="17"/>
  <c r="I14503" i="17"/>
  <c r="I14502" i="17"/>
  <c r="I14501" i="17"/>
  <c r="I14500" i="17"/>
  <c r="I14499" i="17"/>
  <c r="I14498" i="17"/>
  <c r="I14497" i="17"/>
  <c r="I14496" i="17"/>
  <c r="I14495" i="17"/>
  <c r="I14494" i="17"/>
  <c r="I14493" i="17"/>
  <c r="I14492" i="17"/>
  <c r="I14491" i="17"/>
  <c r="I14490" i="17"/>
  <c r="I14489" i="17"/>
  <c r="I14488" i="17"/>
  <c r="I14487" i="17"/>
  <c r="I14486" i="17"/>
  <c r="I14485" i="17"/>
  <c r="I14484" i="17"/>
  <c r="I14483" i="17"/>
  <c r="I14482" i="17"/>
  <c r="I14481" i="17"/>
  <c r="I14480" i="17"/>
  <c r="I14479" i="17"/>
  <c r="I14478" i="17"/>
  <c r="I14477" i="17"/>
  <c r="I14476" i="17"/>
  <c r="I14475" i="17"/>
  <c r="I14474" i="17"/>
  <c r="I14473" i="17"/>
  <c r="I14472" i="17"/>
  <c r="I14471" i="17"/>
  <c r="I14470" i="17"/>
  <c r="I14469" i="17"/>
  <c r="I14468" i="17"/>
  <c r="I14467" i="17"/>
  <c r="I14466" i="17"/>
  <c r="I14465" i="17"/>
  <c r="I14464" i="17"/>
  <c r="I14463" i="17"/>
  <c r="I14462" i="17"/>
  <c r="I14461" i="17"/>
  <c r="I14460" i="17"/>
  <c r="I14459" i="17"/>
  <c r="I14458" i="17"/>
  <c r="I14457" i="17"/>
  <c r="I14456" i="17"/>
  <c r="I14455" i="17"/>
  <c r="I14454" i="17"/>
  <c r="I14453" i="17"/>
  <c r="I14452" i="17"/>
  <c r="I14451" i="17"/>
  <c r="I14450" i="17"/>
  <c r="I14449" i="17"/>
  <c r="I14448" i="17"/>
  <c r="I14447" i="17"/>
  <c r="I14446" i="17"/>
  <c r="I14445" i="17"/>
  <c r="I14444" i="17"/>
  <c r="I14443" i="17"/>
  <c r="I14442" i="17"/>
  <c r="I14441" i="17"/>
  <c r="I14440" i="17"/>
  <c r="I14439" i="17"/>
  <c r="I14438" i="17"/>
  <c r="I14437" i="17"/>
  <c r="I14436" i="17"/>
  <c r="I14435" i="17"/>
  <c r="I14434" i="17"/>
  <c r="I14433" i="17"/>
  <c r="I14432" i="17"/>
  <c r="I14431" i="17"/>
  <c r="I14430" i="17"/>
  <c r="I14429" i="17"/>
  <c r="I14428" i="17"/>
  <c r="I14427" i="17"/>
  <c r="I14426" i="17"/>
  <c r="I14425" i="17"/>
  <c r="I14424" i="17"/>
  <c r="I14423" i="17"/>
  <c r="I14422" i="17"/>
  <c r="I14421" i="17"/>
  <c r="I14420" i="17"/>
  <c r="I14419" i="17"/>
  <c r="I14418" i="17"/>
  <c r="I14417" i="17"/>
  <c r="I14416" i="17"/>
  <c r="I14415" i="17"/>
  <c r="I14414" i="17"/>
  <c r="I14413" i="17"/>
  <c r="I14412" i="17"/>
  <c r="I14411" i="17"/>
  <c r="I14410" i="17"/>
  <c r="I14409" i="17"/>
  <c r="I14408" i="17"/>
  <c r="I14407" i="17"/>
  <c r="I14406" i="17"/>
  <c r="I14405" i="17"/>
  <c r="I14404" i="17"/>
  <c r="I14403" i="17"/>
  <c r="I14402" i="17"/>
  <c r="I14401" i="17"/>
  <c r="I14400" i="17"/>
  <c r="I14399" i="17"/>
  <c r="I14398" i="17"/>
  <c r="I14397" i="17"/>
  <c r="I14396" i="17"/>
  <c r="I14395" i="17"/>
  <c r="I14394" i="17"/>
  <c r="I14393" i="17"/>
  <c r="I14392" i="17"/>
  <c r="I14391" i="17"/>
  <c r="I14390" i="17"/>
  <c r="I14389" i="17"/>
  <c r="I14388" i="17"/>
  <c r="I14387" i="17"/>
  <c r="I14386" i="17"/>
  <c r="I14385" i="17"/>
  <c r="I14384" i="17"/>
  <c r="I14383" i="17"/>
  <c r="I14382" i="17"/>
  <c r="I14381" i="17"/>
  <c r="I14380" i="17"/>
  <c r="I14379" i="17"/>
  <c r="I14378" i="17"/>
  <c r="I14377" i="17"/>
  <c r="I14376" i="17"/>
  <c r="I14375" i="17"/>
  <c r="I14374" i="17"/>
  <c r="I14373" i="17"/>
  <c r="I14372" i="17"/>
  <c r="I14371" i="17"/>
  <c r="I14370" i="17"/>
  <c r="I14369" i="17"/>
  <c r="I14368" i="17"/>
  <c r="I14367" i="17"/>
  <c r="I14366" i="17"/>
  <c r="I14365" i="17"/>
  <c r="I14364" i="17"/>
  <c r="I14363" i="17"/>
  <c r="I14362" i="17"/>
  <c r="I14361" i="17"/>
  <c r="I14360" i="17"/>
  <c r="I14359" i="17"/>
  <c r="I14358" i="17"/>
  <c r="I14357" i="17"/>
  <c r="I14356" i="17"/>
  <c r="I14355" i="17"/>
  <c r="I14354" i="17"/>
  <c r="I14353" i="17"/>
  <c r="I14352" i="17"/>
  <c r="I14351" i="17"/>
  <c r="I14350" i="17"/>
  <c r="I14349" i="17"/>
  <c r="I14348" i="17"/>
  <c r="I14347" i="17"/>
  <c r="I14346" i="17"/>
  <c r="I14345" i="17"/>
  <c r="I14344" i="17"/>
  <c r="I14343" i="17"/>
  <c r="I14342" i="17"/>
  <c r="I14341" i="17"/>
  <c r="I14340" i="17"/>
  <c r="I14339" i="17"/>
  <c r="I14338" i="17"/>
  <c r="I14337" i="17"/>
  <c r="I14336" i="17"/>
  <c r="I14335" i="17"/>
  <c r="I14334" i="17"/>
  <c r="I14333" i="17"/>
  <c r="I14332" i="17"/>
  <c r="I14331" i="17"/>
  <c r="I14330" i="17"/>
  <c r="I14329" i="17"/>
  <c r="I14328" i="17"/>
  <c r="I14327" i="17"/>
  <c r="I14326" i="17"/>
  <c r="I14325" i="17"/>
  <c r="I14324" i="17"/>
  <c r="I14323" i="17"/>
  <c r="I14322" i="17"/>
  <c r="I14321" i="17"/>
  <c r="I14320" i="17"/>
  <c r="I14319" i="17"/>
  <c r="I14318" i="17"/>
  <c r="I14317" i="17"/>
  <c r="I14316" i="17"/>
  <c r="I14315" i="17"/>
  <c r="I14314" i="17"/>
  <c r="I14313" i="17"/>
  <c r="I14312" i="17"/>
  <c r="I14311" i="17"/>
  <c r="I14310" i="17"/>
  <c r="I14309" i="17"/>
  <c r="I14308" i="17"/>
  <c r="I14307" i="17"/>
  <c r="I14306" i="17"/>
  <c r="I14305" i="17"/>
  <c r="I14304" i="17"/>
  <c r="I14303" i="17"/>
  <c r="I14302" i="17"/>
  <c r="I14301" i="17"/>
  <c r="I14300" i="17"/>
  <c r="I14299" i="17"/>
  <c r="I14298" i="17"/>
  <c r="I14297" i="17"/>
  <c r="I14296" i="17"/>
  <c r="I14295" i="17"/>
  <c r="I14294" i="17"/>
  <c r="I14293" i="17"/>
  <c r="I14292" i="17"/>
  <c r="I14291" i="17"/>
  <c r="I14290" i="17"/>
  <c r="I14289" i="17"/>
  <c r="I14288" i="17"/>
  <c r="I14287" i="17"/>
  <c r="I14286" i="17"/>
  <c r="I14285" i="17"/>
  <c r="I14284" i="17"/>
  <c r="I14283" i="17"/>
  <c r="I14282" i="17"/>
  <c r="I14281" i="17"/>
  <c r="I14280" i="17"/>
  <c r="I14279" i="17"/>
  <c r="I14278" i="17"/>
  <c r="I14277" i="17"/>
  <c r="I14276" i="17"/>
  <c r="I14275" i="17"/>
  <c r="I14274" i="17"/>
  <c r="I14273" i="17"/>
  <c r="I14272" i="17"/>
  <c r="I14271" i="17"/>
  <c r="I14270" i="17"/>
  <c r="I14269" i="17"/>
  <c r="I14268" i="17"/>
  <c r="I14267" i="17"/>
  <c r="I14266" i="17"/>
  <c r="I14265" i="17"/>
  <c r="I14264" i="17"/>
  <c r="I14263" i="17"/>
  <c r="I14262" i="17"/>
  <c r="I14261" i="17"/>
  <c r="I14260" i="17"/>
  <c r="I14259" i="17"/>
  <c r="I14258" i="17"/>
  <c r="I14257" i="17"/>
  <c r="I14256" i="17"/>
  <c r="I14255" i="17"/>
  <c r="I14254" i="17"/>
  <c r="I14253" i="17"/>
  <c r="I14252" i="17"/>
  <c r="I14251" i="17"/>
  <c r="I14250" i="17"/>
  <c r="I14249" i="17"/>
  <c r="I14248" i="17"/>
  <c r="I14247" i="17"/>
  <c r="I14246" i="17"/>
  <c r="I14245" i="17"/>
  <c r="I14244" i="17"/>
  <c r="I14243" i="17"/>
  <c r="I14242" i="17"/>
  <c r="I14241" i="17"/>
  <c r="I14240" i="17"/>
  <c r="I14239" i="17"/>
  <c r="I14238" i="17"/>
  <c r="I14237" i="17"/>
  <c r="I14236" i="17"/>
  <c r="I14235" i="17"/>
  <c r="I14234" i="17"/>
  <c r="I14233" i="17"/>
  <c r="I14232" i="17"/>
  <c r="I14231" i="17"/>
  <c r="I14230" i="17"/>
  <c r="I14229" i="17"/>
  <c r="I14228" i="17"/>
  <c r="I14227" i="17"/>
  <c r="I14226" i="17"/>
  <c r="I14225" i="17"/>
  <c r="I14224" i="17"/>
  <c r="I14223" i="17"/>
  <c r="I14222" i="17"/>
  <c r="I14221" i="17"/>
  <c r="I14220" i="17"/>
  <c r="I14219" i="17"/>
  <c r="I14218" i="17"/>
  <c r="I14217" i="17"/>
  <c r="I14216" i="17"/>
  <c r="I14215" i="17"/>
  <c r="I14214" i="17"/>
  <c r="I14213" i="17"/>
  <c r="I14212" i="17"/>
  <c r="I14211" i="17"/>
  <c r="I14210" i="17"/>
  <c r="I14209" i="17"/>
  <c r="I14208" i="17"/>
  <c r="I14207" i="17"/>
  <c r="I14206" i="17"/>
  <c r="I14205" i="17"/>
  <c r="I14204" i="17"/>
  <c r="I14203" i="17"/>
  <c r="I14202" i="17"/>
  <c r="I14201" i="17"/>
  <c r="I14200" i="17"/>
  <c r="I14199" i="17"/>
  <c r="I14198" i="17"/>
  <c r="I14197" i="17"/>
  <c r="I14196" i="17"/>
  <c r="I14195" i="17"/>
  <c r="I14194" i="17"/>
  <c r="I14193" i="17"/>
  <c r="I14192" i="17"/>
  <c r="I14191" i="17"/>
  <c r="I14190" i="17"/>
  <c r="I14189" i="17"/>
  <c r="I14188" i="17"/>
  <c r="I14187" i="17"/>
  <c r="I14186" i="17"/>
  <c r="I14185" i="17"/>
  <c r="I14184" i="17"/>
  <c r="I14183" i="17"/>
  <c r="I14182" i="17"/>
  <c r="I14181" i="17"/>
  <c r="I14180" i="17"/>
  <c r="I14179" i="17"/>
  <c r="I14178" i="17"/>
  <c r="I14177" i="17"/>
  <c r="I14176" i="17"/>
  <c r="I14175" i="17"/>
  <c r="I14174" i="17"/>
  <c r="I14173" i="17"/>
  <c r="I14172" i="17"/>
  <c r="I14171" i="17"/>
  <c r="I14170" i="17"/>
  <c r="I14169" i="17"/>
  <c r="I14168" i="17"/>
  <c r="I14167" i="17"/>
  <c r="I14166" i="17"/>
  <c r="I14165" i="17"/>
  <c r="I14164" i="17"/>
  <c r="I14163" i="17"/>
  <c r="I14162" i="17"/>
  <c r="I14161" i="17"/>
  <c r="I14160" i="17"/>
  <c r="I14159" i="17"/>
  <c r="I14158" i="17"/>
  <c r="I14157" i="17"/>
  <c r="I14156" i="17"/>
  <c r="I14155" i="17"/>
  <c r="I14154" i="17"/>
  <c r="I14153" i="17"/>
  <c r="I14152" i="17"/>
  <c r="I14151" i="17"/>
  <c r="I14150" i="17"/>
  <c r="I14149" i="17"/>
  <c r="I14148" i="17"/>
  <c r="I14147" i="17"/>
  <c r="I14146" i="17"/>
  <c r="I14145" i="17"/>
  <c r="I14144" i="17"/>
  <c r="I14143" i="17"/>
  <c r="I14142" i="17"/>
  <c r="I14141" i="17"/>
  <c r="I14140" i="17"/>
  <c r="I14139" i="17"/>
  <c r="I14138" i="17"/>
  <c r="I14137" i="17"/>
  <c r="I14136" i="17"/>
  <c r="I14135" i="17"/>
  <c r="I14134" i="17"/>
  <c r="I14133" i="17"/>
  <c r="I14132" i="17"/>
  <c r="I14131" i="17"/>
  <c r="I14130" i="17"/>
  <c r="I14129" i="17"/>
  <c r="I14128" i="17"/>
  <c r="I14127" i="17"/>
  <c r="I14126" i="17"/>
  <c r="I14125" i="17"/>
  <c r="I14124" i="17"/>
  <c r="I14123" i="17"/>
  <c r="I14122" i="17"/>
  <c r="I14121" i="17"/>
  <c r="I14120" i="17"/>
  <c r="I14119" i="17"/>
  <c r="I14118" i="17"/>
  <c r="I14117" i="17"/>
  <c r="I14116" i="17"/>
  <c r="I14115" i="17"/>
  <c r="I14114" i="17"/>
  <c r="I14113" i="17"/>
  <c r="I14112" i="17"/>
  <c r="I14111" i="17"/>
  <c r="I14110" i="17"/>
  <c r="I14109" i="17"/>
  <c r="I14108" i="17"/>
  <c r="I14107" i="17"/>
  <c r="I14106" i="17"/>
  <c r="I14105" i="17"/>
  <c r="I14104" i="17"/>
  <c r="I14103" i="17"/>
  <c r="I14102" i="17"/>
  <c r="I14101" i="17"/>
  <c r="I14100" i="17"/>
  <c r="I14099" i="17"/>
  <c r="I14098" i="17"/>
  <c r="I14097" i="17"/>
  <c r="I14096" i="17"/>
  <c r="I14095" i="17"/>
  <c r="I14094" i="17"/>
  <c r="I14093" i="17"/>
  <c r="I14092" i="17"/>
  <c r="I14091" i="17"/>
  <c r="I14090" i="17"/>
  <c r="I14089" i="17"/>
  <c r="I14088" i="17"/>
  <c r="I14087" i="17"/>
  <c r="I14086" i="17"/>
  <c r="I14085" i="17"/>
  <c r="I14084" i="17"/>
  <c r="I14083" i="17"/>
  <c r="I14082" i="17"/>
  <c r="I14081" i="17"/>
  <c r="I14080" i="17"/>
  <c r="I14079" i="17"/>
  <c r="I14078" i="17"/>
  <c r="I14077" i="17"/>
  <c r="I14076" i="17"/>
  <c r="I14075" i="17"/>
  <c r="I14074" i="17"/>
  <c r="I14073" i="17"/>
  <c r="I14072" i="17"/>
  <c r="I14071" i="17"/>
  <c r="I14070" i="17"/>
  <c r="I14069" i="17"/>
  <c r="I14068" i="17"/>
  <c r="I14067" i="17"/>
  <c r="I14066" i="17"/>
  <c r="I14065" i="17"/>
  <c r="I14064" i="17"/>
  <c r="I14063" i="17"/>
  <c r="I14062" i="17"/>
  <c r="I14061" i="17"/>
  <c r="I14060" i="17"/>
  <c r="I14059" i="17"/>
  <c r="I14058" i="17"/>
  <c r="I14057" i="17"/>
  <c r="I14056" i="17"/>
  <c r="I14055" i="17"/>
  <c r="I14054" i="17"/>
  <c r="I14053" i="17"/>
  <c r="I14052" i="17"/>
  <c r="I14051" i="17"/>
  <c r="I14050" i="17"/>
  <c r="I14049" i="17"/>
  <c r="I14048" i="17"/>
  <c r="I14047" i="17"/>
  <c r="I14046" i="17"/>
  <c r="I14045" i="17"/>
  <c r="I14044" i="17"/>
  <c r="I14043" i="17"/>
  <c r="I14042" i="17"/>
  <c r="I14041" i="17"/>
  <c r="I14040" i="17"/>
  <c r="I14039" i="17"/>
  <c r="I14038" i="17"/>
  <c r="I14037" i="17"/>
  <c r="I14036" i="17"/>
  <c r="I14035" i="17"/>
  <c r="I14034" i="17"/>
  <c r="I14033" i="17"/>
  <c r="I14032" i="17"/>
  <c r="I14031" i="17"/>
  <c r="I14030" i="17"/>
  <c r="I14029" i="17"/>
  <c r="I14028" i="17"/>
  <c r="I14027" i="17"/>
  <c r="I14026" i="17"/>
  <c r="I14025" i="17"/>
  <c r="I14024" i="17"/>
  <c r="I14023" i="17"/>
  <c r="I14022" i="17"/>
  <c r="I14021" i="17"/>
  <c r="I14020" i="17"/>
  <c r="I14019" i="17"/>
  <c r="I14018" i="17"/>
  <c r="I14017" i="17"/>
  <c r="I14016" i="17"/>
  <c r="I14015" i="17"/>
  <c r="I14014" i="17"/>
  <c r="I14013" i="17"/>
  <c r="I14012" i="17"/>
  <c r="I14011" i="17"/>
  <c r="I14010" i="17"/>
  <c r="I14009" i="17"/>
  <c r="I14008" i="17"/>
  <c r="I14007" i="17"/>
  <c r="I14006" i="17"/>
  <c r="I14005" i="17"/>
  <c r="I14004" i="17"/>
  <c r="I14003" i="17"/>
  <c r="I14002" i="17"/>
  <c r="I14001" i="17"/>
  <c r="I14000" i="17"/>
  <c r="I13999" i="17"/>
  <c r="I13998" i="17"/>
  <c r="I13997" i="17"/>
  <c r="I13996" i="17"/>
  <c r="I13995" i="17"/>
  <c r="I13994" i="17"/>
  <c r="I13993" i="17"/>
  <c r="I13992" i="17"/>
  <c r="I13991" i="17"/>
  <c r="I13990" i="17"/>
  <c r="I13989" i="17"/>
  <c r="I13988" i="17"/>
  <c r="I13987" i="17"/>
  <c r="I13986" i="17"/>
  <c r="I13985" i="17"/>
  <c r="I13984" i="17"/>
  <c r="I13983" i="17"/>
  <c r="I13982" i="17"/>
  <c r="I13981" i="17"/>
  <c r="I13980" i="17"/>
  <c r="I13979" i="17"/>
  <c r="I13978" i="17"/>
  <c r="I13977" i="17"/>
  <c r="I13976" i="17"/>
  <c r="I13975" i="17"/>
  <c r="I13974" i="17"/>
  <c r="I13973" i="17"/>
  <c r="I13972" i="17"/>
  <c r="I13971" i="17"/>
  <c r="I13970" i="17"/>
  <c r="I13969" i="17"/>
  <c r="I13968" i="17"/>
  <c r="I13967" i="17"/>
  <c r="I13966" i="17"/>
  <c r="I13965" i="17"/>
  <c r="I13964" i="17"/>
  <c r="I13963" i="17"/>
  <c r="I13962" i="17"/>
  <c r="I13961" i="17"/>
  <c r="I13960" i="17"/>
  <c r="I13959" i="17"/>
  <c r="I13958" i="17"/>
  <c r="I13957" i="17"/>
  <c r="I13956" i="17"/>
  <c r="I13955" i="17"/>
  <c r="I13954" i="17"/>
  <c r="I13953" i="17"/>
  <c r="I13952" i="17"/>
  <c r="I13951" i="17"/>
  <c r="I13950" i="17"/>
  <c r="I13949" i="17"/>
  <c r="I13948" i="17"/>
  <c r="I13947" i="17"/>
  <c r="I13946" i="17"/>
  <c r="I13945" i="17"/>
  <c r="I13944" i="17"/>
  <c r="I13943" i="17"/>
  <c r="I13942" i="17"/>
  <c r="I13941" i="17"/>
  <c r="I13940" i="17"/>
  <c r="I13939" i="17"/>
  <c r="I13938" i="17"/>
  <c r="I13937" i="17"/>
  <c r="I13936" i="17"/>
  <c r="I13935" i="17"/>
  <c r="I13934" i="17"/>
  <c r="I13933" i="17"/>
  <c r="I13932" i="17"/>
  <c r="I13931" i="17"/>
  <c r="I13930" i="17"/>
  <c r="I13929" i="17"/>
  <c r="I13928" i="17"/>
  <c r="I13927" i="17"/>
  <c r="I13926" i="17"/>
  <c r="I13925" i="17"/>
  <c r="I13924" i="17"/>
  <c r="I13923" i="17"/>
  <c r="I13922" i="17"/>
  <c r="I13921" i="17"/>
  <c r="I13920" i="17"/>
  <c r="I13919" i="17"/>
  <c r="I13918" i="17"/>
  <c r="I13917" i="17"/>
  <c r="I13916" i="17"/>
  <c r="I13915" i="17"/>
  <c r="I13914" i="17"/>
  <c r="I13913" i="17"/>
  <c r="I13912" i="17"/>
  <c r="I13911" i="17"/>
  <c r="I13910" i="17"/>
  <c r="I13909" i="17"/>
  <c r="I13908" i="17"/>
  <c r="I13907" i="17"/>
  <c r="I13906" i="17"/>
  <c r="I13905" i="17"/>
  <c r="I13904" i="17"/>
  <c r="I13903" i="17"/>
  <c r="I13902" i="17"/>
  <c r="I13901" i="17"/>
  <c r="I13900" i="17"/>
  <c r="I13899" i="17"/>
  <c r="I13898" i="17"/>
  <c r="I13897" i="17"/>
  <c r="I13896" i="17"/>
  <c r="I13895" i="17"/>
  <c r="I13894" i="17"/>
  <c r="I13893" i="17"/>
  <c r="I13892" i="17"/>
  <c r="I13891" i="17"/>
  <c r="I13890" i="17"/>
  <c r="I13889" i="17"/>
  <c r="I13888" i="17"/>
  <c r="I13887" i="17"/>
  <c r="I13886" i="17"/>
  <c r="I13885" i="17"/>
  <c r="I13884" i="17"/>
  <c r="I13883" i="17"/>
  <c r="I13882" i="17"/>
  <c r="I13881" i="17"/>
  <c r="I13880" i="17"/>
  <c r="I13879" i="17"/>
  <c r="I13878" i="17"/>
  <c r="I13877" i="17"/>
  <c r="I13876" i="17"/>
  <c r="I13875" i="17"/>
  <c r="I13874" i="17"/>
  <c r="I13873" i="17"/>
  <c r="I13872" i="17"/>
  <c r="I13871" i="17"/>
  <c r="I13870" i="17"/>
  <c r="I13869" i="17"/>
  <c r="I13868" i="17"/>
  <c r="I13867" i="17"/>
  <c r="I13866" i="17"/>
  <c r="I13865" i="17"/>
  <c r="I13864" i="17"/>
  <c r="I13863" i="17"/>
  <c r="I13862" i="17"/>
  <c r="I13861" i="17"/>
  <c r="I13860" i="17"/>
  <c r="I13859" i="17"/>
  <c r="I13858" i="17"/>
  <c r="I13857" i="17"/>
  <c r="I13856" i="17"/>
  <c r="I13855" i="17"/>
  <c r="I13854" i="17"/>
  <c r="I13853" i="17"/>
  <c r="I13852" i="17"/>
  <c r="I13851" i="17"/>
  <c r="I13850" i="17"/>
  <c r="I13849" i="17"/>
  <c r="I13848" i="17"/>
  <c r="I13847" i="17"/>
  <c r="I13846" i="17"/>
  <c r="I13845" i="17"/>
  <c r="I13844" i="17"/>
  <c r="I13843" i="17"/>
  <c r="I13842" i="17"/>
  <c r="I13841" i="17"/>
  <c r="I13840" i="17"/>
  <c r="I13839" i="17"/>
  <c r="I13838" i="17"/>
  <c r="I13837" i="17"/>
  <c r="I13836" i="17"/>
  <c r="I13835" i="17"/>
  <c r="I13834" i="17"/>
  <c r="I13833" i="17"/>
  <c r="I13832" i="17"/>
  <c r="I13831" i="17"/>
  <c r="I13830" i="17"/>
  <c r="I13829" i="17"/>
  <c r="I13828" i="17"/>
  <c r="I13827" i="17"/>
  <c r="I13826" i="17"/>
  <c r="I13825" i="17"/>
  <c r="I13824" i="17"/>
  <c r="I13823" i="17"/>
  <c r="I13822" i="17"/>
  <c r="I13821" i="17"/>
  <c r="I13820" i="17"/>
  <c r="I13819" i="17"/>
  <c r="I13818" i="17"/>
  <c r="I13817" i="17"/>
  <c r="I13816" i="17"/>
  <c r="I13815" i="17"/>
  <c r="I13814" i="17"/>
  <c r="I13813" i="17"/>
  <c r="I13812" i="17"/>
  <c r="I13811" i="17"/>
  <c r="I13810" i="17"/>
  <c r="I13809" i="17"/>
  <c r="I13808" i="17"/>
  <c r="I13807" i="17"/>
  <c r="I13806" i="17"/>
  <c r="I13805" i="17"/>
  <c r="I13804" i="17"/>
  <c r="I13803" i="17"/>
  <c r="I13802" i="17"/>
  <c r="I13801" i="17"/>
  <c r="I13800" i="17"/>
  <c r="I13799" i="17"/>
  <c r="I13798" i="17"/>
  <c r="I13797" i="17"/>
  <c r="I13796" i="17"/>
  <c r="I13795" i="17"/>
  <c r="I13794" i="17"/>
  <c r="I13793" i="17"/>
  <c r="I13792" i="17"/>
  <c r="I13791" i="17"/>
  <c r="I13790" i="17"/>
  <c r="I13789" i="17"/>
  <c r="I13788" i="17"/>
  <c r="I13787" i="17"/>
  <c r="I13786" i="17"/>
  <c r="I13785" i="17"/>
  <c r="I13784" i="17"/>
  <c r="I13783" i="17"/>
  <c r="I13782" i="17"/>
  <c r="I13781" i="17"/>
  <c r="I13780" i="17"/>
  <c r="I13779" i="17"/>
  <c r="I13778" i="17"/>
  <c r="I13777" i="17"/>
  <c r="I13776" i="17"/>
  <c r="I13775" i="17"/>
  <c r="I13774" i="17"/>
  <c r="I13773" i="17"/>
  <c r="I13772" i="17"/>
  <c r="I13771" i="17"/>
  <c r="I13770" i="17"/>
  <c r="I13769" i="17"/>
  <c r="I13768" i="17"/>
  <c r="I13767" i="17"/>
  <c r="I13766" i="17"/>
  <c r="I13765" i="17"/>
  <c r="I13764" i="17"/>
  <c r="I13763" i="17"/>
  <c r="I13762" i="17"/>
  <c r="I13761" i="17"/>
  <c r="I13760" i="17"/>
  <c r="I13759" i="17"/>
  <c r="I13758" i="17"/>
  <c r="I13757" i="17"/>
  <c r="I13756" i="17"/>
  <c r="I13755" i="17"/>
  <c r="I13754" i="17"/>
  <c r="I13753" i="17"/>
  <c r="I13752" i="17"/>
  <c r="I13751" i="17"/>
  <c r="I13750" i="17"/>
  <c r="I13749" i="17"/>
  <c r="I13748" i="17"/>
  <c r="I13747" i="17"/>
  <c r="I13746" i="17"/>
  <c r="I13745" i="17"/>
  <c r="I13744" i="17"/>
  <c r="I13743" i="17"/>
  <c r="I13742" i="17"/>
  <c r="I13741" i="17"/>
  <c r="I13740" i="17"/>
  <c r="I13739" i="17"/>
  <c r="I13738" i="17"/>
  <c r="I13737" i="17"/>
  <c r="I13736" i="17"/>
  <c r="I13735" i="17"/>
  <c r="I13734" i="17"/>
  <c r="I13733" i="17"/>
  <c r="I13732" i="17"/>
  <c r="I13731" i="17"/>
  <c r="I13730" i="17"/>
  <c r="I13729" i="17"/>
  <c r="I13728" i="17"/>
  <c r="I13727" i="17"/>
  <c r="I13726" i="17"/>
  <c r="I13725" i="17"/>
  <c r="I13724" i="17"/>
  <c r="I13723" i="17"/>
  <c r="I13722" i="17"/>
  <c r="I13721" i="17"/>
  <c r="I13720" i="17"/>
  <c r="I13719" i="17"/>
  <c r="I13718" i="17"/>
  <c r="I13717" i="17"/>
  <c r="I13716" i="17"/>
  <c r="I13715" i="17"/>
  <c r="I13714" i="17"/>
  <c r="I13713" i="17"/>
  <c r="I13712" i="17"/>
  <c r="I13711" i="17"/>
  <c r="I13710" i="17"/>
  <c r="I13709" i="17"/>
  <c r="I13708" i="17"/>
  <c r="I13707" i="17"/>
  <c r="I13706" i="17"/>
  <c r="I13705" i="17"/>
  <c r="I13704" i="17"/>
  <c r="I13703" i="17"/>
  <c r="I13702" i="17"/>
  <c r="I13701" i="17"/>
  <c r="I13700" i="17"/>
  <c r="I13699" i="17"/>
  <c r="I13698" i="17"/>
  <c r="I13697" i="17"/>
  <c r="I13696" i="17"/>
  <c r="I13695" i="17"/>
  <c r="I13694" i="17"/>
  <c r="I13693" i="17"/>
  <c r="I13692" i="17"/>
  <c r="I13691" i="17"/>
  <c r="I13690" i="17"/>
  <c r="I13689" i="17"/>
  <c r="I13688" i="17"/>
  <c r="I13687" i="17"/>
  <c r="I13686" i="17"/>
  <c r="I13685" i="17"/>
  <c r="I13684" i="17"/>
  <c r="I13683" i="17"/>
  <c r="I13682" i="17"/>
  <c r="I13681" i="17"/>
  <c r="I13680" i="17"/>
  <c r="I13679" i="17"/>
  <c r="I13678" i="17"/>
  <c r="I13677" i="17"/>
  <c r="I13676" i="17"/>
  <c r="I13675" i="17"/>
  <c r="I13674" i="17"/>
  <c r="I13673" i="17"/>
  <c r="I13672" i="17"/>
  <c r="I13671" i="17"/>
  <c r="I13670" i="17"/>
  <c r="I13669" i="17"/>
  <c r="I13668" i="17"/>
  <c r="I13667" i="17"/>
  <c r="I13666" i="17"/>
  <c r="I13665" i="17"/>
  <c r="I13664" i="17"/>
  <c r="I13663" i="17"/>
  <c r="I13662" i="17"/>
  <c r="I13661" i="17"/>
  <c r="I13660" i="17"/>
  <c r="I13659" i="17"/>
  <c r="I13658" i="17"/>
  <c r="I13657" i="17"/>
  <c r="I13656" i="17"/>
  <c r="I13655" i="17"/>
  <c r="I13654" i="17"/>
  <c r="I13653" i="17"/>
  <c r="I13652" i="17"/>
  <c r="I13651" i="17"/>
  <c r="I13650" i="17"/>
  <c r="I13649" i="17"/>
  <c r="I13648" i="17"/>
  <c r="I13647" i="17"/>
  <c r="I13646" i="17"/>
  <c r="I13645" i="17"/>
  <c r="I13644" i="17"/>
  <c r="I13643" i="17"/>
  <c r="I13642" i="17"/>
  <c r="I13641" i="17"/>
  <c r="I13640" i="17"/>
  <c r="I13639" i="17"/>
  <c r="I13638" i="17"/>
  <c r="I13637" i="17"/>
  <c r="I13636" i="17"/>
  <c r="I13635" i="17"/>
  <c r="I13634" i="17"/>
  <c r="I13633" i="17"/>
  <c r="I13632" i="17"/>
  <c r="I13631" i="17"/>
  <c r="I13630" i="17"/>
  <c r="I13629" i="17"/>
  <c r="I13628" i="17"/>
  <c r="I13627" i="17"/>
  <c r="I13626" i="17"/>
  <c r="I13625" i="17"/>
  <c r="I13624" i="17"/>
  <c r="I13623" i="17"/>
  <c r="I13622" i="17"/>
  <c r="I13621" i="17"/>
  <c r="I13620" i="17"/>
  <c r="I13619" i="17"/>
  <c r="I13618" i="17"/>
  <c r="I13617" i="17"/>
  <c r="I13616" i="17"/>
  <c r="I13615" i="17"/>
  <c r="I13614" i="17"/>
  <c r="I13613" i="17"/>
  <c r="I13612" i="17"/>
  <c r="I13611" i="17"/>
  <c r="I13610" i="17"/>
  <c r="I13609" i="17"/>
  <c r="I13608" i="17"/>
  <c r="I13607" i="17"/>
  <c r="I13606" i="17"/>
  <c r="I13605" i="17"/>
  <c r="I13604" i="17"/>
  <c r="I13603" i="17"/>
  <c r="I13602" i="17"/>
  <c r="I13601" i="17"/>
  <c r="I13600" i="17"/>
  <c r="I13599" i="17"/>
  <c r="I13598" i="17"/>
  <c r="I13597" i="17"/>
  <c r="I13596" i="17"/>
  <c r="I13595" i="17"/>
  <c r="I13594" i="17"/>
  <c r="I13593" i="17"/>
  <c r="I13592" i="17"/>
  <c r="I13591" i="17"/>
  <c r="I13590" i="17"/>
  <c r="I13589" i="17"/>
  <c r="I13588" i="17"/>
  <c r="I13587" i="17"/>
  <c r="I13586" i="17"/>
  <c r="I13585" i="17"/>
  <c r="I13584" i="17"/>
  <c r="I13583" i="17"/>
  <c r="I13582" i="17"/>
  <c r="I13581" i="17"/>
  <c r="I13580" i="17"/>
  <c r="I13579" i="17"/>
  <c r="I13578" i="17"/>
  <c r="I13577" i="17"/>
  <c r="I13576" i="17"/>
  <c r="I13575" i="17"/>
  <c r="I13574" i="17"/>
  <c r="I13573" i="17"/>
  <c r="I13572" i="17"/>
  <c r="I13571" i="17"/>
  <c r="I13570" i="17"/>
  <c r="I13569" i="17"/>
  <c r="I13568" i="17"/>
  <c r="I13567" i="17"/>
  <c r="I13566" i="17"/>
  <c r="I13565" i="17"/>
  <c r="I13564" i="17"/>
  <c r="I13563" i="17"/>
  <c r="I13562" i="17"/>
  <c r="I13561" i="17"/>
  <c r="I13560" i="17"/>
  <c r="I13559" i="17"/>
  <c r="I13558" i="17"/>
  <c r="I13557" i="17"/>
  <c r="I13556" i="17"/>
  <c r="I13555" i="17"/>
  <c r="I13554" i="17"/>
  <c r="I13553" i="17"/>
  <c r="I13552" i="17"/>
  <c r="I13551" i="17"/>
  <c r="I13550" i="17"/>
  <c r="I13549" i="17"/>
  <c r="I13548" i="17"/>
  <c r="I13547" i="17"/>
  <c r="I13546" i="17"/>
  <c r="I13545" i="17"/>
  <c r="I13544" i="17"/>
  <c r="I13543" i="17"/>
  <c r="I13542" i="17"/>
  <c r="I13541" i="17"/>
  <c r="I13540" i="17"/>
  <c r="I13539" i="17"/>
  <c r="I13538" i="17"/>
  <c r="I13537" i="17"/>
  <c r="I13536" i="17"/>
  <c r="I13535" i="17"/>
  <c r="I13534" i="17"/>
  <c r="I13533" i="17"/>
  <c r="I13532" i="17"/>
  <c r="I13531" i="17"/>
  <c r="I13530" i="17"/>
  <c r="I13529" i="17"/>
  <c r="I13528" i="17"/>
  <c r="I13527" i="17"/>
  <c r="I13526" i="17"/>
  <c r="I13525" i="17"/>
  <c r="I13524" i="17"/>
  <c r="I13523" i="17"/>
  <c r="I13522" i="17"/>
  <c r="I13521" i="17"/>
  <c r="I13520" i="17"/>
  <c r="I13519" i="17"/>
  <c r="I13518" i="17"/>
  <c r="I13517" i="17"/>
  <c r="I13516" i="17"/>
  <c r="I13515" i="17"/>
  <c r="I13514" i="17"/>
  <c r="I13513" i="17"/>
  <c r="I13512" i="17"/>
  <c r="I13511" i="17"/>
  <c r="I13510" i="17"/>
  <c r="I13509" i="17"/>
  <c r="I13508" i="17"/>
  <c r="I13507" i="17"/>
  <c r="I13506" i="17"/>
  <c r="I13505" i="17"/>
  <c r="I13504" i="17"/>
  <c r="I13503" i="17"/>
  <c r="I13502" i="17"/>
  <c r="I13501" i="17"/>
  <c r="I13500" i="17"/>
  <c r="I13499" i="17"/>
  <c r="I13498" i="17"/>
  <c r="I13497" i="17"/>
  <c r="I13496" i="17"/>
  <c r="I13495" i="17"/>
  <c r="I13494" i="17"/>
  <c r="I13493" i="17"/>
  <c r="I13492" i="17"/>
  <c r="I13491" i="17"/>
  <c r="I13490" i="17"/>
  <c r="I13489" i="17"/>
  <c r="I13488" i="17"/>
  <c r="I13487" i="17"/>
  <c r="I13486" i="17"/>
  <c r="I13485" i="17"/>
  <c r="I13484" i="17"/>
  <c r="I13483" i="17"/>
  <c r="I13482" i="17"/>
  <c r="I13481" i="17"/>
  <c r="I13480" i="17"/>
  <c r="I13479" i="17"/>
  <c r="I13478" i="17"/>
  <c r="I13477" i="17"/>
  <c r="I13476" i="17"/>
  <c r="I13475" i="17"/>
  <c r="I13474" i="17"/>
  <c r="I13473" i="17"/>
  <c r="I13472" i="17"/>
  <c r="I13471" i="17"/>
  <c r="I13470" i="17"/>
  <c r="I13469" i="17"/>
  <c r="I13468" i="17"/>
  <c r="I13467" i="17"/>
  <c r="I13466" i="17"/>
  <c r="I13465" i="17"/>
  <c r="I13464" i="17"/>
  <c r="I13463" i="17"/>
  <c r="I13462" i="17"/>
  <c r="I13461" i="17"/>
  <c r="I13460" i="17"/>
  <c r="I13459" i="17"/>
  <c r="I13458" i="17"/>
  <c r="I13457" i="17"/>
  <c r="I13456" i="17"/>
  <c r="I13455" i="17"/>
  <c r="I13454" i="17"/>
  <c r="I13453" i="17"/>
  <c r="I13452" i="17"/>
  <c r="I13451" i="17"/>
  <c r="I13450" i="17"/>
  <c r="I13449" i="17"/>
  <c r="I13448" i="17"/>
  <c r="I13447" i="17"/>
  <c r="I13446" i="17"/>
  <c r="I13445" i="17"/>
  <c r="I13444" i="17"/>
  <c r="I13443" i="17"/>
  <c r="I13442" i="17"/>
  <c r="I13441" i="17"/>
  <c r="I13440" i="17"/>
  <c r="I13439" i="17"/>
  <c r="I13438" i="17"/>
  <c r="I13437" i="17"/>
  <c r="I13436" i="17"/>
  <c r="I13435" i="17"/>
  <c r="I13434" i="17"/>
  <c r="I13433" i="17"/>
  <c r="I13432" i="17"/>
  <c r="I13431" i="17"/>
  <c r="I13430" i="17"/>
  <c r="I13429" i="17"/>
  <c r="I13428" i="17"/>
  <c r="I13427" i="17"/>
  <c r="I13426" i="17"/>
  <c r="I13425" i="17"/>
  <c r="I13424" i="17"/>
  <c r="I13423" i="17"/>
  <c r="I13422" i="17"/>
  <c r="I13421" i="17"/>
  <c r="I13420" i="17"/>
  <c r="I13419" i="17"/>
  <c r="I13418" i="17"/>
  <c r="I13417" i="17"/>
  <c r="I13416" i="17"/>
  <c r="I13415" i="17"/>
  <c r="I13414" i="17"/>
  <c r="I13413" i="17"/>
  <c r="I13412" i="17"/>
  <c r="I13411" i="17"/>
  <c r="I13410" i="17"/>
  <c r="I13409" i="17"/>
  <c r="I13408" i="17"/>
  <c r="I13407" i="17"/>
  <c r="I13406" i="17"/>
  <c r="I13405" i="17"/>
  <c r="I13404" i="17"/>
  <c r="I13403" i="17"/>
  <c r="I13402" i="17"/>
  <c r="I13401" i="17"/>
  <c r="I13400" i="17"/>
  <c r="I13399" i="17"/>
  <c r="I13398" i="17"/>
  <c r="I13397" i="17"/>
  <c r="I13396" i="17"/>
  <c r="I13395" i="17"/>
  <c r="I13394" i="17"/>
  <c r="I13393" i="17"/>
  <c r="I13392" i="17"/>
  <c r="I13391" i="17"/>
  <c r="I13390" i="17"/>
  <c r="I13389" i="17"/>
  <c r="I13388" i="17"/>
  <c r="I13387" i="17"/>
  <c r="I13386" i="17"/>
  <c r="I13385" i="17"/>
  <c r="I13384" i="17"/>
  <c r="I13383" i="17"/>
  <c r="I13382" i="17"/>
  <c r="I13381" i="17"/>
  <c r="I13380" i="17"/>
  <c r="I13379" i="17"/>
  <c r="I13378" i="17"/>
  <c r="I13377" i="17"/>
  <c r="I13376" i="17"/>
  <c r="I13375" i="17"/>
  <c r="I13374" i="17"/>
  <c r="I13373" i="17"/>
  <c r="I13372" i="17"/>
  <c r="I13371" i="17"/>
  <c r="I13370" i="17"/>
  <c r="I13369" i="17"/>
  <c r="I13368" i="17"/>
  <c r="I13367" i="17"/>
  <c r="I13366" i="17"/>
  <c r="I13365" i="17"/>
  <c r="I13364" i="17"/>
  <c r="I13363" i="17"/>
  <c r="I13362" i="17"/>
  <c r="I13361" i="17"/>
  <c r="I13360" i="17"/>
  <c r="I13359" i="17"/>
  <c r="I13358" i="17"/>
  <c r="I13357" i="17"/>
  <c r="I13356" i="17"/>
  <c r="I13355" i="17"/>
  <c r="I13354" i="17"/>
  <c r="I13353" i="17"/>
  <c r="I13352" i="17"/>
  <c r="I13351" i="17"/>
  <c r="I13350" i="17"/>
  <c r="I13349" i="17"/>
  <c r="I13348" i="17"/>
  <c r="I13347" i="17"/>
  <c r="I13346" i="17"/>
  <c r="I13345" i="17"/>
  <c r="I13344" i="17"/>
  <c r="I13343" i="17"/>
  <c r="I13342" i="17"/>
  <c r="I13341" i="17"/>
  <c r="I13340" i="17"/>
  <c r="I13339" i="17"/>
  <c r="I13338" i="17"/>
  <c r="I13337" i="17"/>
  <c r="I13336" i="17"/>
  <c r="I13335" i="17"/>
  <c r="I13334" i="17"/>
  <c r="I13333" i="17"/>
  <c r="I13332" i="17"/>
  <c r="I13331" i="17"/>
  <c r="I13330" i="17"/>
  <c r="I13329" i="17"/>
  <c r="I13328" i="17"/>
  <c r="I13327" i="17"/>
  <c r="I13326" i="17"/>
  <c r="I13325" i="17"/>
  <c r="I13324" i="17"/>
  <c r="I13323" i="17"/>
  <c r="I13322" i="17"/>
  <c r="I13321" i="17"/>
  <c r="I13320" i="17"/>
  <c r="I13319" i="17"/>
  <c r="I13318" i="17"/>
  <c r="I13317" i="17"/>
  <c r="I13316" i="17"/>
  <c r="I13315" i="17"/>
  <c r="I13314" i="17"/>
  <c r="I13313" i="17"/>
  <c r="I13312" i="17"/>
  <c r="I13311" i="17"/>
  <c r="I13310" i="17"/>
  <c r="I13309" i="17"/>
  <c r="I13308" i="17"/>
  <c r="I13307" i="17"/>
  <c r="I13306" i="17"/>
  <c r="I13305" i="17"/>
  <c r="I13304" i="17"/>
  <c r="I13303" i="17"/>
  <c r="I13302" i="17"/>
  <c r="I13301" i="17"/>
  <c r="I13300" i="17"/>
  <c r="I13299" i="17"/>
  <c r="I13298" i="17"/>
  <c r="I13297" i="17"/>
  <c r="I13296" i="17"/>
  <c r="I13295" i="17"/>
  <c r="I13294" i="17"/>
  <c r="I13293" i="17"/>
  <c r="I13292" i="17"/>
  <c r="I13291" i="17"/>
  <c r="I13290" i="17"/>
  <c r="I13289" i="17"/>
  <c r="I13288" i="17"/>
  <c r="I13287" i="17"/>
  <c r="I13286" i="17"/>
  <c r="I13285" i="17"/>
  <c r="I13284" i="17"/>
  <c r="I13283" i="17"/>
  <c r="I13282" i="17"/>
  <c r="I13281" i="17"/>
  <c r="I13280" i="17"/>
  <c r="I13279" i="17"/>
  <c r="I13278" i="17"/>
  <c r="I13277" i="17"/>
  <c r="I13276" i="17"/>
  <c r="I13275" i="17"/>
  <c r="I13274" i="17"/>
  <c r="I13273" i="17"/>
  <c r="I13272" i="17"/>
  <c r="I13271" i="17"/>
  <c r="I13270" i="17"/>
  <c r="I13269" i="17"/>
  <c r="I13268" i="17"/>
  <c r="I13267" i="17"/>
  <c r="I13266" i="17"/>
  <c r="I13265" i="17"/>
  <c r="I13264" i="17"/>
  <c r="I13263" i="17"/>
  <c r="I13262" i="17"/>
  <c r="I13261" i="17"/>
  <c r="I13260" i="17"/>
  <c r="I13259" i="17"/>
  <c r="I13258" i="17"/>
  <c r="I13257" i="17"/>
  <c r="I13256" i="17"/>
  <c r="I13255" i="17"/>
  <c r="I13254" i="17"/>
  <c r="I13253" i="17"/>
  <c r="I13252" i="17"/>
  <c r="I13251" i="17"/>
  <c r="I13250" i="17"/>
  <c r="I13249" i="17"/>
  <c r="I13248" i="17"/>
  <c r="I13247" i="17"/>
  <c r="I13246" i="17"/>
  <c r="I13245" i="17"/>
  <c r="I13244" i="17"/>
  <c r="I13243" i="17"/>
  <c r="I13242" i="17"/>
  <c r="I13241" i="17"/>
  <c r="I13240" i="17"/>
  <c r="I13239" i="17"/>
  <c r="I13238" i="17"/>
  <c r="I13237" i="17"/>
  <c r="I13236" i="17"/>
  <c r="I13235" i="17"/>
  <c r="I13234" i="17"/>
  <c r="I13233" i="17"/>
  <c r="I13232" i="17"/>
  <c r="I13231" i="17"/>
  <c r="I13230" i="17"/>
  <c r="I13229" i="17"/>
  <c r="I13228" i="17"/>
  <c r="I13227" i="17"/>
  <c r="I13226" i="17"/>
  <c r="I13225" i="17"/>
  <c r="I13224" i="17"/>
  <c r="I13223" i="17"/>
  <c r="I13222" i="17"/>
  <c r="I13221" i="17"/>
  <c r="I13220" i="17"/>
  <c r="I13219" i="17"/>
  <c r="I13218" i="17"/>
  <c r="I13217" i="17"/>
  <c r="I13216" i="17"/>
  <c r="I13215" i="17"/>
  <c r="I13214" i="17"/>
  <c r="I13213" i="17"/>
  <c r="I13212" i="17"/>
  <c r="I13211" i="17"/>
  <c r="I13210" i="17"/>
  <c r="I13209" i="17"/>
  <c r="I13208" i="17"/>
  <c r="I13207" i="17"/>
  <c r="I13206" i="17"/>
  <c r="I13205" i="17"/>
  <c r="I13204" i="17"/>
  <c r="I13203" i="17"/>
  <c r="I13202" i="17"/>
  <c r="I13201" i="17"/>
  <c r="I13200" i="17"/>
  <c r="I13199" i="17"/>
  <c r="I13198" i="17"/>
  <c r="I13197" i="17"/>
  <c r="I13196" i="17"/>
  <c r="I13195" i="17"/>
  <c r="I13194" i="17"/>
  <c r="I13193" i="17"/>
  <c r="I13192" i="17"/>
  <c r="I13191" i="17"/>
  <c r="I13190" i="17"/>
  <c r="I13189" i="17"/>
  <c r="I13188" i="17"/>
  <c r="I13187" i="17"/>
  <c r="I13186" i="17"/>
  <c r="I13185" i="17"/>
  <c r="I13184" i="17"/>
  <c r="I13183" i="17"/>
  <c r="I13182" i="17"/>
  <c r="I13181" i="17"/>
  <c r="I13180" i="17"/>
  <c r="I13179" i="17"/>
  <c r="I13178" i="17"/>
  <c r="I13177" i="17"/>
  <c r="I13176" i="17"/>
  <c r="I13175" i="17"/>
  <c r="I13174" i="17"/>
  <c r="I13173" i="17"/>
  <c r="I13172" i="17"/>
  <c r="I13171" i="17"/>
  <c r="I13170" i="17"/>
  <c r="I13169" i="17"/>
  <c r="I13168" i="17"/>
  <c r="I13167" i="17"/>
  <c r="I13166" i="17"/>
  <c r="I13165" i="17"/>
  <c r="I13164" i="17"/>
  <c r="I13163" i="17"/>
  <c r="I13162" i="17"/>
  <c r="I13161" i="17"/>
  <c r="I13160" i="17"/>
  <c r="I13159" i="17"/>
  <c r="I13158" i="17"/>
  <c r="I13157" i="17"/>
  <c r="I13156" i="17"/>
  <c r="I13155" i="17"/>
  <c r="I13154" i="17"/>
  <c r="I13153" i="17"/>
  <c r="I13152" i="17"/>
  <c r="I13151" i="17"/>
  <c r="I13150" i="17"/>
  <c r="I13149" i="17"/>
  <c r="I13148" i="17"/>
  <c r="I13147" i="17"/>
  <c r="I13146" i="17"/>
  <c r="I13145" i="17"/>
  <c r="I13144" i="17"/>
  <c r="I13143" i="17"/>
  <c r="I13142" i="17"/>
  <c r="I13141" i="17"/>
  <c r="I13140" i="17"/>
  <c r="I13139" i="17"/>
  <c r="I13138" i="17"/>
  <c r="I13137" i="17"/>
  <c r="I13136" i="17"/>
  <c r="I13135" i="17"/>
  <c r="I13134" i="17"/>
  <c r="I13133" i="17"/>
  <c r="I13132" i="17"/>
  <c r="I13131" i="17"/>
  <c r="I13130" i="17"/>
  <c r="I13129" i="17"/>
  <c r="I13128" i="17"/>
  <c r="I13127" i="17"/>
  <c r="I13126" i="17"/>
  <c r="I13125" i="17"/>
  <c r="I13124" i="17"/>
  <c r="I13123" i="17"/>
  <c r="I13122" i="17"/>
  <c r="I13121" i="17"/>
  <c r="I13120" i="17"/>
  <c r="I13119" i="17"/>
  <c r="I13118" i="17"/>
  <c r="I13117" i="17"/>
  <c r="I13116" i="17"/>
  <c r="I13115" i="17"/>
  <c r="I13114" i="17"/>
  <c r="I13113" i="17"/>
  <c r="I13112" i="17"/>
  <c r="I13111" i="17"/>
  <c r="I13110" i="17"/>
  <c r="I13109" i="17"/>
  <c r="I13108" i="17"/>
  <c r="I13107" i="17"/>
  <c r="I13106" i="17"/>
  <c r="I13105" i="17"/>
  <c r="I13104" i="17"/>
  <c r="I13103" i="17"/>
  <c r="I13102" i="17"/>
  <c r="I13101" i="17"/>
  <c r="I13100" i="17"/>
  <c r="I13099" i="17"/>
  <c r="I13098" i="17"/>
  <c r="I13097" i="17"/>
  <c r="I13096" i="17"/>
  <c r="I13095" i="17"/>
  <c r="I13094" i="17"/>
  <c r="I13093" i="17"/>
  <c r="I13092" i="17"/>
  <c r="I13091" i="17"/>
  <c r="I13090" i="17"/>
  <c r="I13089" i="17"/>
  <c r="I13088" i="17"/>
  <c r="I13087" i="17"/>
  <c r="I13086" i="17"/>
  <c r="I13085" i="17"/>
  <c r="I13084" i="17"/>
  <c r="I13083" i="17"/>
  <c r="I13082" i="17"/>
  <c r="I13081" i="17"/>
  <c r="I13080" i="17"/>
  <c r="I13079" i="17"/>
  <c r="I13078" i="17"/>
  <c r="I13077" i="17"/>
  <c r="I13076" i="17"/>
  <c r="I13075" i="17"/>
  <c r="I13074" i="17"/>
  <c r="I13073" i="17"/>
  <c r="I13072" i="17"/>
  <c r="I13071" i="17"/>
  <c r="I13070" i="17"/>
  <c r="I13069" i="17"/>
  <c r="I13068" i="17"/>
  <c r="I13067" i="17"/>
  <c r="I13066" i="17"/>
  <c r="I13065" i="17"/>
  <c r="I13064" i="17"/>
  <c r="I13063" i="17"/>
  <c r="I13062" i="17"/>
  <c r="I13061" i="17"/>
  <c r="I13060" i="17"/>
  <c r="I13059" i="17"/>
  <c r="I13058" i="17"/>
  <c r="I13057" i="17"/>
  <c r="I13056" i="17"/>
  <c r="I13055" i="17"/>
  <c r="I13054" i="17"/>
  <c r="I13053" i="17"/>
  <c r="I13052" i="17"/>
  <c r="I13051" i="17"/>
  <c r="I13050" i="17"/>
  <c r="I13049" i="17"/>
  <c r="I13048" i="17"/>
  <c r="I13047" i="17"/>
  <c r="I13046" i="17"/>
  <c r="I13045" i="17"/>
  <c r="I13044" i="17"/>
  <c r="I13043" i="17"/>
  <c r="I13042" i="17"/>
  <c r="I13041" i="17"/>
  <c r="I13040" i="17"/>
  <c r="I13039" i="17"/>
  <c r="I13038" i="17"/>
  <c r="I13037" i="17"/>
  <c r="I13036" i="17"/>
  <c r="I13035" i="17"/>
  <c r="I13034" i="17"/>
  <c r="I13033" i="17"/>
  <c r="I13032" i="17"/>
  <c r="I13031" i="17"/>
  <c r="I13030" i="17"/>
  <c r="I13029" i="17"/>
  <c r="I13028" i="17"/>
  <c r="I13027" i="17"/>
  <c r="I13026" i="17"/>
  <c r="I13025" i="17"/>
  <c r="I13024" i="17"/>
  <c r="I13023" i="17"/>
  <c r="I13022" i="17"/>
  <c r="I13021" i="17"/>
  <c r="I13020" i="17"/>
  <c r="I13019" i="17"/>
  <c r="I13018" i="17"/>
  <c r="I13017" i="17"/>
  <c r="I13016" i="17"/>
  <c r="I13015" i="17"/>
  <c r="I13014" i="17"/>
  <c r="I13013" i="17"/>
  <c r="I13012" i="17"/>
  <c r="I13011" i="17"/>
  <c r="I13010" i="17"/>
  <c r="I13009" i="17"/>
  <c r="I13008" i="17"/>
  <c r="I13007" i="17"/>
  <c r="I13006" i="17"/>
  <c r="I13005" i="17"/>
  <c r="I13004" i="17"/>
  <c r="I13003" i="17"/>
  <c r="I13002" i="17"/>
  <c r="I13001" i="17"/>
  <c r="I13000" i="17"/>
  <c r="I12999" i="17"/>
  <c r="I12998" i="17"/>
  <c r="I12997" i="17"/>
  <c r="I12996" i="17"/>
  <c r="I12995" i="17"/>
  <c r="I12994" i="17"/>
  <c r="I12993" i="17"/>
  <c r="I12992" i="17"/>
  <c r="I12991" i="17"/>
  <c r="I12990" i="17"/>
  <c r="I12989" i="17"/>
  <c r="I12988" i="17"/>
  <c r="I12987" i="17"/>
  <c r="I12986" i="17"/>
  <c r="I12985" i="17"/>
  <c r="I12984" i="17"/>
  <c r="I12983" i="17"/>
  <c r="I12982" i="17"/>
  <c r="I12981" i="17"/>
  <c r="I12980" i="17"/>
  <c r="I12979" i="17"/>
  <c r="I12978" i="17"/>
  <c r="I12977" i="17"/>
  <c r="I12976" i="17"/>
  <c r="I12975" i="17"/>
  <c r="I12974" i="17"/>
  <c r="I12973" i="17"/>
  <c r="I12972" i="17"/>
  <c r="I12971" i="17"/>
  <c r="I12970" i="17"/>
  <c r="I12969" i="17"/>
  <c r="I12968" i="17"/>
  <c r="I12967" i="17"/>
  <c r="I12966" i="17"/>
  <c r="I12965" i="17"/>
  <c r="I12964" i="17"/>
  <c r="I12963" i="17"/>
  <c r="I12962" i="17"/>
  <c r="I12961" i="17"/>
  <c r="I12960" i="17"/>
  <c r="I12959" i="17"/>
  <c r="I12958" i="17"/>
  <c r="I12957" i="17"/>
  <c r="I12956" i="17"/>
  <c r="I12955" i="17"/>
  <c r="I12954" i="17"/>
  <c r="I12953" i="17"/>
  <c r="I12952" i="17"/>
  <c r="I12951" i="17"/>
  <c r="I12950" i="17"/>
  <c r="I12949" i="17"/>
  <c r="I12948" i="17"/>
  <c r="I12947" i="17"/>
  <c r="I12946" i="17"/>
  <c r="I12945" i="17"/>
  <c r="I12944" i="17"/>
  <c r="I12943" i="17"/>
  <c r="I12942" i="17"/>
  <c r="I12941" i="17"/>
  <c r="I12940" i="17"/>
  <c r="I12939" i="17"/>
  <c r="I12938" i="17"/>
  <c r="I12937" i="17"/>
  <c r="I12936" i="17"/>
  <c r="I12935" i="17"/>
  <c r="I12934" i="17"/>
  <c r="I12933" i="17"/>
  <c r="I12932" i="17"/>
  <c r="I12931" i="17"/>
  <c r="I12930" i="17"/>
  <c r="I12929" i="17"/>
  <c r="I12928" i="17"/>
  <c r="I12927" i="17"/>
  <c r="I12926" i="17"/>
  <c r="I12925" i="17"/>
  <c r="I12924" i="17"/>
  <c r="I12923" i="17"/>
  <c r="I12922" i="17"/>
  <c r="I12921" i="17"/>
  <c r="I12920" i="17"/>
  <c r="I12919" i="17"/>
  <c r="I12918" i="17"/>
  <c r="I12917" i="17"/>
  <c r="I12916" i="17"/>
  <c r="I12915" i="17"/>
  <c r="I12914" i="17"/>
  <c r="I12913" i="17"/>
  <c r="I12912" i="17"/>
  <c r="I12911" i="17"/>
  <c r="I12910" i="17"/>
  <c r="I12909" i="17"/>
  <c r="I12908" i="17"/>
  <c r="I12907" i="17"/>
  <c r="I12906" i="17"/>
  <c r="I12905" i="17"/>
  <c r="I12904" i="17"/>
  <c r="I12903" i="17"/>
  <c r="I12902" i="17"/>
  <c r="I12901" i="17"/>
  <c r="I12900" i="17"/>
  <c r="I12899" i="17"/>
  <c r="I12898" i="17"/>
  <c r="I12897" i="17"/>
  <c r="I12896" i="17"/>
  <c r="I12895" i="17"/>
  <c r="I12894" i="17"/>
  <c r="I12893" i="17"/>
  <c r="I12892" i="17"/>
  <c r="I12891" i="17"/>
  <c r="I12890" i="17"/>
  <c r="I12889" i="17"/>
  <c r="I12888" i="17"/>
  <c r="I12887" i="17"/>
  <c r="I12886" i="17"/>
  <c r="I12885" i="17"/>
  <c r="I12884" i="17"/>
  <c r="I12883" i="17"/>
  <c r="I12882" i="17"/>
  <c r="I12881" i="17"/>
  <c r="I12880" i="17"/>
  <c r="I12879" i="17"/>
  <c r="I12878" i="17"/>
  <c r="I12877" i="17"/>
  <c r="I12876" i="17"/>
  <c r="I12875" i="17"/>
  <c r="I12874" i="17"/>
  <c r="I12873" i="17"/>
  <c r="I12872" i="17"/>
  <c r="I12871" i="17"/>
  <c r="I12870" i="17"/>
  <c r="I12869" i="17"/>
  <c r="I12868" i="17"/>
  <c r="I12867" i="17"/>
  <c r="I12866" i="17"/>
  <c r="I12865" i="17"/>
  <c r="I12864" i="17"/>
  <c r="I12863" i="17"/>
  <c r="I12862" i="17"/>
  <c r="I12861" i="17"/>
  <c r="I12860" i="17"/>
  <c r="I12859" i="17"/>
  <c r="I12858" i="17"/>
  <c r="I12857" i="17"/>
  <c r="I12856" i="17"/>
  <c r="I12855" i="17"/>
  <c r="I12854" i="17"/>
  <c r="I12853" i="17"/>
  <c r="I12852" i="17"/>
  <c r="I12851" i="17"/>
  <c r="I12850" i="17"/>
  <c r="I12849" i="17"/>
  <c r="I12848" i="17"/>
  <c r="I12847" i="17"/>
  <c r="I12846" i="17"/>
  <c r="I12845" i="17"/>
  <c r="I12844" i="17"/>
  <c r="I12843" i="17"/>
  <c r="I12842" i="17"/>
  <c r="I12841" i="17"/>
  <c r="I12840" i="17"/>
  <c r="I12839" i="17"/>
  <c r="I12838" i="17"/>
  <c r="I12837" i="17"/>
  <c r="I12836" i="17"/>
  <c r="I12835" i="17"/>
  <c r="I12834" i="17"/>
  <c r="I12833" i="17"/>
  <c r="I12832" i="17"/>
  <c r="I12831" i="17"/>
  <c r="I12830" i="17"/>
  <c r="I12829" i="17"/>
  <c r="I12828" i="17"/>
  <c r="I12827" i="17"/>
  <c r="I12826" i="17"/>
  <c r="I12825" i="17"/>
  <c r="I12824" i="17"/>
  <c r="I12823" i="17"/>
  <c r="I12822" i="17"/>
  <c r="I12821" i="17"/>
  <c r="I12820" i="17"/>
  <c r="I12819" i="17"/>
  <c r="I12818" i="17"/>
  <c r="I12817" i="17"/>
  <c r="I12816" i="17"/>
  <c r="I12815" i="17"/>
  <c r="I12814" i="17"/>
  <c r="I12813" i="17"/>
  <c r="I12812" i="17"/>
  <c r="I12811" i="17"/>
  <c r="I12810" i="17"/>
  <c r="I12809" i="17"/>
  <c r="I12808" i="17"/>
  <c r="I12807" i="17"/>
  <c r="I12806" i="17"/>
  <c r="I12805" i="17"/>
  <c r="I12804" i="17"/>
  <c r="I12803" i="17"/>
  <c r="I12802" i="17"/>
  <c r="I12801" i="17"/>
  <c r="I12800" i="17"/>
  <c r="I12799" i="17"/>
  <c r="I12798" i="17"/>
  <c r="I12797" i="17"/>
  <c r="I12796" i="17"/>
  <c r="I12795" i="17"/>
  <c r="I12794" i="17"/>
  <c r="I12793" i="17"/>
  <c r="I12792" i="17"/>
  <c r="I12791" i="17"/>
  <c r="I12790" i="17"/>
  <c r="I12789" i="17"/>
  <c r="I12788" i="17"/>
  <c r="I12787" i="17"/>
  <c r="I12786" i="17"/>
  <c r="I12785" i="17"/>
  <c r="I12784" i="17"/>
  <c r="I12783" i="17"/>
  <c r="I12782" i="17"/>
  <c r="I12781" i="17"/>
  <c r="I12780" i="17"/>
  <c r="I12779" i="17"/>
  <c r="I12778" i="17"/>
  <c r="I12777" i="17"/>
  <c r="I12776" i="17"/>
  <c r="I12775" i="17"/>
  <c r="I12774" i="17"/>
  <c r="I12773" i="17"/>
  <c r="I12772" i="17"/>
  <c r="I12771" i="17"/>
  <c r="I12770" i="17"/>
  <c r="I12769" i="17"/>
  <c r="I12768" i="17"/>
  <c r="I12767" i="17"/>
  <c r="I12766" i="17"/>
  <c r="I12765" i="17"/>
  <c r="I12764" i="17"/>
  <c r="I12763" i="17"/>
  <c r="I12762" i="17"/>
  <c r="I12761" i="17"/>
  <c r="I12760" i="17"/>
  <c r="I12759" i="17"/>
  <c r="I12758" i="17"/>
  <c r="I12757" i="17"/>
  <c r="I12756" i="17"/>
  <c r="I12755" i="17"/>
  <c r="I12754" i="17"/>
  <c r="I12753" i="17"/>
  <c r="I12752" i="17"/>
  <c r="I12751" i="17"/>
  <c r="I12750" i="17"/>
  <c r="I12749" i="17"/>
  <c r="I12748" i="17"/>
  <c r="I12747" i="17"/>
  <c r="I12746" i="17"/>
  <c r="I12745" i="17"/>
  <c r="I12744" i="17"/>
  <c r="I12743" i="17"/>
  <c r="I12742" i="17"/>
  <c r="I12741" i="17"/>
  <c r="I12740" i="17"/>
  <c r="I12739" i="17"/>
  <c r="I12738" i="17"/>
  <c r="I12737" i="17"/>
  <c r="I12736" i="17"/>
  <c r="I12735" i="17"/>
  <c r="I12734" i="17"/>
  <c r="I12733" i="17"/>
  <c r="I12732" i="17"/>
  <c r="I12731" i="17"/>
  <c r="I12730" i="17"/>
  <c r="I12729" i="17"/>
  <c r="I12728" i="17"/>
  <c r="I12727" i="17"/>
  <c r="I12726" i="17"/>
  <c r="I12725" i="17"/>
  <c r="I12724" i="17"/>
  <c r="I12723" i="17"/>
  <c r="I12722" i="17"/>
  <c r="I12721" i="17"/>
  <c r="I12720" i="17"/>
  <c r="I12719" i="17"/>
  <c r="I12718" i="17"/>
  <c r="I12717" i="17"/>
  <c r="I12716" i="17"/>
  <c r="I12715" i="17"/>
  <c r="I12714" i="17"/>
  <c r="I12713" i="17"/>
  <c r="I12712" i="17"/>
  <c r="I12711" i="17"/>
  <c r="I12710" i="17"/>
  <c r="I12709" i="17"/>
  <c r="I12708" i="17"/>
  <c r="I12707" i="17"/>
  <c r="I12706" i="17"/>
  <c r="I12705" i="17"/>
  <c r="I12704" i="17"/>
  <c r="I12703" i="17"/>
  <c r="I12702" i="17"/>
  <c r="I12701" i="17"/>
  <c r="I12700" i="17"/>
  <c r="I12699" i="17"/>
  <c r="I12698" i="17"/>
  <c r="I12697" i="17"/>
  <c r="I12696" i="17"/>
  <c r="I12695" i="17"/>
  <c r="I12694" i="17"/>
  <c r="I12693" i="17"/>
  <c r="I12692" i="17"/>
  <c r="I12691" i="17"/>
  <c r="I12690" i="17"/>
  <c r="I12689" i="17"/>
  <c r="I12688" i="17"/>
  <c r="I12687" i="17"/>
  <c r="I12686" i="17"/>
  <c r="I12685" i="17"/>
  <c r="I12684" i="17"/>
  <c r="I12683" i="17"/>
  <c r="I12682" i="17"/>
  <c r="I12681" i="17"/>
  <c r="I12680" i="17"/>
  <c r="I12679" i="17"/>
  <c r="I12678" i="17"/>
  <c r="I12677" i="17"/>
  <c r="I12676" i="17"/>
  <c r="I12675" i="17"/>
  <c r="I12674" i="17"/>
  <c r="I12673" i="17"/>
  <c r="I12672" i="17"/>
  <c r="I12671" i="17"/>
  <c r="I12670" i="17"/>
  <c r="I12669" i="17"/>
  <c r="I12668" i="17"/>
  <c r="I12667" i="17"/>
  <c r="I12666" i="17"/>
  <c r="I12665" i="17"/>
  <c r="I12664" i="17"/>
  <c r="I12663" i="17"/>
  <c r="I12662" i="17"/>
  <c r="I12661" i="17"/>
  <c r="I12660" i="17"/>
  <c r="I12659" i="17"/>
  <c r="I12658" i="17"/>
  <c r="I12657" i="17"/>
  <c r="I12656" i="17"/>
  <c r="I12655" i="17"/>
  <c r="I12654" i="17"/>
  <c r="I12653" i="17"/>
  <c r="I12652" i="17"/>
  <c r="I12651" i="17"/>
  <c r="I12650" i="17"/>
  <c r="I12649" i="17"/>
  <c r="I12648" i="17"/>
  <c r="I12647" i="17"/>
  <c r="I12646" i="17"/>
  <c r="I12645" i="17"/>
  <c r="I12644" i="17"/>
  <c r="I12643" i="17"/>
  <c r="I12642" i="17"/>
  <c r="I12641" i="17"/>
  <c r="I12640" i="17"/>
  <c r="I12639" i="17"/>
  <c r="I12638" i="17"/>
  <c r="I12637" i="17"/>
  <c r="I12636" i="17"/>
  <c r="I12635" i="17"/>
  <c r="I12634" i="17"/>
  <c r="I12633" i="17"/>
  <c r="I12632" i="17"/>
  <c r="I12631" i="17"/>
  <c r="I12630" i="17"/>
  <c r="I12629" i="17"/>
  <c r="I12628" i="17"/>
  <c r="I12627" i="17"/>
  <c r="I12626" i="17"/>
  <c r="I12625" i="17"/>
  <c r="I12624" i="17"/>
  <c r="I12623" i="17"/>
  <c r="I12622" i="17"/>
  <c r="I12621" i="17"/>
  <c r="I12620" i="17"/>
  <c r="I12619" i="17"/>
  <c r="I12618" i="17"/>
  <c r="I12617" i="17"/>
  <c r="I12616" i="17"/>
  <c r="I12615" i="17"/>
  <c r="I12614" i="17"/>
  <c r="I12613" i="17"/>
  <c r="I12612" i="17"/>
  <c r="I12611" i="17"/>
  <c r="I12610" i="17"/>
  <c r="I12609" i="17"/>
  <c r="I12608" i="17"/>
  <c r="I12607" i="17"/>
  <c r="I12606" i="17"/>
  <c r="I12605" i="17"/>
  <c r="I12604" i="17"/>
  <c r="I12603" i="17"/>
  <c r="I12602" i="17"/>
  <c r="I12601" i="17"/>
  <c r="I12600" i="17"/>
  <c r="I12599" i="17"/>
  <c r="I12598" i="17"/>
  <c r="I12597" i="17"/>
  <c r="I12596" i="17"/>
  <c r="I12595" i="17"/>
  <c r="I12594" i="17"/>
  <c r="I12593" i="17"/>
  <c r="I12592" i="17"/>
  <c r="I12591" i="17"/>
  <c r="I12590" i="17"/>
  <c r="I12589" i="17"/>
  <c r="I12588" i="17"/>
  <c r="I12587" i="17"/>
  <c r="I12586" i="17"/>
  <c r="I12585" i="17"/>
  <c r="I12584" i="17"/>
  <c r="I12583" i="17"/>
  <c r="I12582" i="17"/>
  <c r="I12581" i="17"/>
  <c r="I12580" i="17"/>
  <c r="I12579" i="17"/>
  <c r="I12578" i="17"/>
  <c r="I12577" i="17"/>
  <c r="I12576" i="17"/>
  <c r="I12575" i="17"/>
  <c r="I12574" i="17"/>
  <c r="I12573" i="17"/>
  <c r="I12572" i="17"/>
  <c r="I12571" i="17"/>
  <c r="I12570" i="17"/>
  <c r="I12569" i="17"/>
  <c r="I12568" i="17"/>
  <c r="I12567" i="17"/>
  <c r="I12566" i="17"/>
  <c r="I12565" i="17"/>
  <c r="I12564" i="17"/>
  <c r="I12563" i="17"/>
  <c r="I12562" i="17"/>
  <c r="I12561" i="17"/>
  <c r="I12560" i="17"/>
  <c r="I12559" i="17"/>
  <c r="I12558" i="17"/>
  <c r="I12557" i="17"/>
  <c r="I12556" i="17"/>
  <c r="I12555" i="17"/>
  <c r="I12554" i="17"/>
  <c r="I12553" i="17"/>
  <c r="I12552" i="17"/>
  <c r="I12551" i="17"/>
  <c r="I12550" i="17"/>
  <c r="I12549" i="17"/>
  <c r="I12548" i="17"/>
  <c r="I12547" i="17"/>
  <c r="I12546" i="17"/>
  <c r="I12545" i="17"/>
  <c r="I12544" i="17"/>
  <c r="I12543" i="17"/>
  <c r="I12542" i="17"/>
  <c r="I12541" i="17"/>
  <c r="I12540" i="17"/>
  <c r="I12539" i="17"/>
  <c r="I12538" i="17"/>
  <c r="I12537" i="17"/>
  <c r="I12536" i="17"/>
  <c r="I12535" i="17"/>
  <c r="I12534" i="17"/>
  <c r="I12533" i="17"/>
  <c r="I12532" i="17"/>
  <c r="I12531" i="17"/>
  <c r="I12530" i="17"/>
  <c r="I12529" i="17"/>
  <c r="I12528" i="17"/>
  <c r="I12527" i="17"/>
  <c r="I12526" i="17"/>
  <c r="I12525" i="17"/>
  <c r="I12524" i="17"/>
  <c r="I12523" i="17"/>
  <c r="I12522" i="17"/>
  <c r="I12521" i="17"/>
  <c r="I12520" i="17"/>
  <c r="I12519" i="17"/>
  <c r="I12518" i="17"/>
  <c r="I12517" i="17"/>
  <c r="I12516" i="17"/>
  <c r="I12515" i="17"/>
  <c r="I12514" i="17"/>
  <c r="I12513" i="17"/>
  <c r="I12512" i="17"/>
  <c r="I12511" i="17"/>
  <c r="I12510" i="17"/>
  <c r="I12509" i="17"/>
  <c r="I12508" i="17"/>
  <c r="I12507" i="17"/>
  <c r="I12506" i="17"/>
  <c r="I12505" i="17"/>
  <c r="I12504" i="17"/>
  <c r="I12503" i="17"/>
  <c r="I12502" i="17"/>
  <c r="I12501" i="17"/>
  <c r="I12500" i="17"/>
  <c r="I12499" i="17"/>
  <c r="I12498" i="17"/>
  <c r="I12497" i="17"/>
  <c r="I12496" i="17"/>
  <c r="I12495" i="17"/>
  <c r="I12494" i="17"/>
  <c r="I12493" i="17"/>
  <c r="I12492" i="17"/>
  <c r="I12491" i="17"/>
  <c r="I12490" i="17"/>
  <c r="I12489" i="17"/>
  <c r="I12488" i="17"/>
  <c r="I12487" i="17"/>
  <c r="I12486" i="17"/>
  <c r="I12485" i="17"/>
  <c r="I12484" i="17"/>
  <c r="I12483" i="17"/>
  <c r="I12482" i="17"/>
  <c r="I12481" i="17"/>
  <c r="I12480" i="17"/>
  <c r="I12479" i="17"/>
  <c r="I12478" i="17"/>
  <c r="I12477" i="17"/>
  <c r="I12476" i="17"/>
  <c r="I12475" i="17"/>
  <c r="I12474" i="17"/>
  <c r="I12473" i="17"/>
  <c r="I12472" i="17"/>
  <c r="I12471" i="17"/>
  <c r="I12470" i="17"/>
  <c r="I12469" i="17"/>
  <c r="I12468" i="17"/>
  <c r="I12467" i="17"/>
  <c r="I12466" i="17"/>
  <c r="I12465" i="17"/>
  <c r="I12464" i="17"/>
  <c r="I12463" i="17"/>
  <c r="I12462" i="17"/>
  <c r="I12461" i="17"/>
  <c r="I12460" i="17"/>
  <c r="I12459" i="17"/>
  <c r="I12458" i="17"/>
  <c r="I12457" i="17"/>
  <c r="I12456" i="17"/>
  <c r="I12455" i="17"/>
  <c r="I12454" i="17"/>
  <c r="I12453" i="17"/>
  <c r="I12452" i="17"/>
  <c r="I12451" i="17"/>
  <c r="I12450" i="17"/>
  <c r="I12449" i="17"/>
  <c r="I12448" i="17"/>
  <c r="I12447" i="17"/>
  <c r="I12446" i="17"/>
  <c r="I12445" i="17"/>
  <c r="I12444" i="17"/>
  <c r="I12443" i="17"/>
  <c r="I12442" i="17"/>
  <c r="I12441" i="17"/>
  <c r="I12440" i="17"/>
  <c r="I12439" i="17"/>
  <c r="I12438" i="17"/>
  <c r="I12437" i="17"/>
  <c r="I12436" i="17"/>
  <c r="I12435" i="17"/>
  <c r="I12434" i="17"/>
  <c r="I12433" i="17"/>
  <c r="I12432" i="17"/>
  <c r="I12431" i="17"/>
  <c r="I12430" i="17"/>
  <c r="I12429" i="17"/>
  <c r="I12428" i="17"/>
  <c r="I12427" i="17"/>
  <c r="I12426" i="17"/>
  <c r="I12425" i="17"/>
  <c r="I12424" i="17"/>
  <c r="I12423" i="17"/>
  <c r="I12422" i="17"/>
  <c r="I12421" i="17"/>
  <c r="I12420" i="17"/>
  <c r="I12419" i="17"/>
  <c r="I12418" i="17"/>
  <c r="I12417" i="17"/>
  <c r="I12416" i="17"/>
  <c r="I12415" i="17"/>
  <c r="I12414" i="17"/>
  <c r="I12413" i="17"/>
  <c r="I12412" i="17"/>
  <c r="I12411" i="17"/>
  <c r="I12410" i="17"/>
  <c r="I12409" i="17"/>
  <c r="I12408" i="17"/>
  <c r="I12407" i="17"/>
  <c r="I12406" i="17"/>
  <c r="I12405" i="17"/>
  <c r="I12404" i="17"/>
  <c r="I12403" i="17"/>
  <c r="I12402" i="17"/>
  <c r="I12401" i="17"/>
  <c r="I12400" i="17"/>
  <c r="I12399" i="17"/>
  <c r="I12398" i="17"/>
  <c r="I12397" i="17"/>
  <c r="I12396" i="17"/>
  <c r="I12395" i="17"/>
  <c r="I12394" i="17"/>
  <c r="I12393" i="17"/>
  <c r="I12392" i="17"/>
  <c r="I12391" i="17"/>
  <c r="I12390" i="17"/>
  <c r="I12389" i="17"/>
  <c r="I12388" i="17"/>
  <c r="I12387" i="17"/>
  <c r="I12386" i="17"/>
  <c r="I12385" i="17"/>
  <c r="I12384" i="17"/>
  <c r="I12383" i="17"/>
  <c r="I12382" i="17"/>
  <c r="I12381" i="17"/>
  <c r="I12380" i="17"/>
  <c r="I12379" i="17"/>
  <c r="I12378" i="17"/>
  <c r="I12377" i="17"/>
  <c r="I12376" i="17"/>
  <c r="I12375" i="17"/>
  <c r="I12374" i="17"/>
  <c r="I12373" i="17"/>
  <c r="I12372" i="17"/>
  <c r="I12371" i="17"/>
  <c r="I12370" i="17"/>
  <c r="I12369" i="17"/>
  <c r="I12368" i="17"/>
  <c r="I12367" i="17"/>
  <c r="I12366" i="17"/>
  <c r="I12365" i="17"/>
  <c r="I12364" i="17"/>
  <c r="I12363" i="17"/>
  <c r="I12362" i="17"/>
  <c r="I12361" i="17"/>
  <c r="I12360" i="17"/>
  <c r="I12359" i="17"/>
  <c r="I12358" i="17"/>
  <c r="I12357" i="17"/>
  <c r="I12356" i="17"/>
  <c r="I12355" i="17"/>
  <c r="I12354" i="17"/>
  <c r="I12353" i="17"/>
  <c r="I12352" i="17"/>
  <c r="I12351" i="17"/>
  <c r="I12350" i="17"/>
  <c r="I12349" i="17"/>
  <c r="I12348" i="17"/>
  <c r="I12347" i="17"/>
  <c r="I12346" i="17"/>
  <c r="I12345" i="17"/>
  <c r="I12344" i="17"/>
  <c r="I12343" i="17"/>
  <c r="I12342" i="17"/>
  <c r="I12341" i="17"/>
  <c r="I12340" i="17"/>
  <c r="I12339" i="17"/>
  <c r="I12338" i="17"/>
  <c r="I12337" i="17"/>
  <c r="I12336" i="17"/>
  <c r="I12335" i="17"/>
  <c r="I12334" i="17"/>
  <c r="I12333" i="17"/>
  <c r="I12332" i="17"/>
  <c r="I12331" i="17"/>
  <c r="I12330" i="17"/>
  <c r="I12329" i="17"/>
  <c r="I12328" i="17"/>
  <c r="I12327" i="17"/>
  <c r="I12326" i="17"/>
  <c r="I12325" i="17"/>
  <c r="I12324" i="17"/>
  <c r="I12323" i="17"/>
  <c r="I12322" i="17"/>
  <c r="I12321" i="17"/>
  <c r="I12320" i="17"/>
  <c r="I12319" i="17"/>
  <c r="I12318" i="17"/>
  <c r="I12317" i="17"/>
  <c r="I12316" i="17"/>
  <c r="I12315" i="17"/>
  <c r="I12314" i="17"/>
  <c r="I12313" i="17"/>
  <c r="I12312" i="17"/>
  <c r="I12311" i="17"/>
  <c r="I12310" i="17"/>
  <c r="I12309" i="17"/>
  <c r="I12308" i="17"/>
  <c r="I12307" i="17"/>
  <c r="I12306" i="17"/>
  <c r="I12305" i="17"/>
  <c r="I12304" i="17"/>
  <c r="I12303" i="17"/>
  <c r="I12302" i="17"/>
  <c r="I12301" i="17"/>
  <c r="I12300" i="17"/>
  <c r="I12299" i="17"/>
  <c r="I12298" i="17"/>
  <c r="I12297" i="17"/>
  <c r="I12296" i="17"/>
  <c r="I12295" i="17"/>
  <c r="I12294" i="17"/>
  <c r="I12293" i="17"/>
  <c r="I12292" i="17"/>
  <c r="I12291" i="17"/>
  <c r="I12290" i="17"/>
  <c r="I12289" i="17"/>
  <c r="I12288" i="17"/>
  <c r="I12287" i="17"/>
  <c r="I12286" i="17"/>
  <c r="I12285" i="17"/>
  <c r="I12284" i="17"/>
  <c r="I12283" i="17"/>
  <c r="I12282" i="17"/>
  <c r="I12281" i="17"/>
  <c r="I12280" i="17"/>
  <c r="I12279" i="17"/>
  <c r="I12278" i="17"/>
  <c r="I12277" i="17"/>
  <c r="I12276" i="17"/>
  <c r="I12275" i="17"/>
  <c r="I12274" i="17"/>
  <c r="I12273" i="17"/>
  <c r="I12272" i="17"/>
  <c r="I12271" i="17"/>
  <c r="I12270" i="17"/>
  <c r="I12269" i="17"/>
  <c r="I12268" i="17"/>
  <c r="I12267" i="17"/>
  <c r="I12266" i="17"/>
  <c r="I12265" i="17"/>
  <c r="I12264" i="17"/>
  <c r="I12263" i="17"/>
  <c r="I12262" i="17"/>
  <c r="I12261" i="17"/>
  <c r="I12260" i="17"/>
  <c r="I12259" i="17"/>
  <c r="I12258" i="17"/>
  <c r="I12257" i="17"/>
  <c r="I12256" i="17"/>
  <c r="I12255" i="17"/>
  <c r="I12254" i="17"/>
  <c r="I12253" i="17"/>
  <c r="I12252" i="17"/>
  <c r="I12251" i="17"/>
  <c r="I12250" i="17"/>
  <c r="I12249" i="17"/>
  <c r="I12248" i="17"/>
  <c r="I12247" i="17"/>
  <c r="I12246" i="17"/>
  <c r="I12245" i="17"/>
  <c r="I12244" i="17"/>
  <c r="I12243" i="17"/>
  <c r="I12242" i="17"/>
  <c r="I12241" i="17"/>
  <c r="I12240" i="17"/>
  <c r="I12239" i="17"/>
  <c r="I12238" i="17"/>
  <c r="I12237" i="17"/>
  <c r="I12236" i="17"/>
  <c r="I12235" i="17"/>
  <c r="I12234" i="17"/>
  <c r="I12233" i="17"/>
  <c r="I12232" i="17"/>
  <c r="I12231" i="17"/>
  <c r="I12230" i="17"/>
  <c r="I12229" i="17"/>
  <c r="I12228" i="17"/>
  <c r="I12227" i="17"/>
  <c r="I12226" i="17"/>
  <c r="I12225" i="17"/>
  <c r="I12224" i="17"/>
  <c r="I12223" i="17"/>
  <c r="I12222" i="17"/>
  <c r="I12221" i="17"/>
  <c r="I12220" i="17"/>
  <c r="I12219" i="17"/>
  <c r="I12218" i="17"/>
  <c r="I12217" i="17"/>
  <c r="I12216" i="17"/>
  <c r="I12215" i="17"/>
  <c r="I12214" i="17"/>
  <c r="I12213" i="17"/>
  <c r="I12212" i="17"/>
  <c r="I12211" i="17"/>
  <c r="I12210" i="17"/>
  <c r="I12209" i="17"/>
  <c r="I12208" i="17"/>
  <c r="I12207" i="17"/>
  <c r="I12206" i="17"/>
  <c r="I12205" i="17"/>
  <c r="I12204" i="17"/>
  <c r="I12203" i="17"/>
  <c r="I12202" i="17"/>
  <c r="I12201" i="17"/>
  <c r="I12200" i="17"/>
  <c r="I12199" i="17"/>
  <c r="I12198" i="17"/>
  <c r="I12197" i="17"/>
  <c r="I12196" i="17"/>
  <c r="I12195" i="17"/>
  <c r="I12194" i="17"/>
  <c r="I12193" i="17"/>
  <c r="I12192" i="17"/>
  <c r="I12191" i="17"/>
  <c r="I12190" i="17"/>
  <c r="I12189" i="17"/>
  <c r="I12188" i="17"/>
  <c r="I12187" i="17"/>
  <c r="I12186" i="17"/>
  <c r="I12185" i="17"/>
  <c r="I12184" i="17"/>
  <c r="I12183" i="17"/>
  <c r="I12182" i="17"/>
  <c r="I12181" i="17"/>
  <c r="I12180" i="17"/>
  <c r="I12179" i="17"/>
  <c r="I12178" i="17"/>
  <c r="I12177" i="17"/>
  <c r="I12176" i="17"/>
  <c r="I12175" i="17"/>
  <c r="I12174" i="17"/>
  <c r="I12173" i="17"/>
  <c r="I12172" i="17"/>
  <c r="I12171" i="17"/>
  <c r="I12170" i="17"/>
  <c r="I12169" i="17"/>
  <c r="I12168" i="17"/>
  <c r="I12167" i="17"/>
  <c r="I12166" i="17"/>
  <c r="I12165" i="17"/>
  <c r="I12164" i="17"/>
  <c r="I12163" i="17"/>
  <c r="I12162" i="17"/>
  <c r="I12161" i="17"/>
  <c r="I12160" i="17"/>
  <c r="I12159" i="17"/>
  <c r="I12158" i="17"/>
  <c r="I12157" i="17"/>
  <c r="I12156" i="17"/>
  <c r="I12155" i="17"/>
  <c r="I12154" i="17"/>
  <c r="I12153" i="17"/>
  <c r="I12152" i="17"/>
  <c r="I12151" i="17"/>
  <c r="I12150" i="17"/>
  <c r="I12149" i="17"/>
  <c r="I12148" i="17"/>
  <c r="I12147" i="17"/>
  <c r="I12146" i="17"/>
  <c r="I12145" i="17"/>
  <c r="I12144" i="17"/>
  <c r="I12143" i="17"/>
  <c r="I12142" i="17"/>
  <c r="I12141" i="17"/>
  <c r="I12140" i="17"/>
  <c r="I12139" i="17"/>
  <c r="I12138" i="17"/>
  <c r="I12137" i="17"/>
  <c r="I12136" i="17"/>
  <c r="I12135" i="17"/>
  <c r="I12134" i="17"/>
  <c r="I12133" i="17"/>
  <c r="I12132" i="17"/>
  <c r="I12131" i="17"/>
  <c r="I12130" i="17"/>
  <c r="I12129" i="17"/>
  <c r="I12128" i="17"/>
  <c r="I12127" i="17"/>
  <c r="I12126" i="17"/>
  <c r="I12125" i="17"/>
  <c r="I12124" i="17"/>
  <c r="I12123" i="17"/>
  <c r="I12122" i="17"/>
  <c r="I12121" i="17"/>
  <c r="I12120" i="17"/>
  <c r="I12119" i="17"/>
  <c r="I12118" i="17"/>
  <c r="I12117" i="17"/>
  <c r="I12116" i="17"/>
  <c r="I12115" i="17"/>
  <c r="I12114" i="17"/>
  <c r="I12113" i="17"/>
  <c r="I12112" i="17"/>
  <c r="I12111" i="17"/>
  <c r="I12110" i="17"/>
  <c r="I12109" i="17"/>
  <c r="I12108" i="17"/>
  <c r="I12107" i="17"/>
  <c r="I12106" i="17"/>
  <c r="I12105" i="17"/>
  <c r="I12104" i="17"/>
  <c r="I12103" i="17"/>
  <c r="I12102" i="17"/>
  <c r="I12101" i="17"/>
  <c r="I12100" i="17"/>
  <c r="I12099" i="17"/>
  <c r="I12098" i="17"/>
  <c r="I12097" i="17"/>
  <c r="I12096" i="17"/>
  <c r="I12095" i="17"/>
  <c r="I12094" i="17"/>
  <c r="I12093" i="17"/>
  <c r="I12092" i="17"/>
  <c r="I12091" i="17"/>
  <c r="I12090" i="17"/>
  <c r="I12089" i="17"/>
  <c r="I12088" i="17"/>
  <c r="I12087" i="17"/>
  <c r="I12086" i="17"/>
  <c r="I12085" i="17"/>
  <c r="I12084" i="17"/>
  <c r="I12083" i="17"/>
  <c r="I12082" i="17"/>
  <c r="I12081" i="17"/>
  <c r="I12080" i="17"/>
  <c r="I12079" i="17"/>
  <c r="I12078" i="17"/>
  <c r="I12077" i="17"/>
  <c r="I12076" i="17"/>
  <c r="I12075" i="17"/>
  <c r="I12074" i="17"/>
  <c r="I12073" i="17"/>
  <c r="I12072" i="17"/>
  <c r="I12071" i="17"/>
  <c r="I12070" i="17"/>
  <c r="I12069" i="17"/>
  <c r="I12068" i="17"/>
  <c r="I12067" i="17"/>
  <c r="I12066" i="17"/>
  <c r="I12065" i="17"/>
  <c r="I12064" i="17"/>
  <c r="I12063" i="17"/>
  <c r="I12062" i="17"/>
  <c r="I12061" i="17"/>
  <c r="I12060" i="17"/>
  <c r="I12059" i="17"/>
  <c r="I12058" i="17"/>
  <c r="I12057" i="17"/>
  <c r="I12056" i="17"/>
  <c r="I12055" i="17"/>
  <c r="I12054" i="17"/>
  <c r="I12053" i="17"/>
  <c r="I12052" i="17"/>
  <c r="I12051" i="17"/>
  <c r="I12050" i="17"/>
  <c r="I12049" i="17"/>
  <c r="I12048" i="17"/>
  <c r="I12047" i="17"/>
  <c r="I12046" i="17"/>
  <c r="I12045" i="17"/>
  <c r="I12044" i="17"/>
  <c r="I12043" i="17"/>
  <c r="I12042" i="17"/>
  <c r="I12041" i="17"/>
  <c r="I12040" i="17"/>
  <c r="I12039" i="17"/>
  <c r="I12038" i="17"/>
  <c r="I12037" i="17"/>
  <c r="I12036" i="17"/>
  <c r="I12035" i="17"/>
  <c r="I12034" i="17"/>
  <c r="I12033" i="17"/>
  <c r="I12032" i="17"/>
  <c r="I12031" i="17"/>
  <c r="I12030" i="17"/>
  <c r="I12029" i="17"/>
  <c r="I12028" i="17"/>
  <c r="I12027" i="17"/>
  <c r="I12026" i="17"/>
  <c r="I12025" i="17"/>
  <c r="I12024" i="17"/>
  <c r="I12023" i="17"/>
  <c r="I12022" i="17"/>
  <c r="I12021" i="17"/>
  <c r="I12020" i="17"/>
  <c r="I12019" i="17"/>
  <c r="I12018" i="17"/>
  <c r="I12017" i="17"/>
  <c r="I12016" i="17"/>
  <c r="I12015" i="17"/>
  <c r="I12014" i="17"/>
  <c r="I12013" i="17"/>
  <c r="I12012" i="17"/>
  <c r="I12011" i="17"/>
  <c r="I12010" i="17"/>
  <c r="I12009" i="17"/>
  <c r="I12008" i="17"/>
  <c r="I12007" i="17"/>
  <c r="I12006" i="17"/>
  <c r="I12005" i="17"/>
  <c r="I12004" i="17"/>
  <c r="I12003" i="17"/>
  <c r="I12002" i="17"/>
  <c r="I12001" i="17"/>
  <c r="I12000" i="17"/>
  <c r="I11999" i="17"/>
  <c r="I11998" i="17"/>
  <c r="I11997" i="17"/>
  <c r="I11996" i="17"/>
  <c r="I11995" i="17"/>
  <c r="I11994" i="17"/>
  <c r="I11993" i="17"/>
  <c r="I11992" i="17"/>
  <c r="I11991" i="17"/>
  <c r="I11990" i="17"/>
  <c r="I11989" i="17"/>
  <c r="I11988" i="17"/>
  <c r="I11987" i="17"/>
  <c r="I11986" i="17"/>
  <c r="I11985" i="17"/>
  <c r="I11984" i="17"/>
  <c r="I11983" i="17"/>
  <c r="I11982" i="17"/>
  <c r="I11981" i="17"/>
  <c r="I11980" i="17"/>
  <c r="I11979" i="17"/>
  <c r="I11978" i="17"/>
  <c r="I11977" i="17"/>
  <c r="I11976" i="17"/>
  <c r="I11975" i="17"/>
  <c r="I11974" i="17"/>
  <c r="I11973" i="17"/>
  <c r="I11972" i="17"/>
  <c r="I11971" i="17"/>
  <c r="I11970" i="17"/>
  <c r="I11969" i="17"/>
  <c r="I11968" i="17"/>
  <c r="I11967" i="17"/>
  <c r="I11966" i="17"/>
  <c r="I11965" i="17"/>
  <c r="I11964" i="17"/>
  <c r="I11963" i="17"/>
  <c r="I11962" i="17"/>
  <c r="I11961" i="17"/>
  <c r="I11960" i="17"/>
  <c r="I11959" i="17"/>
  <c r="I11958" i="17"/>
  <c r="I11957" i="17"/>
  <c r="I11956" i="17"/>
  <c r="I11955" i="17"/>
  <c r="I11954" i="17"/>
  <c r="I11953" i="17"/>
  <c r="I11952" i="17"/>
  <c r="I11951" i="17"/>
  <c r="I11950" i="17"/>
  <c r="I11949" i="17"/>
  <c r="I11948" i="17"/>
  <c r="I11947" i="17"/>
  <c r="I11946" i="17"/>
  <c r="I11945" i="17"/>
  <c r="I11944" i="17"/>
  <c r="I11943" i="17"/>
  <c r="I11942" i="17"/>
  <c r="I11941" i="17"/>
  <c r="I11940" i="17"/>
  <c r="I11939" i="17"/>
  <c r="I11938" i="17"/>
  <c r="I11937" i="17"/>
  <c r="I11936" i="17"/>
  <c r="I11935" i="17"/>
  <c r="I11934" i="17"/>
  <c r="I11933" i="17"/>
  <c r="I11932" i="17"/>
  <c r="I11931" i="17"/>
  <c r="I11930" i="17"/>
  <c r="I11929" i="17"/>
  <c r="I11928" i="17"/>
  <c r="I11927" i="17"/>
  <c r="I11926" i="17"/>
  <c r="I11925" i="17"/>
  <c r="I11924" i="17"/>
  <c r="I11923" i="17"/>
  <c r="I11922" i="17"/>
  <c r="I11921" i="17"/>
  <c r="I11920" i="17"/>
  <c r="I11919" i="17"/>
  <c r="I11918" i="17"/>
  <c r="I11917" i="17"/>
  <c r="I11916" i="17"/>
  <c r="I11915" i="17"/>
  <c r="I11914" i="17"/>
  <c r="I11913" i="17"/>
  <c r="I11912" i="17"/>
  <c r="I11911" i="17"/>
  <c r="I11910" i="17"/>
  <c r="I11909" i="17"/>
  <c r="I11908" i="17"/>
  <c r="I11907" i="17"/>
  <c r="I11906" i="17"/>
  <c r="I11905" i="17"/>
  <c r="I11904" i="17"/>
  <c r="I11903" i="17"/>
  <c r="I11902" i="17"/>
  <c r="I11901" i="17"/>
  <c r="I11900" i="17"/>
  <c r="I11899" i="17"/>
  <c r="I11898" i="17"/>
  <c r="I11897" i="17"/>
  <c r="I11896" i="17"/>
  <c r="I11895" i="17"/>
  <c r="I11894" i="17"/>
  <c r="I11893" i="17"/>
  <c r="I11892" i="17"/>
  <c r="I11891" i="17"/>
  <c r="I11890" i="17"/>
  <c r="I11889" i="17"/>
  <c r="I11888" i="17"/>
  <c r="I11887" i="17"/>
  <c r="I11886" i="17"/>
  <c r="I11885" i="17"/>
  <c r="I11884" i="17"/>
  <c r="I11883" i="17"/>
  <c r="I11882" i="17"/>
  <c r="I11881" i="17"/>
  <c r="I11880" i="17"/>
  <c r="I11879" i="17"/>
  <c r="I11878" i="17"/>
  <c r="I11877" i="17"/>
  <c r="I11876" i="17"/>
  <c r="I11875" i="17"/>
  <c r="I11874" i="17"/>
  <c r="I11873" i="17"/>
  <c r="I11872" i="17"/>
  <c r="I11871" i="17"/>
  <c r="I11870" i="17"/>
  <c r="I11869" i="17"/>
  <c r="I11868" i="17"/>
  <c r="I11867" i="17"/>
  <c r="I11866" i="17"/>
  <c r="I11865" i="17"/>
  <c r="I11864" i="17"/>
  <c r="I11863" i="17"/>
  <c r="I11862" i="17"/>
  <c r="I11861" i="17"/>
  <c r="I11860" i="17"/>
  <c r="I11859" i="17"/>
  <c r="I11858" i="17"/>
  <c r="I11857" i="17"/>
  <c r="I11856" i="17"/>
  <c r="I11855" i="17"/>
  <c r="I11854" i="17"/>
  <c r="I11853" i="17"/>
  <c r="I11852" i="17"/>
  <c r="I11851" i="17"/>
  <c r="I11850" i="17"/>
  <c r="I11849" i="17"/>
  <c r="I11848" i="17"/>
  <c r="I11847" i="17"/>
  <c r="I11846" i="17"/>
  <c r="I11845" i="17"/>
  <c r="I11844" i="17"/>
  <c r="I11843" i="17"/>
  <c r="I11842" i="17"/>
  <c r="I11841" i="17"/>
  <c r="I11840" i="17"/>
  <c r="I11839" i="17"/>
  <c r="I11838" i="17"/>
  <c r="I11837" i="17"/>
  <c r="I11836" i="17"/>
  <c r="I11835" i="17"/>
  <c r="I11834" i="17"/>
  <c r="I11833" i="17"/>
  <c r="I11832" i="17"/>
  <c r="I11831" i="17"/>
  <c r="I11830" i="17"/>
  <c r="I11829" i="17"/>
  <c r="I11828" i="17"/>
  <c r="I11827" i="17"/>
  <c r="I11826" i="17"/>
  <c r="I11825" i="17"/>
  <c r="I11824" i="17"/>
  <c r="I11823" i="17"/>
  <c r="I11822" i="17"/>
  <c r="I11821" i="17"/>
  <c r="I11820" i="17"/>
  <c r="I11819" i="17"/>
  <c r="I11818" i="17"/>
  <c r="I11817" i="17"/>
  <c r="I11816" i="17"/>
  <c r="I11815" i="17"/>
  <c r="I11814" i="17"/>
  <c r="I11813" i="17"/>
  <c r="I11812" i="17"/>
  <c r="I11811" i="17"/>
  <c r="I11810" i="17"/>
  <c r="I11809" i="17"/>
  <c r="I11808" i="17"/>
  <c r="I11807" i="17"/>
  <c r="I11806" i="17"/>
  <c r="I11805" i="17"/>
  <c r="I11804" i="17"/>
  <c r="I11803" i="17"/>
  <c r="I11802" i="17"/>
  <c r="I11801" i="17"/>
  <c r="I11800" i="17"/>
  <c r="I11799" i="17"/>
  <c r="I11798" i="17"/>
  <c r="I11797" i="17"/>
  <c r="I11796" i="17"/>
  <c r="I11795" i="17"/>
  <c r="I11794" i="17"/>
  <c r="I11793" i="17"/>
  <c r="I11792" i="17"/>
  <c r="I11791" i="17"/>
  <c r="I11790" i="17"/>
  <c r="I11789" i="17"/>
  <c r="I11788" i="17"/>
  <c r="I11787" i="17"/>
  <c r="I11786" i="17"/>
  <c r="I11785" i="17"/>
  <c r="I11784" i="17"/>
  <c r="I11783" i="17"/>
  <c r="I11782" i="17"/>
  <c r="I11781" i="17"/>
  <c r="I11780" i="17"/>
  <c r="I11779" i="17"/>
  <c r="I11778" i="17"/>
  <c r="I11777" i="17"/>
  <c r="I11776" i="17"/>
  <c r="I11775" i="17"/>
  <c r="I11774" i="17"/>
  <c r="I11773" i="17"/>
  <c r="I11772" i="17"/>
  <c r="I11771" i="17"/>
  <c r="I11770" i="17"/>
  <c r="I11769" i="17"/>
  <c r="I11768" i="17"/>
  <c r="I11767" i="17"/>
  <c r="I11766" i="17"/>
  <c r="I11765" i="17"/>
  <c r="I11764" i="17"/>
  <c r="I11763" i="17"/>
  <c r="I11762" i="17"/>
  <c r="I11761" i="17"/>
  <c r="I11760" i="17"/>
  <c r="I11759" i="17"/>
  <c r="I11758" i="17"/>
  <c r="I11757" i="17"/>
  <c r="I11756" i="17"/>
  <c r="I11755" i="17"/>
  <c r="I11754" i="17"/>
  <c r="I11753" i="17"/>
  <c r="I11752" i="17"/>
  <c r="I11751" i="17"/>
  <c r="I11750" i="17"/>
  <c r="I11749" i="17"/>
  <c r="I11748" i="17"/>
  <c r="I11747" i="17"/>
  <c r="I11746" i="17"/>
  <c r="I11745" i="17"/>
  <c r="I11744" i="17"/>
  <c r="I11743" i="17"/>
  <c r="I11742" i="17"/>
  <c r="I11741" i="17"/>
  <c r="I11740" i="17"/>
  <c r="I11739" i="17"/>
  <c r="I11738" i="17"/>
  <c r="I11737" i="17"/>
  <c r="I11736" i="17"/>
  <c r="I11735" i="17"/>
  <c r="I11734" i="17"/>
  <c r="I11733" i="17"/>
  <c r="I11732" i="17"/>
  <c r="I11731" i="17"/>
  <c r="I11730" i="17"/>
  <c r="I11729" i="17"/>
  <c r="I11728" i="17"/>
  <c r="I11727" i="17"/>
  <c r="I11726" i="17"/>
  <c r="I11725" i="17"/>
  <c r="I11724" i="17"/>
  <c r="I11723" i="17"/>
  <c r="I11722" i="17"/>
  <c r="I11721" i="17"/>
  <c r="I11720" i="17"/>
  <c r="I11719" i="17"/>
  <c r="I11718" i="17"/>
  <c r="I11717" i="17"/>
  <c r="I11716" i="17"/>
  <c r="I11715" i="17"/>
  <c r="I11714" i="17"/>
  <c r="I11713" i="17"/>
  <c r="I11712" i="17"/>
  <c r="I11711" i="17"/>
  <c r="I11710" i="17"/>
  <c r="I11709" i="17"/>
  <c r="I11708" i="17"/>
  <c r="I11707" i="17"/>
  <c r="I11706" i="17"/>
  <c r="I11705" i="17"/>
  <c r="I11704" i="17"/>
  <c r="I11703" i="17"/>
  <c r="I11702" i="17"/>
  <c r="I11701" i="17"/>
  <c r="I11700" i="17"/>
  <c r="I11699" i="17"/>
  <c r="I11698" i="17"/>
  <c r="I11697" i="17"/>
  <c r="I11696" i="17"/>
  <c r="I11695" i="17"/>
  <c r="I11694" i="17"/>
  <c r="I11693" i="17"/>
  <c r="I11692" i="17"/>
  <c r="I11691" i="17"/>
  <c r="I11690" i="17"/>
  <c r="I11689" i="17"/>
  <c r="I11688" i="17"/>
  <c r="I11687" i="17"/>
  <c r="I11686" i="17"/>
  <c r="I11685" i="17"/>
  <c r="I11684" i="17"/>
  <c r="I11683" i="17"/>
  <c r="I11682" i="17"/>
  <c r="I11681" i="17"/>
  <c r="I11680" i="17"/>
  <c r="I11679" i="17"/>
  <c r="I11678" i="17"/>
  <c r="I11677" i="17"/>
  <c r="I11676" i="17"/>
  <c r="I11675" i="17"/>
  <c r="I11674" i="17"/>
  <c r="I11673" i="17"/>
  <c r="I11672" i="17"/>
  <c r="I11671" i="17"/>
  <c r="I11670" i="17"/>
  <c r="I11669" i="17"/>
  <c r="I11668" i="17"/>
  <c r="I11667" i="17"/>
  <c r="I11666" i="17"/>
  <c r="I11665" i="17"/>
  <c r="I11664" i="17"/>
  <c r="I11663" i="17"/>
  <c r="I11662" i="17"/>
  <c r="I11661" i="17"/>
  <c r="I11660" i="17"/>
  <c r="I11659" i="17"/>
  <c r="I11658" i="17"/>
  <c r="I11657" i="17"/>
  <c r="I11656" i="17"/>
  <c r="I11655" i="17"/>
  <c r="I11654" i="17"/>
  <c r="I11653" i="17"/>
  <c r="I11652" i="17"/>
  <c r="I11651" i="17"/>
  <c r="I11650" i="17"/>
  <c r="I11649" i="17"/>
  <c r="I11648" i="17"/>
  <c r="I11647" i="17"/>
  <c r="I11646" i="17"/>
  <c r="I11645" i="17"/>
  <c r="I11644" i="17"/>
  <c r="I11643" i="17"/>
  <c r="I11642" i="17"/>
  <c r="I11641" i="17"/>
  <c r="I11640" i="17"/>
  <c r="I11639" i="17"/>
  <c r="I11638" i="17"/>
  <c r="I11637" i="17"/>
  <c r="I11636" i="17"/>
  <c r="I11635" i="17"/>
  <c r="I11634" i="17"/>
  <c r="I11633" i="17"/>
  <c r="I11632" i="17"/>
  <c r="I11631" i="17"/>
  <c r="I11630" i="17"/>
  <c r="I11629" i="17"/>
  <c r="I11628" i="17"/>
  <c r="I11627" i="17"/>
  <c r="I11626" i="17"/>
  <c r="I11625" i="17"/>
  <c r="I11624" i="17"/>
  <c r="I11623" i="17"/>
  <c r="I11622" i="17"/>
  <c r="I11621" i="17"/>
  <c r="I11620" i="17"/>
  <c r="I11619" i="17"/>
  <c r="I11618" i="17"/>
  <c r="I11617" i="17"/>
  <c r="I11616" i="17"/>
  <c r="I11615" i="17"/>
  <c r="I11614" i="17"/>
  <c r="I11613" i="17"/>
  <c r="I11612" i="17"/>
  <c r="I11611" i="17"/>
  <c r="I11610" i="17"/>
  <c r="I11609" i="17"/>
  <c r="I11608" i="17"/>
  <c r="I11607" i="17"/>
  <c r="I11606" i="17"/>
  <c r="I11605" i="17"/>
  <c r="I11604" i="17"/>
  <c r="I11603" i="17"/>
  <c r="I11602" i="17"/>
  <c r="I11601" i="17"/>
  <c r="I11600" i="17"/>
  <c r="I11599" i="17"/>
  <c r="I11598" i="17"/>
  <c r="I11597" i="17"/>
  <c r="I11596" i="17"/>
  <c r="I11595" i="17"/>
  <c r="I11594" i="17"/>
  <c r="I11593" i="17"/>
  <c r="I11592" i="17"/>
  <c r="I11591" i="17"/>
  <c r="I11590" i="17"/>
  <c r="I11589" i="17"/>
  <c r="I11588" i="17"/>
  <c r="I11587" i="17"/>
  <c r="I11586" i="17"/>
  <c r="I11585" i="17"/>
  <c r="I11584" i="17"/>
  <c r="I11583" i="17"/>
  <c r="I11582" i="17"/>
  <c r="I11581" i="17"/>
  <c r="I11580" i="17"/>
  <c r="I11579" i="17"/>
  <c r="I11578" i="17"/>
  <c r="I11577" i="17"/>
  <c r="I11576" i="17"/>
  <c r="I11575" i="17"/>
  <c r="I11574" i="17"/>
  <c r="I11573" i="17"/>
  <c r="I11572" i="17"/>
  <c r="I11571" i="17"/>
  <c r="I11570" i="17"/>
  <c r="I11569" i="17"/>
  <c r="I11568" i="17"/>
  <c r="I11567" i="17"/>
  <c r="I11566" i="17"/>
  <c r="I11565" i="17"/>
  <c r="I11564" i="17"/>
  <c r="I11563" i="17"/>
  <c r="I11562" i="17"/>
  <c r="I11561" i="17"/>
  <c r="I11560" i="17"/>
  <c r="I11559" i="17"/>
  <c r="I11558" i="17"/>
  <c r="I11557" i="17"/>
  <c r="I11556" i="17"/>
  <c r="I11555" i="17"/>
  <c r="I11554" i="17"/>
  <c r="I11553" i="17"/>
  <c r="I11552" i="17"/>
  <c r="I11551" i="17"/>
  <c r="I11550" i="17"/>
  <c r="I11549" i="17"/>
  <c r="I11548" i="17"/>
  <c r="I11547" i="17"/>
  <c r="I11546" i="17"/>
  <c r="I11545" i="17"/>
  <c r="I11544" i="17"/>
  <c r="I11543" i="17"/>
  <c r="I11542" i="17"/>
  <c r="I11541" i="17"/>
  <c r="I11540" i="17"/>
  <c r="I11539" i="17"/>
  <c r="I11538" i="17"/>
  <c r="I11537" i="17"/>
  <c r="I11536" i="17"/>
  <c r="I11535" i="17"/>
  <c r="I11534" i="17"/>
  <c r="I11533" i="17"/>
  <c r="I11532" i="17"/>
  <c r="I11531" i="17"/>
  <c r="I11530" i="17"/>
  <c r="I11529" i="17"/>
  <c r="I11528" i="17"/>
  <c r="I11527" i="17"/>
  <c r="I11526" i="17"/>
  <c r="I11525" i="17"/>
  <c r="I11524" i="17"/>
  <c r="I11523" i="17"/>
  <c r="I11522" i="17"/>
  <c r="I11521" i="17"/>
  <c r="I11520" i="17"/>
  <c r="I11519" i="17"/>
  <c r="I11518" i="17"/>
  <c r="I11517" i="17"/>
  <c r="I11516" i="17"/>
  <c r="I11515" i="17"/>
  <c r="I11514" i="17"/>
  <c r="I11513" i="17"/>
  <c r="I11512" i="17"/>
  <c r="I11511" i="17"/>
  <c r="I11510" i="17"/>
  <c r="I11509" i="17"/>
  <c r="I11508" i="17"/>
  <c r="I11507" i="17"/>
  <c r="I11506" i="17"/>
  <c r="I11505" i="17"/>
  <c r="I11504" i="17"/>
  <c r="I11503" i="17"/>
  <c r="I11502" i="17"/>
  <c r="I11501" i="17"/>
  <c r="I11500" i="17"/>
  <c r="I11499" i="17"/>
  <c r="I11498" i="17"/>
  <c r="I11497" i="17"/>
  <c r="I11496" i="17"/>
  <c r="I11495" i="17"/>
  <c r="I11494" i="17"/>
  <c r="I11493" i="17"/>
  <c r="I11492" i="17"/>
  <c r="I11491" i="17"/>
  <c r="I11490" i="17"/>
  <c r="I11489" i="17"/>
  <c r="I11488" i="17"/>
  <c r="I11487" i="17"/>
  <c r="I11486" i="17"/>
  <c r="I11485" i="17"/>
  <c r="I11484" i="17"/>
  <c r="I11483" i="17"/>
  <c r="I11482" i="17"/>
  <c r="I11481" i="17"/>
  <c r="I11480" i="17"/>
  <c r="I11479" i="17"/>
  <c r="I11478" i="17"/>
  <c r="I11477" i="17"/>
  <c r="I11476" i="17"/>
  <c r="I11475" i="17"/>
  <c r="I11474" i="17"/>
  <c r="I11473" i="17"/>
  <c r="I11472" i="17"/>
  <c r="I11471" i="17"/>
  <c r="I11470" i="17"/>
  <c r="I11469" i="17"/>
  <c r="I11468" i="17"/>
  <c r="I11467" i="17"/>
  <c r="I11466" i="17"/>
  <c r="I11465" i="17"/>
  <c r="I11464" i="17"/>
  <c r="I11463" i="17"/>
  <c r="I11462" i="17"/>
  <c r="I11461" i="17"/>
  <c r="I11460" i="17"/>
  <c r="I11459" i="17"/>
  <c r="I11458" i="17"/>
  <c r="I11457" i="17"/>
  <c r="I11456" i="17"/>
  <c r="I11455" i="17"/>
  <c r="I11454" i="17"/>
  <c r="I11453" i="17"/>
  <c r="I11452" i="17"/>
  <c r="I11451" i="17"/>
  <c r="I11450" i="17"/>
  <c r="I11449" i="17"/>
  <c r="I11448" i="17"/>
  <c r="I11447" i="17"/>
  <c r="I11446" i="17"/>
  <c r="I11445" i="17"/>
  <c r="I11444" i="17"/>
  <c r="I11443" i="17"/>
  <c r="I11442" i="17"/>
  <c r="I11441" i="17"/>
  <c r="I11440" i="17"/>
  <c r="I11439" i="17"/>
  <c r="I11438" i="17"/>
  <c r="I11437" i="17"/>
  <c r="I11436" i="17"/>
  <c r="I11435" i="17"/>
  <c r="I11434" i="17"/>
  <c r="I11433" i="17"/>
  <c r="I11432" i="17"/>
  <c r="I11431" i="17"/>
  <c r="I11430" i="17"/>
  <c r="I11429" i="17"/>
  <c r="I11428" i="17"/>
  <c r="I11427" i="17"/>
  <c r="I11426" i="17"/>
  <c r="I11425" i="17"/>
  <c r="I11424" i="17"/>
  <c r="I11423" i="17"/>
  <c r="I11422" i="17"/>
  <c r="I11421" i="17"/>
  <c r="I11420" i="17"/>
  <c r="I11419" i="17"/>
  <c r="I11418" i="17"/>
  <c r="I11417" i="17"/>
  <c r="I11416" i="17"/>
  <c r="I11415" i="17"/>
  <c r="I11414" i="17"/>
  <c r="I11413" i="17"/>
  <c r="I11412" i="17"/>
  <c r="I11411" i="17"/>
  <c r="I11410" i="17"/>
  <c r="I11409" i="17"/>
  <c r="I11408" i="17"/>
  <c r="I11407" i="17"/>
  <c r="I11406" i="17"/>
  <c r="I11405" i="17"/>
  <c r="I11404" i="17"/>
  <c r="I11403" i="17"/>
  <c r="I11402" i="17"/>
  <c r="I11401" i="17"/>
  <c r="I11400" i="17"/>
  <c r="I11399" i="17"/>
  <c r="I11398" i="17"/>
  <c r="I11397" i="17"/>
  <c r="I11396" i="17"/>
  <c r="I11395" i="17"/>
  <c r="I11394" i="17"/>
  <c r="I11393" i="17"/>
  <c r="I11392" i="17"/>
  <c r="I11391" i="17"/>
  <c r="I11390" i="17"/>
  <c r="I11389" i="17"/>
  <c r="I11388" i="17"/>
  <c r="I11387" i="17"/>
  <c r="I11386" i="17"/>
  <c r="I11385" i="17"/>
  <c r="I11384" i="17"/>
  <c r="I11383" i="17"/>
  <c r="I11382" i="17"/>
  <c r="I11381" i="17"/>
  <c r="I11380" i="17"/>
  <c r="I11379" i="17"/>
  <c r="I11378" i="17"/>
  <c r="I11377" i="17"/>
  <c r="I11376" i="17"/>
  <c r="I11375" i="17"/>
  <c r="I11374" i="17"/>
  <c r="I11373" i="17"/>
  <c r="I11372" i="17"/>
  <c r="I11371" i="17"/>
  <c r="I11370" i="17"/>
  <c r="I11369" i="17"/>
  <c r="I11368" i="17"/>
  <c r="I11367" i="17"/>
  <c r="I11366" i="17"/>
  <c r="I11365" i="17"/>
  <c r="I11364" i="17"/>
  <c r="I11363" i="17"/>
  <c r="I11362" i="17"/>
  <c r="I11361" i="17"/>
  <c r="I11360" i="17"/>
  <c r="I11359" i="17"/>
  <c r="I11358" i="17"/>
  <c r="I11357" i="17"/>
  <c r="I11356" i="17"/>
  <c r="I11355" i="17"/>
  <c r="I11354" i="17"/>
  <c r="I11353" i="17"/>
  <c r="I11352" i="17"/>
  <c r="I11351" i="17"/>
  <c r="I11350" i="17"/>
  <c r="I11349" i="17"/>
  <c r="I11348" i="17"/>
  <c r="I11347" i="17"/>
  <c r="I11346" i="17"/>
  <c r="I11345" i="17"/>
  <c r="I11344" i="17"/>
  <c r="I11343" i="17"/>
  <c r="I11342" i="17"/>
  <c r="I11341" i="17"/>
  <c r="I11340" i="17"/>
  <c r="I11339" i="17"/>
  <c r="I11338" i="17"/>
  <c r="I11337" i="17"/>
  <c r="I11336" i="17"/>
  <c r="I11335" i="17"/>
  <c r="I11334" i="17"/>
  <c r="I11333" i="17"/>
  <c r="I11332" i="17"/>
  <c r="I11331" i="17"/>
  <c r="I11330" i="17"/>
  <c r="I11329" i="17"/>
  <c r="I11328" i="17"/>
  <c r="I11327" i="17"/>
  <c r="I11326" i="17"/>
  <c r="I11325" i="17"/>
  <c r="I11324" i="17"/>
  <c r="I11323" i="17"/>
  <c r="I11322" i="17"/>
  <c r="I11321" i="17"/>
  <c r="I11320" i="17"/>
  <c r="I11319" i="17"/>
  <c r="I11318" i="17"/>
  <c r="I11317" i="17"/>
  <c r="I11316" i="17"/>
  <c r="I11315" i="17"/>
  <c r="I11314" i="17"/>
  <c r="I11313" i="17"/>
  <c r="I11312" i="17"/>
  <c r="I11311" i="17"/>
  <c r="I11310" i="17"/>
  <c r="I11309" i="17"/>
  <c r="I11308" i="17"/>
  <c r="I11307" i="17"/>
  <c r="I11306" i="17"/>
  <c r="I11305" i="17"/>
  <c r="I11304" i="17"/>
  <c r="I11303" i="17"/>
  <c r="I11302" i="17"/>
  <c r="I11301" i="17"/>
  <c r="I11300" i="17"/>
  <c r="I11299" i="17"/>
  <c r="I11298" i="17"/>
  <c r="I11297" i="17"/>
  <c r="I11296" i="17"/>
  <c r="I11295" i="17"/>
  <c r="I11294" i="17"/>
  <c r="I11293" i="17"/>
  <c r="I11292" i="17"/>
  <c r="I11291" i="17"/>
  <c r="I11290" i="17"/>
  <c r="I11289" i="17"/>
  <c r="I11288" i="17"/>
  <c r="I11287" i="17"/>
  <c r="I11286" i="17"/>
  <c r="I11285" i="17"/>
  <c r="I11284" i="17"/>
  <c r="I11283" i="17"/>
  <c r="I11282" i="17"/>
  <c r="I11281" i="17"/>
  <c r="I11280" i="17"/>
  <c r="I11279" i="17"/>
  <c r="I11278" i="17"/>
  <c r="I11277" i="17"/>
  <c r="I11276" i="17"/>
  <c r="I11275" i="17"/>
  <c r="I11274" i="17"/>
  <c r="I11273" i="17"/>
  <c r="I11272" i="17"/>
  <c r="I11271" i="17"/>
  <c r="I11270" i="17"/>
  <c r="I11269" i="17"/>
  <c r="I11268" i="17"/>
  <c r="I11267" i="17"/>
  <c r="I11266" i="17"/>
  <c r="I11265" i="17"/>
  <c r="I11264" i="17"/>
  <c r="I11263" i="17"/>
  <c r="I11262" i="17"/>
  <c r="I11261" i="17"/>
  <c r="I11260" i="17"/>
  <c r="I11259" i="17"/>
  <c r="I11258" i="17"/>
  <c r="I11257" i="17"/>
  <c r="I11256" i="17"/>
  <c r="I11255" i="17"/>
  <c r="I11254" i="17"/>
  <c r="I11253" i="17"/>
  <c r="I11252" i="17"/>
  <c r="I11251" i="17"/>
  <c r="I11250" i="17"/>
  <c r="I11249" i="17"/>
  <c r="I11248" i="17"/>
  <c r="I11247" i="17"/>
  <c r="I11246" i="17"/>
  <c r="I11245" i="17"/>
  <c r="I11244" i="17"/>
  <c r="I11243" i="17"/>
  <c r="I11242" i="17"/>
  <c r="I11241" i="17"/>
  <c r="I11240" i="17"/>
  <c r="I11239" i="17"/>
  <c r="I11238" i="17"/>
  <c r="I11237" i="17"/>
  <c r="I11236" i="17"/>
  <c r="I11235" i="17"/>
  <c r="I11234" i="17"/>
  <c r="I11233" i="17"/>
  <c r="I11232" i="17"/>
  <c r="I11231" i="17"/>
  <c r="I11230" i="17"/>
  <c r="I11229" i="17"/>
  <c r="I11228" i="17"/>
  <c r="I11227" i="17"/>
  <c r="I11226" i="17"/>
  <c r="I11225" i="17"/>
  <c r="I11224" i="17"/>
  <c r="I11223" i="17"/>
  <c r="I11222" i="17"/>
  <c r="I11221" i="17"/>
  <c r="I11220" i="17"/>
  <c r="I11219" i="17"/>
  <c r="I11218" i="17"/>
  <c r="I11217" i="17"/>
  <c r="I11216" i="17"/>
  <c r="I11215" i="17"/>
  <c r="I11214" i="17"/>
  <c r="I11213" i="17"/>
  <c r="I11212" i="17"/>
  <c r="I11211" i="17"/>
  <c r="I11210" i="17"/>
  <c r="I11209" i="17"/>
  <c r="I11208" i="17"/>
  <c r="I11207" i="17"/>
  <c r="I11206" i="17"/>
  <c r="I11205" i="17"/>
  <c r="I11204" i="17"/>
  <c r="I11203" i="17"/>
  <c r="I11202" i="17"/>
  <c r="I11201" i="17"/>
  <c r="I11200" i="17"/>
  <c r="I11199" i="17"/>
  <c r="I11198" i="17"/>
  <c r="I11197" i="17"/>
  <c r="I11196" i="17"/>
  <c r="I11195" i="17"/>
  <c r="I11194" i="17"/>
  <c r="I11193" i="17"/>
  <c r="I11192" i="17"/>
  <c r="I11191" i="17"/>
  <c r="I11190" i="17"/>
  <c r="I11189" i="17"/>
  <c r="I11188" i="17"/>
  <c r="I11187" i="17"/>
  <c r="I11186" i="17"/>
  <c r="I11185" i="17"/>
  <c r="I11184" i="17"/>
  <c r="I11183" i="17"/>
  <c r="I11182" i="17"/>
  <c r="I11181" i="17"/>
  <c r="I11180" i="17"/>
  <c r="I11179" i="17"/>
  <c r="I11178" i="17"/>
  <c r="I11177" i="17"/>
  <c r="I11176" i="17"/>
  <c r="I11175" i="17"/>
  <c r="I11174" i="17"/>
  <c r="I11173" i="17"/>
  <c r="I11172" i="17"/>
  <c r="I11171" i="17"/>
  <c r="I11170" i="17"/>
  <c r="I11169" i="17"/>
  <c r="I11168" i="17"/>
  <c r="I11167" i="17"/>
  <c r="I11166" i="17"/>
  <c r="I11165" i="17"/>
  <c r="I11164" i="17"/>
  <c r="I11163" i="17"/>
  <c r="I11162" i="17"/>
  <c r="I11161" i="17"/>
  <c r="I11160" i="17"/>
  <c r="I11159" i="17"/>
  <c r="I11158" i="17"/>
  <c r="I11157" i="17"/>
  <c r="I11156" i="17"/>
  <c r="I11155" i="17"/>
  <c r="I11154" i="17"/>
  <c r="I11153" i="17"/>
  <c r="I11152" i="17"/>
  <c r="I11151" i="17"/>
  <c r="I11150" i="17"/>
  <c r="I11149" i="17"/>
  <c r="I11148" i="17"/>
  <c r="I11147" i="17"/>
  <c r="I11146" i="17"/>
  <c r="I11145" i="17"/>
  <c r="I11144" i="17"/>
  <c r="I11143" i="17"/>
  <c r="I11142" i="17"/>
  <c r="I11141" i="17"/>
  <c r="I11140" i="17"/>
  <c r="I11139" i="17"/>
  <c r="I11138" i="17"/>
  <c r="I11137" i="17"/>
  <c r="I11136" i="17"/>
  <c r="I11135" i="17"/>
  <c r="I11134" i="17"/>
  <c r="I11133" i="17"/>
  <c r="I11132" i="17"/>
  <c r="I11131" i="17"/>
  <c r="I11130" i="17"/>
  <c r="I11129" i="17"/>
  <c r="I11128" i="17"/>
  <c r="I11127" i="17"/>
  <c r="I11126" i="17"/>
  <c r="I11125" i="17"/>
  <c r="I11124" i="17"/>
  <c r="I11123" i="17"/>
  <c r="I11122" i="17"/>
  <c r="I11121" i="17"/>
  <c r="I11120" i="17"/>
  <c r="I11119" i="17"/>
  <c r="I11118" i="17"/>
  <c r="I11117" i="17"/>
  <c r="I11116" i="17"/>
  <c r="I11115" i="17"/>
  <c r="I11114" i="17"/>
  <c r="I11113" i="17"/>
  <c r="I11112" i="17"/>
  <c r="I11111" i="17"/>
  <c r="I11110" i="17"/>
  <c r="I11109" i="17"/>
  <c r="I11108" i="17"/>
  <c r="I11107" i="17"/>
  <c r="I11106" i="17"/>
  <c r="I11105" i="17"/>
  <c r="I11104" i="17"/>
  <c r="I11103" i="17"/>
  <c r="I11102" i="17"/>
  <c r="I11101" i="17"/>
  <c r="I11100" i="17"/>
  <c r="I11099" i="17"/>
  <c r="I11098" i="17"/>
  <c r="I11097" i="17"/>
  <c r="I11096" i="17"/>
  <c r="I11095" i="17"/>
  <c r="I11094" i="17"/>
  <c r="I11093" i="17"/>
  <c r="I11092" i="17"/>
  <c r="I11091" i="17"/>
  <c r="I11090" i="17"/>
  <c r="I11089" i="17"/>
  <c r="I11088" i="17"/>
  <c r="I11087" i="17"/>
  <c r="I11086" i="17"/>
  <c r="I11085" i="17"/>
  <c r="I11084" i="17"/>
  <c r="I11083" i="17"/>
  <c r="I11082" i="17"/>
  <c r="I11081" i="17"/>
  <c r="I11080" i="17"/>
  <c r="I11079" i="17"/>
  <c r="I11078" i="17"/>
  <c r="I11077" i="17"/>
  <c r="I11076" i="17"/>
  <c r="I11075" i="17"/>
  <c r="I11074" i="17"/>
  <c r="I11073" i="17"/>
  <c r="I11072" i="17"/>
  <c r="I11071" i="17"/>
  <c r="I11070" i="17"/>
  <c r="I11069" i="17"/>
  <c r="I11068" i="17"/>
  <c r="I11067" i="17"/>
  <c r="I11066" i="17"/>
  <c r="I11065" i="17"/>
  <c r="I11064" i="17"/>
  <c r="I11063" i="17"/>
  <c r="I11062" i="17"/>
  <c r="I11061" i="17"/>
  <c r="I11060" i="17"/>
  <c r="I11059" i="17"/>
  <c r="I11058" i="17"/>
  <c r="I11057" i="17"/>
  <c r="I11056" i="17"/>
  <c r="I11055" i="17"/>
  <c r="I11054" i="17"/>
  <c r="I11053" i="17"/>
  <c r="I11052" i="17"/>
  <c r="I11051" i="17"/>
  <c r="I11050" i="17"/>
  <c r="I11049" i="17"/>
  <c r="I11048" i="17"/>
  <c r="I11047" i="17"/>
  <c r="I11046" i="17"/>
  <c r="I11045" i="17"/>
  <c r="I11044" i="17"/>
  <c r="I11043" i="17"/>
  <c r="I11042" i="17"/>
  <c r="I11041" i="17"/>
  <c r="I11040" i="17"/>
  <c r="I11039" i="17"/>
  <c r="I11038" i="17"/>
  <c r="I11037" i="17"/>
  <c r="I11036" i="17"/>
  <c r="I11035" i="17"/>
  <c r="I11034" i="17"/>
  <c r="I11033" i="17"/>
  <c r="I11032" i="17"/>
  <c r="I11031" i="17"/>
  <c r="I11030" i="17"/>
  <c r="I11029" i="17"/>
  <c r="I11028" i="17"/>
  <c r="I11027" i="17"/>
  <c r="I11026" i="17"/>
  <c r="I11025" i="17"/>
  <c r="I11024" i="17"/>
  <c r="I11023" i="17"/>
  <c r="I11022" i="17"/>
  <c r="I11021" i="17"/>
  <c r="I11020" i="17"/>
  <c r="I11019" i="17"/>
  <c r="I11018" i="17"/>
  <c r="I11017" i="17"/>
  <c r="I11016" i="17"/>
  <c r="I11015" i="17"/>
  <c r="I11014" i="17"/>
  <c r="I11013" i="17"/>
  <c r="I11012" i="17"/>
  <c r="I11011" i="17"/>
  <c r="I11010" i="17"/>
  <c r="I11009" i="17"/>
  <c r="I11008" i="17"/>
  <c r="I11007" i="17"/>
  <c r="I11006" i="17"/>
  <c r="I11005" i="17"/>
  <c r="I11004" i="17"/>
  <c r="I11003" i="17"/>
  <c r="I11002" i="17"/>
  <c r="I11001" i="17"/>
  <c r="I11000" i="17"/>
  <c r="I10999" i="17"/>
  <c r="I10998" i="17"/>
  <c r="I10997" i="17"/>
  <c r="I10996" i="17"/>
  <c r="I10995" i="17"/>
  <c r="I10994" i="17"/>
  <c r="I10993" i="17"/>
  <c r="I10992" i="17"/>
  <c r="I10991" i="17"/>
  <c r="I10990" i="17"/>
  <c r="I10989" i="17"/>
  <c r="I10988" i="17"/>
  <c r="I10987" i="17"/>
  <c r="I10986" i="17"/>
  <c r="I10985" i="17"/>
  <c r="I10984" i="17"/>
  <c r="I10983" i="17"/>
  <c r="I10982" i="17"/>
  <c r="I10981" i="17"/>
  <c r="I10980" i="17"/>
  <c r="I10979" i="17"/>
  <c r="I10978" i="17"/>
  <c r="I10977" i="17"/>
  <c r="I10976" i="17"/>
  <c r="I10975" i="17"/>
  <c r="I10974" i="17"/>
  <c r="I10973" i="17"/>
  <c r="I10972" i="17"/>
  <c r="I10971" i="17"/>
  <c r="I10970" i="17"/>
  <c r="I10969" i="17"/>
  <c r="I10968" i="17"/>
  <c r="I10967" i="17"/>
  <c r="I10966" i="17"/>
  <c r="I10965" i="17"/>
  <c r="I10964" i="17"/>
  <c r="I10963" i="17"/>
  <c r="I10962" i="17"/>
  <c r="I10961" i="17"/>
  <c r="I10960" i="17"/>
  <c r="I10959" i="17"/>
  <c r="I10958" i="17"/>
  <c r="I10957" i="17"/>
  <c r="I10956" i="17"/>
  <c r="I10955" i="17"/>
  <c r="I10954" i="17"/>
  <c r="I10953" i="17"/>
  <c r="I10952" i="17"/>
  <c r="I10951" i="17"/>
  <c r="I10950" i="17"/>
  <c r="I10949" i="17"/>
  <c r="I10948" i="17"/>
  <c r="I10947" i="17"/>
  <c r="I10946" i="17"/>
  <c r="I10945" i="17"/>
  <c r="I10944" i="17"/>
  <c r="I10943" i="17"/>
  <c r="I10942" i="17"/>
  <c r="I10941" i="17"/>
  <c r="I10940" i="17"/>
  <c r="I10939" i="17"/>
  <c r="I10938" i="17"/>
  <c r="I10937" i="17"/>
  <c r="I10936" i="17"/>
  <c r="I10935" i="17"/>
  <c r="I10934" i="17"/>
  <c r="I10933" i="17"/>
  <c r="I10932" i="17"/>
  <c r="I10931" i="17"/>
  <c r="I10930" i="17"/>
  <c r="I10929" i="17"/>
  <c r="I10928" i="17"/>
  <c r="I10927" i="17"/>
  <c r="I10926" i="17"/>
  <c r="I10925" i="17"/>
  <c r="I10924" i="17"/>
  <c r="I10923" i="17"/>
  <c r="I10922" i="17"/>
  <c r="I10921" i="17"/>
  <c r="I10920" i="17"/>
  <c r="I10919" i="17"/>
  <c r="I10918" i="17"/>
  <c r="I10917" i="17"/>
  <c r="I10916" i="17"/>
  <c r="I10915" i="17"/>
  <c r="I10914" i="17"/>
  <c r="I10913" i="17"/>
  <c r="I10912" i="17"/>
  <c r="I10911" i="17"/>
  <c r="I10910" i="17"/>
  <c r="I10909" i="17"/>
  <c r="I10908" i="17"/>
  <c r="I10907" i="17"/>
  <c r="I10906" i="17"/>
  <c r="I10905" i="17"/>
  <c r="I10904" i="17"/>
  <c r="I10903" i="17"/>
  <c r="I10902" i="17"/>
  <c r="I10901" i="17"/>
  <c r="I10900" i="17"/>
  <c r="I10899" i="17"/>
  <c r="I10898" i="17"/>
  <c r="I10897" i="17"/>
  <c r="I10896" i="17"/>
  <c r="I10895" i="17"/>
  <c r="I10894" i="17"/>
  <c r="I10893" i="17"/>
  <c r="I10892" i="17"/>
  <c r="I10891" i="17"/>
  <c r="I10890" i="17"/>
  <c r="I10889" i="17"/>
  <c r="I10888" i="17"/>
  <c r="I10887" i="17"/>
  <c r="I10886" i="17"/>
  <c r="I10885" i="17"/>
  <c r="I10884" i="17"/>
  <c r="I10883" i="17"/>
  <c r="I10882" i="17"/>
  <c r="I10881" i="17"/>
  <c r="I10880" i="17"/>
  <c r="I10879" i="17"/>
  <c r="I10878" i="17"/>
  <c r="I10877" i="17"/>
  <c r="I10876" i="17"/>
  <c r="I10875" i="17"/>
  <c r="I10874" i="17"/>
  <c r="I10873" i="17"/>
  <c r="I10872" i="17"/>
  <c r="I10871" i="17"/>
  <c r="I10870" i="17"/>
  <c r="I10869" i="17"/>
  <c r="I10868" i="17"/>
  <c r="I10867" i="17"/>
  <c r="I10866" i="17"/>
  <c r="I10865" i="17"/>
  <c r="I10864" i="17"/>
  <c r="I10863" i="17"/>
  <c r="I10862" i="17"/>
  <c r="I10861" i="17"/>
  <c r="I10860" i="17"/>
  <c r="I10859" i="17"/>
  <c r="I10858" i="17"/>
  <c r="I10857" i="17"/>
  <c r="I10856" i="17"/>
  <c r="I10855" i="17"/>
  <c r="I10854" i="17"/>
  <c r="I10853" i="17"/>
  <c r="I10852" i="17"/>
  <c r="I10851" i="17"/>
  <c r="I10850" i="17"/>
  <c r="I10849" i="17"/>
  <c r="I10848" i="17"/>
  <c r="I10847" i="17"/>
  <c r="I10846" i="17"/>
  <c r="I10845" i="17"/>
  <c r="I10844" i="17"/>
  <c r="I10843" i="17"/>
  <c r="I10842" i="17"/>
  <c r="I10841" i="17"/>
  <c r="I10840" i="17"/>
  <c r="I10839" i="17"/>
  <c r="I10838" i="17"/>
  <c r="I10837" i="17"/>
  <c r="I10836" i="17"/>
  <c r="I10835" i="17"/>
  <c r="I10834" i="17"/>
  <c r="I10833" i="17"/>
  <c r="I10832" i="17"/>
  <c r="I10831" i="17"/>
  <c r="I10830" i="17"/>
  <c r="I10829" i="17"/>
  <c r="I10828" i="17"/>
  <c r="I10827" i="17"/>
  <c r="I10826" i="17"/>
  <c r="I10825" i="17"/>
  <c r="I10824" i="17"/>
  <c r="I10823" i="17"/>
  <c r="I10822" i="17"/>
  <c r="I10821" i="17"/>
  <c r="I10820" i="17"/>
  <c r="I10819" i="17"/>
  <c r="I10818" i="17"/>
  <c r="I10817" i="17"/>
  <c r="I10816" i="17"/>
  <c r="I10815" i="17"/>
  <c r="I10814" i="17"/>
  <c r="I10813" i="17"/>
  <c r="I10812" i="17"/>
  <c r="I10811" i="17"/>
  <c r="I10810" i="17"/>
  <c r="I10809" i="17"/>
  <c r="I10808" i="17"/>
  <c r="I10807" i="17"/>
  <c r="I10806" i="17"/>
  <c r="I10805" i="17"/>
  <c r="I10804" i="17"/>
  <c r="I10803" i="17"/>
  <c r="I10802" i="17"/>
  <c r="I10801" i="17"/>
  <c r="I10800" i="17"/>
  <c r="I10799" i="17"/>
  <c r="I10798" i="17"/>
  <c r="I10797" i="17"/>
  <c r="I10796" i="17"/>
  <c r="I10795" i="17"/>
  <c r="I10794" i="17"/>
  <c r="I10793" i="17"/>
  <c r="I10792" i="17"/>
  <c r="I10791" i="17"/>
  <c r="I10790" i="17"/>
  <c r="I10789" i="17"/>
  <c r="I10788" i="17"/>
  <c r="I10787" i="17"/>
  <c r="I10786" i="17"/>
  <c r="I10785" i="17"/>
  <c r="I10784" i="17"/>
  <c r="I10783" i="17"/>
  <c r="I10782" i="17"/>
  <c r="I10781" i="17"/>
  <c r="I10780" i="17"/>
  <c r="I10779" i="17"/>
  <c r="I10778" i="17"/>
  <c r="I10777" i="17"/>
  <c r="I10776" i="17"/>
  <c r="I10775" i="17"/>
  <c r="I10774" i="17"/>
  <c r="I10773" i="17"/>
  <c r="I10772" i="17"/>
  <c r="I10771" i="17"/>
  <c r="I10770" i="17"/>
  <c r="I10769" i="17"/>
  <c r="I10768" i="17"/>
  <c r="I10767" i="17"/>
  <c r="I10766" i="17"/>
  <c r="I10765" i="17"/>
  <c r="I10764" i="17"/>
  <c r="I10763" i="17"/>
  <c r="I10762" i="17"/>
  <c r="I10761" i="17"/>
  <c r="I10760" i="17"/>
  <c r="I10759" i="17"/>
  <c r="I10758" i="17"/>
  <c r="I10757" i="17"/>
  <c r="I10756" i="17"/>
  <c r="I10755" i="17"/>
  <c r="I10754" i="17"/>
  <c r="I10753" i="17"/>
  <c r="I10752" i="17"/>
  <c r="I10751" i="17"/>
  <c r="I10750" i="17"/>
  <c r="I10749" i="17"/>
  <c r="I10748" i="17"/>
  <c r="I10747" i="17"/>
  <c r="I10746" i="17"/>
  <c r="I10745" i="17"/>
  <c r="I10744" i="17"/>
  <c r="I10743" i="17"/>
  <c r="I10742" i="17"/>
  <c r="I10741" i="17"/>
  <c r="I10740" i="17"/>
  <c r="I10739" i="17"/>
  <c r="I10738" i="17"/>
  <c r="I10737" i="17"/>
  <c r="I10736" i="17"/>
  <c r="I10735" i="17"/>
  <c r="I10734" i="17"/>
  <c r="I10733" i="17"/>
  <c r="I10732" i="17"/>
  <c r="I10731" i="17"/>
  <c r="I10730" i="17"/>
  <c r="I10729" i="17"/>
  <c r="I10728" i="17"/>
  <c r="I10727" i="17"/>
  <c r="I10726" i="17"/>
  <c r="I10725" i="17"/>
  <c r="I10724" i="17"/>
  <c r="I10723" i="17"/>
  <c r="I10722" i="17"/>
  <c r="I10721" i="17"/>
  <c r="I10720" i="17"/>
  <c r="I10719" i="17"/>
  <c r="I10718" i="17"/>
  <c r="I10717" i="17"/>
  <c r="I10716" i="17"/>
  <c r="I10715" i="17"/>
  <c r="I10714" i="17"/>
  <c r="I10713" i="17"/>
  <c r="I10712" i="17"/>
  <c r="I10711" i="17"/>
  <c r="I10710" i="17"/>
  <c r="I10709" i="17"/>
  <c r="I10708" i="17"/>
  <c r="I10707" i="17"/>
  <c r="I10706" i="17"/>
  <c r="I10705" i="17"/>
  <c r="I10704" i="17"/>
  <c r="I10703" i="17"/>
  <c r="I10702" i="17"/>
  <c r="I10701" i="17"/>
  <c r="I10700" i="17"/>
  <c r="I10699" i="17"/>
  <c r="I10698" i="17"/>
  <c r="I10697" i="17"/>
  <c r="I10696" i="17"/>
  <c r="I10695" i="17"/>
  <c r="I10694" i="17"/>
  <c r="I10693" i="17"/>
  <c r="I10692" i="17"/>
  <c r="I10691" i="17"/>
  <c r="I10690" i="17"/>
  <c r="I10689" i="17"/>
  <c r="I10688" i="17"/>
  <c r="I10687" i="17"/>
  <c r="I10686" i="17"/>
  <c r="I10685" i="17"/>
  <c r="I10684" i="17"/>
  <c r="I10683" i="17"/>
  <c r="I10682" i="17"/>
  <c r="I10681" i="17"/>
  <c r="I10680" i="17"/>
  <c r="I10679" i="17"/>
  <c r="I10678" i="17"/>
  <c r="I10677" i="17"/>
  <c r="I10676" i="17"/>
  <c r="I10675" i="17"/>
  <c r="I10674" i="17"/>
  <c r="I10673" i="17"/>
  <c r="I10672" i="17"/>
  <c r="I10671" i="17"/>
  <c r="I10670" i="17"/>
  <c r="I10669" i="17"/>
  <c r="I10668" i="17"/>
  <c r="I10667" i="17"/>
  <c r="I10666" i="17"/>
  <c r="I10665" i="17"/>
  <c r="I10664" i="17"/>
  <c r="I10663" i="17"/>
  <c r="I10662" i="17"/>
  <c r="I10661" i="17"/>
  <c r="I10660" i="17"/>
  <c r="I10659" i="17"/>
  <c r="I10658" i="17"/>
  <c r="I10657" i="17"/>
  <c r="I10656" i="17"/>
  <c r="I10655" i="17"/>
  <c r="I10654" i="17"/>
  <c r="I10653" i="17"/>
  <c r="I10652" i="17"/>
  <c r="I10651" i="17"/>
  <c r="I10650" i="17"/>
  <c r="I10649" i="17"/>
  <c r="I10648" i="17"/>
  <c r="I10647" i="17"/>
  <c r="I10646" i="17"/>
  <c r="I10645" i="17"/>
  <c r="I10644" i="17"/>
  <c r="I10643" i="17"/>
  <c r="I10642" i="17"/>
  <c r="I10641" i="17"/>
  <c r="I10640" i="17"/>
  <c r="I10639" i="17"/>
  <c r="I10638" i="17"/>
  <c r="I10637" i="17"/>
  <c r="I10636" i="17"/>
  <c r="I10635" i="17"/>
  <c r="I10634" i="17"/>
  <c r="I10633" i="17"/>
  <c r="I10632" i="17"/>
  <c r="I10631" i="17"/>
  <c r="I10630" i="17"/>
  <c r="I10629" i="17"/>
  <c r="I10628" i="17"/>
  <c r="I10627" i="17"/>
  <c r="I10626" i="17"/>
  <c r="I10625" i="17"/>
  <c r="I10624" i="17"/>
  <c r="I10623" i="17"/>
  <c r="I10622" i="17"/>
  <c r="I10621" i="17"/>
  <c r="I10620" i="17"/>
  <c r="I10619" i="17"/>
  <c r="I10618" i="17"/>
  <c r="I10617" i="17"/>
  <c r="I10616" i="17"/>
  <c r="I10615" i="17"/>
  <c r="I10614" i="17"/>
  <c r="I10613" i="17"/>
  <c r="I10612" i="17"/>
  <c r="I10611" i="17"/>
  <c r="I10610" i="17"/>
  <c r="I10609" i="17"/>
  <c r="I10608" i="17"/>
  <c r="I10607" i="17"/>
  <c r="I10606" i="17"/>
  <c r="I10605" i="17"/>
  <c r="I10604" i="17"/>
  <c r="I10603" i="17"/>
  <c r="I10602" i="17"/>
  <c r="I10601" i="17"/>
  <c r="I10600" i="17"/>
  <c r="I10599" i="17"/>
  <c r="I10598" i="17"/>
  <c r="I10597" i="17"/>
  <c r="I10596" i="17"/>
  <c r="I10595" i="17"/>
  <c r="I10594" i="17"/>
  <c r="I10593" i="17"/>
  <c r="I10592" i="17"/>
  <c r="I10591" i="17"/>
  <c r="I10590" i="17"/>
  <c r="I10589" i="17"/>
  <c r="I10588" i="17"/>
  <c r="I10587" i="17"/>
  <c r="I10586" i="17"/>
  <c r="I10585" i="17"/>
  <c r="I10584" i="17"/>
  <c r="I10583" i="17"/>
  <c r="I10582" i="17"/>
  <c r="I10581" i="17"/>
  <c r="I10580" i="17"/>
  <c r="I10579" i="17"/>
  <c r="I10578" i="17"/>
  <c r="I10577" i="17"/>
  <c r="I10576" i="17"/>
  <c r="I10575" i="17"/>
  <c r="I10574" i="17"/>
  <c r="I10573" i="17"/>
  <c r="I10572" i="17"/>
  <c r="I10571" i="17"/>
  <c r="I10570" i="17"/>
  <c r="I10569" i="17"/>
  <c r="I10568" i="17"/>
  <c r="I10567" i="17"/>
  <c r="I10566" i="17"/>
  <c r="I10565" i="17"/>
  <c r="I10564" i="17"/>
  <c r="I10563" i="17"/>
  <c r="I10562" i="17"/>
  <c r="I10561" i="17"/>
  <c r="I10560" i="17"/>
  <c r="I10559" i="17"/>
  <c r="I10558" i="17"/>
  <c r="I10557" i="17"/>
  <c r="I10556" i="17"/>
  <c r="I10555" i="17"/>
  <c r="I10554" i="17"/>
  <c r="I10553" i="17"/>
  <c r="I10552" i="17"/>
  <c r="I10551" i="17"/>
  <c r="I10550" i="17"/>
  <c r="I10549" i="17"/>
  <c r="I10548" i="17"/>
  <c r="I10547" i="17"/>
  <c r="I10546" i="17"/>
  <c r="I10545" i="17"/>
  <c r="I10544" i="17"/>
  <c r="I10543" i="17"/>
  <c r="I10542" i="17"/>
  <c r="I10541" i="17"/>
  <c r="I10540" i="17"/>
  <c r="I10539" i="17"/>
  <c r="I10538" i="17"/>
  <c r="I10537" i="17"/>
  <c r="I10536" i="17"/>
  <c r="I10535" i="17"/>
  <c r="I10534" i="17"/>
  <c r="I10533" i="17"/>
  <c r="I10532" i="17"/>
  <c r="I10531" i="17"/>
  <c r="I10530" i="17"/>
  <c r="I10529" i="17"/>
  <c r="I10528" i="17"/>
  <c r="I10527" i="17"/>
  <c r="I10526" i="17"/>
  <c r="I10525" i="17"/>
  <c r="I10524" i="17"/>
  <c r="I10523" i="17"/>
  <c r="I10522" i="17"/>
  <c r="I10521" i="17"/>
  <c r="I10520" i="17"/>
  <c r="I10519" i="17"/>
  <c r="I10518" i="17"/>
  <c r="I10517" i="17"/>
  <c r="I10516" i="17"/>
  <c r="I10515" i="17"/>
  <c r="I10514" i="17"/>
  <c r="I10513" i="17"/>
  <c r="I10512" i="17"/>
  <c r="I10511" i="17"/>
  <c r="I10510" i="17"/>
  <c r="I10509" i="17"/>
  <c r="I10508" i="17"/>
  <c r="I10507" i="17"/>
  <c r="I10506" i="17"/>
  <c r="I10505" i="17"/>
  <c r="I10504" i="17"/>
  <c r="I10503" i="17"/>
  <c r="I10502" i="17"/>
  <c r="I10501" i="17"/>
  <c r="I10500" i="17"/>
  <c r="I10499" i="17"/>
  <c r="I10498" i="17"/>
  <c r="I10497" i="17"/>
  <c r="I10496" i="17"/>
  <c r="I10495" i="17"/>
  <c r="I10494" i="17"/>
  <c r="I10493" i="17"/>
  <c r="I10492" i="17"/>
  <c r="I10491" i="17"/>
  <c r="I10490" i="17"/>
  <c r="I10489" i="17"/>
  <c r="I10488" i="17"/>
  <c r="I10487" i="17"/>
  <c r="I10486" i="17"/>
  <c r="I10485" i="17"/>
  <c r="I10484" i="17"/>
  <c r="I10483" i="17"/>
  <c r="I10482" i="17"/>
  <c r="I10481" i="17"/>
  <c r="I10480" i="17"/>
  <c r="I10479" i="17"/>
  <c r="I10478" i="17"/>
  <c r="I10477" i="17"/>
  <c r="I10476" i="17"/>
  <c r="I10475" i="17"/>
  <c r="I10474" i="17"/>
  <c r="I10473" i="17"/>
  <c r="I10472" i="17"/>
  <c r="I10471" i="17"/>
  <c r="I10470" i="17"/>
  <c r="I10469" i="17"/>
  <c r="I10468" i="17"/>
  <c r="I10467" i="17"/>
  <c r="I10466" i="17"/>
  <c r="I10465" i="17"/>
  <c r="I10464" i="17"/>
  <c r="I10463" i="17"/>
  <c r="I10462" i="17"/>
  <c r="I10461" i="17"/>
  <c r="I10460" i="17"/>
  <c r="I10459" i="17"/>
  <c r="I10458" i="17"/>
  <c r="I10457" i="17"/>
  <c r="I10456" i="17"/>
  <c r="I10455" i="17"/>
  <c r="I10454" i="17"/>
  <c r="I10453" i="17"/>
  <c r="I10452" i="17"/>
  <c r="I10451" i="17"/>
  <c r="I10450" i="17"/>
  <c r="I10449" i="17"/>
  <c r="I10448" i="17"/>
  <c r="I10447" i="17"/>
  <c r="I10446" i="17"/>
  <c r="I10445" i="17"/>
  <c r="I10444" i="17"/>
  <c r="I10443" i="17"/>
  <c r="I10442" i="17"/>
  <c r="I10441" i="17"/>
  <c r="I10440" i="17"/>
  <c r="I10439" i="17"/>
  <c r="I10438" i="17"/>
  <c r="I10437" i="17"/>
  <c r="I10436" i="17"/>
  <c r="I10435" i="17"/>
  <c r="I10434" i="17"/>
  <c r="I10433" i="17"/>
  <c r="I10432" i="17"/>
  <c r="I10431" i="17"/>
  <c r="I10430" i="17"/>
  <c r="I10429" i="17"/>
  <c r="I10428" i="17"/>
  <c r="I10427" i="17"/>
  <c r="I10426" i="17"/>
  <c r="I10425" i="17"/>
  <c r="I10424" i="17"/>
  <c r="I10423" i="17"/>
  <c r="I10422" i="17"/>
  <c r="I10421" i="17"/>
  <c r="I10420" i="17"/>
  <c r="I10419" i="17"/>
  <c r="I10418" i="17"/>
  <c r="I10417" i="17"/>
  <c r="I10416" i="17"/>
  <c r="I10415" i="17"/>
  <c r="I10414" i="17"/>
  <c r="I10413" i="17"/>
  <c r="I10412" i="17"/>
  <c r="I10411" i="17"/>
  <c r="I10410" i="17"/>
  <c r="I10409" i="17"/>
  <c r="I10408" i="17"/>
  <c r="I10407" i="17"/>
  <c r="I10406" i="17"/>
  <c r="I10405" i="17"/>
  <c r="I10404" i="17"/>
  <c r="I10403" i="17"/>
  <c r="I10402" i="17"/>
  <c r="I10401" i="17"/>
  <c r="I10400" i="17"/>
  <c r="I10399" i="17"/>
  <c r="I10398" i="17"/>
  <c r="I10397" i="17"/>
  <c r="I10396" i="17"/>
  <c r="I10395" i="17"/>
  <c r="I10394" i="17"/>
  <c r="I10393" i="17"/>
  <c r="I10392" i="17"/>
  <c r="I10391" i="17"/>
  <c r="I10390" i="17"/>
  <c r="I10389" i="17"/>
  <c r="I10388" i="17"/>
  <c r="I10387" i="17"/>
  <c r="I10386" i="17"/>
  <c r="I10385" i="17"/>
  <c r="I10384" i="17"/>
  <c r="I10383" i="17"/>
  <c r="I10382" i="17"/>
  <c r="I10381" i="17"/>
  <c r="I10380" i="17"/>
  <c r="I10379" i="17"/>
  <c r="I10378" i="17"/>
  <c r="I10377" i="17"/>
  <c r="I10376" i="17"/>
  <c r="I10375" i="17"/>
  <c r="I10374" i="17"/>
  <c r="I10373" i="17"/>
  <c r="I10372" i="17"/>
  <c r="I10371" i="17"/>
  <c r="I10370" i="17"/>
  <c r="I10369" i="17"/>
  <c r="I10368" i="17"/>
  <c r="I10367" i="17"/>
  <c r="I10366" i="17"/>
  <c r="I10365" i="17"/>
  <c r="I10364" i="17"/>
  <c r="I10363" i="17"/>
  <c r="I10362" i="17"/>
  <c r="I10361" i="17"/>
  <c r="I10360" i="17"/>
  <c r="I10359" i="17"/>
  <c r="I10358" i="17"/>
  <c r="I10357" i="17"/>
  <c r="I10356" i="17"/>
  <c r="I10355" i="17"/>
  <c r="I10354" i="17"/>
  <c r="I10353" i="17"/>
  <c r="I10352" i="17"/>
  <c r="I10351" i="17"/>
  <c r="I10350" i="17"/>
  <c r="I10349" i="17"/>
  <c r="I10348" i="17"/>
  <c r="I10347" i="17"/>
  <c r="I10346" i="17"/>
  <c r="I10345" i="17"/>
  <c r="I10344" i="17"/>
  <c r="I10343" i="17"/>
  <c r="I10342" i="17"/>
  <c r="I10341" i="17"/>
  <c r="I10340" i="17"/>
  <c r="I10339" i="17"/>
  <c r="I10338" i="17"/>
  <c r="I10337" i="17"/>
  <c r="I10336" i="17"/>
  <c r="I10335" i="17"/>
  <c r="I10334" i="17"/>
  <c r="I10333" i="17"/>
  <c r="I10332" i="17"/>
  <c r="I10331" i="17"/>
  <c r="I10330" i="17"/>
  <c r="I10329" i="17"/>
  <c r="I10328" i="17"/>
  <c r="I10327" i="17"/>
  <c r="I10326" i="17"/>
  <c r="I10325" i="17"/>
  <c r="I10324" i="17"/>
  <c r="I10323" i="17"/>
  <c r="I10322" i="17"/>
  <c r="I10321" i="17"/>
  <c r="I10320" i="17"/>
  <c r="I10319" i="17"/>
  <c r="I10318" i="17"/>
  <c r="I10317" i="17"/>
  <c r="I10316" i="17"/>
  <c r="I10315" i="17"/>
  <c r="I10314" i="17"/>
  <c r="I10313" i="17"/>
  <c r="I10312" i="17"/>
  <c r="I10311" i="17"/>
  <c r="I10310" i="17"/>
  <c r="I10309" i="17"/>
  <c r="I10308" i="17"/>
  <c r="I10307" i="17"/>
  <c r="I10306" i="17"/>
  <c r="I10305" i="17"/>
  <c r="I10304" i="17"/>
  <c r="I10303" i="17"/>
  <c r="I10302" i="17"/>
  <c r="I10301" i="17"/>
  <c r="I10300" i="17"/>
  <c r="I10299" i="17"/>
  <c r="I10298" i="17"/>
  <c r="I10297" i="17"/>
  <c r="I10296" i="17"/>
  <c r="I10295" i="17"/>
  <c r="I10294" i="17"/>
  <c r="I10293" i="17"/>
  <c r="I10292" i="17"/>
  <c r="I10291" i="17"/>
  <c r="I10290" i="17"/>
  <c r="I10289" i="17"/>
  <c r="I10288" i="17"/>
  <c r="I10287" i="17"/>
  <c r="I10286" i="17"/>
  <c r="I10285" i="17"/>
  <c r="I10284" i="17"/>
  <c r="I10283" i="17"/>
  <c r="I10282" i="17"/>
  <c r="I10281" i="17"/>
  <c r="I10280" i="17"/>
  <c r="I10279" i="17"/>
  <c r="I10278" i="17"/>
  <c r="I10277" i="17"/>
  <c r="I10276" i="17"/>
  <c r="I10275" i="17"/>
  <c r="I10274" i="17"/>
  <c r="I10273" i="17"/>
  <c r="I10272" i="17"/>
  <c r="I10271" i="17"/>
  <c r="I10270" i="17"/>
  <c r="I10269" i="17"/>
  <c r="I10268" i="17"/>
  <c r="I10267" i="17"/>
  <c r="I10266" i="17"/>
  <c r="I10265" i="17"/>
  <c r="I10264" i="17"/>
  <c r="I10263" i="17"/>
  <c r="I10262" i="17"/>
  <c r="I10261" i="17"/>
  <c r="I10260" i="17"/>
  <c r="I10259" i="17"/>
  <c r="I10258" i="17"/>
  <c r="I10257" i="17"/>
  <c r="I10256" i="17"/>
  <c r="I10255" i="17"/>
  <c r="I10254" i="17"/>
  <c r="I10253" i="17"/>
  <c r="I10252" i="17"/>
  <c r="I10251" i="17"/>
  <c r="I10250" i="17"/>
  <c r="I10249" i="17"/>
  <c r="I10248" i="17"/>
  <c r="I10247" i="17"/>
  <c r="I10246" i="17"/>
  <c r="I10245" i="17"/>
  <c r="I10244" i="17"/>
  <c r="I10243" i="17"/>
  <c r="I10242" i="17"/>
  <c r="I10241" i="17"/>
  <c r="I10240" i="17"/>
  <c r="I10239" i="17"/>
  <c r="I10238" i="17"/>
  <c r="I10237" i="17"/>
  <c r="I10236" i="17"/>
  <c r="I10235" i="17"/>
  <c r="I10234" i="17"/>
  <c r="I10233" i="17"/>
  <c r="I10232" i="17"/>
  <c r="I10231" i="17"/>
  <c r="I10230" i="17"/>
  <c r="I10229" i="17"/>
  <c r="I10228" i="17"/>
  <c r="I10227" i="17"/>
  <c r="I10226" i="17"/>
  <c r="I10225" i="17"/>
  <c r="I10224" i="17"/>
  <c r="I10223" i="17"/>
  <c r="I10222" i="17"/>
  <c r="I10221" i="17"/>
  <c r="I10220" i="17"/>
  <c r="I10219" i="17"/>
  <c r="I10218" i="17"/>
  <c r="I10217" i="17"/>
  <c r="I10216" i="17"/>
  <c r="I10215" i="17"/>
  <c r="I10214" i="17"/>
  <c r="I10213" i="17"/>
  <c r="I10212" i="17"/>
  <c r="I10211" i="17"/>
  <c r="I10210" i="17"/>
  <c r="I10209" i="17"/>
  <c r="I10208" i="17"/>
  <c r="I10207" i="17"/>
  <c r="I10206" i="17"/>
  <c r="I10205" i="17"/>
  <c r="I10204" i="17"/>
  <c r="I10203" i="17"/>
  <c r="I10202" i="17"/>
  <c r="I10201" i="17"/>
  <c r="I10200" i="17"/>
  <c r="I10199" i="17"/>
  <c r="I10198" i="17"/>
  <c r="I10197" i="17"/>
  <c r="I10196" i="17"/>
  <c r="I10195" i="17"/>
  <c r="I10194" i="17"/>
  <c r="I10193" i="17"/>
  <c r="I10192" i="17"/>
  <c r="I10191" i="17"/>
  <c r="I10190" i="17"/>
  <c r="I10189" i="17"/>
  <c r="I10188" i="17"/>
  <c r="I10187" i="17"/>
  <c r="I10186" i="17"/>
  <c r="I10185" i="17"/>
  <c r="I10184" i="17"/>
  <c r="I10183" i="17"/>
  <c r="I10182" i="17"/>
  <c r="I10181" i="17"/>
  <c r="I10180" i="17"/>
  <c r="I10179" i="17"/>
  <c r="I10178" i="17"/>
  <c r="I10177" i="17"/>
  <c r="I10176" i="17"/>
  <c r="I10175" i="17"/>
  <c r="I10174" i="17"/>
  <c r="I10173" i="17"/>
  <c r="I10172" i="17"/>
  <c r="I10171" i="17"/>
  <c r="I10170" i="17"/>
  <c r="I10169" i="17"/>
  <c r="I10168" i="17"/>
  <c r="I10167" i="17"/>
  <c r="I10166" i="17"/>
  <c r="I10165" i="17"/>
  <c r="I10164" i="17"/>
  <c r="I10163" i="17"/>
  <c r="I10162" i="17"/>
  <c r="I10161" i="17"/>
  <c r="I10160" i="17"/>
  <c r="I10159" i="17"/>
  <c r="I10158" i="17"/>
  <c r="I10157" i="17"/>
  <c r="I10156" i="17"/>
  <c r="I10155" i="17"/>
  <c r="I10154" i="17"/>
  <c r="I10153" i="17"/>
  <c r="I10152" i="17"/>
  <c r="I10151" i="17"/>
  <c r="I10150" i="17"/>
  <c r="I10149" i="17"/>
  <c r="I10148" i="17"/>
  <c r="I10147" i="17"/>
  <c r="I10146" i="17"/>
  <c r="I10145" i="17"/>
  <c r="I10144" i="17"/>
  <c r="I10143" i="17"/>
  <c r="I10142" i="17"/>
  <c r="I10141" i="17"/>
  <c r="I10140" i="17"/>
  <c r="I10139" i="17"/>
  <c r="I10138" i="17"/>
  <c r="I10137" i="17"/>
  <c r="I10136" i="17"/>
  <c r="I10135" i="17"/>
  <c r="I10134" i="17"/>
  <c r="I10133" i="17"/>
  <c r="I10132" i="17"/>
  <c r="I10131" i="17"/>
  <c r="I10130" i="17"/>
  <c r="I10129" i="17"/>
  <c r="I10128" i="17"/>
  <c r="I10127" i="17"/>
  <c r="I10126" i="17"/>
  <c r="I10125" i="17"/>
  <c r="I10124" i="17"/>
  <c r="I10123" i="17"/>
  <c r="I10122" i="17"/>
  <c r="I10121" i="17"/>
  <c r="I10120" i="17"/>
  <c r="I10119" i="17"/>
  <c r="I10118" i="17"/>
  <c r="I10117" i="17"/>
  <c r="I10116" i="17"/>
  <c r="I10115" i="17"/>
  <c r="I10114" i="17"/>
  <c r="I10113" i="17"/>
  <c r="I10112" i="17"/>
  <c r="I10111" i="17"/>
  <c r="I10110" i="17"/>
  <c r="I10109" i="17"/>
  <c r="I10108" i="17"/>
  <c r="I10107" i="17"/>
  <c r="I10106" i="17"/>
  <c r="I10105" i="17"/>
  <c r="I10104" i="17"/>
  <c r="I10103" i="17"/>
  <c r="I10102" i="17"/>
  <c r="I10101" i="17"/>
  <c r="I10100" i="17"/>
  <c r="I10099" i="17"/>
  <c r="I10098" i="17"/>
  <c r="I10097" i="17"/>
  <c r="I10096" i="17"/>
  <c r="I10095" i="17"/>
  <c r="I10094" i="17"/>
  <c r="I10093" i="17"/>
  <c r="I10092" i="17"/>
  <c r="I10091" i="17"/>
  <c r="I10090" i="17"/>
  <c r="I10089" i="17"/>
  <c r="I10088" i="17"/>
  <c r="I10087" i="17"/>
  <c r="I10086" i="17"/>
  <c r="I10085" i="17"/>
  <c r="I10084" i="17"/>
  <c r="I10083" i="17"/>
  <c r="I10082" i="17"/>
  <c r="I10081" i="17"/>
  <c r="I10080" i="17"/>
  <c r="I10079" i="17"/>
  <c r="I10078" i="17"/>
  <c r="I10077" i="17"/>
  <c r="I10076" i="17"/>
  <c r="I10075" i="17"/>
  <c r="I10074" i="17"/>
  <c r="I10073" i="17"/>
  <c r="I10072" i="17"/>
  <c r="I10071" i="17"/>
  <c r="I10070" i="17"/>
  <c r="I10069" i="17"/>
  <c r="I10068" i="17"/>
  <c r="I10067" i="17"/>
  <c r="I10066" i="17"/>
  <c r="I10065" i="17"/>
  <c r="I10064" i="17"/>
  <c r="I10063" i="17"/>
  <c r="I10062" i="17"/>
  <c r="I10061" i="17"/>
  <c r="I10060" i="17"/>
  <c r="I10059" i="17"/>
  <c r="I10058" i="17"/>
  <c r="I10057" i="17"/>
  <c r="I10056" i="17"/>
  <c r="I10055" i="17"/>
  <c r="I10054" i="17"/>
  <c r="I10053" i="17"/>
  <c r="I10052" i="17"/>
  <c r="I10051" i="17"/>
  <c r="I10050" i="17"/>
  <c r="I10049" i="17"/>
  <c r="I10048" i="17"/>
  <c r="I10047" i="17"/>
  <c r="I10046" i="17"/>
  <c r="I10045" i="17"/>
  <c r="I10044" i="17"/>
  <c r="I10043" i="17"/>
  <c r="I10042" i="17"/>
  <c r="I10041" i="17"/>
  <c r="I10040" i="17"/>
  <c r="I10039" i="17"/>
  <c r="I10038" i="17"/>
  <c r="I10037" i="17"/>
  <c r="I10036" i="17"/>
  <c r="I10035" i="17"/>
  <c r="I10034" i="17"/>
  <c r="I10033" i="17"/>
  <c r="I10032" i="17"/>
  <c r="I10031" i="17"/>
  <c r="I10030" i="17"/>
  <c r="I10029" i="17"/>
  <c r="I10028" i="17"/>
  <c r="I10027" i="17"/>
  <c r="I10026" i="17"/>
  <c r="I10025" i="17"/>
  <c r="I10024" i="17"/>
  <c r="I10023" i="17"/>
  <c r="I10022" i="17"/>
  <c r="I10021" i="17"/>
  <c r="I10020" i="17"/>
  <c r="I10019" i="17"/>
  <c r="I10018" i="17"/>
  <c r="I10017" i="17"/>
  <c r="I10016" i="17"/>
  <c r="I10015" i="17"/>
  <c r="I10014" i="17"/>
  <c r="I10013" i="17"/>
  <c r="I10012" i="17"/>
  <c r="I10011" i="17"/>
  <c r="I10010" i="17"/>
  <c r="I10009" i="17"/>
  <c r="I10008" i="17"/>
  <c r="I10007" i="17"/>
  <c r="I10006" i="17"/>
  <c r="I10005" i="17"/>
  <c r="I10004" i="17"/>
  <c r="I10003" i="17"/>
  <c r="I10002" i="17"/>
  <c r="I10001" i="17"/>
  <c r="I10000" i="17"/>
  <c r="I9999" i="17"/>
  <c r="I9998" i="17"/>
  <c r="I9997" i="17"/>
  <c r="I9996" i="17"/>
  <c r="I9995" i="17"/>
  <c r="I9994" i="17"/>
  <c r="I9993" i="17"/>
  <c r="I9992" i="17"/>
  <c r="I9991" i="17"/>
  <c r="I9990" i="17"/>
  <c r="I9989" i="17"/>
  <c r="I9988" i="17"/>
  <c r="I9987" i="17"/>
  <c r="I9986" i="17"/>
  <c r="I9985" i="17"/>
  <c r="I9984" i="17"/>
  <c r="I9983" i="17"/>
  <c r="I9982" i="17"/>
  <c r="I9981" i="17"/>
  <c r="I9980" i="17"/>
  <c r="I9979" i="17"/>
  <c r="I9978" i="17"/>
  <c r="I9977" i="17"/>
  <c r="I9976" i="17"/>
  <c r="I9975" i="17"/>
  <c r="I9974" i="17"/>
  <c r="I9973" i="17"/>
  <c r="I9972" i="17"/>
  <c r="I9971" i="17"/>
  <c r="I9970" i="17"/>
  <c r="I9969" i="17"/>
  <c r="I9968" i="17"/>
  <c r="I9967" i="17"/>
  <c r="I9966" i="17"/>
  <c r="I9965" i="17"/>
  <c r="I9964" i="17"/>
  <c r="I9963" i="17"/>
  <c r="I9962" i="17"/>
  <c r="I9961" i="17"/>
  <c r="I9960" i="17"/>
  <c r="I9959" i="17"/>
  <c r="I9958" i="17"/>
  <c r="I9957" i="17"/>
  <c r="I9956" i="17"/>
  <c r="I9955" i="17"/>
  <c r="I9954" i="17"/>
  <c r="I9953" i="17"/>
  <c r="I9952" i="17"/>
  <c r="I9951" i="17"/>
  <c r="I9950" i="17"/>
  <c r="I9949" i="17"/>
  <c r="I9948" i="17"/>
  <c r="I9947" i="17"/>
  <c r="I9946" i="17"/>
  <c r="I9945" i="17"/>
  <c r="I9944" i="17"/>
  <c r="I9943" i="17"/>
  <c r="I9942" i="17"/>
  <c r="I9941" i="17"/>
  <c r="I9940" i="17"/>
  <c r="I9939" i="17"/>
  <c r="I9938" i="17"/>
  <c r="I9937" i="17"/>
  <c r="I9936" i="17"/>
  <c r="I9935" i="17"/>
  <c r="I9934" i="17"/>
  <c r="I9933" i="17"/>
  <c r="I9932" i="17"/>
  <c r="I9931" i="17"/>
  <c r="I9930" i="17"/>
  <c r="I9929" i="17"/>
  <c r="I9928" i="17"/>
  <c r="I9927" i="17"/>
  <c r="I9926" i="17"/>
  <c r="I9925" i="17"/>
  <c r="I9924" i="17"/>
  <c r="I9923" i="17"/>
  <c r="I9922" i="17"/>
  <c r="I9921" i="17"/>
  <c r="I9920" i="17"/>
  <c r="I9919" i="17"/>
  <c r="I9918" i="17"/>
  <c r="I9917" i="17"/>
  <c r="I9916" i="17"/>
  <c r="I9915" i="17"/>
  <c r="I9914" i="17"/>
  <c r="I9913" i="17"/>
  <c r="I9912" i="17"/>
  <c r="I9911" i="17"/>
  <c r="I9910" i="17"/>
  <c r="I9909" i="17"/>
  <c r="I9908" i="17"/>
  <c r="I9907" i="17"/>
  <c r="I9906" i="17"/>
  <c r="I9905" i="17"/>
  <c r="I9904" i="17"/>
  <c r="I9903" i="17"/>
  <c r="I9902" i="17"/>
  <c r="I9901" i="17"/>
  <c r="I9900" i="17"/>
  <c r="I9899" i="17"/>
  <c r="I9898" i="17"/>
  <c r="I9897" i="17"/>
  <c r="I9896" i="17"/>
  <c r="I9895" i="17"/>
  <c r="I9894" i="17"/>
  <c r="I9893" i="17"/>
  <c r="I9892" i="17"/>
  <c r="I9891" i="17"/>
  <c r="I9890" i="17"/>
  <c r="I9889" i="17"/>
  <c r="I9888" i="17"/>
  <c r="I9887" i="17"/>
  <c r="I9886" i="17"/>
  <c r="I9885" i="17"/>
  <c r="I9884" i="17"/>
  <c r="I9883" i="17"/>
  <c r="I9882" i="17"/>
  <c r="I9881" i="17"/>
  <c r="I9880" i="17"/>
  <c r="I9879" i="17"/>
  <c r="I9878" i="17"/>
  <c r="I9877" i="17"/>
  <c r="I9876" i="17"/>
  <c r="I9875" i="17"/>
  <c r="I9874" i="17"/>
  <c r="I9873" i="17"/>
  <c r="I9872" i="17"/>
  <c r="I9871" i="17"/>
  <c r="I9870" i="17"/>
  <c r="I9869" i="17"/>
  <c r="I9868" i="17"/>
  <c r="I9867" i="17"/>
  <c r="I9866" i="17"/>
  <c r="I9865" i="17"/>
  <c r="I9864" i="17"/>
  <c r="I9863" i="17"/>
  <c r="I9862" i="17"/>
  <c r="I9861" i="17"/>
  <c r="I9860" i="17"/>
  <c r="I9859" i="17"/>
  <c r="I9858" i="17"/>
  <c r="I9857" i="17"/>
  <c r="I9856" i="17"/>
  <c r="I9855" i="17"/>
  <c r="I9854" i="17"/>
  <c r="I9853" i="17"/>
  <c r="I9852" i="17"/>
  <c r="I9851" i="17"/>
  <c r="I9850" i="17"/>
  <c r="I9849" i="17"/>
  <c r="I9848" i="17"/>
  <c r="I9847" i="17"/>
  <c r="I9846" i="17"/>
  <c r="I9845" i="17"/>
  <c r="I9844" i="17"/>
  <c r="I9843" i="17"/>
  <c r="I9842" i="17"/>
  <c r="I9841" i="17"/>
  <c r="I9840" i="17"/>
  <c r="I9839" i="17"/>
  <c r="I9838" i="17"/>
  <c r="I9837" i="17"/>
  <c r="I9836" i="17"/>
  <c r="I9835" i="17"/>
  <c r="I9834" i="17"/>
  <c r="I9833" i="17"/>
  <c r="I9832" i="17"/>
  <c r="I9831" i="17"/>
  <c r="I9830" i="17"/>
  <c r="I9829" i="17"/>
  <c r="I9828" i="17"/>
  <c r="I9827" i="17"/>
  <c r="I9826" i="17"/>
  <c r="I9825" i="17"/>
  <c r="I9824" i="17"/>
  <c r="I9823" i="17"/>
  <c r="I9822" i="17"/>
  <c r="I9821" i="17"/>
  <c r="I9820" i="17"/>
  <c r="I9819" i="17"/>
  <c r="I9818" i="17"/>
  <c r="I9817" i="17"/>
  <c r="I9816" i="17"/>
  <c r="I9815" i="17"/>
  <c r="I9814" i="17"/>
  <c r="I9813" i="17"/>
  <c r="I9812" i="17"/>
  <c r="I9811" i="17"/>
  <c r="I9810" i="17"/>
  <c r="I9809" i="17"/>
  <c r="I9808" i="17"/>
  <c r="I9807" i="17"/>
  <c r="I9806" i="17"/>
  <c r="I9805" i="17"/>
  <c r="I9804" i="17"/>
  <c r="I9803" i="17"/>
  <c r="I9802" i="17"/>
  <c r="I9801" i="17"/>
  <c r="I9800" i="17"/>
  <c r="I9799" i="17"/>
  <c r="I9798" i="17"/>
  <c r="I9797" i="17"/>
  <c r="I9796" i="17"/>
  <c r="I9795" i="17"/>
  <c r="I9794" i="17"/>
  <c r="I9793" i="17"/>
  <c r="I9792" i="17"/>
  <c r="I9791" i="17"/>
  <c r="I9790" i="17"/>
  <c r="I9789" i="17"/>
  <c r="I9788" i="17"/>
  <c r="I9787" i="17"/>
  <c r="I9786" i="17"/>
  <c r="I9785" i="17"/>
  <c r="I9784" i="17"/>
  <c r="I9783" i="17"/>
  <c r="I9782" i="17"/>
  <c r="I9781" i="17"/>
  <c r="I9780" i="17"/>
  <c r="I9779" i="17"/>
  <c r="I9778" i="17"/>
  <c r="I9777" i="17"/>
  <c r="I9776" i="17"/>
  <c r="I9775" i="17"/>
  <c r="I9774" i="17"/>
  <c r="I9773" i="17"/>
  <c r="I9772" i="17"/>
  <c r="I9771" i="17"/>
  <c r="I9770" i="17"/>
  <c r="I9769" i="17"/>
  <c r="I9768" i="17"/>
  <c r="I9767" i="17"/>
  <c r="I9766" i="17"/>
  <c r="I9765" i="17"/>
  <c r="I9764" i="17"/>
  <c r="I9763" i="17"/>
  <c r="I9762" i="17"/>
  <c r="I9761" i="17"/>
  <c r="I9760" i="17"/>
  <c r="I9759" i="17"/>
  <c r="I9758" i="17"/>
  <c r="I9757" i="17"/>
  <c r="I9756" i="17"/>
  <c r="I9755" i="17"/>
  <c r="I9754" i="17"/>
  <c r="I9753" i="17"/>
  <c r="I9752" i="17"/>
  <c r="I9751" i="17"/>
  <c r="I9750" i="17"/>
  <c r="I9749" i="17"/>
  <c r="I9748" i="17"/>
  <c r="I9747" i="17"/>
  <c r="I9746" i="17"/>
  <c r="I9745" i="17"/>
  <c r="I9744" i="17"/>
  <c r="I9743" i="17"/>
  <c r="I9742" i="17"/>
  <c r="I9741" i="17"/>
  <c r="I9740" i="17"/>
  <c r="I9739" i="17"/>
  <c r="I9738" i="17"/>
  <c r="I9737" i="17"/>
  <c r="I9736" i="17"/>
  <c r="I9735" i="17"/>
  <c r="I9734" i="17"/>
  <c r="I9733" i="17"/>
  <c r="I9732" i="17"/>
  <c r="I9731" i="17"/>
  <c r="I9730" i="17"/>
  <c r="I9729" i="17"/>
  <c r="I9728" i="17"/>
  <c r="I9727" i="17"/>
  <c r="I9726" i="17"/>
  <c r="I9725" i="17"/>
  <c r="I9724" i="17"/>
  <c r="I9723" i="17"/>
  <c r="I9722" i="17"/>
  <c r="I9721" i="17"/>
  <c r="I9720" i="17"/>
  <c r="I9719" i="17"/>
  <c r="I9718" i="17"/>
  <c r="I9717" i="17"/>
  <c r="I9716" i="17"/>
  <c r="I9715" i="17"/>
  <c r="I9714" i="17"/>
  <c r="I9713" i="17"/>
  <c r="I9712" i="17"/>
  <c r="I9711" i="17"/>
  <c r="I9710" i="17"/>
  <c r="I9709" i="17"/>
  <c r="I9708" i="17"/>
  <c r="I9707" i="17"/>
  <c r="I9706" i="17"/>
  <c r="I9705" i="17"/>
  <c r="I9704" i="17"/>
  <c r="I9703" i="17"/>
  <c r="I9702" i="17"/>
  <c r="I9701" i="17"/>
  <c r="I9700" i="17"/>
  <c r="I9699" i="17"/>
  <c r="I9698" i="17"/>
  <c r="I9697" i="17"/>
  <c r="I9696" i="17"/>
  <c r="I9695" i="17"/>
  <c r="I9694" i="17"/>
  <c r="I9693" i="17"/>
  <c r="I9692" i="17"/>
  <c r="I9691" i="17"/>
  <c r="I9690" i="17"/>
  <c r="I9689" i="17"/>
  <c r="I9688" i="17"/>
  <c r="I9687" i="17"/>
  <c r="I9686" i="17"/>
  <c r="I9685" i="17"/>
  <c r="I9684" i="17"/>
  <c r="I9683" i="17"/>
  <c r="I9682" i="17"/>
  <c r="I9681" i="17"/>
  <c r="I9680" i="17"/>
  <c r="I9679" i="17"/>
  <c r="I9678" i="17"/>
  <c r="I9677" i="17"/>
  <c r="I9676" i="17"/>
  <c r="I9675" i="17"/>
  <c r="I9674" i="17"/>
  <c r="I9673" i="17"/>
  <c r="I9672" i="17"/>
  <c r="I9671" i="17"/>
  <c r="I9670" i="17"/>
  <c r="I9669" i="17"/>
  <c r="I9668" i="17"/>
  <c r="I9667" i="17"/>
  <c r="I9666" i="17"/>
  <c r="I9665" i="17"/>
  <c r="I9664" i="17"/>
  <c r="I9663" i="17"/>
  <c r="I9662" i="17"/>
  <c r="I9661" i="17"/>
  <c r="I9660" i="17"/>
  <c r="I9659" i="17"/>
  <c r="I9658" i="17"/>
  <c r="I9657" i="17"/>
  <c r="I9656" i="17"/>
  <c r="I9655" i="17"/>
  <c r="I9654" i="17"/>
  <c r="I9653" i="17"/>
  <c r="I9652" i="17"/>
  <c r="I9651" i="17"/>
  <c r="I9650" i="17"/>
  <c r="I9649" i="17"/>
  <c r="I9648" i="17"/>
  <c r="I9647" i="17"/>
  <c r="I9646" i="17"/>
  <c r="I9645" i="17"/>
  <c r="I9644" i="17"/>
  <c r="I9643" i="17"/>
  <c r="I9642" i="17"/>
  <c r="I9641" i="17"/>
  <c r="I9640" i="17"/>
  <c r="I9639" i="17"/>
  <c r="I9638" i="17"/>
  <c r="I9637" i="17"/>
  <c r="I9636" i="17"/>
  <c r="I9635" i="17"/>
  <c r="I9634" i="17"/>
  <c r="I9633" i="17"/>
  <c r="I9632" i="17"/>
  <c r="I9631" i="17"/>
  <c r="I9630" i="17"/>
  <c r="I9629" i="17"/>
  <c r="I9628" i="17"/>
  <c r="I9627" i="17"/>
  <c r="I9626" i="17"/>
  <c r="I9625" i="17"/>
  <c r="I9624" i="17"/>
  <c r="I9623" i="17"/>
  <c r="I9622" i="17"/>
  <c r="I9621" i="17"/>
  <c r="I9620" i="17"/>
  <c r="I9619" i="17"/>
  <c r="I9618" i="17"/>
  <c r="I9617" i="17"/>
  <c r="I9616" i="17"/>
  <c r="I9615" i="17"/>
  <c r="I9614" i="17"/>
  <c r="I9613" i="17"/>
  <c r="I9612" i="17"/>
  <c r="I9611" i="17"/>
  <c r="I9610" i="17"/>
  <c r="I9609" i="17"/>
  <c r="I9608" i="17"/>
  <c r="I9607" i="17"/>
  <c r="I9606" i="17"/>
  <c r="I9605" i="17"/>
  <c r="I9604" i="17"/>
  <c r="I9603" i="17"/>
  <c r="I9602" i="17"/>
  <c r="I9601" i="17"/>
  <c r="I9600" i="17"/>
  <c r="I9599" i="17"/>
  <c r="I9598" i="17"/>
  <c r="I9597" i="17"/>
  <c r="I9596" i="17"/>
  <c r="I9595" i="17"/>
  <c r="I9594" i="17"/>
  <c r="I9593" i="17"/>
  <c r="I9592" i="17"/>
  <c r="I9591" i="17"/>
  <c r="I9590" i="17"/>
  <c r="I9589" i="17"/>
  <c r="I9588" i="17"/>
  <c r="I9587" i="17"/>
  <c r="I9586" i="17"/>
  <c r="I9585" i="17"/>
  <c r="I9584" i="17"/>
  <c r="I9583" i="17"/>
  <c r="I9582" i="17"/>
  <c r="I9581" i="17"/>
  <c r="I9580" i="17"/>
  <c r="I9579" i="17"/>
  <c r="I9578" i="17"/>
  <c r="I9577" i="17"/>
  <c r="I9576" i="17"/>
  <c r="I9575" i="17"/>
  <c r="I9574" i="17"/>
  <c r="I9573" i="17"/>
  <c r="I9572" i="17"/>
  <c r="I9571" i="17"/>
  <c r="I9570" i="17"/>
  <c r="I9569" i="17"/>
  <c r="I9568" i="17"/>
  <c r="I9567" i="17"/>
  <c r="I9566" i="17"/>
  <c r="I9565" i="17"/>
  <c r="I9564" i="17"/>
  <c r="I9563" i="17"/>
  <c r="I9562" i="17"/>
  <c r="I9561" i="17"/>
  <c r="I9560" i="17"/>
  <c r="I9559" i="17"/>
  <c r="I9558" i="17"/>
  <c r="I9557" i="17"/>
  <c r="I9556" i="17"/>
  <c r="I9555" i="17"/>
  <c r="I9554" i="17"/>
  <c r="I9553" i="17"/>
  <c r="I9552" i="17"/>
  <c r="I9551" i="17"/>
  <c r="I9550" i="17"/>
  <c r="I9549" i="17"/>
  <c r="I9548" i="17"/>
  <c r="I9547" i="17"/>
  <c r="I9546" i="17"/>
  <c r="I9545" i="17"/>
  <c r="I9544" i="17"/>
  <c r="I9543" i="17"/>
  <c r="I9542" i="17"/>
  <c r="I9541" i="17"/>
  <c r="I9540" i="17"/>
  <c r="I9539" i="17"/>
  <c r="I9538" i="17"/>
  <c r="I9537" i="17"/>
  <c r="I9536" i="17"/>
  <c r="I9535" i="17"/>
  <c r="I9534" i="17"/>
  <c r="I9533" i="17"/>
  <c r="I9532" i="17"/>
  <c r="I9531" i="17"/>
  <c r="I9530" i="17"/>
  <c r="I9529" i="17"/>
  <c r="I9528" i="17"/>
  <c r="I9527" i="17"/>
  <c r="I9526" i="17"/>
  <c r="I9525" i="17"/>
  <c r="I9524" i="17"/>
  <c r="I9523" i="17"/>
  <c r="I9522" i="17"/>
  <c r="I9521" i="17"/>
  <c r="I9520" i="17"/>
  <c r="I9519" i="17"/>
  <c r="I9518" i="17"/>
  <c r="I9517" i="17"/>
  <c r="I9516" i="17"/>
  <c r="I9515" i="17"/>
  <c r="I9514" i="17"/>
  <c r="I9513" i="17"/>
  <c r="I9512" i="17"/>
  <c r="I9511" i="17"/>
  <c r="I9510" i="17"/>
  <c r="I9509" i="17"/>
  <c r="I9508" i="17"/>
  <c r="I9507" i="17"/>
  <c r="I9506" i="17"/>
  <c r="I9505" i="17"/>
  <c r="I9504" i="17"/>
  <c r="I9503" i="17"/>
  <c r="I9502" i="17"/>
  <c r="I9501" i="17"/>
  <c r="I9500" i="17"/>
  <c r="I9499" i="17"/>
  <c r="I9498" i="17"/>
  <c r="I9497" i="17"/>
  <c r="I9496" i="17"/>
  <c r="I9495" i="17"/>
  <c r="I9494" i="17"/>
  <c r="I9493" i="17"/>
  <c r="I9492" i="17"/>
  <c r="I9491" i="17"/>
  <c r="I9490" i="17"/>
  <c r="I9489" i="17"/>
  <c r="I9488" i="17"/>
  <c r="I9487" i="17"/>
  <c r="I9486" i="17"/>
  <c r="I9485" i="17"/>
  <c r="I9484" i="17"/>
  <c r="I9483" i="17"/>
  <c r="I9482" i="17"/>
  <c r="I9481" i="17"/>
  <c r="I9480" i="17"/>
  <c r="I9479" i="17"/>
  <c r="I9478" i="17"/>
  <c r="I9477" i="17"/>
  <c r="I9476" i="17"/>
  <c r="I9475" i="17"/>
  <c r="I9474" i="17"/>
  <c r="I9473" i="17"/>
  <c r="I9472" i="17"/>
  <c r="I9471" i="17"/>
  <c r="I9470" i="17"/>
  <c r="I9469" i="17"/>
  <c r="I9468" i="17"/>
  <c r="I9467" i="17"/>
  <c r="I9466" i="17"/>
  <c r="I9465" i="17"/>
  <c r="I9464" i="17"/>
  <c r="I9463" i="17"/>
  <c r="I9462" i="17"/>
  <c r="I9461" i="17"/>
  <c r="I9460" i="17"/>
  <c r="I9459" i="17"/>
  <c r="I9458" i="17"/>
  <c r="I9457" i="17"/>
  <c r="I9456" i="17"/>
  <c r="I9455" i="17"/>
  <c r="I9454" i="17"/>
  <c r="I9453" i="17"/>
  <c r="I9452" i="17"/>
  <c r="I9451" i="17"/>
  <c r="I9450" i="17"/>
  <c r="I9449" i="17"/>
  <c r="I9448" i="17"/>
  <c r="I9447" i="17"/>
  <c r="I9446" i="17"/>
  <c r="I9445" i="17"/>
  <c r="I9444" i="17"/>
  <c r="I9443" i="17"/>
  <c r="I9442" i="17"/>
  <c r="I9441" i="17"/>
  <c r="I9440" i="17"/>
  <c r="I9439" i="17"/>
  <c r="I9438" i="17"/>
  <c r="I9437" i="17"/>
  <c r="I9436" i="17"/>
  <c r="I9435" i="17"/>
  <c r="I9434" i="17"/>
  <c r="I9433" i="17"/>
  <c r="I9432" i="17"/>
  <c r="I9431" i="17"/>
  <c r="I9430" i="17"/>
  <c r="I9429" i="17"/>
  <c r="I9428" i="17"/>
  <c r="I9427" i="17"/>
  <c r="I9426" i="17"/>
  <c r="I9425" i="17"/>
  <c r="I9424" i="17"/>
  <c r="I9423" i="17"/>
  <c r="I9422" i="17"/>
  <c r="I9421" i="17"/>
  <c r="I9420" i="17"/>
  <c r="I9419" i="17"/>
  <c r="I9418" i="17"/>
  <c r="I9417" i="17"/>
  <c r="I9416" i="17"/>
  <c r="I9415" i="17"/>
  <c r="I9414" i="17"/>
  <c r="I9413" i="17"/>
  <c r="I9412" i="17"/>
  <c r="I9411" i="17"/>
  <c r="I9410" i="17"/>
  <c r="I9409" i="17"/>
  <c r="I9408" i="17"/>
  <c r="I9407" i="17"/>
  <c r="I9406" i="17"/>
  <c r="I9405" i="17"/>
  <c r="I9404" i="17"/>
  <c r="I9403" i="17"/>
  <c r="I9402" i="17"/>
  <c r="I9401" i="17"/>
  <c r="I9400" i="17"/>
  <c r="I9399" i="17"/>
  <c r="I9398" i="17"/>
  <c r="I9397" i="17"/>
  <c r="I9396" i="17"/>
  <c r="I9395" i="17"/>
  <c r="I9394" i="17"/>
  <c r="I9393" i="17"/>
  <c r="I9392" i="17"/>
  <c r="I9391" i="17"/>
  <c r="I9390" i="17"/>
  <c r="I9389" i="17"/>
  <c r="I9388" i="17"/>
  <c r="I9387" i="17"/>
  <c r="I9386" i="17"/>
  <c r="I9385" i="17"/>
  <c r="I9384" i="17"/>
  <c r="I9383" i="17"/>
  <c r="I9382" i="17"/>
  <c r="I9381" i="17"/>
  <c r="I9380" i="17"/>
  <c r="I9379" i="17"/>
  <c r="I9378" i="17"/>
  <c r="I9377" i="17"/>
  <c r="I9376" i="17"/>
  <c r="I9375" i="17"/>
  <c r="I9374" i="17"/>
  <c r="I9373" i="17"/>
  <c r="I9372" i="17"/>
  <c r="I9371" i="17"/>
  <c r="I9370" i="17"/>
  <c r="I9369" i="17"/>
  <c r="I9368" i="17"/>
  <c r="I9367" i="17"/>
  <c r="I9366" i="17"/>
  <c r="I9365" i="17"/>
  <c r="I9364" i="17"/>
  <c r="I9363" i="17"/>
  <c r="I9362" i="17"/>
  <c r="I9361" i="17"/>
  <c r="I9360" i="17"/>
  <c r="I9359" i="17"/>
  <c r="I9358" i="17"/>
  <c r="I9357" i="17"/>
  <c r="I9356" i="17"/>
  <c r="I9355" i="17"/>
  <c r="I9354" i="17"/>
  <c r="I9353" i="17"/>
  <c r="I9352" i="17"/>
  <c r="I9351" i="17"/>
  <c r="I9350" i="17"/>
  <c r="I9349" i="17"/>
  <c r="I9348" i="17"/>
  <c r="I9347" i="17"/>
  <c r="I9346" i="17"/>
  <c r="I9345" i="17"/>
  <c r="I9344" i="17"/>
  <c r="I9343" i="17"/>
  <c r="I9342" i="17"/>
  <c r="I9341" i="17"/>
  <c r="I9340" i="17"/>
  <c r="I9339" i="17"/>
  <c r="I9338" i="17"/>
  <c r="I9337" i="17"/>
  <c r="I9336" i="17"/>
  <c r="I9335" i="17"/>
  <c r="I9334" i="17"/>
  <c r="I9333" i="17"/>
  <c r="I9332" i="17"/>
  <c r="I9331" i="17"/>
  <c r="I9330" i="17"/>
  <c r="I9329" i="17"/>
  <c r="I9328" i="17"/>
  <c r="I9327" i="17"/>
  <c r="I9326" i="17"/>
  <c r="I9325" i="17"/>
  <c r="I9324" i="17"/>
  <c r="I9323" i="17"/>
  <c r="I9322" i="17"/>
  <c r="I9321" i="17"/>
  <c r="I9320" i="17"/>
  <c r="I9319" i="17"/>
  <c r="I9318" i="17"/>
  <c r="I9317" i="17"/>
  <c r="I9316" i="17"/>
  <c r="I9315" i="17"/>
  <c r="I9314" i="17"/>
  <c r="I9313" i="17"/>
  <c r="I9312" i="17"/>
  <c r="I9311" i="17"/>
  <c r="I9310" i="17"/>
  <c r="I9309" i="17"/>
  <c r="I9308" i="17"/>
  <c r="I9307" i="17"/>
  <c r="I9306" i="17"/>
  <c r="I9305" i="17"/>
  <c r="I9304" i="17"/>
  <c r="I9303" i="17"/>
  <c r="I9302" i="17"/>
  <c r="I9301" i="17"/>
  <c r="I9300" i="17"/>
  <c r="I9299" i="17"/>
  <c r="I9298" i="17"/>
  <c r="I9297" i="17"/>
  <c r="I9296" i="17"/>
  <c r="I9295" i="17"/>
  <c r="I9294" i="17"/>
  <c r="I9293" i="17"/>
  <c r="I9292" i="17"/>
  <c r="I9291" i="17"/>
  <c r="I9290" i="17"/>
  <c r="I9289" i="17"/>
  <c r="I9288" i="17"/>
  <c r="I9287" i="17"/>
  <c r="I9286" i="17"/>
  <c r="I9285" i="17"/>
  <c r="I9284" i="17"/>
  <c r="I9283" i="17"/>
  <c r="I9282" i="17"/>
  <c r="I9281" i="17"/>
  <c r="I9280" i="17"/>
  <c r="I9279" i="17"/>
  <c r="I9278" i="17"/>
  <c r="I9277" i="17"/>
  <c r="I9276" i="17"/>
  <c r="I9275" i="17"/>
  <c r="I9274" i="17"/>
  <c r="I9273" i="17"/>
  <c r="I9272" i="17"/>
  <c r="I9271" i="17"/>
  <c r="I9270" i="17"/>
  <c r="I9269" i="17"/>
  <c r="I9268" i="17"/>
  <c r="I9267" i="17"/>
  <c r="I9266" i="17"/>
  <c r="I9265" i="17"/>
  <c r="I9264" i="17"/>
  <c r="I9263" i="17"/>
  <c r="I9262" i="17"/>
  <c r="I9261" i="17"/>
  <c r="I9260" i="17"/>
  <c r="I9259" i="17"/>
  <c r="I9258" i="17"/>
  <c r="I9257" i="17"/>
  <c r="I9256" i="17"/>
  <c r="I9255" i="17"/>
  <c r="I9254" i="17"/>
  <c r="I9253" i="17"/>
  <c r="I9252" i="17"/>
  <c r="I9251" i="17"/>
  <c r="I9250" i="17"/>
  <c r="I9249" i="17"/>
  <c r="I9248" i="17"/>
  <c r="I9247" i="17"/>
  <c r="I9246" i="17"/>
  <c r="I9245" i="17"/>
  <c r="I9244" i="17"/>
  <c r="I9243" i="17"/>
  <c r="I9242" i="17"/>
  <c r="I9241" i="17"/>
  <c r="I9240" i="17"/>
  <c r="I9239" i="17"/>
  <c r="I9238" i="17"/>
  <c r="I9237" i="17"/>
  <c r="I9236" i="17"/>
  <c r="I9235" i="17"/>
  <c r="I9234" i="17"/>
  <c r="I9233" i="17"/>
  <c r="I9232" i="17"/>
  <c r="I9231" i="17"/>
  <c r="I9230" i="17"/>
  <c r="I9229" i="17"/>
  <c r="I9228" i="17"/>
  <c r="I9227" i="17"/>
  <c r="I9226" i="17"/>
  <c r="I9225" i="17"/>
  <c r="I9224" i="17"/>
  <c r="I9223" i="17"/>
  <c r="I9222" i="17"/>
  <c r="I9221" i="17"/>
  <c r="I9220" i="17"/>
  <c r="I9219" i="17"/>
  <c r="I9218" i="17"/>
  <c r="I9217" i="17"/>
  <c r="I9216" i="17"/>
  <c r="I9215" i="17"/>
  <c r="I9214" i="17"/>
  <c r="I9213" i="17"/>
  <c r="I9212" i="17"/>
  <c r="I9211" i="17"/>
  <c r="I9210" i="17"/>
  <c r="I9209" i="17"/>
  <c r="I9208" i="17"/>
  <c r="I9207" i="17"/>
  <c r="I9206" i="17"/>
  <c r="I9205" i="17"/>
  <c r="I9204" i="17"/>
  <c r="I9203" i="17"/>
  <c r="I9202" i="17"/>
  <c r="I9201" i="17"/>
  <c r="I9200" i="17"/>
  <c r="I9199" i="17"/>
  <c r="I9198" i="17"/>
  <c r="I9197" i="17"/>
  <c r="I9196" i="17"/>
  <c r="I9195" i="17"/>
  <c r="I9194" i="17"/>
  <c r="I9193" i="17"/>
  <c r="I9192" i="17"/>
  <c r="I9191" i="17"/>
  <c r="I9190" i="17"/>
  <c r="I9189" i="17"/>
  <c r="I9188" i="17"/>
  <c r="I9187" i="17"/>
  <c r="I9186" i="17"/>
  <c r="I9185" i="17"/>
  <c r="I9184" i="17"/>
  <c r="I9183" i="17"/>
  <c r="I9182" i="17"/>
  <c r="I9181" i="17"/>
  <c r="I9180" i="17"/>
  <c r="I9179" i="17"/>
  <c r="I9178" i="17"/>
  <c r="I9177" i="17"/>
  <c r="I9176" i="17"/>
  <c r="I9175" i="17"/>
  <c r="I9174" i="17"/>
  <c r="I9173" i="17"/>
  <c r="I9172" i="17"/>
  <c r="I9171" i="17"/>
  <c r="I9170" i="17"/>
  <c r="I9169" i="17"/>
  <c r="I9168" i="17"/>
  <c r="I9167" i="17"/>
  <c r="I9166" i="17"/>
  <c r="I9165" i="17"/>
  <c r="I9164" i="17"/>
  <c r="I9163" i="17"/>
  <c r="I9162" i="17"/>
  <c r="I9161" i="17"/>
  <c r="I9160" i="17"/>
  <c r="I9159" i="17"/>
  <c r="I9158" i="17"/>
  <c r="I9157" i="17"/>
  <c r="I9156" i="17"/>
  <c r="I9155" i="17"/>
  <c r="I9154" i="17"/>
  <c r="I9153" i="17"/>
  <c r="I9152" i="17"/>
  <c r="I9151" i="17"/>
  <c r="I9150" i="17"/>
  <c r="I9149" i="17"/>
  <c r="I9148" i="17"/>
  <c r="I9147" i="17"/>
  <c r="I9146" i="17"/>
  <c r="I9145" i="17"/>
  <c r="I9144" i="17"/>
  <c r="I9143" i="17"/>
  <c r="I9142" i="17"/>
  <c r="I9141" i="17"/>
  <c r="I9140" i="17"/>
  <c r="I9139" i="17"/>
  <c r="I9138" i="17"/>
  <c r="I9137" i="17"/>
  <c r="I9136" i="17"/>
  <c r="I9135" i="17"/>
  <c r="I9134" i="17"/>
  <c r="I9133" i="17"/>
  <c r="I9132" i="17"/>
  <c r="I9131" i="17"/>
  <c r="I9130" i="17"/>
  <c r="I9129" i="17"/>
  <c r="I9128" i="17"/>
  <c r="I9127" i="17"/>
  <c r="I9126" i="17"/>
  <c r="I9125" i="17"/>
  <c r="I9124" i="17"/>
  <c r="I9123" i="17"/>
  <c r="I9122" i="17"/>
  <c r="I9121" i="17"/>
  <c r="I9120" i="17"/>
  <c r="I9119" i="17"/>
  <c r="I9118" i="17"/>
  <c r="I9117" i="17"/>
  <c r="I9116" i="17"/>
  <c r="I9115" i="17"/>
  <c r="I9114" i="17"/>
  <c r="I9113" i="17"/>
  <c r="I9112" i="17"/>
  <c r="I9111" i="17"/>
  <c r="I9110" i="17"/>
  <c r="I9109" i="17"/>
  <c r="I9108" i="17"/>
  <c r="I9107" i="17"/>
  <c r="I9106" i="17"/>
  <c r="I9105" i="17"/>
  <c r="I9104" i="17"/>
  <c r="I9103" i="17"/>
  <c r="I9102" i="17"/>
  <c r="I9101" i="17"/>
  <c r="I9100" i="17"/>
  <c r="I9099" i="17"/>
  <c r="I9098" i="17"/>
  <c r="I9097" i="17"/>
  <c r="I9096" i="17"/>
  <c r="I9095" i="17"/>
  <c r="I9094" i="17"/>
  <c r="I9093" i="17"/>
  <c r="I9092" i="17"/>
  <c r="I9091" i="17"/>
  <c r="I9090" i="17"/>
  <c r="I9089" i="17"/>
  <c r="I9088" i="17"/>
  <c r="I9087" i="17"/>
  <c r="I9086" i="17"/>
  <c r="I9085" i="17"/>
  <c r="I9084" i="17"/>
  <c r="I9083" i="17"/>
  <c r="I9082" i="17"/>
  <c r="I9081" i="17"/>
  <c r="I9080" i="17"/>
  <c r="I9079" i="17"/>
  <c r="I9078" i="17"/>
  <c r="I9077" i="17"/>
  <c r="I9076" i="17"/>
  <c r="I9075" i="17"/>
  <c r="I9074" i="17"/>
  <c r="I9073" i="17"/>
  <c r="I9072" i="17"/>
  <c r="I9071" i="17"/>
  <c r="I9070" i="17"/>
  <c r="I9069" i="17"/>
  <c r="I9068" i="17"/>
  <c r="I9067" i="17"/>
  <c r="I9066" i="17"/>
  <c r="I9065" i="17"/>
  <c r="I9064" i="17"/>
  <c r="I9063" i="17"/>
  <c r="I9062" i="17"/>
  <c r="I9061" i="17"/>
  <c r="I9060" i="17"/>
  <c r="I9059" i="17"/>
  <c r="I9058" i="17"/>
  <c r="I9057" i="17"/>
  <c r="I9056" i="17"/>
  <c r="I9055" i="17"/>
  <c r="I9054" i="17"/>
  <c r="I9053" i="17"/>
  <c r="I9052" i="17"/>
  <c r="I9051" i="17"/>
  <c r="I9050" i="17"/>
  <c r="I9049" i="17"/>
  <c r="I9048" i="17"/>
  <c r="I9047" i="17"/>
  <c r="I9046" i="17"/>
  <c r="I9045" i="17"/>
  <c r="I9044" i="17"/>
  <c r="I9043" i="17"/>
  <c r="I9042" i="17"/>
  <c r="I9041" i="17"/>
  <c r="I9040" i="17"/>
  <c r="I9039" i="17"/>
  <c r="I9038" i="17"/>
  <c r="I9037" i="17"/>
  <c r="I9036" i="17"/>
  <c r="I9035" i="17"/>
  <c r="I9034" i="17"/>
  <c r="I9033" i="17"/>
  <c r="I9032" i="17"/>
  <c r="I9031" i="17"/>
  <c r="I9030" i="17"/>
  <c r="I9029" i="17"/>
  <c r="I9028" i="17"/>
  <c r="I9027" i="17"/>
  <c r="I9026" i="17"/>
  <c r="I9025" i="17"/>
  <c r="I9024" i="17"/>
  <c r="I9023" i="17"/>
  <c r="I9022" i="17"/>
  <c r="I9021" i="17"/>
  <c r="I9020" i="17"/>
  <c r="I9019" i="17"/>
  <c r="I9018" i="17"/>
  <c r="I9017" i="17"/>
  <c r="I9016" i="17"/>
  <c r="I9015" i="17"/>
  <c r="I9014" i="17"/>
  <c r="I9013" i="17"/>
  <c r="I9012" i="17"/>
  <c r="I9011" i="17"/>
  <c r="I9010" i="17"/>
  <c r="I9009" i="17"/>
  <c r="I9008" i="17"/>
  <c r="I9007" i="17"/>
  <c r="I9006" i="17"/>
  <c r="I9005" i="17"/>
  <c r="I9004" i="17"/>
  <c r="I9003" i="17"/>
  <c r="I9002" i="17"/>
  <c r="I9001" i="17"/>
  <c r="I9000" i="17"/>
  <c r="I8999" i="17"/>
  <c r="I8998" i="17"/>
  <c r="I8997" i="17"/>
  <c r="I8996" i="17"/>
  <c r="I8995" i="17"/>
  <c r="I8994" i="17"/>
  <c r="I8993" i="17"/>
  <c r="I8992" i="17"/>
  <c r="I8991" i="17"/>
  <c r="I8990" i="17"/>
  <c r="I8989" i="17"/>
  <c r="I8988" i="17"/>
  <c r="I8987" i="17"/>
  <c r="I8986" i="17"/>
  <c r="I8985" i="17"/>
  <c r="I8984" i="17"/>
  <c r="I8983" i="17"/>
  <c r="I8982" i="17"/>
  <c r="I8981" i="17"/>
  <c r="I8980" i="17"/>
  <c r="I8979" i="17"/>
  <c r="I8978" i="17"/>
  <c r="I8977" i="17"/>
  <c r="I8976" i="17"/>
  <c r="I8975" i="17"/>
  <c r="I8974" i="17"/>
  <c r="I8973" i="17"/>
  <c r="I8972" i="17"/>
  <c r="I8971" i="17"/>
  <c r="I8970" i="17"/>
  <c r="I8969" i="17"/>
  <c r="I8968" i="17"/>
  <c r="I8967" i="17"/>
  <c r="I8966" i="17"/>
  <c r="I8965" i="17"/>
  <c r="I8964" i="17"/>
  <c r="I8963" i="17"/>
  <c r="I8962" i="17"/>
  <c r="I8961" i="17"/>
  <c r="I8960" i="17"/>
  <c r="I8959" i="17"/>
  <c r="I8958" i="17"/>
  <c r="I8957" i="17"/>
  <c r="I8956" i="17"/>
  <c r="I8955" i="17"/>
  <c r="I8954" i="17"/>
  <c r="I8953" i="17"/>
  <c r="I8952" i="17"/>
  <c r="I8951" i="17"/>
  <c r="I8950" i="17"/>
  <c r="I8949" i="17"/>
  <c r="I8948" i="17"/>
  <c r="I8947" i="17"/>
  <c r="I8946" i="17"/>
  <c r="I8945" i="17"/>
  <c r="I8944" i="17"/>
  <c r="I8943" i="17"/>
  <c r="I8942" i="17"/>
  <c r="I8941" i="17"/>
  <c r="I8940" i="17"/>
  <c r="I8939" i="17"/>
  <c r="I8938" i="17"/>
  <c r="I8937" i="17"/>
  <c r="I8936" i="17"/>
  <c r="I8935" i="17"/>
  <c r="I8934" i="17"/>
  <c r="I8933" i="17"/>
  <c r="I8932" i="17"/>
  <c r="I8931" i="17"/>
  <c r="I8930" i="17"/>
  <c r="I8929" i="17"/>
  <c r="I8928" i="17"/>
  <c r="I8927" i="17"/>
  <c r="I8926" i="17"/>
  <c r="I8925" i="17"/>
  <c r="I8924" i="17"/>
  <c r="I8923" i="17"/>
  <c r="I8922" i="17"/>
  <c r="I8921" i="17"/>
  <c r="I8920" i="17"/>
  <c r="I8919" i="17"/>
  <c r="I8918" i="17"/>
  <c r="I8917" i="17"/>
  <c r="I8916" i="17"/>
  <c r="I8915" i="17"/>
  <c r="I8914" i="17"/>
  <c r="I8913" i="17"/>
  <c r="I8912" i="17"/>
  <c r="I8911" i="17"/>
  <c r="I8910" i="17"/>
  <c r="I8909" i="17"/>
  <c r="I8908" i="17"/>
  <c r="I8907" i="17"/>
  <c r="I8906" i="17"/>
  <c r="I8905" i="17"/>
  <c r="I8904" i="17"/>
  <c r="I8903" i="17"/>
  <c r="I8902" i="17"/>
  <c r="I8901" i="17"/>
  <c r="I8900" i="17"/>
  <c r="I8899" i="17"/>
  <c r="I8898" i="17"/>
  <c r="I8897" i="17"/>
  <c r="I8896" i="17"/>
  <c r="I8895" i="17"/>
  <c r="I8894" i="17"/>
  <c r="I8893" i="17"/>
  <c r="I8892" i="17"/>
  <c r="I8891" i="17"/>
  <c r="I8890" i="17"/>
  <c r="I8889" i="17"/>
  <c r="I8888" i="17"/>
  <c r="I8887" i="17"/>
  <c r="I8886" i="17"/>
  <c r="I8885" i="17"/>
  <c r="I8884" i="17"/>
  <c r="I8883" i="17"/>
  <c r="I8882" i="17"/>
  <c r="I8881" i="17"/>
  <c r="I8880" i="17"/>
  <c r="I8879" i="17"/>
  <c r="I8878" i="17"/>
  <c r="I8877" i="17"/>
  <c r="I8876" i="17"/>
  <c r="I8875" i="17"/>
  <c r="I8874" i="17"/>
  <c r="I8873" i="17"/>
  <c r="I8872" i="17"/>
  <c r="I8871" i="17"/>
  <c r="I8870" i="17"/>
  <c r="I8869" i="17"/>
  <c r="I8868" i="17"/>
  <c r="I8867" i="17"/>
  <c r="I8866" i="17"/>
  <c r="I8865" i="17"/>
  <c r="I8864" i="17"/>
  <c r="I8863" i="17"/>
  <c r="I8862" i="17"/>
  <c r="I8861" i="17"/>
  <c r="I8860" i="17"/>
  <c r="I8859" i="17"/>
  <c r="I8858" i="17"/>
  <c r="I8857" i="17"/>
  <c r="I8856" i="17"/>
  <c r="I8855" i="17"/>
  <c r="I8854" i="17"/>
  <c r="I8853" i="17"/>
  <c r="I8852" i="17"/>
  <c r="I8851" i="17"/>
  <c r="I8850" i="17"/>
  <c r="I8849" i="17"/>
  <c r="I8848" i="17"/>
  <c r="I8847" i="17"/>
  <c r="I8846" i="17"/>
  <c r="I8845" i="17"/>
  <c r="I8844" i="17"/>
  <c r="I8843" i="17"/>
  <c r="I8842" i="17"/>
  <c r="I8841" i="17"/>
  <c r="I8840" i="17"/>
  <c r="I8839" i="17"/>
  <c r="I8838" i="17"/>
  <c r="I8837" i="17"/>
  <c r="I8836" i="17"/>
  <c r="I8835" i="17"/>
  <c r="I8834" i="17"/>
  <c r="I8833" i="17"/>
  <c r="I8832" i="17"/>
  <c r="I8831" i="17"/>
  <c r="I8830" i="17"/>
  <c r="I8829" i="17"/>
  <c r="I8828" i="17"/>
  <c r="I8827" i="17"/>
  <c r="I8826" i="17"/>
  <c r="I8825" i="17"/>
  <c r="I8824" i="17"/>
  <c r="I8823" i="17"/>
  <c r="I8822" i="17"/>
  <c r="I8821" i="17"/>
  <c r="I8820" i="17"/>
  <c r="I8819" i="17"/>
  <c r="I8818" i="17"/>
  <c r="I8817" i="17"/>
  <c r="I8816" i="17"/>
  <c r="I8815" i="17"/>
  <c r="I8814" i="17"/>
  <c r="I8813" i="17"/>
  <c r="I8812" i="17"/>
  <c r="I8811" i="17"/>
  <c r="I8810" i="17"/>
  <c r="I8809" i="17"/>
  <c r="I8808" i="17"/>
  <c r="I8807" i="17"/>
  <c r="I8806" i="17"/>
  <c r="I8805" i="17"/>
  <c r="I8804" i="17"/>
  <c r="I8803" i="17"/>
  <c r="I8802" i="17"/>
  <c r="I8801" i="17"/>
  <c r="I8800" i="17"/>
  <c r="I8799" i="17"/>
  <c r="I8798" i="17"/>
  <c r="I8797" i="17"/>
  <c r="I8796" i="17"/>
  <c r="I8795" i="17"/>
  <c r="I8794" i="17"/>
  <c r="I8793" i="17"/>
  <c r="I8792" i="17"/>
  <c r="I8791" i="17"/>
  <c r="I8790" i="17"/>
  <c r="I8789" i="17"/>
  <c r="I8788" i="17"/>
  <c r="I8787" i="17"/>
  <c r="I8786" i="17"/>
  <c r="I8785" i="17"/>
  <c r="I8784" i="17"/>
  <c r="I8783" i="17"/>
  <c r="I8782" i="17"/>
  <c r="I8781" i="17"/>
  <c r="I8780" i="17"/>
  <c r="I8779" i="17"/>
  <c r="I8778" i="17"/>
  <c r="I8777" i="17"/>
  <c r="I8776" i="17"/>
  <c r="I8775" i="17"/>
  <c r="I8774" i="17"/>
  <c r="I8773" i="17"/>
  <c r="I8772" i="17"/>
  <c r="I8771" i="17"/>
  <c r="I8770" i="17"/>
  <c r="I8769" i="17"/>
  <c r="I8768" i="17"/>
  <c r="I8767" i="17"/>
  <c r="I8766" i="17"/>
  <c r="I8765" i="17"/>
  <c r="I8764" i="17"/>
  <c r="I8763" i="17"/>
  <c r="I8762" i="17"/>
  <c r="I8761" i="17"/>
  <c r="I8760" i="17"/>
  <c r="I8759" i="17"/>
  <c r="I8758" i="17"/>
  <c r="I8757" i="17"/>
  <c r="I8756" i="17"/>
  <c r="I8755" i="17"/>
  <c r="I8754" i="17"/>
  <c r="I8753" i="17"/>
  <c r="I8752" i="17"/>
  <c r="I8751" i="17"/>
  <c r="I8750" i="17"/>
  <c r="I8749" i="17"/>
  <c r="I8748" i="17"/>
  <c r="I8747" i="17"/>
  <c r="I8746" i="17"/>
  <c r="I8745" i="17"/>
  <c r="I8744" i="17"/>
  <c r="I8743" i="17"/>
  <c r="I8742" i="17"/>
  <c r="I8741" i="17"/>
  <c r="I8740" i="17"/>
  <c r="I8739" i="17"/>
  <c r="I8738" i="17"/>
  <c r="I8737" i="17"/>
  <c r="I8736" i="17"/>
  <c r="I8735" i="17"/>
  <c r="I8734" i="17"/>
  <c r="I8733" i="17"/>
  <c r="I8732" i="17"/>
  <c r="I8731" i="17"/>
  <c r="I8730" i="17"/>
  <c r="I8729" i="17"/>
  <c r="I8728" i="17"/>
  <c r="I8727" i="17"/>
  <c r="I8726" i="17"/>
  <c r="I8725" i="17"/>
  <c r="I8724" i="17"/>
  <c r="I8723" i="17"/>
  <c r="I8722" i="17"/>
  <c r="I8721" i="17"/>
  <c r="I8720" i="17"/>
  <c r="I8719" i="17"/>
  <c r="I8718" i="17"/>
  <c r="I8717" i="17"/>
  <c r="I8716" i="17"/>
  <c r="I8715" i="17"/>
  <c r="I8714" i="17"/>
  <c r="I8713" i="17"/>
  <c r="I8712" i="17"/>
  <c r="I8711" i="17"/>
  <c r="I8710" i="17"/>
  <c r="I8709" i="17"/>
  <c r="I8708" i="17"/>
  <c r="I8707" i="17"/>
  <c r="I8706" i="17"/>
  <c r="I8705" i="17"/>
  <c r="I8704" i="17"/>
  <c r="I8703" i="17"/>
  <c r="I8702" i="17"/>
  <c r="I8701" i="17"/>
  <c r="I8700" i="17"/>
  <c r="I8699" i="17"/>
  <c r="I8698" i="17"/>
  <c r="I8697" i="17"/>
  <c r="I8696" i="17"/>
  <c r="I8695" i="17"/>
  <c r="I8694" i="17"/>
  <c r="I8693" i="17"/>
  <c r="I8692" i="17"/>
  <c r="I8691" i="17"/>
  <c r="I8690" i="17"/>
  <c r="I8689" i="17"/>
  <c r="I8688" i="17"/>
  <c r="I8687" i="17"/>
  <c r="I8686" i="17"/>
  <c r="I8685" i="17"/>
  <c r="I8684" i="17"/>
  <c r="I8683" i="17"/>
  <c r="I8682" i="17"/>
  <c r="I8681" i="17"/>
  <c r="I8680" i="17"/>
  <c r="I8679" i="17"/>
  <c r="I8678" i="17"/>
  <c r="I8677" i="17"/>
  <c r="I8676" i="17"/>
  <c r="I8675" i="17"/>
  <c r="I8674" i="17"/>
  <c r="I8673" i="17"/>
  <c r="I8672" i="17"/>
  <c r="I8671" i="17"/>
  <c r="I8670" i="17"/>
  <c r="I8669" i="17"/>
  <c r="I8668" i="17"/>
  <c r="I8667" i="17"/>
  <c r="I8666" i="17"/>
  <c r="I8665" i="17"/>
  <c r="I8664" i="17"/>
  <c r="I8663" i="17"/>
  <c r="I8662" i="17"/>
  <c r="I8661" i="17"/>
  <c r="I8660" i="17"/>
  <c r="I8659" i="17"/>
  <c r="I8658" i="17"/>
  <c r="I8657" i="17"/>
  <c r="I8656" i="17"/>
  <c r="I8655" i="17"/>
  <c r="I8654" i="17"/>
  <c r="I8653" i="17"/>
  <c r="I8652" i="17"/>
  <c r="I8651" i="17"/>
  <c r="I8650" i="17"/>
  <c r="I8649" i="17"/>
  <c r="I8648" i="17"/>
  <c r="I8647" i="17"/>
  <c r="I8646" i="17"/>
  <c r="I8645" i="17"/>
  <c r="I8644" i="17"/>
  <c r="I8643" i="17"/>
  <c r="I8642" i="17"/>
  <c r="I8641" i="17"/>
  <c r="I8640" i="17"/>
  <c r="I8639" i="17"/>
  <c r="I8638" i="17"/>
  <c r="I8637" i="17"/>
  <c r="I8636" i="17"/>
  <c r="I8635" i="17"/>
  <c r="I8634" i="17"/>
  <c r="I8633" i="17"/>
  <c r="I8632" i="17"/>
  <c r="I8631" i="17"/>
  <c r="I8630" i="17"/>
  <c r="I8629" i="17"/>
  <c r="I8628" i="17"/>
  <c r="I8627" i="17"/>
  <c r="I8626" i="17"/>
  <c r="I8625" i="17"/>
  <c r="I8624" i="17"/>
  <c r="I8623" i="17"/>
  <c r="I8622" i="17"/>
  <c r="I8621" i="17"/>
  <c r="I8620" i="17"/>
  <c r="I8619" i="17"/>
  <c r="I8618" i="17"/>
  <c r="I8617" i="17"/>
  <c r="I8616" i="17"/>
  <c r="I8615" i="17"/>
  <c r="I8614" i="17"/>
  <c r="I8613" i="17"/>
  <c r="I8612" i="17"/>
  <c r="I8611" i="17"/>
  <c r="I8610" i="17"/>
  <c r="I8609" i="17"/>
  <c r="I8608" i="17"/>
  <c r="I8607" i="17"/>
  <c r="I8606" i="17"/>
  <c r="I8605" i="17"/>
  <c r="I8604" i="17"/>
  <c r="I8603" i="17"/>
  <c r="I8602" i="17"/>
  <c r="I8601" i="17"/>
  <c r="I8600" i="17"/>
  <c r="I8599" i="17"/>
  <c r="I8598" i="17"/>
  <c r="I8597" i="17"/>
  <c r="I8596" i="17"/>
  <c r="I8595" i="17"/>
  <c r="I8594" i="17"/>
  <c r="I8593" i="17"/>
  <c r="I8592" i="17"/>
  <c r="I8591" i="17"/>
  <c r="I8590" i="17"/>
  <c r="I8589" i="17"/>
  <c r="I8588" i="17"/>
  <c r="I8587" i="17"/>
  <c r="I8586" i="17"/>
  <c r="I8585" i="17"/>
  <c r="I8584" i="17"/>
  <c r="I8583" i="17"/>
  <c r="I8582" i="17"/>
  <c r="I8581" i="17"/>
  <c r="I8580" i="17"/>
  <c r="I8579" i="17"/>
  <c r="I8578" i="17"/>
  <c r="I8577" i="17"/>
  <c r="I8576" i="17"/>
  <c r="I8575" i="17"/>
  <c r="I8574" i="17"/>
  <c r="I8573" i="17"/>
  <c r="I8572" i="17"/>
  <c r="I8571" i="17"/>
  <c r="I8570" i="17"/>
  <c r="I8569" i="17"/>
  <c r="I8568" i="17"/>
  <c r="I8567" i="17"/>
  <c r="I8566" i="17"/>
  <c r="I8565" i="17"/>
  <c r="I8564" i="17"/>
  <c r="I8563" i="17"/>
  <c r="I8562" i="17"/>
  <c r="I8561" i="17"/>
  <c r="I8560" i="17"/>
  <c r="I8559" i="17"/>
  <c r="I8558" i="17"/>
  <c r="I8557" i="17"/>
  <c r="I8556" i="17"/>
  <c r="I8555" i="17"/>
  <c r="I8554" i="17"/>
  <c r="I8553" i="17"/>
  <c r="I8552" i="17"/>
  <c r="I8551" i="17"/>
  <c r="I8550" i="17"/>
  <c r="I8549" i="17"/>
  <c r="I8548" i="17"/>
  <c r="I8547" i="17"/>
  <c r="I8546" i="17"/>
  <c r="I8545" i="17"/>
  <c r="I8544" i="17"/>
  <c r="I8543" i="17"/>
  <c r="I8542" i="17"/>
  <c r="I8541" i="17"/>
  <c r="I8540" i="17"/>
  <c r="I8539" i="17"/>
  <c r="I8538" i="17"/>
  <c r="I8537" i="17"/>
  <c r="I8536" i="17"/>
  <c r="I8535" i="17"/>
  <c r="I8534" i="17"/>
  <c r="I8533" i="17"/>
  <c r="I8532" i="17"/>
  <c r="I8531" i="17"/>
  <c r="I8530" i="17"/>
  <c r="I8529" i="17"/>
  <c r="I8528" i="17"/>
  <c r="I8527" i="17"/>
  <c r="I8526" i="17"/>
  <c r="I8525" i="17"/>
  <c r="I8524" i="17"/>
  <c r="I8523" i="17"/>
  <c r="I8522" i="17"/>
  <c r="I8521" i="17"/>
  <c r="I8520" i="17"/>
  <c r="I8519" i="17"/>
  <c r="I8518" i="17"/>
  <c r="I8517" i="17"/>
  <c r="I8516" i="17"/>
  <c r="I8515" i="17"/>
  <c r="I8514" i="17"/>
  <c r="I8513" i="17"/>
  <c r="I8512" i="17"/>
  <c r="I8511" i="17"/>
  <c r="I8510" i="17"/>
  <c r="I8509" i="17"/>
  <c r="I8508" i="17"/>
  <c r="I8507" i="17"/>
  <c r="I8506" i="17"/>
  <c r="I8505" i="17"/>
  <c r="I8504" i="17"/>
  <c r="I8503" i="17"/>
  <c r="I8502" i="17"/>
  <c r="I8501" i="17"/>
  <c r="I8500" i="17"/>
  <c r="I8499" i="17"/>
  <c r="I8498" i="17"/>
  <c r="I8497" i="17"/>
  <c r="I8496" i="17"/>
  <c r="I8495" i="17"/>
  <c r="I8494" i="17"/>
  <c r="I8493" i="17"/>
  <c r="I8492" i="17"/>
  <c r="I8491" i="17"/>
  <c r="I8490" i="17"/>
  <c r="I8489" i="17"/>
  <c r="I8488" i="17"/>
  <c r="I8487" i="17"/>
  <c r="I8486" i="17"/>
  <c r="I8485" i="17"/>
  <c r="I8484" i="17"/>
  <c r="I8483" i="17"/>
  <c r="I8482" i="17"/>
  <c r="I8481" i="17"/>
  <c r="I8480" i="17"/>
  <c r="I8479" i="17"/>
  <c r="I8478" i="17"/>
  <c r="I8477" i="17"/>
  <c r="I8476" i="17"/>
  <c r="I8475" i="17"/>
  <c r="I8474" i="17"/>
  <c r="I8473" i="17"/>
  <c r="I8472" i="17"/>
  <c r="I8471" i="17"/>
  <c r="I8470" i="17"/>
  <c r="I8469" i="17"/>
  <c r="I8468" i="17"/>
  <c r="I8467" i="17"/>
  <c r="I8466" i="17"/>
  <c r="I8465" i="17"/>
  <c r="I8464" i="17"/>
  <c r="I8463" i="17"/>
  <c r="I8462" i="17"/>
  <c r="I8461" i="17"/>
  <c r="I8460" i="17"/>
  <c r="I8459" i="17"/>
  <c r="I8458" i="17"/>
  <c r="I8457" i="17"/>
  <c r="I8456" i="17"/>
  <c r="I8455" i="17"/>
  <c r="I8454" i="17"/>
  <c r="I8453" i="17"/>
  <c r="I8452" i="17"/>
  <c r="I8451" i="17"/>
  <c r="I8450" i="17"/>
  <c r="I8449" i="17"/>
  <c r="I8448" i="17"/>
  <c r="I8447" i="17"/>
  <c r="I8446" i="17"/>
  <c r="I8445" i="17"/>
  <c r="I8444" i="17"/>
  <c r="I8443" i="17"/>
  <c r="I8442" i="17"/>
  <c r="I8441" i="17"/>
  <c r="I8440" i="17"/>
  <c r="I8439" i="17"/>
  <c r="I8438" i="17"/>
  <c r="I8437" i="17"/>
  <c r="I8436" i="17"/>
  <c r="I8435" i="17"/>
  <c r="I8434" i="17"/>
  <c r="I8433" i="17"/>
  <c r="I8432" i="17"/>
  <c r="I8431" i="17"/>
  <c r="I8430" i="17"/>
  <c r="I8429" i="17"/>
  <c r="I8428" i="17"/>
  <c r="I8427" i="17"/>
  <c r="I8426" i="17"/>
  <c r="I8425" i="17"/>
  <c r="I8424" i="17"/>
  <c r="I8423" i="17"/>
  <c r="I8422" i="17"/>
  <c r="I8421" i="17"/>
  <c r="I8420" i="17"/>
  <c r="I8419" i="17"/>
  <c r="I8418" i="17"/>
  <c r="I8417" i="17"/>
  <c r="I8416" i="17"/>
  <c r="I8415" i="17"/>
  <c r="I8414" i="17"/>
  <c r="I8413" i="17"/>
  <c r="I8412" i="17"/>
  <c r="I8411" i="17"/>
  <c r="I8410" i="17"/>
  <c r="I8409" i="17"/>
  <c r="I8408" i="17"/>
  <c r="I8407" i="17"/>
  <c r="I8406" i="17"/>
  <c r="I8405" i="17"/>
  <c r="I8404" i="17"/>
  <c r="I8403" i="17"/>
  <c r="I8402" i="17"/>
  <c r="I8401" i="17"/>
  <c r="I8400" i="17"/>
  <c r="I8399" i="17"/>
  <c r="I8398" i="17"/>
  <c r="I8397" i="17"/>
  <c r="I8396" i="17"/>
  <c r="I8395" i="17"/>
  <c r="I8394" i="17"/>
  <c r="I8393" i="17"/>
  <c r="I8392" i="17"/>
  <c r="I8391" i="17"/>
  <c r="I8390" i="17"/>
  <c r="I8389" i="17"/>
  <c r="I8388" i="17"/>
  <c r="I8387" i="17"/>
  <c r="I8386" i="17"/>
  <c r="I8385" i="17"/>
  <c r="I8384" i="17"/>
  <c r="I8383" i="17"/>
  <c r="I8382" i="17"/>
  <c r="I8381" i="17"/>
  <c r="I8380" i="17"/>
  <c r="I8379" i="17"/>
  <c r="I8378" i="17"/>
  <c r="I8377" i="17"/>
  <c r="I8376" i="17"/>
  <c r="I8375" i="17"/>
  <c r="I8374" i="17"/>
  <c r="I8373" i="17"/>
  <c r="I8372" i="17"/>
  <c r="I8371" i="17"/>
  <c r="I8370" i="17"/>
  <c r="I8369" i="17"/>
  <c r="I8368" i="17"/>
  <c r="I8367" i="17"/>
  <c r="I8366" i="17"/>
  <c r="I8365" i="17"/>
  <c r="I8364" i="17"/>
  <c r="I8363" i="17"/>
  <c r="I8362" i="17"/>
  <c r="I8361" i="17"/>
  <c r="I8360" i="17"/>
  <c r="I8359" i="17"/>
  <c r="I8358" i="17"/>
  <c r="I8357" i="17"/>
  <c r="I8356" i="17"/>
  <c r="I8355" i="17"/>
  <c r="I8354" i="17"/>
  <c r="I8353" i="17"/>
  <c r="I8352" i="17"/>
  <c r="I8351" i="17"/>
  <c r="I8350" i="17"/>
  <c r="I8349" i="17"/>
  <c r="I8348" i="17"/>
  <c r="I8347" i="17"/>
  <c r="I8346" i="17"/>
  <c r="I8345" i="17"/>
  <c r="I8344" i="17"/>
  <c r="I8343" i="17"/>
  <c r="I8342" i="17"/>
  <c r="I8341" i="17"/>
  <c r="I8340" i="17"/>
  <c r="I8339" i="17"/>
  <c r="I8338" i="17"/>
  <c r="I8337" i="17"/>
  <c r="I8336" i="17"/>
  <c r="I8335" i="17"/>
  <c r="I8334" i="17"/>
  <c r="I8333" i="17"/>
  <c r="I8332" i="17"/>
  <c r="I8331" i="17"/>
  <c r="I8330" i="17"/>
  <c r="I8329" i="17"/>
  <c r="I8328" i="17"/>
  <c r="I8327" i="17"/>
  <c r="I8326" i="17"/>
  <c r="I8325" i="17"/>
  <c r="I8324" i="17"/>
  <c r="I8323" i="17"/>
  <c r="I8322" i="17"/>
  <c r="I8321" i="17"/>
  <c r="I8320" i="17"/>
  <c r="I8319" i="17"/>
  <c r="I8318" i="17"/>
  <c r="I8317" i="17"/>
  <c r="I8316" i="17"/>
  <c r="I8315" i="17"/>
  <c r="I8314" i="17"/>
  <c r="I8313" i="17"/>
  <c r="I8312" i="17"/>
  <c r="I8311" i="17"/>
  <c r="I8310" i="17"/>
  <c r="I8309" i="17"/>
  <c r="I8308" i="17"/>
  <c r="I8307" i="17"/>
  <c r="I8306" i="17"/>
  <c r="I8305" i="17"/>
  <c r="I8304" i="17"/>
  <c r="I8303" i="17"/>
  <c r="I8302" i="17"/>
  <c r="I8301" i="17"/>
  <c r="I8300" i="17"/>
  <c r="I8299" i="17"/>
  <c r="I8298" i="17"/>
  <c r="I8297" i="17"/>
  <c r="I8296" i="17"/>
  <c r="I8295" i="17"/>
  <c r="I8294" i="17"/>
  <c r="I8293" i="17"/>
  <c r="I8292" i="17"/>
  <c r="I8291" i="17"/>
  <c r="I8290" i="17"/>
  <c r="I8289" i="17"/>
  <c r="I8288" i="17"/>
  <c r="I8287" i="17"/>
  <c r="I8286" i="17"/>
  <c r="I8285" i="17"/>
  <c r="I8284" i="17"/>
  <c r="I8283" i="17"/>
  <c r="I8282" i="17"/>
  <c r="I8281" i="17"/>
  <c r="I8280" i="17"/>
  <c r="I8279" i="17"/>
  <c r="I8278" i="17"/>
  <c r="I8277" i="17"/>
  <c r="I8276" i="17"/>
  <c r="I8275" i="17"/>
  <c r="I8274" i="17"/>
  <c r="I8273" i="17"/>
  <c r="I8272" i="17"/>
  <c r="I8271" i="17"/>
  <c r="I8270" i="17"/>
  <c r="I8269" i="17"/>
  <c r="I8268" i="17"/>
  <c r="I8267" i="17"/>
  <c r="I8266" i="17"/>
  <c r="I8265" i="17"/>
  <c r="I8264" i="17"/>
  <c r="I8263" i="17"/>
  <c r="I8262" i="17"/>
  <c r="I8261" i="17"/>
  <c r="I8260" i="17"/>
  <c r="I8259" i="17"/>
  <c r="I8258" i="17"/>
  <c r="I8257" i="17"/>
  <c r="I8256" i="17"/>
  <c r="I8255" i="17"/>
  <c r="I8254" i="17"/>
  <c r="I8253" i="17"/>
  <c r="I8252" i="17"/>
  <c r="I8251" i="17"/>
  <c r="I8250" i="17"/>
  <c r="I8249" i="17"/>
  <c r="I8248" i="17"/>
  <c r="I8247" i="17"/>
  <c r="I8246" i="17"/>
  <c r="I8245" i="17"/>
  <c r="I8244" i="17"/>
  <c r="I8243" i="17"/>
  <c r="I8242" i="17"/>
  <c r="I8241" i="17"/>
  <c r="I8240" i="17"/>
  <c r="I8239" i="17"/>
  <c r="I8238" i="17"/>
  <c r="I8237" i="17"/>
  <c r="I8236" i="17"/>
  <c r="I8235" i="17"/>
  <c r="I8234" i="17"/>
  <c r="I8233" i="17"/>
  <c r="I8232" i="17"/>
  <c r="I8231" i="17"/>
  <c r="I8230" i="17"/>
  <c r="I8229" i="17"/>
  <c r="I8228" i="17"/>
  <c r="I8227" i="17"/>
  <c r="I8226" i="17"/>
  <c r="I8225" i="17"/>
  <c r="I8224" i="17"/>
  <c r="I8223" i="17"/>
  <c r="I8222" i="17"/>
  <c r="I8221" i="17"/>
  <c r="I8220" i="17"/>
  <c r="I8219" i="17"/>
  <c r="I8218" i="17"/>
  <c r="I8217" i="17"/>
  <c r="I8216" i="17"/>
  <c r="I8215" i="17"/>
  <c r="I8214" i="17"/>
  <c r="I8213" i="17"/>
  <c r="I8212" i="17"/>
  <c r="I8211" i="17"/>
  <c r="I8210" i="17"/>
  <c r="I8209" i="17"/>
  <c r="I8208" i="17"/>
  <c r="I8207" i="17"/>
  <c r="I8206" i="17"/>
  <c r="I8205" i="17"/>
  <c r="I8204" i="17"/>
  <c r="I8203" i="17"/>
  <c r="I8202" i="17"/>
  <c r="I8201" i="17"/>
  <c r="I8200" i="17"/>
  <c r="I8199" i="17"/>
  <c r="I8198" i="17"/>
  <c r="I8197" i="17"/>
  <c r="I8196" i="17"/>
  <c r="I8195" i="17"/>
  <c r="I8194" i="17"/>
  <c r="I8193" i="17"/>
  <c r="I8192" i="17"/>
  <c r="I8191" i="17"/>
  <c r="I8190" i="17"/>
  <c r="I8189" i="17"/>
  <c r="I8188" i="17"/>
  <c r="I8187" i="17"/>
  <c r="I8186" i="17"/>
  <c r="I8185" i="17"/>
  <c r="I8184" i="17"/>
  <c r="I8183" i="17"/>
  <c r="I8182" i="17"/>
  <c r="I8181" i="17"/>
  <c r="I8180" i="17"/>
  <c r="I8179" i="17"/>
  <c r="I8178" i="17"/>
  <c r="I8177" i="17"/>
  <c r="I8176" i="17"/>
  <c r="I8175" i="17"/>
  <c r="I8174" i="17"/>
  <c r="I8173" i="17"/>
  <c r="I8172" i="17"/>
  <c r="I8171" i="17"/>
  <c r="I8170" i="17"/>
  <c r="I8169" i="17"/>
  <c r="I8168" i="17"/>
  <c r="I8167" i="17"/>
  <c r="I8166" i="17"/>
  <c r="I8165" i="17"/>
  <c r="I8164" i="17"/>
  <c r="I8163" i="17"/>
  <c r="I8162" i="17"/>
  <c r="I8161" i="17"/>
  <c r="I8160" i="17"/>
  <c r="I8159" i="17"/>
  <c r="I8158" i="17"/>
  <c r="I8157" i="17"/>
  <c r="I8156" i="17"/>
  <c r="I8155" i="17"/>
  <c r="I8154" i="17"/>
  <c r="I8153" i="17"/>
  <c r="I8152" i="17"/>
  <c r="I8151" i="17"/>
  <c r="I8150" i="17"/>
  <c r="I8149" i="17"/>
  <c r="I8148" i="17"/>
  <c r="I8147" i="17"/>
  <c r="I8146" i="17"/>
  <c r="I8145" i="17"/>
  <c r="I8144" i="17"/>
  <c r="I8143" i="17"/>
  <c r="I8142" i="17"/>
  <c r="I8141" i="17"/>
  <c r="I8140" i="17"/>
  <c r="I8139" i="17"/>
  <c r="I8138" i="17"/>
  <c r="I8137" i="17"/>
  <c r="I8136" i="17"/>
  <c r="I8135" i="17"/>
  <c r="I8134" i="17"/>
  <c r="I8133" i="17"/>
  <c r="I8132" i="17"/>
  <c r="I8131" i="17"/>
  <c r="I8130" i="17"/>
  <c r="I8129" i="17"/>
  <c r="I8128" i="17"/>
  <c r="I8127" i="17"/>
  <c r="I8126" i="17"/>
  <c r="I8125" i="17"/>
  <c r="I8124" i="17"/>
  <c r="I8123" i="17"/>
  <c r="I8122" i="17"/>
  <c r="I8121" i="17"/>
  <c r="I8120" i="17"/>
  <c r="I8119" i="17"/>
  <c r="I8118" i="17"/>
  <c r="I8117" i="17"/>
  <c r="I8116" i="17"/>
  <c r="I8115" i="17"/>
  <c r="I8114" i="17"/>
  <c r="I8113" i="17"/>
  <c r="I8112" i="17"/>
  <c r="I8111" i="17"/>
  <c r="I8110" i="17"/>
  <c r="I8109" i="17"/>
  <c r="I8108" i="17"/>
  <c r="I8107" i="17"/>
  <c r="I8106" i="17"/>
  <c r="I8105" i="17"/>
  <c r="I8104" i="17"/>
  <c r="I8103" i="17"/>
  <c r="I8102" i="17"/>
  <c r="I8101" i="17"/>
  <c r="I8100" i="17"/>
  <c r="I8099" i="17"/>
  <c r="I8098" i="17"/>
  <c r="I8097" i="17"/>
  <c r="I8096" i="17"/>
  <c r="I8095" i="17"/>
  <c r="I8094" i="17"/>
  <c r="I8093" i="17"/>
  <c r="I8092" i="17"/>
  <c r="I8091" i="17"/>
  <c r="I8090" i="17"/>
  <c r="I8089" i="17"/>
  <c r="I8088" i="17"/>
  <c r="I8087" i="17"/>
  <c r="I8086" i="17"/>
  <c r="I8085" i="17"/>
  <c r="I8084" i="17"/>
  <c r="I8083" i="17"/>
  <c r="I8082" i="17"/>
  <c r="I8081" i="17"/>
  <c r="I8080" i="17"/>
  <c r="I8079" i="17"/>
  <c r="I8078" i="17"/>
  <c r="I8077" i="17"/>
  <c r="I8076" i="17"/>
  <c r="I8075" i="17"/>
  <c r="I8074" i="17"/>
  <c r="I8073" i="17"/>
  <c r="I8072" i="17"/>
  <c r="I8071" i="17"/>
  <c r="I8070" i="17"/>
  <c r="I8069" i="17"/>
  <c r="I8068" i="17"/>
  <c r="I8067" i="17"/>
  <c r="I8066" i="17"/>
  <c r="I8065" i="17"/>
  <c r="I8064" i="17"/>
  <c r="I8063" i="17"/>
  <c r="I8062" i="17"/>
  <c r="I8061" i="17"/>
  <c r="I8060" i="17"/>
  <c r="I8059" i="17"/>
  <c r="I8058" i="17"/>
  <c r="I8057" i="17"/>
  <c r="I8056" i="17"/>
  <c r="I8055" i="17"/>
  <c r="I8054" i="17"/>
  <c r="I8053" i="17"/>
  <c r="I8052" i="17"/>
  <c r="I8051" i="17"/>
  <c r="I8050" i="17"/>
  <c r="I8049" i="17"/>
  <c r="I8048" i="17"/>
  <c r="I8047" i="17"/>
  <c r="I8046" i="17"/>
  <c r="I8045" i="17"/>
  <c r="I8044" i="17"/>
  <c r="I8043" i="17"/>
  <c r="I8042" i="17"/>
  <c r="I8041" i="17"/>
  <c r="I8040" i="17"/>
  <c r="I8039" i="17"/>
  <c r="I8038" i="17"/>
  <c r="I8037" i="17"/>
  <c r="I8036" i="17"/>
  <c r="I8035" i="17"/>
  <c r="I8034" i="17"/>
  <c r="I8033" i="17"/>
  <c r="I8032" i="17"/>
  <c r="I8031" i="17"/>
  <c r="I8030" i="17"/>
  <c r="I8029" i="17"/>
  <c r="I8028" i="17"/>
  <c r="I8027" i="17"/>
  <c r="I8026" i="17"/>
  <c r="I8025" i="17"/>
  <c r="I8024" i="17"/>
  <c r="I8023" i="17"/>
  <c r="I8022" i="17"/>
  <c r="I8021" i="17"/>
  <c r="I8020" i="17"/>
  <c r="I8019" i="17"/>
  <c r="I8018" i="17"/>
  <c r="I8017" i="17"/>
  <c r="I8016" i="17"/>
  <c r="I8015" i="17"/>
  <c r="I8014" i="17"/>
  <c r="I8013" i="17"/>
  <c r="I8012" i="17"/>
  <c r="I8011" i="17"/>
  <c r="I8010" i="17"/>
  <c r="I8009" i="17"/>
  <c r="I8008" i="17"/>
  <c r="I8007" i="17"/>
  <c r="I8006" i="17"/>
  <c r="I8005" i="17"/>
  <c r="I8004" i="17"/>
  <c r="I8003" i="17"/>
  <c r="I8002" i="17"/>
  <c r="I8001" i="17"/>
  <c r="I8000" i="17"/>
  <c r="I7999" i="17"/>
  <c r="I7998" i="17"/>
  <c r="I7997" i="17"/>
  <c r="I7996" i="17"/>
  <c r="I7995" i="17"/>
  <c r="I7994" i="17"/>
  <c r="I7993" i="17"/>
  <c r="I7992" i="17"/>
  <c r="I7991" i="17"/>
  <c r="I7990" i="17"/>
  <c r="I7989" i="17"/>
  <c r="I7988" i="17"/>
  <c r="I7987" i="17"/>
  <c r="I7986" i="17"/>
  <c r="I7985" i="17"/>
  <c r="I7984" i="17"/>
  <c r="I7983" i="17"/>
  <c r="I7982" i="17"/>
  <c r="I7981" i="17"/>
  <c r="I7980" i="17"/>
  <c r="I7979" i="17"/>
  <c r="I7978" i="17"/>
  <c r="I7977" i="17"/>
  <c r="I7976" i="17"/>
  <c r="I7975" i="17"/>
  <c r="I7974" i="17"/>
  <c r="I7973" i="17"/>
  <c r="I7972" i="17"/>
  <c r="I7971" i="17"/>
  <c r="I7970" i="17"/>
  <c r="I7969" i="17"/>
  <c r="I7968" i="17"/>
  <c r="I7967" i="17"/>
  <c r="I7966" i="17"/>
  <c r="I7965" i="17"/>
  <c r="I7964" i="17"/>
  <c r="I7963" i="17"/>
  <c r="I7962" i="17"/>
  <c r="I7961" i="17"/>
  <c r="I7960" i="17"/>
  <c r="I7959" i="17"/>
  <c r="I7958" i="17"/>
  <c r="I7957" i="17"/>
  <c r="I7956" i="17"/>
  <c r="I7955" i="17"/>
  <c r="I7954" i="17"/>
  <c r="I7953" i="17"/>
  <c r="I7952" i="17"/>
  <c r="I7951" i="17"/>
  <c r="I7950" i="17"/>
  <c r="I7949" i="17"/>
  <c r="I7948" i="17"/>
  <c r="I7947" i="17"/>
  <c r="I7946" i="17"/>
  <c r="I7945" i="17"/>
  <c r="I7944" i="17"/>
  <c r="I7943" i="17"/>
  <c r="I7942" i="17"/>
  <c r="I7941" i="17"/>
  <c r="I7940" i="17"/>
  <c r="I7939" i="17"/>
  <c r="I7938" i="17"/>
  <c r="I7937" i="17"/>
  <c r="I7936" i="17"/>
  <c r="I7935" i="17"/>
  <c r="I7934" i="17"/>
  <c r="I7933" i="17"/>
  <c r="I7932" i="17"/>
  <c r="I7931" i="17"/>
  <c r="I7930" i="17"/>
  <c r="I7929" i="17"/>
  <c r="I7928" i="17"/>
  <c r="I7927" i="17"/>
  <c r="I7926" i="17"/>
  <c r="I7925" i="17"/>
  <c r="I7924" i="17"/>
  <c r="I7923" i="17"/>
  <c r="I7922" i="17"/>
  <c r="I7921" i="17"/>
  <c r="I7920" i="17"/>
  <c r="I7919" i="17"/>
  <c r="I7918" i="17"/>
  <c r="I7917" i="17"/>
  <c r="I7916" i="17"/>
  <c r="I7915" i="17"/>
  <c r="I7914" i="17"/>
  <c r="I7913" i="17"/>
  <c r="I7912" i="17"/>
  <c r="I7911" i="17"/>
  <c r="I7910" i="17"/>
  <c r="I7909" i="17"/>
  <c r="I7908" i="17"/>
  <c r="I7907" i="17"/>
  <c r="I7906" i="17"/>
  <c r="I7905" i="17"/>
  <c r="I7904" i="17"/>
  <c r="I7903" i="17"/>
  <c r="I7902" i="17"/>
  <c r="I7901" i="17"/>
  <c r="I7900" i="17"/>
  <c r="I7899" i="17"/>
  <c r="I7898" i="17"/>
  <c r="I7897" i="17"/>
  <c r="I7896" i="17"/>
  <c r="I7895" i="17"/>
  <c r="I7894" i="17"/>
  <c r="I7893" i="17"/>
  <c r="I7892" i="17"/>
  <c r="I7891" i="17"/>
  <c r="I7890" i="17"/>
  <c r="I7889" i="17"/>
  <c r="I7888" i="17"/>
  <c r="I7887" i="17"/>
  <c r="I7886" i="17"/>
  <c r="I7885" i="17"/>
  <c r="I7884" i="17"/>
  <c r="I7883" i="17"/>
  <c r="I7882" i="17"/>
  <c r="I7881" i="17"/>
  <c r="I7880" i="17"/>
  <c r="I7879" i="17"/>
  <c r="I7878" i="17"/>
  <c r="I7877" i="17"/>
  <c r="I7876" i="17"/>
  <c r="I7875" i="17"/>
  <c r="I7874" i="17"/>
  <c r="I7873" i="17"/>
  <c r="I7872" i="17"/>
  <c r="I7871" i="17"/>
  <c r="I7870" i="17"/>
  <c r="I7869" i="17"/>
  <c r="I7868" i="17"/>
  <c r="I7867" i="17"/>
  <c r="I7866" i="17"/>
  <c r="I7865" i="17"/>
  <c r="I7864" i="17"/>
  <c r="I7863" i="17"/>
  <c r="I7862" i="17"/>
  <c r="I7861" i="17"/>
  <c r="I7860" i="17"/>
  <c r="I7859" i="17"/>
  <c r="I7858" i="17"/>
  <c r="I7857" i="17"/>
  <c r="I7856" i="17"/>
  <c r="I7855" i="17"/>
  <c r="I7854" i="17"/>
  <c r="I7853" i="17"/>
  <c r="I7852" i="17"/>
  <c r="I7851" i="17"/>
  <c r="I7850" i="17"/>
  <c r="I7849" i="17"/>
  <c r="I7848" i="17"/>
  <c r="I7847" i="17"/>
  <c r="I7846" i="17"/>
  <c r="I7845" i="17"/>
  <c r="I7844" i="17"/>
  <c r="I7843" i="17"/>
  <c r="I7842" i="17"/>
  <c r="I7841" i="17"/>
  <c r="I7840" i="17"/>
  <c r="I7839" i="17"/>
  <c r="I7838" i="17"/>
  <c r="I7837" i="17"/>
  <c r="I7836" i="17"/>
  <c r="I7835" i="17"/>
  <c r="I7834" i="17"/>
  <c r="I7833" i="17"/>
  <c r="I7832" i="17"/>
  <c r="I7831" i="17"/>
  <c r="I7830" i="17"/>
  <c r="I7829" i="17"/>
  <c r="I7828" i="17"/>
  <c r="I7827" i="17"/>
  <c r="I7826" i="17"/>
  <c r="I7825" i="17"/>
  <c r="I7824" i="17"/>
  <c r="I7823" i="17"/>
  <c r="I7822" i="17"/>
  <c r="I7821" i="17"/>
  <c r="I7820" i="17"/>
  <c r="I7819" i="17"/>
  <c r="I7818" i="17"/>
  <c r="I7817" i="17"/>
  <c r="I7816" i="17"/>
  <c r="I7815" i="17"/>
  <c r="I7814" i="17"/>
  <c r="I7813" i="17"/>
  <c r="I7812" i="17"/>
  <c r="I7811" i="17"/>
  <c r="I7810" i="17"/>
  <c r="I7809" i="17"/>
  <c r="I7808" i="17"/>
  <c r="I7807" i="17"/>
  <c r="I7806" i="17"/>
  <c r="I7805" i="17"/>
  <c r="I7804" i="17"/>
  <c r="I7803" i="17"/>
  <c r="I7802" i="17"/>
  <c r="I7801" i="17"/>
  <c r="I7800" i="17"/>
  <c r="I7799" i="17"/>
  <c r="I7798" i="17"/>
  <c r="I7797" i="17"/>
  <c r="I7796" i="17"/>
  <c r="I7795" i="17"/>
  <c r="I7794" i="17"/>
  <c r="I7793" i="17"/>
  <c r="I7792" i="17"/>
  <c r="I7791" i="17"/>
  <c r="I7790" i="17"/>
  <c r="I7789" i="17"/>
  <c r="I7788" i="17"/>
  <c r="I7787" i="17"/>
  <c r="I7786" i="17"/>
  <c r="I7785" i="17"/>
  <c r="I7784" i="17"/>
  <c r="I7783" i="17"/>
  <c r="I7782" i="17"/>
  <c r="I7781" i="17"/>
  <c r="I7780" i="17"/>
  <c r="I7779" i="17"/>
  <c r="I7778" i="17"/>
  <c r="I7777" i="17"/>
  <c r="I7776" i="17"/>
  <c r="I7775" i="17"/>
  <c r="I7774" i="17"/>
  <c r="I7773" i="17"/>
  <c r="I7772" i="17"/>
  <c r="I7771" i="17"/>
  <c r="I7770" i="17"/>
  <c r="I7769" i="17"/>
  <c r="I7768" i="17"/>
  <c r="I7767" i="17"/>
  <c r="I7766" i="17"/>
  <c r="I7765" i="17"/>
  <c r="I7764" i="17"/>
  <c r="I7763" i="17"/>
  <c r="I7762" i="17"/>
  <c r="I7761" i="17"/>
  <c r="I7760" i="17"/>
  <c r="I7759" i="17"/>
  <c r="I7758" i="17"/>
  <c r="I7757" i="17"/>
  <c r="I7756" i="17"/>
  <c r="I7755" i="17"/>
  <c r="I7754" i="17"/>
  <c r="I7753" i="17"/>
  <c r="I7752" i="17"/>
  <c r="I7751" i="17"/>
  <c r="I7750" i="17"/>
  <c r="I7749" i="17"/>
  <c r="I7748" i="17"/>
  <c r="I7747" i="17"/>
  <c r="I7746" i="17"/>
  <c r="I7745" i="17"/>
  <c r="I7744" i="17"/>
  <c r="I7743" i="17"/>
  <c r="I7742" i="17"/>
  <c r="I7741" i="17"/>
  <c r="I7740" i="17"/>
  <c r="I7739" i="17"/>
  <c r="I7738" i="17"/>
  <c r="I7737" i="17"/>
  <c r="I7736" i="17"/>
  <c r="I7735" i="17"/>
  <c r="I7734" i="17"/>
  <c r="I7733" i="17"/>
  <c r="I7732" i="17"/>
  <c r="I7731" i="17"/>
  <c r="I7730" i="17"/>
  <c r="I7729" i="17"/>
  <c r="I7728" i="17"/>
  <c r="I7727" i="17"/>
  <c r="I7726" i="17"/>
  <c r="I7725" i="17"/>
  <c r="I7724" i="17"/>
  <c r="I7723" i="17"/>
  <c r="I7722" i="17"/>
  <c r="I7721" i="17"/>
  <c r="I7720" i="17"/>
  <c r="I7719" i="17"/>
  <c r="I7718" i="17"/>
  <c r="I7717" i="17"/>
  <c r="I7716" i="17"/>
  <c r="I7715" i="17"/>
  <c r="I7714" i="17"/>
  <c r="I7713" i="17"/>
  <c r="I7712" i="17"/>
  <c r="I7711" i="17"/>
  <c r="I7710" i="17"/>
  <c r="I7709" i="17"/>
  <c r="I7708" i="17"/>
  <c r="I7707" i="17"/>
  <c r="I7706" i="17"/>
  <c r="I7705" i="17"/>
  <c r="I7704" i="17"/>
  <c r="I7703" i="17"/>
  <c r="I7702" i="17"/>
  <c r="I7701" i="17"/>
  <c r="I7700" i="17"/>
  <c r="I7699" i="17"/>
  <c r="I7698" i="17"/>
  <c r="I7697" i="17"/>
  <c r="I7696" i="17"/>
  <c r="I7695" i="17"/>
  <c r="I7694" i="17"/>
  <c r="I7693" i="17"/>
  <c r="I7692" i="17"/>
  <c r="I7691" i="17"/>
  <c r="I7690" i="17"/>
  <c r="I7689" i="17"/>
  <c r="I7688" i="17"/>
  <c r="I7687" i="17"/>
  <c r="I7686" i="17"/>
  <c r="I7685" i="17"/>
  <c r="I7684" i="17"/>
  <c r="I7683" i="17"/>
  <c r="I7682" i="17"/>
  <c r="I7681" i="17"/>
  <c r="I7680" i="17"/>
  <c r="I7679" i="17"/>
  <c r="I7678" i="17"/>
  <c r="I7677" i="17"/>
  <c r="I7676" i="17"/>
  <c r="I7675" i="17"/>
  <c r="I7674" i="17"/>
  <c r="I7673" i="17"/>
  <c r="I7672" i="17"/>
  <c r="I7671" i="17"/>
  <c r="I7670" i="17"/>
  <c r="I7669" i="17"/>
  <c r="I7668" i="17"/>
  <c r="I7667" i="17"/>
  <c r="I7666" i="17"/>
  <c r="I7665" i="17"/>
  <c r="I7664" i="17"/>
  <c r="I7663" i="17"/>
  <c r="I7662" i="17"/>
  <c r="I7661" i="17"/>
  <c r="I7660" i="17"/>
  <c r="I7659" i="17"/>
  <c r="I7658" i="17"/>
  <c r="I7657" i="17"/>
  <c r="I7656" i="17"/>
  <c r="I7655" i="17"/>
  <c r="I7654" i="17"/>
  <c r="I7653" i="17"/>
  <c r="I7652" i="17"/>
  <c r="I7651" i="17"/>
  <c r="I7650" i="17"/>
  <c r="I7649" i="17"/>
  <c r="I7648" i="17"/>
  <c r="I7647" i="17"/>
  <c r="I7646" i="17"/>
  <c r="I7645" i="17"/>
  <c r="I7644" i="17"/>
  <c r="I7643" i="17"/>
  <c r="I7642" i="17"/>
  <c r="I7641" i="17"/>
  <c r="I7640" i="17"/>
  <c r="I7639" i="17"/>
  <c r="I7638" i="17"/>
  <c r="I7637" i="17"/>
  <c r="I7636" i="17"/>
  <c r="I7635" i="17"/>
  <c r="I7634" i="17"/>
  <c r="I7633" i="17"/>
  <c r="I7632" i="17"/>
  <c r="I7631" i="17"/>
  <c r="I7630" i="17"/>
  <c r="I7629" i="17"/>
  <c r="I7628" i="17"/>
  <c r="I7627" i="17"/>
  <c r="I7626" i="17"/>
  <c r="I7625" i="17"/>
  <c r="I7624" i="17"/>
  <c r="I7623" i="17"/>
  <c r="I7622" i="17"/>
  <c r="I7621" i="17"/>
  <c r="I7620" i="17"/>
  <c r="I7619" i="17"/>
  <c r="I7618" i="17"/>
  <c r="I7617" i="17"/>
  <c r="I7616" i="17"/>
  <c r="I7615" i="17"/>
  <c r="I7614" i="17"/>
  <c r="I7613" i="17"/>
  <c r="I7612" i="17"/>
  <c r="I7611" i="17"/>
  <c r="I7610" i="17"/>
  <c r="I7609" i="17"/>
  <c r="I7608" i="17"/>
  <c r="I7607" i="17"/>
  <c r="I7606" i="17"/>
  <c r="I7605" i="17"/>
  <c r="I7604" i="17"/>
  <c r="I7603" i="17"/>
  <c r="I7602" i="17"/>
  <c r="I7601" i="17"/>
  <c r="I7600" i="17"/>
  <c r="I7599" i="17"/>
  <c r="I7598" i="17"/>
  <c r="I7597" i="17"/>
  <c r="I7596" i="17"/>
  <c r="I7595" i="17"/>
  <c r="I7594" i="17"/>
  <c r="I7593" i="17"/>
  <c r="I7592" i="17"/>
  <c r="I7591" i="17"/>
  <c r="I7590" i="17"/>
  <c r="I7589" i="17"/>
  <c r="I7588" i="17"/>
  <c r="I7587" i="17"/>
  <c r="I7586" i="17"/>
  <c r="I7585" i="17"/>
  <c r="I7584" i="17"/>
  <c r="I7583" i="17"/>
  <c r="I7582" i="17"/>
  <c r="I7581" i="17"/>
  <c r="I7580" i="17"/>
  <c r="I7579" i="17"/>
  <c r="I7578" i="17"/>
  <c r="I7577" i="17"/>
  <c r="I7576" i="17"/>
  <c r="I7575" i="17"/>
  <c r="I7574" i="17"/>
  <c r="I7573" i="17"/>
  <c r="I7572" i="17"/>
  <c r="I7571" i="17"/>
  <c r="I7570" i="17"/>
  <c r="I7569" i="17"/>
  <c r="I7568" i="17"/>
  <c r="I7567" i="17"/>
  <c r="I7566" i="17"/>
  <c r="I7565" i="17"/>
  <c r="I7564" i="17"/>
  <c r="I7563" i="17"/>
  <c r="I7562" i="17"/>
  <c r="I7561" i="17"/>
  <c r="I7560" i="17"/>
  <c r="I7559" i="17"/>
  <c r="I7558" i="17"/>
  <c r="I7557" i="17"/>
  <c r="I7556" i="17"/>
  <c r="I7555" i="17"/>
  <c r="I7554" i="17"/>
  <c r="I7553" i="17"/>
  <c r="I7552" i="17"/>
  <c r="I7551" i="17"/>
  <c r="I7550" i="17"/>
  <c r="I7549" i="17"/>
  <c r="I7548" i="17"/>
  <c r="I7547" i="17"/>
  <c r="I7546" i="17"/>
  <c r="I7545" i="17"/>
  <c r="I7544" i="17"/>
  <c r="I7543" i="17"/>
  <c r="I7542" i="17"/>
  <c r="I7541" i="17"/>
  <c r="I7540" i="17"/>
  <c r="I7539" i="17"/>
  <c r="I7538" i="17"/>
  <c r="I7537" i="17"/>
  <c r="I7536" i="17"/>
  <c r="I7535" i="17"/>
  <c r="I7534" i="17"/>
  <c r="I7533" i="17"/>
  <c r="I7532" i="17"/>
  <c r="I7531" i="17"/>
  <c r="I7530" i="17"/>
  <c r="I7529" i="17"/>
  <c r="I7528" i="17"/>
  <c r="I7527" i="17"/>
  <c r="I7526" i="17"/>
  <c r="I7525" i="17"/>
  <c r="I7524" i="17"/>
  <c r="I7523" i="17"/>
  <c r="I7522" i="17"/>
  <c r="I7521" i="17"/>
  <c r="I7520" i="17"/>
  <c r="I7519" i="17"/>
  <c r="I7518" i="17"/>
  <c r="I7517" i="17"/>
  <c r="I7516" i="17"/>
  <c r="I7515" i="17"/>
  <c r="I7514" i="17"/>
  <c r="I7513" i="17"/>
  <c r="I7512" i="17"/>
  <c r="I7511" i="17"/>
  <c r="I7510" i="17"/>
  <c r="I7509" i="17"/>
  <c r="I7508" i="17"/>
  <c r="I7507" i="17"/>
  <c r="I7506" i="17"/>
  <c r="I7505" i="17"/>
  <c r="I7504" i="17"/>
  <c r="I7503" i="17"/>
  <c r="I7502" i="17"/>
  <c r="I7501" i="17"/>
  <c r="I7500" i="17"/>
  <c r="I7499" i="17"/>
  <c r="I7498" i="17"/>
  <c r="I7497" i="17"/>
  <c r="I7496" i="17"/>
  <c r="I7495" i="17"/>
  <c r="I7494" i="17"/>
  <c r="I7493" i="17"/>
  <c r="I7492" i="17"/>
  <c r="I7491" i="17"/>
  <c r="I7490" i="17"/>
  <c r="I7489" i="17"/>
  <c r="I7488" i="17"/>
  <c r="I7487" i="17"/>
  <c r="I7486" i="17"/>
  <c r="I7485" i="17"/>
  <c r="I7484" i="17"/>
  <c r="I7483" i="17"/>
  <c r="I7482" i="17"/>
  <c r="I7481" i="17"/>
  <c r="I7480" i="17"/>
  <c r="I7479" i="17"/>
  <c r="I7478" i="17"/>
  <c r="I7477" i="17"/>
  <c r="I7476" i="17"/>
  <c r="I7475" i="17"/>
  <c r="I7474" i="17"/>
  <c r="I7473" i="17"/>
  <c r="I7472" i="17"/>
  <c r="I7471" i="17"/>
  <c r="I7470" i="17"/>
  <c r="I7469" i="17"/>
  <c r="I7468" i="17"/>
  <c r="I7467" i="17"/>
  <c r="I7466" i="17"/>
  <c r="I7465" i="17"/>
  <c r="I7464" i="17"/>
  <c r="I7463" i="17"/>
  <c r="I7462" i="17"/>
  <c r="I7461" i="17"/>
  <c r="I7460" i="17"/>
  <c r="I7459" i="17"/>
  <c r="I7458" i="17"/>
  <c r="I7457" i="17"/>
  <c r="I7456" i="17"/>
  <c r="I7455" i="17"/>
  <c r="I7454" i="17"/>
  <c r="I7453" i="17"/>
  <c r="I7452" i="17"/>
  <c r="I7451" i="17"/>
  <c r="I7450" i="17"/>
  <c r="I7449" i="17"/>
  <c r="I7448" i="17"/>
  <c r="I7447" i="17"/>
  <c r="I7446" i="17"/>
  <c r="I7445" i="17"/>
  <c r="I7444" i="17"/>
  <c r="I7443" i="17"/>
  <c r="I7442" i="17"/>
  <c r="I7441" i="17"/>
  <c r="I7440" i="17"/>
  <c r="I7439" i="17"/>
  <c r="I7438" i="17"/>
  <c r="I7437" i="17"/>
  <c r="I7436" i="17"/>
  <c r="I7435" i="17"/>
  <c r="I7434" i="17"/>
  <c r="I7433" i="17"/>
  <c r="I7432" i="17"/>
  <c r="I7431" i="17"/>
  <c r="I7430" i="17"/>
  <c r="I7429" i="17"/>
  <c r="I7428" i="17"/>
  <c r="I7427" i="17"/>
  <c r="I7426" i="17"/>
  <c r="I7425" i="17"/>
  <c r="I7424" i="17"/>
  <c r="I7423" i="17"/>
  <c r="I7422" i="17"/>
  <c r="I7421" i="17"/>
  <c r="I7420" i="17"/>
  <c r="I7419" i="17"/>
  <c r="I7418" i="17"/>
  <c r="I7417" i="17"/>
  <c r="I7416" i="17"/>
  <c r="I7415" i="17"/>
  <c r="I7414" i="17"/>
  <c r="I7413" i="17"/>
  <c r="I7412" i="17"/>
  <c r="I7411" i="17"/>
  <c r="I7410" i="17"/>
  <c r="I7409" i="17"/>
  <c r="I7408" i="17"/>
  <c r="I7407" i="17"/>
  <c r="I7406" i="17"/>
  <c r="I7405" i="17"/>
  <c r="I7404" i="17"/>
  <c r="I7403" i="17"/>
  <c r="I7402" i="17"/>
  <c r="I7401" i="17"/>
  <c r="I7400" i="17"/>
  <c r="I7399" i="17"/>
  <c r="I7398" i="17"/>
  <c r="I7397" i="17"/>
  <c r="I7396" i="17"/>
  <c r="I7395" i="17"/>
  <c r="I7394" i="17"/>
  <c r="I7393" i="17"/>
  <c r="I7392" i="17"/>
  <c r="I7391" i="17"/>
  <c r="I7390" i="17"/>
  <c r="I7389" i="17"/>
  <c r="I7388" i="17"/>
  <c r="I7387" i="17"/>
  <c r="I7386" i="17"/>
  <c r="I7385" i="17"/>
  <c r="I7384" i="17"/>
  <c r="I7383" i="17"/>
  <c r="I7382" i="17"/>
  <c r="I7381" i="17"/>
  <c r="I7380" i="17"/>
  <c r="I7379" i="17"/>
  <c r="I7378" i="17"/>
  <c r="I7377" i="17"/>
  <c r="I7376" i="17"/>
  <c r="I7375" i="17"/>
  <c r="I7374" i="17"/>
  <c r="I7373" i="17"/>
  <c r="I7372" i="17"/>
  <c r="I7371" i="17"/>
  <c r="I7370" i="17"/>
  <c r="I7369" i="17"/>
  <c r="I7368" i="17"/>
  <c r="I7367" i="17"/>
  <c r="I7366" i="17"/>
  <c r="I7365" i="17"/>
  <c r="I7364" i="17"/>
  <c r="I7363" i="17"/>
  <c r="I7362" i="17"/>
  <c r="I7361" i="17"/>
  <c r="I7360" i="17"/>
  <c r="I7359" i="17"/>
  <c r="I7358" i="17"/>
  <c r="I7357" i="17"/>
  <c r="I7356" i="17"/>
  <c r="I7355" i="17"/>
  <c r="I7354" i="17"/>
  <c r="I7353" i="17"/>
  <c r="I7352" i="17"/>
  <c r="I7351" i="17"/>
  <c r="I7350" i="17"/>
  <c r="I7349" i="17"/>
  <c r="I7348" i="17"/>
  <c r="I7347" i="17"/>
  <c r="I7346" i="17"/>
  <c r="I7345" i="17"/>
  <c r="I7344" i="17"/>
  <c r="I7343" i="17"/>
  <c r="I7342" i="17"/>
  <c r="I7341" i="17"/>
  <c r="I7340" i="17"/>
  <c r="I7339" i="17"/>
  <c r="I7338" i="17"/>
  <c r="I7337" i="17"/>
  <c r="I7336" i="17"/>
  <c r="I7335" i="17"/>
  <c r="I7334" i="17"/>
  <c r="I7333" i="17"/>
  <c r="I7332" i="17"/>
  <c r="I7331" i="17"/>
  <c r="I7330" i="17"/>
  <c r="I7329" i="17"/>
  <c r="I7328" i="17"/>
  <c r="I7327" i="17"/>
  <c r="I7326" i="17"/>
  <c r="I7325" i="17"/>
  <c r="I7324" i="17"/>
  <c r="I7323" i="17"/>
  <c r="I7322" i="17"/>
  <c r="I7321" i="17"/>
  <c r="I7320" i="17"/>
  <c r="I7319" i="17"/>
  <c r="I7318" i="17"/>
  <c r="I7317" i="17"/>
  <c r="I7316" i="17"/>
  <c r="I7315" i="17"/>
  <c r="I7314" i="17"/>
  <c r="I7313" i="17"/>
  <c r="I7312" i="17"/>
  <c r="I7311" i="17"/>
  <c r="I7310" i="17"/>
  <c r="I7309" i="17"/>
  <c r="I7308" i="17"/>
  <c r="I7307" i="17"/>
  <c r="I7306" i="17"/>
  <c r="I7305" i="17"/>
  <c r="I7304" i="17"/>
  <c r="I7303" i="17"/>
  <c r="I7302" i="17"/>
  <c r="I7301" i="17"/>
  <c r="I7300" i="17"/>
  <c r="I7299" i="17"/>
  <c r="I7298" i="17"/>
  <c r="I7297" i="17"/>
  <c r="I7296" i="17"/>
  <c r="I7295" i="17"/>
  <c r="I7294" i="17"/>
  <c r="I7293" i="17"/>
  <c r="I7292" i="17"/>
  <c r="I7291" i="17"/>
  <c r="I7290" i="17"/>
  <c r="I7289" i="17"/>
  <c r="I7288" i="17"/>
  <c r="I7287" i="17"/>
  <c r="I7286" i="17"/>
  <c r="I7285" i="17"/>
  <c r="I7284" i="17"/>
  <c r="I7283" i="17"/>
  <c r="I7282" i="17"/>
  <c r="I7281" i="17"/>
  <c r="I7280" i="17"/>
  <c r="I7279" i="17"/>
  <c r="I7278" i="17"/>
  <c r="I7277" i="17"/>
  <c r="I7276" i="17"/>
  <c r="I7275" i="17"/>
  <c r="I7274" i="17"/>
  <c r="I7273" i="17"/>
  <c r="I7272" i="17"/>
  <c r="I7271" i="17"/>
  <c r="I7270" i="17"/>
  <c r="I7269" i="17"/>
  <c r="I7268" i="17"/>
  <c r="I7267" i="17"/>
  <c r="I7266" i="17"/>
  <c r="I7265" i="17"/>
  <c r="I7264" i="17"/>
  <c r="I7263" i="17"/>
  <c r="I7262" i="17"/>
  <c r="I7261" i="17"/>
  <c r="I7260" i="17"/>
  <c r="I7259" i="17"/>
  <c r="I7258" i="17"/>
  <c r="I7257" i="17"/>
  <c r="I7256" i="17"/>
  <c r="I7255" i="17"/>
  <c r="I7254" i="17"/>
  <c r="I7253" i="17"/>
  <c r="I7252" i="17"/>
  <c r="I7251" i="17"/>
  <c r="I7250" i="17"/>
  <c r="I7249" i="17"/>
  <c r="I7248" i="17"/>
  <c r="I7247" i="17"/>
  <c r="I7246" i="17"/>
  <c r="I7245" i="17"/>
  <c r="I7244" i="17"/>
  <c r="I7243" i="17"/>
  <c r="I7242" i="17"/>
  <c r="I7241" i="17"/>
  <c r="I7240" i="17"/>
  <c r="I7239" i="17"/>
  <c r="I7238" i="17"/>
  <c r="I7237" i="17"/>
  <c r="I7236" i="17"/>
  <c r="I7235" i="17"/>
  <c r="I7234" i="17"/>
  <c r="I7233" i="17"/>
  <c r="I7232" i="17"/>
  <c r="I7231" i="17"/>
  <c r="I7230" i="17"/>
  <c r="I7229" i="17"/>
  <c r="I7228" i="17"/>
  <c r="I7227" i="17"/>
  <c r="I7226" i="17"/>
  <c r="I7225" i="17"/>
  <c r="I7224" i="17"/>
  <c r="I7223" i="17"/>
  <c r="I7222" i="17"/>
  <c r="I7221" i="17"/>
  <c r="I7220" i="17"/>
  <c r="I7219" i="17"/>
  <c r="I7218" i="17"/>
  <c r="I7217" i="17"/>
  <c r="I7216" i="17"/>
  <c r="I7215" i="17"/>
  <c r="I7214" i="17"/>
  <c r="I7213" i="17"/>
  <c r="I7212" i="17"/>
  <c r="I7211" i="17"/>
  <c r="I7210" i="17"/>
  <c r="I7209" i="17"/>
  <c r="I7208" i="17"/>
  <c r="I7207" i="17"/>
  <c r="I7206" i="17"/>
  <c r="I7205" i="17"/>
  <c r="I7204" i="17"/>
  <c r="I7203" i="17"/>
  <c r="I7202" i="17"/>
  <c r="I7201" i="17"/>
  <c r="I7200" i="17"/>
  <c r="I7199" i="17"/>
  <c r="I7198" i="17"/>
  <c r="I7197" i="17"/>
  <c r="I7196" i="17"/>
  <c r="I7195" i="17"/>
  <c r="I7194" i="17"/>
  <c r="I7193" i="17"/>
  <c r="I7192" i="17"/>
  <c r="I7191" i="17"/>
  <c r="I7190" i="17"/>
  <c r="I7189" i="17"/>
  <c r="I7188" i="17"/>
  <c r="I7187" i="17"/>
  <c r="I7186" i="17"/>
  <c r="I7185" i="17"/>
  <c r="I7184" i="17"/>
  <c r="I7183" i="17"/>
  <c r="I7182" i="17"/>
  <c r="I7181" i="17"/>
  <c r="I7180" i="17"/>
  <c r="I7179" i="17"/>
  <c r="I7178" i="17"/>
  <c r="I7177" i="17"/>
  <c r="I7176" i="17"/>
  <c r="I7175" i="17"/>
  <c r="I7174" i="17"/>
  <c r="I7173" i="17"/>
  <c r="I7172" i="17"/>
  <c r="I7171" i="17"/>
  <c r="I7170" i="17"/>
  <c r="I7169" i="17"/>
  <c r="I7168" i="17"/>
  <c r="I7167" i="17"/>
  <c r="I7166" i="17"/>
  <c r="I7165" i="17"/>
  <c r="I7164" i="17"/>
  <c r="I7163" i="17"/>
  <c r="I7162" i="17"/>
  <c r="I7161" i="17"/>
  <c r="I7160" i="17"/>
  <c r="I7159" i="17"/>
  <c r="I7158" i="17"/>
  <c r="I7157" i="17"/>
  <c r="I7156" i="17"/>
  <c r="I7155" i="17"/>
  <c r="I7154" i="17"/>
  <c r="I7153" i="17"/>
  <c r="I7152" i="17"/>
  <c r="I7151" i="17"/>
  <c r="I7150" i="17"/>
  <c r="I7149" i="17"/>
  <c r="I7148" i="17"/>
  <c r="I7147" i="17"/>
  <c r="I7146" i="17"/>
  <c r="I7145" i="17"/>
  <c r="I7144" i="17"/>
  <c r="I7143" i="17"/>
  <c r="I7142" i="17"/>
  <c r="I7141" i="17"/>
  <c r="I7140" i="17"/>
  <c r="I7139" i="17"/>
  <c r="I7138" i="17"/>
  <c r="I7137" i="17"/>
  <c r="I7136" i="17"/>
  <c r="I7135" i="17"/>
  <c r="I7134" i="17"/>
  <c r="I7133" i="17"/>
  <c r="I7132" i="17"/>
  <c r="I7131" i="17"/>
  <c r="I7130" i="17"/>
  <c r="I7129" i="17"/>
  <c r="I7128" i="17"/>
  <c r="I7127" i="17"/>
  <c r="I7126" i="17"/>
  <c r="I7125" i="17"/>
  <c r="I7124" i="17"/>
  <c r="I7123" i="17"/>
  <c r="I7122" i="17"/>
  <c r="I7121" i="17"/>
  <c r="I7120" i="17"/>
  <c r="I7119" i="17"/>
  <c r="I7118" i="17"/>
  <c r="I7117" i="17"/>
  <c r="I7116" i="17"/>
  <c r="I7115" i="17"/>
  <c r="I7114" i="17"/>
  <c r="I7113" i="17"/>
  <c r="I7112" i="17"/>
  <c r="I7111" i="17"/>
  <c r="I7110" i="17"/>
  <c r="I7109" i="17"/>
  <c r="I7108" i="17"/>
  <c r="I7107" i="17"/>
  <c r="I7106" i="17"/>
  <c r="I7105" i="17"/>
  <c r="I7104" i="17"/>
  <c r="I7103" i="17"/>
  <c r="I7102" i="17"/>
  <c r="I7101" i="17"/>
  <c r="I7100" i="17"/>
  <c r="I7099" i="17"/>
  <c r="I7098" i="17"/>
  <c r="I7097" i="17"/>
  <c r="I7096" i="17"/>
  <c r="I7095" i="17"/>
  <c r="I7094" i="17"/>
  <c r="I7093" i="17"/>
  <c r="I7092" i="17"/>
  <c r="I7091" i="17"/>
  <c r="I7090" i="17"/>
  <c r="I7089" i="17"/>
  <c r="I7088" i="17"/>
  <c r="I7087" i="17"/>
  <c r="I7086" i="17"/>
  <c r="I7085" i="17"/>
  <c r="I7084" i="17"/>
  <c r="I7083" i="17"/>
  <c r="I7082" i="17"/>
  <c r="I7081" i="17"/>
  <c r="I7080" i="17"/>
  <c r="I7079" i="17"/>
  <c r="I7078" i="17"/>
  <c r="I7077" i="17"/>
  <c r="I7076" i="17"/>
  <c r="I7075" i="17"/>
  <c r="I7074" i="17"/>
  <c r="I7073" i="17"/>
  <c r="I7072" i="17"/>
  <c r="I7071" i="17"/>
  <c r="I7070" i="17"/>
  <c r="I7069" i="17"/>
  <c r="I7068" i="17"/>
  <c r="I7067" i="17"/>
  <c r="I7066" i="17"/>
  <c r="I7065" i="17"/>
  <c r="I7064" i="17"/>
  <c r="I7063" i="17"/>
  <c r="I7062" i="17"/>
  <c r="I7061" i="17"/>
  <c r="I7060" i="17"/>
  <c r="I7059" i="17"/>
  <c r="I7058" i="17"/>
  <c r="I7057" i="17"/>
  <c r="I7056" i="17"/>
  <c r="I7055" i="17"/>
  <c r="I7054" i="17"/>
  <c r="I7053" i="17"/>
  <c r="I7052" i="17"/>
  <c r="I7051" i="17"/>
  <c r="I7050" i="17"/>
  <c r="I7049" i="17"/>
  <c r="I7048" i="17"/>
  <c r="I7047" i="17"/>
  <c r="I7046" i="17"/>
  <c r="I7045" i="17"/>
  <c r="I7044" i="17"/>
  <c r="I7043" i="17"/>
  <c r="I7042" i="17"/>
  <c r="I7041" i="17"/>
  <c r="I7040" i="17"/>
  <c r="I7039" i="17"/>
  <c r="I7038" i="17"/>
  <c r="I7037" i="17"/>
  <c r="I7036" i="17"/>
  <c r="I7035" i="17"/>
  <c r="I7034" i="17"/>
  <c r="I7033" i="17"/>
  <c r="I7032" i="17"/>
  <c r="I7031" i="17"/>
  <c r="I7030" i="17"/>
  <c r="I7029" i="17"/>
  <c r="I7028" i="17"/>
  <c r="I7027" i="17"/>
  <c r="I7026" i="17"/>
  <c r="I7025" i="17"/>
  <c r="I7024" i="17"/>
  <c r="I7023" i="17"/>
  <c r="I7022" i="17"/>
  <c r="I7021" i="17"/>
  <c r="I7020" i="17"/>
  <c r="I7019" i="17"/>
  <c r="I7018" i="17"/>
  <c r="I7017" i="17"/>
  <c r="I7016" i="17"/>
  <c r="I7015" i="17"/>
  <c r="I7014" i="17"/>
  <c r="I7013" i="17"/>
  <c r="I7012" i="17"/>
  <c r="I7011" i="17"/>
  <c r="I7010" i="17"/>
  <c r="I7009" i="17"/>
  <c r="I7008" i="17"/>
  <c r="I7007" i="17"/>
  <c r="I7006" i="17"/>
  <c r="I7005" i="17"/>
  <c r="I7004" i="17"/>
  <c r="I7003" i="17"/>
  <c r="I7002" i="17"/>
  <c r="I7001" i="17"/>
  <c r="I7000" i="17"/>
  <c r="I6999" i="17"/>
  <c r="I6998" i="17"/>
  <c r="I6997" i="17"/>
  <c r="I6996" i="17"/>
  <c r="I6995" i="17"/>
  <c r="I6994" i="17"/>
  <c r="I6993" i="17"/>
  <c r="I6992" i="17"/>
  <c r="I6991" i="17"/>
  <c r="I6990" i="17"/>
  <c r="I6989" i="17"/>
  <c r="I6988" i="17"/>
  <c r="I6987" i="17"/>
  <c r="I6986" i="17"/>
  <c r="I6985" i="17"/>
  <c r="I6984" i="17"/>
  <c r="I6983" i="17"/>
  <c r="I6982" i="17"/>
  <c r="I6981" i="17"/>
  <c r="I6980" i="17"/>
  <c r="I6979" i="17"/>
  <c r="I6978" i="17"/>
  <c r="I6977" i="17"/>
  <c r="I6976" i="17"/>
  <c r="I6975" i="17"/>
  <c r="I6974" i="17"/>
  <c r="I6973" i="17"/>
  <c r="I6972" i="17"/>
  <c r="I6971" i="17"/>
  <c r="I6970" i="17"/>
  <c r="I6969" i="17"/>
  <c r="I6968" i="17"/>
  <c r="I6967" i="17"/>
  <c r="I6966" i="17"/>
  <c r="I6965" i="17"/>
  <c r="I6964" i="17"/>
  <c r="I6963" i="17"/>
  <c r="I6962" i="17"/>
  <c r="I6961" i="17"/>
  <c r="I6960" i="17"/>
  <c r="I6959" i="17"/>
  <c r="I6958" i="17"/>
  <c r="I6957" i="17"/>
  <c r="I6956" i="17"/>
  <c r="I6955" i="17"/>
  <c r="I6954" i="17"/>
  <c r="I6953" i="17"/>
  <c r="I6952" i="17"/>
  <c r="I6951" i="17"/>
  <c r="I6950" i="17"/>
  <c r="I6949" i="17"/>
  <c r="I6948" i="17"/>
  <c r="I6947" i="17"/>
  <c r="I6946" i="17"/>
  <c r="I6945" i="17"/>
  <c r="I6944" i="17"/>
  <c r="I6943" i="17"/>
  <c r="I6942" i="17"/>
  <c r="I6941" i="17"/>
  <c r="I6940" i="17"/>
  <c r="I6939" i="17"/>
  <c r="I6938" i="17"/>
  <c r="I6937" i="17"/>
  <c r="I6936" i="17"/>
  <c r="I6935" i="17"/>
  <c r="I6934" i="17"/>
  <c r="I6933" i="17"/>
  <c r="I6932" i="17"/>
  <c r="I6931" i="17"/>
  <c r="I6930" i="17"/>
  <c r="I6929" i="17"/>
  <c r="I6928" i="17"/>
  <c r="I6927" i="17"/>
  <c r="I6926" i="17"/>
  <c r="I6925" i="17"/>
  <c r="I6924" i="17"/>
  <c r="I6923" i="17"/>
  <c r="I6922" i="17"/>
  <c r="I6921" i="17"/>
  <c r="I6920" i="17"/>
  <c r="I6919" i="17"/>
  <c r="I6918" i="17"/>
  <c r="I6917" i="17"/>
  <c r="I6916" i="17"/>
  <c r="I6915" i="17"/>
  <c r="I6914" i="17"/>
  <c r="I6913" i="17"/>
  <c r="I6912" i="17"/>
  <c r="I6911" i="17"/>
  <c r="I6910" i="17"/>
  <c r="I6909" i="17"/>
  <c r="I6908" i="17"/>
  <c r="I6907" i="17"/>
  <c r="I6906" i="17"/>
  <c r="I6905" i="17"/>
  <c r="I6904" i="17"/>
  <c r="I6903" i="17"/>
  <c r="I6902" i="17"/>
  <c r="I6901" i="17"/>
  <c r="I6900" i="17"/>
  <c r="I6899" i="17"/>
  <c r="I6898" i="17"/>
  <c r="I6897" i="17"/>
  <c r="I6896" i="17"/>
  <c r="I6895" i="17"/>
  <c r="I6894" i="17"/>
  <c r="I6893" i="17"/>
  <c r="I6892" i="17"/>
  <c r="I6891" i="17"/>
  <c r="I6890" i="17"/>
  <c r="I6889" i="17"/>
  <c r="I6888" i="17"/>
  <c r="I6887" i="17"/>
  <c r="I6886" i="17"/>
  <c r="I6885" i="17"/>
  <c r="I6884" i="17"/>
  <c r="I6883" i="17"/>
  <c r="I6882" i="17"/>
  <c r="I6881" i="17"/>
  <c r="I6880" i="17"/>
  <c r="I6879" i="17"/>
  <c r="I6878" i="17"/>
  <c r="I6877" i="17"/>
  <c r="I6876" i="17"/>
  <c r="I6875" i="17"/>
  <c r="I6874" i="17"/>
  <c r="I6873" i="17"/>
  <c r="I6872" i="17"/>
  <c r="I6871" i="17"/>
  <c r="I6870" i="17"/>
  <c r="I6869" i="17"/>
  <c r="I6868" i="17"/>
  <c r="I6867" i="17"/>
  <c r="I6866" i="17"/>
  <c r="I6865" i="17"/>
  <c r="I6864" i="17"/>
  <c r="I6863" i="17"/>
  <c r="I6862" i="17"/>
  <c r="I6861" i="17"/>
  <c r="I6860" i="17"/>
  <c r="I6859" i="17"/>
  <c r="I6858" i="17"/>
  <c r="I6857" i="17"/>
  <c r="I6856" i="17"/>
  <c r="I6855" i="17"/>
  <c r="I6854" i="17"/>
  <c r="I6853" i="17"/>
  <c r="I6852" i="17"/>
  <c r="I6851" i="17"/>
  <c r="I6850" i="17"/>
  <c r="I6849" i="17"/>
  <c r="I6848" i="17"/>
  <c r="I6847" i="17"/>
  <c r="I6846" i="17"/>
  <c r="I6845" i="17"/>
  <c r="I6844" i="17"/>
  <c r="I6843" i="17"/>
  <c r="I6842" i="17"/>
  <c r="I6841" i="17"/>
  <c r="I6840" i="17"/>
  <c r="I6839" i="17"/>
  <c r="I6838" i="17"/>
  <c r="I6837" i="17"/>
  <c r="I6836" i="17"/>
  <c r="I6835" i="17"/>
  <c r="I6834" i="17"/>
  <c r="I6833" i="17"/>
  <c r="I6832" i="17"/>
  <c r="I6831" i="17"/>
  <c r="I6830" i="17"/>
  <c r="I6829" i="17"/>
  <c r="I6828" i="17"/>
  <c r="I6827" i="17"/>
  <c r="I6826" i="17"/>
  <c r="I6825" i="17"/>
  <c r="I6824" i="17"/>
  <c r="I6823" i="17"/>
  <c r="I6822" i="17"/>
  <c r="I6821" i="17"/>
  <c r="I6820" i="17"/>
  <c r="I6819" i="17"/>
  <c r="I6818" i="17"/>
  <c r="I6817" i="17"/>
  <c r="I6816" i="17"/>
  <c r="I6815" i="17"/>
  <c r="I6814" i="17"/>
  <c r="I6813" i="17"/>
  <c r="I6812" i="17"/>
  <c r="I6811" i="17"/>
  <c r="I6810" i="17"/>
  <c r="I6809" i="17"/>
  <c r="I6808" i="17"/>
  <c r="I6807" i="17"/>
  <c r="I6806" i="17"/>
  <c r="I6805" i="17"/>
  <c r="I6804" i="17"/>
  <c r="I6803" i="17"/>
  <c r="I6802" i="17"/>
  <c r="I6801" i="17"/>
  <c r="I6800" i="17"/>
  <c r="I6799" i="17"/>
  <c r="I6798" i="17"/>
  <c r="I6797" i="17"/>
  <c r="I6796" i="17"/>
  <c r="I6795" i="17"/>
  <c r="I6794" i="17"/>
  <c r="I6793" i="17"/>
  <c r="I6792" i="17"/>
  <c r="I6791" i="17"/>
  <c r="I6790" i="17"/>
  <c r="I6789" i="17"/>
  <c r="I6788" i="17"/>
  <c r="I6787" i="17"/>
  <c r="I6786" i="17"/>
  <c r="I6785" i="17"/>
  <c r="I6784" i="17"/>
  <c r="I6783" i="17"/>
  <c r="I6782" i="17"/>
  <c r="I6781" i="17"/>
  <c r="I6780" i="17"/>
  <c r="I6779" i="17"/>
  <c r="I6778" i="17"/>
  <c r="I6777" i="17"/>
  <c r="I6776" i="17"/>
  <c r="I6775" i="17"/>
  <c r="I6774" i="17"/>
  <c r="I6773" i="17"/>
  <c r="I6772" i="17"/>
  <c r="I6771" i="17"/>
  <c r="I6770" i="17"/>
  <c r="I6769" i="17"/>
  <c r="I6768" i="17"/>
  <c r="I6767" i="17"/>
  <c r="I6766" i="17"/>
  <c r="I6765" i="17"/>
  <c r="I6764" i="17"/>
  <c r="I6763" i="17"/>
  <c r="I6762" i="17"/>
  <c r="I6761" i="17"/>
  <c r="I6760" i="17"/>
  <c r="I6759" i="17"/>
  <c r="I6758" i="17"/>
  <c r="I6757" i="17"/>
  <c r="I6756" i="17"/>
  <c r="I6755" i="17"/>
  <c r="I6754" i="17"/>
  <c r="I6753" i="17"/>
  <c r="I6752" i="17"/>
  <c r="I6751" i="17"/>
  <c r="I6750" i="17"/>
  <c r="I6749" i="17"/>
  <c r="I6748" i="17"/>
  <c r="I6747" i="17"/>
  <c r="I6746" i="17"/>
  <c r="I6745" i="17"/>
  <c r="I6744" i="17"/>
  <c r="I6743" i="17"/>
  <c r="I6742" i="17"/>
  <c r="I6741" i="17"/>
  <c r="I6740" i="17"/>
  <c r="I6739" i="17"/>
  <c r="I6738" i="17"/>
  <c r="I6737" i="17"/>
  <c r="I6736" i="17"/>
  <c r="I6735" i="17"/>
  <c r="I6734" i="17"/>
  <c r="I6733" i="17"/>
  <c r="I6732" i="17"/>
  <c r="I6731" i="17"/>
  <c r="I6730" i="17"/>
  <c r="I6729" i="17"/>
  <c r="I6728" i="17"/>
  <c r="I6727" i="17"/>
  <c r="I6726" i="17"/>
  <c r="I6725" i="17"/>
  <c r="I6724" i="17"/>
  <c r="I6723" i="17"/>
  <c r="I6722" i="17"/>
  <c r="I6721" i="17"/>
  <c r="I6720" i="17"/>
  <c r="I6719" i="17"/>
  <c r="I6718" i="17"/>
  <c r="I6717" i="17"/>
  <c r="I6716" i="17"/>
  <c r="I6715" i="17"/>
  <c r="I6714" i="17"/>
  <c r="I6713" i="17"/>
  <c r="I6712" i="17"/>
  <c r="I6711" i="17"/>
  <c r="I6710" i="17"/>
  <c r="I6709" i="17"/>
  <c r="I6708" i="17"/>
  <c r="I6707" i="17"/>
  <c r="I6706" i="17"/>
  <c r="I6705" i="17"/>
  <c r="I6704" i="17"/>
  <c r="I6703" i="17"/>
  <c r="I6702" i="17"/>
  <c r="I6701" i="17"/>
  <c r="I6700" i="17"/>
  <c r="I6699" i="17"/>
  <c r="I6698" i="17"/>
  <c r="I6697" i="17"/>
  <c r="I6696" i="17"/>
  <c r="I6695" i="17"/>
  <c r="I6694" i="17"/>
  <c r="I6693" i="17"/>
  <c r="I6692" i="17"/>
  <c r="I6691" i="17"/>
  <c r="I6690" i="17"/>
  <c r="I6689" i="17"/>
  <c r="I6688" i="17"/>
  <c r="I6687" i="17"/>
  <c r="I6686" i="17"/>
  <c r="I6685" i="17"/>
  <c r="I6684" i="17"/>
  <c r="I6683" i="17"/>
  <c r="I6682" i="17"/>
  <c r="I6681" i="17"/>
  <c r="I6680" i="17"/>
  <c r="I6679" i="17"/>
  <c r="I6678" i="17"/>
  <c r="I6677" i="17"/>
  <c r="I6676" i="17"/>
  <c r="I6675" i="17"/>
  <c r="I6674" i="17"/>
  <c r="I6673" i="17"/>
  <c r="I6672" i="17"/>
  <c r="I6671" i="17"/>
  <c r="I6670" i="17"/>
  <c r="I6669" i="17"/>
  <c r="I6668" i="17"/>
  <c r="I6667" i="17"/>
  <c r="I6666" i="17"/>
  <c r="I6665" i="17"/>
  <c r="I6664" i="17"/>
  <c r="I6663" i="17"/>
  <c r="I6662" i="17"/>
  <c r="I6661" i="17"/>
  <c r="I6660" i="17"/>
  <c r="I6659" i="17"/>
  <c r="I6658" i="17"/>
  <c r="I6657" i="17"/>
  <c r="I6656" i="17"/>
  <c r="I6655" i="17"/>
  <c r="I6654" i="17"/>
  <c r="I6653" i="17"/>
  <c r="I6652" i="17"/>
  <c r="I6651" i="17"/>
  <c r="I6650" i="17"/>
  <c r="I6649" i="17"/>
  <c r="I6648" i="17"/>
  <c r="I6647" i="17"/>
  <c r="I6646" i="17"/>
  <c r="I6645" i="17"/>
  <c r="I6644" i="17"/>
  <c r="I6643" i="17"/>
  <c r="I6642" i="17"/>
  <c r="I6641" i="17"/>
  <c r="I6640" i="17"/>
  <c r="I6639" i="17"/>
  <c r="I6638" i="17"/>
  <c r="I6637" i="17"/>
  <c r="I6636" i="17"/>
  <c r="I6635" i="17"/>
  <c r="I6634" i="17"/>
  <c r="I6633" i="17"/>
  <c r="I6632" i="17"/>
  <c r="I6631" i="17"/>
  <c r="I6630" i="17"/>
  <c r="I6629" i="17"/>
  <c r="I6628" i="17"/>
  <c r="I6627" i="17"/>
  <c r="I6626" i="17"/>
  <c r="I6625" i="17"/>
  <c r="I6624" i="17"/>
  <c r="I6623" i="17"/>
  <c r="I6622" i="17"/>
  <c r="I6621" i="17"/>
  <c r="I6620" i="17"/>
  <c r="I6619" i="17"/>
  <c r="I6618" i="17"/>
  <c r="I6617" i="17"/>
  <c r="I6616" i="17"/>
  <c r="I6615" i="17"/>
  <c r="I6614" i="17"/>
  <c r="I6613" i="17"/>
  <c r="I6612" i="17"/>
  <c r="I6611" i="17"/>
  <c r="I6610" i="17"/>
  <c r="I6609" i="17"/>
  <c r="I6608" i="17"/>
  <c r="I6607" i="17"/>
  <c r="I6606" i="17"/>
  <c r="I6605" i="17"/>
  <c r="I6604" i="17"/>
  <c r="I6603" i="17"/>
  <c r="I6602" i="17"/>
  <c r="I6601" i="17"/>
  <c r="I6600" i="17"/>
  <c r="I6599" i="17"/>
  <c r="I6598" i="17"/>
  <c r="I6597" i="17"/>
  <c r="I6596" i="17"/>
  <c r="I6595" i="17"/>
  <c r="I6594" i="17"/>
  <c r="I6593" i="17"/>
  <c r="I6592" i="17"/>
  <c r="I6591" i="17"/>
  <c r="I6590" i="17"/>
  <c r="I6589" i="17"/>
  <c r="I6588" i="17"/>
  <c r="I6587" i="17"/>
  <c r="I6586" i="17"/>
  <c r="I6585" i="17"/>
  <c r="I6584" i="17"/>
  <c r="I6583" i="17"/>
  <c r="I6582" i="17"/>
  <c r="I6581" i="17"/>
  <c r="I6580" i="17"/>
  <c r="I6579" i="17"/>
  <c r="I6578" i="17"/>
  <c r="I6577" i="17"/>
  <c r="I6576" i="17"/>
  <c r="I6575" i="17"/>
  <c r="I6574" i="17"/>
  <c r="I6573" i="17"/>
  <c r="I6572" i="17"/>
  <c r="I6571" i="17"/>
  <c r="I6570" i="17"/>
  <c r="I6569" i="17"/>
  <c r="I6568" i="17"/>
  <c r="I6567" i="17"/>
  <c r="I6566" i="17"/>
  <c r="I6565" i="17"/>
  <c r="I6564" i="17"/>
  <c r="I6563" i="17"/>
  <c r="I6562" i="17"/>
  <c r="I6561" i="17"/>
  <c r="I6560" i="17"/>
  <c r="I6559" i="17"/>
  <c r="I6558" i="17"/>
  <c r="I6557" i="17"/>
  <c r="I6556" i="17"/>
  <c r="I6555" i="17"/>
  <c r="I6554" i="17"/>
  <c r="I6553" i="17"/>
  <c r="I6552" i="17"/>
  <c r="I6551" i="17"/>
  <c r="I6550" i="17"/>
  <c r="I6549" i="17"/>
  <c r="I6548" i="17"/>
  <c r="I6547" i="17"/>
  <c r="I6546" i="17"/>
  <c r="I6545" i="17"/>
  <c r="I6544" i="17"/>
  <c r="I6543" i="17"/>
  <c r="I6542" i="17"/>
  <c r="I6541" i="17"/>
  <c r="I6540" i="17"/>
  <c r="I6539" i="17"/>
  <c r="I6538" i="17"/>
  <c r="I6537" i="17"/>
  <c r="I6536" i="17"/>
  <c r="I6535" i="17"/>
  <c r="I6534" i="17"/>
  <c r="I6533" i="17"/>
  <c r="I6532" i="17"/>
  <c r="I6531" i="17"/>
  <c r="I6530" i="17"/>
  <c r="I6529" i="17"/>
  <c r="I6528" i="17"/>
  <c r="I6527" i="17"/>
  <c r="I6526" i="17"/>
  <c r="I6525" i="17"/>
  <c r="I6524" i="17"/>
  <c r="I6523" i="17"/>
  <c r="I6522" i="17"/>
  <c r="I6521" i="17"/>
  <c r="I6520" i="17"/>
  <c r="I6519" i="17"/>
  <c r="I6518" i="17"/>
  <c r="I6517" i="17"/>
  <c r="I6516" i="17"/>
  <c r="I6515" i="17"/>
  <c r="I6514" i="17"/>
  <c r="I6513" i="17"/>
  <c r="I6512" i="17"/>
  <c r="I6511" i="17"/>
  <c r="I6510" i="17"/>
  <c r="I6509" i="17"/>
  <c r="I6508" i="17"/>
  <c r="I6507" i="17"/>
  <c r="I6506" i="17"/>
  <c r="I6505" i="17"/>
  <c r="I6504" i="17"/>
  <c r="I6503" i="17"/>
  <c r="I6502" i="17"/>
  <c r="I6501" i="17"/>
  <c r="I6500" i="17"/>
  <c r="I6499" i="17"/>
  <c r="I6498" i="17"/>
  <c r="I6497" i="17"/>
  <c r="I6496" i="17"/>
  <c r="I6495" i="17"/>
  <c r="I6494" i="17"/>
  <c r="I6493" i="17"/>
  <c r="I6492" i="17"/>
  <c r="I6491" i="17"/>
  <c r="I6490" i="17"/>
  <c r="I6489" i="17"/>
  <c r="I6488" i="17"/>
  <c r="I6487" i="17"/>
  <c r="I6486" i="17"/>
  <c r="I6485" i="17"/>
  <c r="I6484" i="17"/>
  <c r="I6483" i="17"/>
  <c r="I6482" i="17"/>
  <c r="I6481" i="17"/>
  <c r="I6480" i="17"/>
  <c r="I6479" i="17"/>
  <c r="I6478" i="17"/>
  <c r="I6477" i="17"/>
  <c r="I6476" i="17"/>
  <c r="I6475" i="17"/>
  <c r="I6474" i="17"/>
  <c r="I6473" i="17"/>
  <c r="I6472" i="17"/>
  <c r="I6471" i="17"/>
  <c r="I6470" i="17"/>
  <c r="I6469" i="17"/>
  <c r="I6468" i="17"/>
  <c r="I6467" i="17"/>
  <c r="I6466" i="17"/>
  <c r="I6465" i="17"/>
  <c r="I6464" i="17"/>
  <c r="I6463" i="17"/>
  <c r="I6462" i="17"/>
  <c r="I6461" i="17"/>
  <c r="I6460" i="17"/>
  <c r="I6459" i="17"/>
  <c r="I6458" i="17"/>
  <c r="I6457" i="17"/>
  <c r="I6456" i="17"/>
  <c r="I6455" i="17"/>
  <c r="I6454" i="17"/>
  <c r="I6453" i="17"/>
  <c r="I6452" i="17"/>
  <c r="I6451" i="17"/>
  <c r="I6450" i="17"/>
  <c r="I6449" i="17"/>
  <c r="I6448" i="17"/>
  <c r="I6447" i="17"/>
  <c r="I6446" i="17"/>
  <c r="I6445" i="17"/>
  <c r="I6444" i="17"/>
  <c r="I6443" i="17"/>
  <c r="I6442" i="17"/>
  <c r="I6441" i="17"/>
  <c r="I6440" i="17"/>
  <c r="I6439" i="17"/>
  <c r="I6438" i="17"/>
  <c r="I6437" i="17"/>
  <c r="I6436" i="17"/>
  <c r="I6435" i="17"/>
  <c r="I6434" i="17"/>
  <c r="I6433" i="17"/>
  <c r="I6432" i="17"/>
  <c r="I6431" i="17"/>
  <c r="I6430" i="17"/>
  <c r="I6429" i="17"/>
  <c r="I6428" i="17"/>
  <c r="I6427" i="17"/>
  <c r="I6426" i="17"/>
  <c r="I6425" i="17"/>
  <c r="I6424" i="17"/>
  <c r="I6423" i="17"/>
  <c r="I6422" i="17"/>
  <c r="I6421" i="17"/>
  <c r="I6420" i="17"/>
  <c r="I6419" i="17"/>
  <c r="I6418" i="17"/>
  <c r="I6417" i="17"/>
  <c r="I6416" i="17"/>
  <c r="I6415" i="17"/>
  <c r="I6414" i="17"/>
  <c r="I6413" i="17"/>
  <c r="I6412" i="17"/>
  <c r="I6411" i="17"/>
  <c r="I6410" i="17"/>
  <c r="I6409" i="17"/>
  <c r="I6408" i="17"/>
  <c r="I6407" i="17"/>
  <c r="I6406" i="17"/>
  <c r="I6405" i="17"/>
  <c r="I6404" i="17"/>
  <c r="I6403" i="17"/>
  <c r="I6402" i="17"/>
  <c r="I6401" i="17"/>
  <c r="I6400" i="17"/>
  <c r="I6399" i="17"/>
  <c r="I6398" i="17"/>
  <c r="I6397" i="17"/>
  <c r="I6396" i="17"/>
  <c r="I6395" i="17"/>
  <c r="I6394" i="17"/>
  <c r="I6393" i="17"/>
  <c r="I6392" i="17"/>
  <c r="I6391" i="17"/>
  <c r="I6390" i="17"/>
  <c r="I6389" i="17"/>
  <c r="I6388" i="17"/>
  <c r="I6387" i="17"/>
  <c r="I6386" i="17"/>
  <c r="I6385" i="17"/>
  <c r="I6384" i="17"/>
  <c r="I6383" i="17"/>
  <c r="I6382" i="17"/>
  <c r="I6381" i="17"/>
  <c r="I6380" i="17"/>
  <c r="I6379" i="17"/>
  <c r="I6378" i="17"/>
  <c r="I6377" i="17"/>
  <c r="I6376" i="17"/>
  <c r="I6375" i="17"/>
  <c r="I6374" i="17"/>
  <c r="I6373" i="17"/>
  <c r="I6372" i="17"/>
  <c r="I6371" i="17"/>
  <c r="I6370" i="17"/>
  <c r="I6369" i="17"/>
  <c r="I6368" i="17"/>
  <c r="I6367" i="17"/>
  <c r="I6366" i="17"/>
  <c r="I6365" i="17"/>
  <c r="I6364" i="17"/>
  <c r="I6363" i="17"/>
  <c r="I6362" i="17"/>
  <c r="I6361" i="17"/>
  <c r="I6360" i="17"/>
  <c r="I6359" i="17"/>
  <c r="I6358" i="17"/>
  <c r="I6357" i="17"/>
  <c r="I6356" i="17"/>
  <c r="I6355" i="17"/>
  <c r="I6354" i="17"/>
  <c r="I6353" i="17"/>
  <c r="I6352" i="17"/>
  <c r="I6351" i="17"/>
  <c r="I6350" i="17"/>
  <c r="I6349" i="17"/>
  <c r="I6348" i="17"/>
  <c r="I6347" i="17"/>
  <c r="I6346" i="17"/>
  <c r="I6345" i="17"/>
  <c r="I6344" i="17"/>
  <c r="I6343" i="17"/>
  <c r="I6342" i="17"/>
  <c r="I6341" i="17"/>
  <c r="I6340" i="17"/>
  <c r="I6339" i="17"/>
  <c r="I6338" i="17"/>
  <c r="I6337" i="17"/>
  <c r="I6336" i="17"/>
  <c r="I6335" i="17"/>
  <c r="I6334" i="17"/>
  <c r="I6333" i="17"/>
  <c r="I6332" i="17"/>
  <c r="I6331" i="17"/>
  <c r="I6330" i="17"/>
  <c r="I6329" i="17"/>
  <c r="I6328" i="17"/>
  <c r="I6327" i="17"/>
  <c r="I6326" i="17"/>
  <c r="I6325" i="17"/>
  <c r="I6324" i="17"/>
  <c r="I6323" i="17"/>
  <c r="I6322" i="17"/>
  <c r="I6321" i="17"/>
  <c r="I6320" i="17"/>
  <c r="I6319" i="17"/>
  <c r="I6318" i="17"/>
  <c r="I6317" i="17"/>
  <c r="I6316" i="17"/>
  <c r="I6315" i="17"/>
  <c r="I6314" i="17"/>
  <c r="I6313" i="17"/>
  <c r="I6312" i="17"/>
  <c r="I6311" i="17"/>
  <c r="I6310" i="17"/>
  <c r="I6309" i="17"/>
  <c r="I6308" i="17"/>
  <c r="I6307" i="17"/>
  <c r="I6306" i="17"/>
  <c r="I6305" i="17"/>
  <c r="I6304" i="17"/>
  <c r="I6303" i="17"/>
  <c r="I6302" i="17"/>
  <c r="I6301" i="17"/>
  <c r="I6300" i="17"/>
  <c r="I6299" i="17"/>
  <c r="I6298" i="17"/>
  <c r="I6297" i="17"/>
  <c r="I6296" i="17"/>
  <c r="I6295" i="17"/>
  <c r="I6294" i="17"/>
  <c r="I6293" i="17"/>
  <c r="I6292" i="17"/>
  <c r="I6291" i="17"/>
  <c r="I6290" i="17"/>
  <c r="I6289" i="17"/>
  <c r="I6288" i="17"/>
  <c r="I6287" i="17"/>
  <c r="I6286" i="17"/>
  <c r="I6285" i="17"/>
  <c r="I6284" i="17"/>
  <c r="I6283" i="17"/>
  <c r="I6282" i="17"/>
  <c r="I6281" i="17"/>
  <c r="I6280" i="17"/>
  <c r="I6279" i="17"/>
  <c r="I6278" i="17"/>
  <c r="I6277" i="17"/>
  <c r="I6276" i="17"/>
  <c r="I6275" i="17"/>
  <c r="I6274" i="17"/>
  <c r="I6273" i="17"/>
  <c r="I6272" i="17"/>
  <c r="I6271" i="17"/>
  <c r="I6270" i="17"/>
  <c r="I6269" i="17"/>
  <c r="I6268" i="17"/>
  <c r="I6267" i="17"/>
  <c r="I6266" i="17"/>
  <c r="I6265" i="17"/>
  <c r="I6264" i="17"/>
  <c r="I6263" i="17"/>
  <c r="I6262" i="17"/>
  <c r="I6261" i="17"/>
  <c r="I6260" i="17"/>
  <c r="I6259" i="17"/>
  <c r="I6258" i="17"/>
  <c r="I6257" i="17"/>
  <c r="I6256" i="17"/>
  <c r="I6255" i="17"/>
  <c r="I6254" i="17"/>
  <c r="I6253" i="17"/>
  <c r="I6252" i="17"/>
  <c r="I6251" i="17"/>
  <c r="I6250" i="17"/>
  <c r="I6249" i="17"/>
  <c r="I6248" i="17"/>
  <c r="I6247" i="17"/>
  <c r="I6246" i="17"/>
  <c r="I6245" i="17"/>
  <c r="I6244" i="17"/>
  <c r="I6243" i="17"/>
  <c r="I6242" i="17"/>
  <c r="I6241" i="17"/>
  <c r="I6240" i="17"/>
  <c r="I6239" i="17"/>
  <c r="I6238" i="17"/>
  <c r="I6237" i="17"/>
  <c r="I6236" i="17"/>
  <c r="I6235" i="17"/>
  <c r="I6234" i="17"/>
  <c r="I6233" i="17"/>
  <c r="I6232" i="17"/>
  <c r="I6231" i="17"/>
  <c r="I6230" i="17"/>
  <c r="I6229" i="17"/>
  <c r="I6228" i="17"/>
  <c r="I6227" i="17"/>
  <c r="I6226" i="17"/>
  <c r="I6225" i="17"/>
  <c r="I6224" i="17"/>
  <c r="I6223" i="17"/>
  <c r="I6222" i="17"/>
  <c r="I6221" i="17"/>
  <c r="I6220" i="17"/>
  <c r="I6219" i="17"/>
  <c r="I6218" i="17"/>
  <c r="I6217" i="17"/>
  <c r="I6216" i="17"/>
  <c r="I6215" i="17"/>
  <c r="I6214" i="17"/>
  <c r="I6213" i="17"/>
  <c r="I6212" i="17"/>
  <c r="I6211" i="17"/>
  <c r="I6210" i="17"/>
  <c r="I6209" i="17"/>
  <c r="I6208" i="17"/>
  <c r="I6207" i="17"/>
  <c r="I6206" i="17"/>
  <c r="I6205" i="17"/>
  <c r="I6204" i="17"/>
  <c r="I6203" i="17"/>
  <c r="I6202" i="17"/>
  <c r="I6201" i="17"/>
  <c r="I6200" i="17"/>
  <c r="I6199" i="17"/>
  <c r="I6198" i="17"/>
  <c r="I6197" i="17"/>
  <c r="I6196" i="17"/>
  <c r="I6195" i="17"/>
  <c r="I6194" i="17"/>
  <c r="I6193" i="17"/>
  <c r="I6192" i="17"/>
  <c r="I6191" i="17"/>
  <c r="I6190" i="17"/>
  <c r="I6189" i="17"/>
  <c r="I6188" i="17"/>
  <c r="I6187" i="17"/>
  <c r="I6186" i="17"/>
  <c r="I6185" i="17"/>
  <c r="I6184" i="17"/>
  <c r="I6183" i="17"/>
  <c r="I6182" i="17"/>
  <c r="I6181" i="17"/>
  <c r="I6180" i="17"/>
  <c r="I6179" i="17"/>
  <c r="I6178" i="17"/>
  <c r="I6177" i="17"/>
  <c r="I6176" i="17"/>
  <c r="I6175" i="17"/>
  <c r="I6174" i="17"/>
  <c r="I6173" i="17"/>
  <c r="I6172" i="17"/>
  <c r="I6171" i="17"/>
  <c r="I6170" i="17"/>
  <c r="I6169" i="17"/>
  <c r="I6168" i="17"/>
  <c r="I6167" i="17"/>
  <c r="I6166" i="17"/>
  <c r="I6165" i="17"/>
  <c r="I6164" i="17"/>
  <c r="I6163" i="17"/>
  <c r="I6162" i="17"/>
  <c r="I6161" i="17"/>
  <c r="I6160" i="17"/>
  <c r="I6159" i="17"/>
  <c r="I6158" i="17"/>
  <c r="I6157" i="17"/>
  <c r="I6156" i="17"/>
  <c r="I6155" i="17"/>
  <c r="I6154" i="17"/>
  <c r="I6153" i="17"/>
  <c r="I6152" i="17"/>
  <c r="I6151" i="17"/>
  <c r="I6150" i="17"/>
  <c r="I6149" i="17"/>
  <c r="I6148" i="17"/>
  <c r="I6147" i="17"/>
  <c r="I6146" i="17"/>
  <c r="I6145" i="17"/>
  <c r="I6144" i="17"/>
  <c r="I6143" i="17"/>
  <c r="I6142" i="17"/>
  <c r="I6141" i="17"/>
  <c r="I6140" i="17"/>
  <c r="I6139" i="17"/>
  <c r="I6138" i="17"/>
  <c r="I6137" i="17"/>
  <c r="I6136" i="17"/>
  <c r="I6135" i="17"/>
  <c r="I6134" i="17"/>
  <c r="I6133" i="17"/>
  <c r="I6132" i="17"/>
  <c r="I6131" i="17"/>
  <c r="I6130" i="17"/>
  <c r="I6129" i="17"/>
  <c r="I6128" i="17"/>
  <c r="I6127" i="17"/>
  <c r="I6126" i="17"/>
  <c r="I6125" i="17"/>
  <c r="I6124" i="17"/>
  <c r="I6123" i="17"/>
  <c r="I6122" i="17"/>
  <c r="I6121" i="17"/>
  <c r="I6120" i="17"/>
  <c r="I6119" i="17"/>
  <c r="I6118" i="17"/>
  <c r="I6117" i="17"/>
  <c r="I6116" i="17"/>
  <c r="I6115" i="17"/>
  <c r="I6114" i="17"/>
  <c r="I6113" i="17"/>
  <c r="I6112" i="17"/>
  <c r="I6111" i="17"/>
  <c r="I6110" i="17"/>
  <c r="I6109" i="17"/>
  <c r="I6108" i="17"/>
  <c r="I6107" i="17"/>
  <c r="I6106" i="17"/>
  <c r="I6105" i="17"/>
  <c r="I6104" i="17"/>
  <c r="I6103" i="17"/>
  <c r="I6102" i="17"/>
  <c r="I6101" i="17"/>
  <c r="I6100" i="17"/>
  <c r="I6099" i="17"/>
  <c r="I6098" i="17"/>
  <c r="I6097" i="17"/>
  <c r="I6096" i="17"/>
  <c r="I6095" i="17"/>
  <c r="I6094" i="17"/>
  <c r="I6093" i="17"/>
  <c r="I6092" i="17"/>
  <c r="I6091" i="17"/>
  <c r="I6090" i="17"/>
  <c r="I6089" i="17"/>
  <c r="I6088" i="17"/>
  <c r="I6087" i="17"/>
  <c r="I6086" i="17"/>
  <c r="I6085" i="17"/>
  <c r="I6084" i="17"/>
  <c r="I6083" i="17"/>
  <c r="I6082" i="17"/>
  <c r="I6081" i="17"/>
  <c r="I6080" i="17"/>
  <c r="I6079" i="17"/>
  <c r="I6078" i="17"/>
  <c r="I6077" i="17"/>
  <c r="I6076" i="17"/>
  <c r="I6075" i="17"/>
  <c r="I6074" i="17"/>
  <c r="I6073" i="17"/>
  <c r="I6072" i="17"/>
  <c r="I6071" i="17"/>
  <c r="I6070" i="17"/>
  <c r="I6069" i="17"/>
  <c r="I6068" i="17"/>
  <c r="I6067" i="17"/>
  <c r="I6066" i="17"/>
  <c r="I6065" i="17"/>
  <c r="I6064" i="17"/>
  <c r="I6063" i="17"/>
  <c r="I6062" i="17"/>
  <c r="I6061" i="17"/>
  <c r="I6060" i="17"/>
  <c r="I6059" i="17"/>
  <c r="I6058" i="17"/>
  <c r="I6057" i="17"/>
  <c r="I6056" i="17"/>
  <c r="I6055" i="17"/>
  <c r="I6054" i="17"/>
  <c r="I6053" i="17"/>
  <c r="I6052" i="17"/>
  <c r="I6051" i="17"/>
  <c r="I6050" i="17"/>
  <c r="I6049" i="17"/>
  <c r="I6048" i="17"/>
  <c r="I6047" i="17"/>
  <c r="I6046" i="17"/>
  <c r="I6045" i="17"/>
  <c r="I6044" i="17"/>
  <c r="I6043" i="17"/>
  <c r="I6042" i="17"/>
  <c r="I6041" i="17"/>
  <c r="I6040" i="17"/>
  <c r="I6039" i="17"/>
  <c r="I6038" i="17"/>
  <c r="I6037" i="17"/>
  <c r="I6036" i="17"/>
  <c r="I6035" i="17"/>
  <c r="I6034" i="17"/>
  <c r="I6033" i="17"/>
  <c r="I6032" i="17"/>
  <c r="I6031" i="17"/>
  <c r="I6030" i="17"/>
  <c r="I6029" i="17"/>
  <c r="I6028" i="17"/>
  <c r="I6027" i="17"/>
  <c r="I6026" i="17"/>
  <c r="I6025" i="17"/>
  <c r="I6024" i="17"/>
  <c r="I6023" i="17"/>
  <c r="I6022" i="17"/>
  <c r="I6021" i="17"/>
  <c r="I6020" i="17"/>
  <c r="I6019" i="17"/>
  <c r="I6018" i="17"/>
  <c r="I6017" i="17"/>
  <c r="I6016" i="17"/>
  <c r="I6015" i="17"/>
  <c r="I6014" i="17"/>
  <c r="I6013" i="17"/>
  <c r="I6012" i="17"/>
  <c r="I6011" i="17"/>
  <c r="I6010" i="17"/>
  <c r="I6009" i="17"/>
  <c r="I6008" i="17"/>
  <c r="I6007" i="17"/>
  <c r="I6006" i="17"/>
  <c r="I6005" i="17"/>
  <c r="I6004" i="17"/>
  <c r="I6003" i="17"/>
  <c r="I6002" i="17"/>
  <c r="I6001" i="17"/>
  <c r="I6000" i="17"/>
  <c r="I5999" i="17"/>
  <c r="I5998" i="17"/>
  <c r="I5997" i="17"/>
  <c r="I5996" i="17"/>
  <c r="I5995" i="17"/>
  <c r="I5994" i="17"/>
  <c r="I5993" i="17"/>
  <c r="I5992" i="17"/>
  <c r="I5991" i="17"/>
  <c r="I5990" i="17"/>
  <c r="I5989" i="17"/>
  <c r="I5988" i="17"/>
  <c r="I5987" i="17"/>
  <c r="I5986" i="17"/>
  <c r="I5985" i="17"/>
  <c r="I5984" i="17"/>
  <c r="I5983" i="17"/>
  <c r="I5982" i="17"/>
  <c r="I5981" i="17"/>
  <c r="I5980" i="17"/>
  <c r="I5979" i="17"/>
  <c r="I5978" i="17"/>
  <c r="I5977" i="17"/>
  <c r="I5976" i="17"/>
  <c r="I5975" i="17"/>
  <c r="I5974" i="17"/>
  <c r="I5973" i="17"/>
  <c r="I5972" i="17"/>
  <c r="I5971" i="17"/>
  <c r="I5970" i="17"/>
  <c r="I5969" i="17"/>
  <c r="I5968" i="17"/>
  <c r="I5967" i="17"/>
  <c r="I5966" i="17"/>
  <c r="I5965" i="17"/>
  <c r="I5964" i="17"/>
  <c r="I5963" i="17"/>
  <c r="I5962" i="17"/>
  <c r="I5961" i="17"/>
  <c r="I5960" i="17"/>
  <c r="I5959" i="17"/>
  <c r="I5958" i="17"/>
  <c r="I5957" i="17"/>
  <c r="I5956" i="17"/>
  <c r="I5955" i="17"/>
  <c r="I5954" i="17"/>
  <c r="I5953" i="17"/>
  <c r="I5952" i="17"/>
  <c r="I5951" i="17"/>
  <c r="I5950" i="17"/>
  <c r="I5949" i="17"/>
  <c r="I5948" i="17"/>
  <c r="I5947" i="17"/>
  <c r="I5946" i="17"/>
  <c r="I5945" i="17"/>
  <c r="I5944" i="17"/>
  <c r="I5943" i="17"/>
  <c r="I5942" i="17"/>
  <c r="I5941" i="17"/>
  <c r="I5940" i="17"/>
  <c r="I5939" i="17"/>
  <c r="I5938" i="17"/>
  <c r="I5937" i="17"/>
  <c r="I5936" i="17"/>
  <c r="I5935" i="17"/>
  <c r="I5934" i="17"/>
  <c r="I5933" i="17"/>
  <c r="I5932" i="17"/>
  <c r="I5931" i="17"/>
  <c r="I5930" i="17"/>
  <c r="I5929" i="17"/>
  <c r="I5928" i="17"/>
  <c r="I5927" i="17"/>
  <c r="I5926" i="17"/>
  <c r="I5925" i="17"/>
  <c r="I5924" i="17"/>
  <c r="I5923" i="17"/>
  <c r="I5922" i="17"/>
  <c r="I5921" i="17"/>
  <c r="I5920" i="17"/>
  <c r="I5919" i="17"/>
  <c r="I5918" i="17"/>
  <c r="I5917" i="17"/>
  <c r="I5916" i="17"/>
  <c r="I5915" i="17"/>
  <c r="I5914" i="17"/>
  <c r="I5913" i="17"/>
  <c r="I5912" i="17"/>
  <c r="I5911" i="17"/>
  <c r="I5910" i="17"/>
  <c r="I5909" i="17"/>
  <c r="I5908" i="17"/>
  <c r="I5907" i="17"/>
  <c r="I5906" i="17"/>
  <c r="I5905" i="17"/>
  <c r="I5904" i="17"/>
  <c r="I5903" i="17"/>
  <c r="I5902" i="17"/>
  <c r="I5901" i="17"/>
  <c r="I5900" i="17"/>
  <c r="I5899" i="17"/>
  <c r="I5898" i="17"/>
  <c r="I5897" i="17"/>
  <c r="I5896" i="17"/>
  <c r="I5895" i="17"/>
  <c r="I5894" i="17"/>
  <c r="I5893" i="17"/>
  <c r="I5892" i="17"/>
  <c r="I5891" i="17"/>
  <c r="I5890" i="17"/>
  <c r="I5889" i="17"/>
  <c r="I5888" i="17"/>
  <c r="I5887" i="17"/>
  <c r="I5886" i="17"/>
  <c r="I5885" i="17"/>
  <c r="I5884" i="17"/>
  <c r="I5883" i="17"/>
  <c r="I5882" i="17"/>
  <c r="I5881" i="17"/>
  <c r="I5880" i="17"/>
  <c r="I5879" i="17"/>
  <c r="I5878" i="17"/>
  <c r="I5877" i="17"/>
  <c r="I5876" i="17"/>
  <c r="I5875" i="17"/>
  <c r="I5874" i="17"/>
  <c r="I5873" i="17"/>
  <c r="I5872" i="17"/>
  <c r="I5871" i="17"/>
  <c r="I5870" i="17"/>
  <c r="I5869" i="17"/>
  <c r="I5868" i="17"/>
  <c r="I5867" i="17"/>
  <c r="I5866" i="17"/>
  <c r="I5865" i="17"/>
  <c r="I5864" i="17"/>
  <c r="I5863" i="17"/>
  <c r="I5862" i="17"/>
  <c r="I5861" i="17"/>
  <c r="I5860" i="17"/>
  <c r="I5859" i="17"/>
  <c r="I5858" i="17"/>
  <c r="I5857" i="17"/>
  <c r="I5856" i="17"/>
  <c r="I5855" i="17"/>
  <c r="I5854" i="17"/>
  <c r="I5853" i="17"/>
  <c r="I5852" i="17"/>
  <c r="I5851" i="17"/>
  <c r="I5850" i="17"/>
  <c r="I5849" i="17"/>
  <c r="I5848" i="17"/>
  <c r="I5847" i="17"/>
  <c r="I5846" i="17"/>
  <c r="I5845" i="17"/>
  <c r="I5844" i="17"/>
  <c r="I5843" i="17"/>
  <c r="I5842" i="17"/>
  <c r="I5841" i="17"/>
  <c r="I5840" i="17"/>
  <c r="I5839" i="17"/>
  <c r="I5838" i="17"/>
  <c r="I5837" i="17"/>
  <c r="I5836" i="17"/>
  <c r="I5835" i="17"/>
  <c r="I5834" i="17"/>
  <c r="I5833" i="17"/>
  <c r="I5832" i="17"/>
  <c r="I5831" i="17"/>
  <c r="I5830" i="17"/>
  <c r="I5829" i="17"/>
  <c r="I5828" i="17"/>
  <c r="I5827" i="17"/>
  <c r="I5826" i="17"/>
  <c r="I5825" i="17"/>
  <c r="I5824" i="17"/>
  <c r="I5823" i="17"/>
  <c r="I5822" i="17"/>
  <c r="I5821" i="17"/>
  <c r="I5820" i="17"/>
  <c r="I5819" i="17"/>
  <c r="I5818" i="17"/>
  <c r="I5817" i="17"/>
  <c r="I5816" i="17"/>
  <c r="I5815" i="17"/>
  <c r="I5814" i="17"/>
  <c r="I5813" i="17"/>
  <c r="I5812" i="17"/>
  <c r="I5811" i="17"/>
  <c r="I5810" i="17"/>
  <c r="I5809" i="17"/>
  <c r="I5808" i="17"/>
  <c r="I5807" i="17"/>
  <c r="I5806" i="17"/>
  <c r="I5805" i="17"/>
  <c r="I5804" i="17"/>
  <c r="I5803" i="17"/>
  <c r="I5802" i="17"/>
  <c r="I5801" i="17"/>
  <c r="I5800" i="17"/>
  <c r="I5799" i="17"/>
  <c r="I5798" i="17"/>
  <c r="I5797" i="17"/>
  <c r="I5796" i="17"/>
  <c r="I5795" i="17"/>
  <c r="I5794" i="17"/>
  <c r="I5793" i="17"/>
  <c r="I5792" i="17"/>
  <c r="I5791" i="17"/>
  <c r="I5790" i="17"/>
  <c r="I5789" i="17"/>
  <c r="I5788" i="17"/>
  <c r="I5787" i="17"/>
  <c r="I5786" i="17"/>
  <c r="I5785" i="17"/>
  <c r="I5784" i="17"/>
  <c r="I5783" i="17"/>
  <c r="I5782" i="17"/>
  <c r="I5781" i="17"/>
  <c r="I5780" i="17"/>
  <c r="I5779" i="17"/>
  <c r="I5778" i="17"/>
  <c r="I5777" i="17"/>
  <c r="I5776" i="17"/>
  <c r="I5775" i="17"/>
  <c r="I5774" i="17"/>
  <c r="I5773" i="17"/>
  <c r="I5772" i="17"/>
  <c r="I5771" i="17"/>
  <c r="I5770" i="17"/>
  <c r="I5769" i="17"/>
  <c r="I5768" i="17"/>
  <c r="I5767" i="17"/>
  <c r="I5766" i="17"/>
  <c r="I5765" i="17"/>
  <c r="I5764" i="17"/>
  <c r="I5763" i="17"/>
  <c r="I5762" i="17"/>
  <c r="I5761" i="17"/>
  <c r="I5760" i="17"/>
  <c r="I5759" i="17"/>
  <c r="I5758" i="17"/>
  <c r="I5757" i="17"/>
  <c r="I5756" i="17"/>
  <c r="I5755" i="17"/>
  <c r="I5754" i="17"/>
  <c r="I5753" i="17"/>
  <c r="I5752" i="17"/>
  <c r="I5751" i="17"/>
  <c r="I5750" i="17"/>
  <c r="I5749" i="17"/>
  <c r="I5748" i="17"/>
  <c r="I5747" i="17"/>
  <c r="I5746" i="17"/>
  <c r="I5745" i="17"/>
  <c r="I5744" i="17"/>
  <c r="I5743" i="17"/>
  <c r="I5742" i="17"/>
  <c r="I5741" i="17"/>
  <c r="I5740" i="17"/>
  <c r="I5739" i="17"/>
  <c r="I5738" i="17"/>
  <c r="I5737" i="17"/>
  <c r="I5736" i="17"/>
  <c r="I5735" i="17"/>
  <c r="I5734" i="17"/>
  <c r="I5733" i="17"/>
  <c r="I5732" i="17"/>
  <c r="I5731" i="17"/>
  <c r="I5730" i="17"/>
  <c r="I5729" i="17"/>
  <c r="I5728" i="17"/>
  <c r="I5727" i="17"/>
  <c r="I5726" i="17"/>
  <c r="I5725" i="17"/>
  <c r="I5724" i="17"/>
  <c r="I5723" i="17"/>
  <c r="I5722" i="17"/>
  <c r="I5721" i="17"/>
  <c r="I5720" i="17"/>
  <c r="I5719" i="17"/>
  <c r="I5718" i="17"/>
  <c r="I5717" i="17"/>
  <c r="I5716" i="17"/>
  <c r="I5715" i="17"/>
  <c r="I5714" i="17"/>
  <c r="I5713" i="17"/>
  <c r="I5712" i="17"/>
  <c r="I5711" i="17"/>
  <c r="I5710" i="17"/>
  <c r="I5709" i="17"/>
  <c r="I5708" i="17"/>
  <c r="I5707" i="17"/>
  <c r="I5706" i="17"/>
  <c r="I5705" i="17"/>
  <c r="I5704" i="17"/>
  <c r="I5703" i="17"/>
  <c r="I5702" i="17"/>
  <c r="I5701" i="17"/>
  <c r="I5700" i="17"/>
  <c r="I5699" i="17"/>
  <c r="I5698" i="17"/>
  <c r="I5697" i="17"/>
  <c r="I5696" i="17"/>
  <c r="I5695" i="17"/>
  <c r="I5694" i="17"/>
  <c r="I5693" i="17"/>
  <c r="I5692" i="17"/>
  <c r="I5691" i="17"/>
  <c r="I5690" i="17"/>
  <c r="I5689" i="17"/>
  <c r="I5688" i="17"/>
  <c r="I5687" i="17"/>
  <c r="I5686" i="17"/>
  <c r="I5685" i="17"/>
  <c r="I5684" i="17"/>
  <c r="I5683" i="17"/>
  <c r="I5682" i="17"/>
  <c r="I5681" i="17"/>
  <c r="I5680" i="17"/>
  <c r="I5679" i="17"/>
  <c r="I5678" i="17"/>
  <c r="I5677" i="17"/>
  <c r="I5676" i="17"/>
  <c r="I5675" i="17"/>
  <c r="I5674" i="17"/>
  <c r="I5673" i="17"/>
  <c r="I5672" i="17"/>
  <c r="I5671" i="17"/>
  <c r="I5670" i="17"/>
  <c r="I5669" i="17"/>
  <c r="I5668" i="17"/>
  <c r="I5667" i="17"/>
  <c r="I5666" i="17"/>
  <c r="I5665" i="17"/>
  <c r="I5664" i="17"/>
  <c r="I5663" i="17"/>
  <c r="I5662" i="17"/>
  <c r="I5661" i="17"/>
  <c r="I5660" i="17"/>
  <c r="I5659" i="17"/>
  <c r="I5658" i="17"/>
  <c r="I5657" i="17"/>
  <c r="I5656" i="17"/>
  <c r="I5655" i="17"/>
  <c r="I5654" i="17"/>
  <c r="I5653" i="17"/>
  <c r="I5652" i="17"/>
  <c r="I5651" i="17"/>
  <c r="I5650" i="17"/>
  <c r="I5649" i="17"/>
  <c r="I5648" i="17"/>
  <c r="I5647" i="17"/>
  <c r="I5646" i="17"/>
  <c r="I5645" i="17"/>
  <c r="I5644" i="17"/>
  <c r="I5643" i="17"/>
  <c r="I5642" i="17"/>
  <c r="I5641" i="17"/>
  <c r="I5640" i="17"/>
  <c r="I5639" i="17"/>
  <c r="I5638" i="17"/>
  <c r="I5637" i="17"/>
  <c r="I5636" i="17"/>
  <c r="I5635" i="17"/>
  <c r="I5634" i="17"/>
  <c r="I5633" i="17"/>
  <c r="I5632" i="17"/>
  <c r="I5631" i="17"/>
  <c r="I5630" i="17"/>
  <c r="I5629" i="17"/>
  <c r="I5628" i="17"/>
  <c r="I5627" i="17"/>
  <c r="I5626" i="17"/>
  <c r="I5625" i="17"/>
  <c r="I5624" i="17"/>
  <c r="I5623" i="17"/>
  <c r="I5622" i="17"/>
  <c r="I5621" i="17"/>
  <c r="I5620" i="17"/>
  <c r="I5619" i="17"/>
  <c r="I5618" i="17"/>
  <c r="I5617" i="17"/>
  <c r="I5616" i="17"/>
  <c r="I5615" i="17"/>
  <c r="I5614" i="17"/>
  <c r="I5613" i="17"/>
  <c r="I5612" i="17"/>
  <c r="I5611" i="17"/>
  <c r="I5610" i="17"/>
  <c r="I5609" i="17"/>
  <c r="I5608" i="17"/>
  <c r="I5607" i="17"/>
  <c r="I5606" i="17"/>
  <c r="I5605" i="17"/>
  <c r="I5604" i="17"/>
  <c r="I5603" i="17"/>
  <c r="I5602" i="17"/>
  <c r="I5601" i="17"/>
  <c r="I5600" i="17"/>
  <c r="I5599" i="17"/>
  <c r="I5598" i="17"/>
  <c r="I5597" i="17"/>
  <c r="I5596" i="17"/>
  <c r="I5595" i="17"/>
  <c r="I5594" i="17"/>
  <c r="I5593" i="17"/>
  <c r="I5592" i="17"/>
  <c r="I5591" i="17"/>
  <c r="I5590" i="17"/>
  <c r="I5589" i="17"/>
  <c r="I5588" i="17"/>
  <c r="I5587" i="17"/>
  <c r="I5586" i="17"/>
  <c r="I5585" i="17"/>
  <c r="I5584" i="17"/>
  <c r="I5583" i="17"/>
  <c r="I5582" i="17"/>
  <c r="I5581" i="17"/>
  <c r="I5580" i="17"/>
  <c r="I5579" i="17"/>
  <c r="I5578" i="17"/>
  <c r="I5577" i="17"/>
  <c r="I5576" i="17"/>
  <c r="I5575" i="17"/>
  <c r="I5574" i="17"/>
  <c r="I5573" i="17"/>
  <c r="I5572" i="17"/>
  <c r="I5571" i="17"/>
  <c r="I5570" i="17"/>
  <c r="I5569" i="17"/>
  <c r="I5568" i="17"/>
  <c r="I5567" i="17"/>
  <c r="I5566" i="17"/>
  <c r="I5565" i="17"/>
  <c r="I5564" i="17"/>
  <c r="I5563" i="17"/>
  <c r="I5562" i="17"/>
  <c r="I5561" i="17"/>
  <c r="I5560" i="17"/>
  <c r="I5559" i="17"/>
  <c r="I5558" i="17"/>
  <c r="I5557" i="17"/>
  <c r="I5556" i="17"/>
  <c r="I5555" i="17"/>
  <c r="I5554" i="17"/>
  <c r="I5553" i="17"/>
  <c r="I5552" i="17"/>
  <c r="I5551" i="17"/>
  <c r="I5550" i="17"/>
  <c r="I5549" i="17"/>
  <c r="I5548" i="17"/>
  <c r="I5547" i="17"/>
  <c r="I5546" i="17"/>
  <c r="I5545" i="17"/>
  <c r="I5544" i="17"/>
  <c r="I5543" i="17"/>
  <c r="I5542" i="17"/>
  <c r="I5541" i="17"/>
  <c r="I5540" i="17"/>
  <c r="I5539" i="17"/>
  <c r="I5538" i="17"/>
  <c r="I5537" i="17"/>
  <c r="I5536" i="17"/>
  <c r="I5535" i="17"/>
  <c r="I5534" i="17"/>
  <c r="I5533" i="17"/>
  <c r="I5532" i="17"/>
  <c r="I5531" i="17"/>
  <c r="I5530" i="17"/>
  <c r="I5529" i="17"/>
  <c r="I5528" i="17"/>
  <c r="I5527" i="17"/>
  <c r="I5526" i="17"/>
  <c r="I5525" i="17"/>
  <c r="I5524" i="17"/>
  <c r="I5523" i="17"/>
  <c r="I5522" i="17"/>
  <c r="I5521" i="17"/>
  <c r="I5520" i="17"/>
  <c r="I5519" i="17"/>
  <c r="I5518" i="17"/>
  <c r="I5517" i="17"/>
  <c r="I5516" i="17"/>
  <c r="I5515" i="17"/>
  <c r="I5514" i="17"/>
  <c r="I5513" i="17"/>
  <c r="I5512" i="17"/>
  <c r="I5511" i="17"/>
  <c r="I5510" i="17"/>
  <c r="I5509" i="17"/>
  <c r="I5508" i="17"/>
  <c r="I5507" i="17"/>
  <c r="I5506" i="17"/>
  <c r="I5505" i="17"/>
  <c r="I5504" i="17"/>
  <c r="I5503" i="17"/>
  <c r="I5502" i="17"/>
  <c r="I5501" i="17"/>
  <c r="I5500" i="17"/>
  <c r="I5499" i="17"/>
  <c r="I5498" i="17"/>
  <c r="I5497" i="17"/>
  <c r="I5496" i="17"/>
  <c r="I5495" i="17"/>
  <c r="I5494" i="17"/>
  <c r="I5493" i="17"/>
  <c r="I5492" i="17"/>
  <c r="I5491" i="17"/>
  <c r="I5490" i="17"/>
  <c r="I5489" i="17"/>
  <c r="I5488" i="17"/>
  <c r="I5487" i="17"/>
  <c r="I5486" i="17"/>
  <c r="I5485" i="17"/>
  <c r="I5484" i="17"/>
  <c r="I5483" i="17"/>
  <c r="I5482" i="17"/>
  <c r="I5481" i="17"/>
  <c r="I5480" i="17"/>
  <c r="I5479" i="17"/>
  <c r="I5478" i="17"/>
  <c r="I5477" i="17"/>
  <c r="I5476" i="17"/>
  <c r="I5475" i="17"/>
  <c r="I5474" i="17"/>
  <c r="I5473" i="17"/>
  <c r="I5472" i="17"/>
  <c r="I5471" i="17"/>
  <c r="I5470" i="17"/>
  <c r="I5469" i="17"/>
  <c r="I5468" i="17"/>
  <c r="I5467" i="17"/>
  <c r="I5466" i="17"/>
  <c r="I5465" i="17"/>
  <c r="I5464" i="17"/>
  <c r="I5463" i="17"/>
  <c r="I5462" i="17"/>
  <c r="I5461" i="17"/>
  <c r="I5460" i="17"/>
  <c r="I5459" i="17"/>
  <c r="I5458" i="17"/>
  <c r="I5457" i="17"/>
  <c r="I5456" i="17"/>
  <c r="I5455" i="17"/>
  <c r="I5454" i="17"/>
  <c r="I5453" i="17"/>
  <c r="I5452" i="17"/>
  <c r="I5451" i="17"/>
  <c r="I5450" i="17"/>
  <c r="I5449" i="17"/>
  <c r="I5448" i="17"/>
  <c r="I5447" i="17"/>
  <c r="I5446" i="17"/>
  <c r="I5445" i="17"/>
  <c r="I5444" i="17"/>
  <c r="I5443" i="17"/>
  <c r="I5442" i="17"/>
  <c r="I5441" i="17"/>
  <c r="I5440" i="17"/>
  <c r="I5439" i="17"/>
  <c r="I5438" i="17"/>
  <c r="I5437" i="17"/>
  <c r="I5436" i="17"/>
  <c r="I5435" i="17"/>
  <c r="I5434" i="17"/>
  <c r="I5433" i="17"/>
  <c r="I5432" i="17"/>
  <c r="I5431" i="17"/>
  <c r="I5430" i="17"/>
  <c r="I5429" i="17"/>
  <c r="I5428" i="17"/>
  <c r="I5427" i="17"/>
  <c r="I5426" i="17"/>
  <c r="I5425" i="17"/>
  <c r="I5424" i="17"/>
  <c r="I5423" i="17"/>
  <c r="I5422" i="17"/>
  <c r="I5421" i="17"/>
  <c r="I5420" i="17"/>
  <c r="I5419" i="17"/>
  <c r="I5418" i="17"/>
  <c r="I5417" i="17"/>
  <c r="I5416" i="17"/>
  <c r="I5415" i="17"/>
  <c r="I5414" i="17"/>
  <c r="I5413" i="17"/>
  <c r="I5412" i="17"/>
  <c r="I5411" i="17"/>
  <c r="I5410" i="17"/>
  <c r="I5409" i="17"/>
  <c r="I5408" i="17"/>
  <c r="I5407" i="17"/>
  <c r="I5406" i="17"/>
  <c r="I5405" i="17"/>
  <c r="I5404" i="17"/>
  <c r="I5403" i="17"/>
  <c r="I5402" i="17"/>
  <c r="I5401" i="17"/>
  <c r="I5400" i="17"/>
  <c r="I5399" i="17"/>
  <c r="I5398" i="17"/>
  <c r="I5397" i="17"/>
  <c r="I5396" i="17"/>
  <c r="I5395" i="17"/>
  <c r="I5394" i="17"/>
  <c r="I5393" i="17"/>
  <c r="I5392" i="17"/>
  <c r="I5391" i="17"/>
  <c r="I5390" i="17"/>
  <c r="I5389" i="17"/>
  <c r="I5388" i="17"/>
  <c r="I5387" i="17"/>
  <c r="I5386" i="17"/>
  <c r="I5385" i="17"/>
  <c r="I5384" i="17"/>
  <c r="I5383" i="17"/>
  <c r="I5382" i="17"/>
  <c r="I5381" i="17"/>
  <c r="I5380" i="17"/>
  <c r="I5379" i="17"/>
  <c r="I5378" i="17"/>
  <c r="I5377" i="17"/>
  <c r="I5376" i="17"/>
  <c r="I5375" i="17"/>
  <c r="I5374" i="17"/>
  <c r="I5373" i="17"/>
  <c r="I5372" i="17"/>
  <c r="I5371" i="17"/>
  <c r="I5370" i="17"/>
  <c r="I5369" i="17"/>
  <c r="I5368" i="17"/>
  <c r="I5367" i="17"/>
  <c r="I5366" i="17"/>
  <c r="I5365" i="17"/>
  <c r="I5364" i="17"/>
  <c r="I5363" i="17"/>
  <c r="I5362" i="17"/>
  <c r="I5361" i="17"/>
  <c r="I5360" i="17"/>
  <c r="I5359" i="17"/>
  <c r="I5358" i="17"/>
  <c r="I5357" i="17"/>
  <c r="I5356" i="17"/>
  <c r="I5355" i="17"/>
  <c r="I5354" i="17"/>
  <c r="I5353" i="17"/>
  <c r="I5352" i="17"/>
  <c r="I5351" i="17"/>
  <c r="I5350" i="17"/>
  <c r="I5349" i="17"/>
  <c r="I5348" i="17"/>
  <c r="I5347" i="17"/>
  <c r="I5346" i="17"/>
  <c r="I5345" i="17"/>
  <c r="I5344" i="17"/>
  <c r="I5343" i="17"/>
  <c r="I5342" i="17"/>
  <c r="I5341" i="17"/>
  <c r="I5340" i="17"/>
  <c r="I5339" i="17"/>
  <c r="I5338" i="17"/>
  <c r="I5337" i="17"/>
  <c r="I5336" i="17"/>
  <c r="I5335" i="17"/>
  <c r="I5334" i="17"/>
  <c r="I5333" i="17"/>
  <c r="I5332" i="17"/>
  <c r="I5331" i="17"/>
  <c r="I5330" i="17"/>
  <c r="I5329" i="17"/>
  <c r="I5328" i="17"/>
  <c r="I5327" i="17"/>
  <c r="I5326" i="17"/>
  <c r="I5325" i="17"/>
  <c r="I5324" i="17"/>
  <c r="I5323" i="17"/>
  <c r="I5322" i="17"/>
  <c r="I5321" i="17"/>
  <c r="I5320" i="17"/>
  <c r="I5319" i="17"/>
  <c r="I5318" i="17"/>
  <c r="I5317" i="17"/>
  <c r="I5316" i="17"/>
  <c r="I5315" i="17"/>
  <c r="I5314" i="17"/>
  <c r="I5313" i="17"/>
  <c r="I5312" i="17"/>
  <c r="I5311" i="17"/>
  <c r="I5310" i="17"/>
  <c r="I5309" i="17"/>
  <c r="I5308" i="17"/>
  <c r="I5307" i="17"/>
  <c r="I5306" i="17"/>
  <c r="I5305" i="17"/>
  <c r="I5304" i="17"/>
  <c r="I5303" i="17"/>
  <c r="I5302" i="17"/>
  <c r="I5301" i="17"/>
  <c r="I5300" i="17"/>
  <c r="I5299" i="17"/>
  <c r="I5298" i="17"/>
  <c r="I5297" i="17"/>
  <c r="I5296" i="17"/>
  <c r="I5295" i="17"/>
  <c r="I5294" i="17"/>
  <c r="I5293" i="17"/>
  <c r="I5292" i="17"/>
  <c r="I5291" i="17"/>
  <c r="I5290" i="17"/>
  <c r="I5289" i="17"/>
  <c r="I5288" i="17"/>
  <c r="I5287" i="17"/>
  <c r="I5286" i="17"/>
  <c r="I5285" i="17"/>
  <c r="I5284" i="17"/>
  <c r="I5283" i="17"/>
  <c r="I5282" i="17"/>
  <c r="I5281" i="17"/>
  <c r="I5280" i="17"/>
  <c r="I5279" i="17"/>
  <c r="I5278" i="17"/>
  <c r="I5277" i="17"/>
  <c r="I5276" i="17"/>
  <c r="I5275" i="17"/>
  <c r="I5274" i="17"/>
  <c r="I5273" i="17"/>
  <c r="I5272" i="17"/>
  <c r="I5271" i="17"/>
  <c r="I5270" i="17"/>
  <c r="I5269" i="17"/>
  <c r="I5268" i="17"/>
  <c r="I5267" i="17"/>
  <c r="I5266" i="17"/>
  <c r="I5265" i="17"/>
  <c r="I5264" i="17"/>
  <c r="I5263" i="17"/>
  <c r="I5262" i="17"/>
  <c r="I5261" i="17"/>
  <c r="I5260" i="17"/>
  <c r="I5259" i="17"/>
  <c r="I5258" i="17"/>
  <c r="I5257" i="17"/>
  <c r="I5256" i="17"/>
  <c r="I5255" i="17"/>
  <c r="I5254" i="17"/>
  <c r="I5253" i="17"/>
  <c r="I5252" i="17"/>
  <c r="I5251" i="17"/>
  <c r="I5250" i="17"/>
  <c r="I5249" i="17"/>
  <c r="I5248" i="17"/>
  <c r="I5247" i="17"/>
  <c r="I5246" i="17"/>
  <c r="I5245" i="17"/>
  <c r="I5244" i="17"/>
  <c r="I5243" i="17"/>
  <c r="I5242" i="17"/>
  <c r="I5241" i="17"/>
  <c r="I5240" i="17"/>
  <c r="I5239" i="17"/>
  <c r="I5238" i="17"/>
  <c r="I5237" i="17"/>
  <c r="I5236" i="17"/>
  <c r="I5235" i="17"/>
  <c r="I5234" i="17"/>
  <c r="I5233" i="17"/>
  <c r="I5232" i="17"/>
  <c r="I5231" i="17"/>
  <c r="I5230" i="17"/>
  <c r="I5229" i="17"/>
  <c r="I5228" i="17"/>
  <c r="I5227" i="17"/>
  <c r="I5226" i="17"/>
  <c r="I5225" i="17"/>
  <c r="I5224" i="17"/>
  <c r="I5223" i="17"/>
  <c r="I5222" i="17"/>
  <c r="I5221" i="17"/>
  <c r="I5220" i="17"/>
  <c r="I5219" i="17"/>
  <c r="I5218" i="17"/>
  <c r="I5217" i="17"/>
  <c r="I5216" i="17"/>
  <c r="I5215" i="17"/>
  <c r="I5214" i="17"/>
  <c r="I5213" i="17"/>
  <c r="I5212" i="17"/>
  <c r="I5211" i="17"/>
  <c r="I5210" i="17"/>
  <c r="I5209" i="17"/>
  <c r="I5208" i="17"/>
  <c r="I5207" i="17"/>
  <c r="I5206" i="17"/>
  <c r="I5205" i="17"/>
  <c r="I5204" i="17"/>
  <c r="I5203" i="17"/>
  <c r="I5202" i="17"/>
  <c r="I5201" i="17"/>
  <c r="I5200" i="17"/>
  <c r="I5199" i="17"/>
  <c r="I5198" i="17"/>
  <c r="I5197" i="17"/>
  <c r="I5196" i="17"/>
  <c r="I5195" i="17"/>
  <c r="I5194" i="17"/>
  <c r="I5193" i="17"/>
  <c r="I5192" i="17"/>
  <c r="I5191" i="17"/>
  <c r="I5190" i="17"/>
  <c r="I5189" i="17"/>
  <c r="I5188" i="17"/>
  <c r="I5187" i="17"/>
  <c r="I5186" i="17"/>
  <c r="I5185" i="17"/>
  <c r="I5184" i="17"/>
  <c r="I5183" i="17"/>
  <c r="I5182" i="17"/>
  <c r="I5181" i="17"/>
  <c r="I5180" i="17"/>
  <c r="I5179" i="17"/>
  <c r="I5178" i="17"/>
  <c r="I5177" i="17"/>
  <c r="I5176" i="17"/>
  <c r="I5175" i="17"/>
  <c r="I5174" i="17"/>
  <c r="I5173" i="17"/>
  <c r="I5172" i="17"/>
  <c r="I5171" i="17"/>
  <c r="I5170" i="17"/>
  <c r="I5169" i="17"/>
  <c r="I5168" i="17"/>
  <c r="I5167" i="17"/>
  <c r="I5166" i="17"/>
  <c r="I5165" i="17"/>
  <c r="I5164" i="17"/>
  <c r="I5163" i="17"/>
  <c r="I5162" i="17"/>
  <c r="I5161" i="17"/>
  <c r="I5160" i="17"/>
  <c r="I5159" i="17"/>
  <c r="I5158" i="17"/>
  <c r="I5157" i="17"/>
  <c r="I5156" i="17"/>
  <c r="I5155" i="17"/>
  <c r="I5154" i="17"/>
  <c r="I5153" i="17"/>
  <c r="I5152" i="17"/>
  <c r="I5151" i="17"/>
  <c r="I5150" i="17"/>
  <c r="I5149" i="17"/>
  <c r="I5148" i="17"/>
  <c r="I5147" i="17"/>
  <c r="I5146" i="17"/>
  <c r="I5145" i="17"/>
  <c r="I5144" i="17"/>
  <c r="I5143" i="17"/>
  <c r="I5142" i="17"/>
  <c r="I5141" i="17"/>
  <c r="I5140" i="17"/>
  <c r="I5139" i="17"/>
  <c r="I5138" i="17"/>
  <c r="I5137" i="17"/>
  <c r="I5136" i="17"/>
  <c r="I5135" i="17"/>
  <c r="I5134" i="17"/>
  <c r="I5133" i="17"/>
  <c r="I5132" i="17"/>
  <c r="I5131" i="17"/>
  <c r="I5130" i="17"/>
  <c r="I5129" i="17"/>
  <c r="I5128" i="17"/>
  <c r="I5127" i="17"/>
  <c r="I5126" i="17"/>
  <c r="I5125" i="17"/>
  <c r="I5124" i="17"/>
  <c r="I5123" i="17"/>
  <c r="I5122" i="17"/>
  <c r="I5121" i="17"/>
  <c r="I5120" i="17"/>
  <c r="I5119" i="17"/>
  <c r="I5118" i="17"/>
  <c r="I5117" i="17"/>
  <c r="I5116" i="17"/>
  <c r="I5115" i="17"/>
  <c r="I5114" i="17"/>
  <c r="I5113" i="17"/>
  <c r="I5112" i="17"/>
  <c r="I5111" i="17"/>
  <c r="I5110" i="17"/>
  <c r="I5109" i="17"/>
  <c r="I5108" i="17"/>
  <c r="I5107" i="17"/>
  <c r="I5106" i="17"/>
  <c r="I5105" i="17"/>
  <c r="I5104" i="17"/>
  <c r="I5103" i="17"/>
  <c r="I5102" i="17"/>
  <c r="I5101" i="17"/>
  <c r="I5100" i="17"/>
  <c r="I5099" i="17"/>
  <c r="I5098" i="17"/>
  <c r="I5097" i="17"/>
  <c r="I5096" i="17"/>
  <c r="I5095" i="17"/>
  <c r="I5094" i="17"/>
  <c r="I5093" i="17"/>
  <c r="I5092" i="17"/>
  <c r="I5091" i="17"/>
  <c r="I5090" i="17"/>
  <c r="I5089" i="17"/>
  <c r="I5088" i="17"/>
  <c r="I5087" i="17"/>
  <c r="I5086" i="17"/>
  <c r="I5085" i="17"/>
  <c r="I5084" i="17"/>
  <c r="I5083" i="17"/>
  <c r="I5082" i="17"/>
  <c r="I5081" i="17"/>
  <c r="I5080" i="17"/>
  <c r="I5079" i="17"/>
  <c r="I5078" i="17"/>
  <c r="I5077" i="17"/>
  <c r="I5076" i="17"/>
  <c r="I5075" i="17"/>
  <c r="I5074" i="17"/>
  <c r="I5073" i="17"/>
  <c r="I5072" i="17"/>
  <c r="I5071" i="17"/>
  <c r="I5070" i="17"/>
  <c r="I5069" i="17"/>
  <c r="I5068" i="17"/>
  <c r="I5067" i="17"/>
  <c r="I5066" i="17"/>
  <c r="I5065" i="17"/>
  <c r="I5064" i="17"/>
  <c r="I5063" i="17"/>
  <c r="I5062" i="17"/>
  <c r="I5061" i="17"/>
  <c r="I5060" i="17"/>
  <c r="I5059" i="17"/>
  <c r="I5058" i="17"/>
  <c r="I5057" i="17"/>
  <c r="I5056" i="17"/>
  <c r="I5055" i="17"/>
  <c r="I5054" i="17"/>
  <c r="I5053" i="17"/>
  <c r="I5052" i="17"/>
  <c r="I5051" i="17"/>
  <c r="I5050" i="17"/>
  <c r="I5049" i="17"/>
  <c r="I5048" i="17"/>
  <c r="I5047" i="17"/>
  <c r="I5046" i="17"/>
  <c r="I5045" i="17"/>
  <c r="I5044" i="17"/>
  <c r="I5043" i="17"/>
  <c r="I5042" i="17"/>
  <c r="I5041" i="17"/>
  <c r="I5040" i="17"/>
  <c r="I5039" i="17"/>
  <c r="I5038" i="17"/>
  <c r="I5037" i="17"/>
  <c r="I5036" i="17"/>
  <c r="I5035" i="17"/>
  <c r="I5034" i="17"/>
  <c r="I5033" i="17"/>
  <c r="I5032" i="17"/>
  <c r="I5031" i="17"/>
  <c r="I5030" i="17"/>
  <c r="I5029" i="17"/>
  <c r="I5028" i="17"/>
  <c r="I5027" i="17"/>
  <c r="I5026" i="17"/>
  <c r="I5025" i="17"/>
  <c r="I5024" i="17"/>
  <c r="I5023" i="17"/>
  <c r="I5022" i="17"/>
  <c r="I5021" i="17"/>
  <c r="I5020" i="17"/>
  <c r="I5019" i="17"/>
  <c r="I5018" i="17"/>
  <c r="I5017" i="17"/>
  <c r="I5016" i="17"/>
  <c r="I5015" i="17"/>
  <c r="I5014" i="17"/>
  <c r="I5013" i="17"/>
  <c r="I5012" i="17"/>
  <c r="I5011" i="17"/>
  <c r="I5010" i="17"/>
  <c r="I5009" i="17"/>
  <c r="I5008" i="17"/>
  <c r="I5007" i="17"/>
  <c r="I5006" i="17"/>
  <c r="I5005" i="17"/>
  <c r="I5004" i="17"/>
  <c r="I5003" i="17"/>
  <c r="I5002" i="17"/>
  <c r="I5001" i="17"/>
  <c r="I5000" i="17"/>
  <c r="I4999" i="17"/>
  <c r="I4998" i="17"/>
  <c r="I4997" i="17"/>
  <c r="I4996" i="17"/>
  <c r="I4995" i="17"/>
  <c r="I4994" i="17"/>
  <c r="I4993" i="17"/>
  <c r="I4992" i="17"/>
  <c r="I4991" i="17"/>
  <c r="I4990" i="17"/>
  <c r="I4989" i="17"/>
  <c r="I4988" i="17"/>
  <c r="I4987" i="17"/>
  <c r="I4986" i="17"/>
  <c r="I4985" i="17"/>
  <c r="I4984" i="17"/>
  <c r="I4983" i="17"/>
  <c r="I4982" i="17"/>
  <c r="I4981" i="17"/>
  <c r="I4980" i="17"/>
  <c r="I4979" i="17"/>
  <c r="I4978" i="17"/>
  <c r="I4977" i="17"/>
  <c r="I4976" i="17"/>
  <c r="I4975" i="17"/>
  <c r="I4974" i="17"/>
  <c r="I4973" i="17"/>
  <c r="I4972" i="17"/>
  <c r="I4971" i="17"/>
  <c r="I4970" i="17"/>
  <c r="I4969" i="17"/>
  <c r="I4968" i="17"/>
  <c r="I4967" i="17"/>
  <c r="I4966" i="17"/>
  <c r="I4965" i="17"/>
  <c r="I4964" i="17"/>
  <c r="I4963" i="17"/>
  <c r="I4962" i="17"/>
  <c r="I4961" i="17"/>
  <c r="I4960" i="17"/>
  <c r="I4959" i="17"/>
  <c r="I4958" i="17"/>
  <c r="I4957" i="17"/>
  <c r="I4956" i="17"/>
  <c r="I4955" i="17"/>
  <c r="I4954" i="17"/>
  <c r="I4953" i="17"/>
  <c r="I4952" i="17"/>
  <c r="I4951" i="17"/>
  <c r="I4950" i="17"/>
  <c r="I4949" i="17"/>
  <c r="I4948" i="17"/>
  <c r="I4947" i="17"/>
  <c r="I4946" i="17"/>
  <c r="I4945" i="17"/>
  <c r="I4944" i="17"/>
  <c r="I4943" i="17"/>
  <c r="I4942" i="17"/>
  <c r="I4941" i="17"/>
  <c r="I4940" i="17"/>
  <c r="I4939" i="17"/>
  <c r="I4938" i="17"/>
  <c r="I4937" i="17"/>
  <c r="I4936" i="17"/>
  <c r="I4935" i="17"/>
  <c r="I4934" i="17"/>
  <c r="I4933" i="17"/>
  <c r="I4932" i="17"/>
  <c r="I4931" i="17"/>
  <c r="I4930" i="17"/>
  <c r="I4929" i="17"/>
  <c r="I4928" i="17"/>
  <c r="I4927" i="17"/>
  <c r="I4926" i="17"/>
  <c r="I4925" i="17"/>
  <c r="I4924" i="17"/>
  <c r="I4923" i="17"/>
  <c r="I4922" i="17"/>
  <c r="I4921" i="17"/>
  <c r="I4920" i="17"/>
  <c r="I4919" i="17"/>
  <c r="I4918" i="17"/>
  <c r="I4917" i="17"/>
  <c r="I4916" i="17"/>
  <c r="I4915" i="17"/>
  <c r="I4914" i="17"/>
  <c r="I4913" i="17"/>
  <c r="I4912" i="17"/>
  <c r="I4911" i="17"/>
  <c r="I4910" i="17"/>
  <c r="I4909" i="17"/>
  <c r="I4908" i="17"/>
  <c r="I4907" i="17"/>
  <c r="I4906" i="17"/>
  <c r="I4905" i="17"/>
  <c r="I4904" i="17"/>
  <c r="I4903" i="17"/>
  <c r="I4902" i="17"/>
  <c r="I4901" i="17"/>
  <c r="I4900" i="17"/>
  <c r="I4899" i="17"/>
  <c r="I4898" i="17"/>
  <c r="I4897" i="17"/>
  <c r="I4896" i="17"/>
  <c r="I4895" i="17"/>
  <c r="I4894" i="17"/>
  <c r="I4893" i="17"/>
  <c r="I4892" i="17"/>
  <c r="I4891" i="17"/>
  <c r="I4890" i="17"/>
  <c r="I4889" i="17"/>
  <c r="I4888" i="17"/>
  <c r="I4887" i="17"/>
  <c r="I4886" i="17"/>
  <c r="I4885" i="17"/>
  <c r="I4884" i="17"/>
  <c r="I4883" i="17"/>
  <c r="I4882" i="17"/>
  <c r="I4881" i="17"/>
  <c r="I4880" i="17"/>
  <c r="I4879" i="17"/>
  <c r="I4878" i="17"/>
  <c r="I4877" i="17"/>
  <c r="I4876" i="17"/>
  <c r="I4875" i="17"/>
  <c r="I4874" i="17"/>
  <c r="I4873" i="17"/>
  <c r="I4872" i="17"/>
  <c r="I4871" i="17"/>
  <c r="I4870" i="17"/>
  <c r="I4869" i="17"/>
  <c r="I4868" i="17"/>
  <c r="I4867" i="17"/>
  <c r="I4866" i="17"/>
  <c r="I4865" i="17"/>
  <c r="I4864" i="17"/>
  <c r="I4863" i="17"/>
  <c r="I4862" i="17"/>
  <c r="I4861" i="17"/>
  <c r="I4860" i="17"/>
  <c r="I4859" i="17"/>
  <c r="I4858" i="17"/>
  <c r="I4857" i="17"/>
  <c r="I4856" i="17"/>
  <c r="I4855" i="17"/>
  <c r="I4854" i="17"/>
  <c r="I4853" i="17"/>
  <c r="I4852" i="17"/>
  <c r="I4851" i="17"/>
  <c r="I4850" i="17"/>
  <c r="I4849" i="17"/>
  <c r="I4848" i="17"/>
  <c r="I4847" i="17"/>
  <c r="I4846" i="17"/>
  <c r="I4845" i="17"/>
  <c r="I4844" i="17"/>
  <c r="I4843" i="17"/>
  <c r="I4842" i="17"/>
  <c r="I4841" i="17"/>
  <c r="I4840" i="17"/>
  <c r="I4839" i="17"/>
  <c r="I4838" i="17"/>
  <c r="I4837" i="17"/>
  <c r="I4836" i="17"/>
  <c r="I4835" i="17"/>
  <c r="I4834" i="17"/>
  <c r="I4833" i="17"/>
  <c r="I4832" i="17"/>
  <c r="I4831" i="17"/>
  <c r="I4830" i="17"/>
  <c r="I4829" i="17"/>
  <c r="I4828" i="17"/>
  <c r="I4827" i="17"/>
  <c r="I4826" i="17"/>
  <c r="I4825" i="17"/>
  <c r="I4824" i="17"/>
  <c r="I4823" i="17"/>
  <c r="I4822" i="17"/>
  <c r="I4821" i="17"/>
  <c r="I4820" i="17"/>
  <c r="I4819" i="17"/>
  <c r="I4818" i="17"/>
  <c r="I4817" i="17"/>
  <c r="I4816" i="17"/>
  <c r="I4815" i="17"/>
  <c r="I4814" i="17"/>
  <c r="I4813" i="17"/>
  <c r="I4812" i="17"/>
  <c r="I4811" i="17"/>
  <c r="I4810" i="17"/>
  <c r="I4809" i="17"/>
  <c r="I4808" i="17"/>
  <c r="I4807" i="17"/>
  <c r="I4806" i="17"/>
  <c r="I4805" i="17"/>
  <c r="I4804" i="17"/>
  <c r="I4803" i="17"/>
  <c r="I4802" i="17"/>
  <c r="I4801" i="17"/>
  <c r="I4800" i="17"/>
  <c r="I4799" i="17"/>
  <c r="I4798" i="17"/>
  <c r="I4797" i="17"/>
  <c r="I4796" i="17"/>
  <c r="I4795" i="17"/>
  <c r="I4794" i="17"/>
  <c r="I4793" i="17"/>
  <c r="I4792" i="17"/>
  <c r="I4791" i="17"/>
  <c r="I4790" i="17"/>
  <c r="I4789" i="17"/>
  <c r="I4788" i="17"/>
  <c r="I4787" i="17"/>
  <c r="I4786" i="17"/>
  <c r="I4785" i="17"/>
  <c r="I4784" i="17"/>
  <c r="I4783" i="17"/>
  <c r="I4782" i="17"/>
  <c r="I4781" i="17"/>
  <c r="I4780" i="17"/>
  <c r="I4779" i="17"/>
  <c r="I4778" i="17"/>
  <c r="I4777" i="17"/>
  <c r="I4776" i="17"/>
  <c r="I4775" i="17"/>
  <c r="I4774" i="17"/>
  <c r="I4773" i="17"/>
  <c r="I4772" i="17"/>
  <c r="I4771" i="17"/>
  <c r="I4770" i="17"/>
  <c r="I4769" i="17"/>
  <c r="I4768" i="17"/>
  <c r="I4767" i="17"/>
  <c r="I4766" i="17"/>
  <c r="I4765" i="17"/>
  <c r="I4764" i="17"/>
  <c r="I4763" i="17"/>
  <c r="I4762" i="17"/>
  <c r="I4761" i="17"/>
  <c r="I4760" i="17"/>
  <c r="I4759" i="17"/>
  <c r="I4758" i="17"/>
  <c r="I4757" i="17"/>
  <c r="I4756" i="17"/>
  <c r="I4755" i="17"/>
  <c r="I4754" i="17"/>
  <c r="I4753" i="17"/>
  <c r="I4752" i="17"/>
  <c r="I4751" i="17"/>
  <c r="I4750" i="17"/>
  <c r="I4749" i="17"/>
  <c r="I4748" i="17"/>
  <c r="I4747" i="17"/>
  <c r="I4746" i="17"/>
  <c r="I4745" i="17"/>
  <c r="I4744" i="17"/>
  <c r="I4743" i="17"/>
  <c r="I4742" i="17"/>
  <c r="I4741" i="17"/>
  <c r="I4740" i="17"/>
  <c r="I4739" i="17"/>
  <c r="I4738" i="17"/>
  <c r="I4737" i="17"/>
  <c r="I4736" i="17"/>
  <c r="I4735" i="17"/>
  <c r="I4734" i="17"/>
  <c r="I4733" i="17"/>
  <c r="I4732" i="17"/>
  <c r="I4731" i="17"/>
  <c r="I4730" i="17"/>
  <c r="I4729" i="17"/>
  <c r="I4728" i="17"/>
  <c r="I4727" i="17"/>
  <c r="I4726" i="17"/>
  <c r="I4725" i="17"/>
  <c r="I4724" i="17"/>
  <c r="I4723" i="17"/>
  <c r="I4722" i="17"/>
  <c r="I4721" i="17"/>
  <c r="I4720" i="17"/>
  <c r="I4719" i="17"/>
  <c r="I4718" i="17"/>
  <c r="I4717" i="17"/>
  <c r="I4716" i="17"/>
  <c r="I4715" i="17"/>
  <c r="I4714" i="17"/>
  <c r="I4713" i="17"/>
  <c r="I4712" i="17"/>
  <c r="I4711" i="17"/>
  <c r="I4710" i="17"/>
  <c r="I4709" i="17"/>
  <c r="I4708" i="17"/>
  <c r="I4707" i="17"/>
  <c r="I4706" i="17"/>
  <c r="I4705" i="17"/>
  <c r="I4704" i="17"/>
  <c r="I4703" i="17"/>
  <c r="I4702" i="17"/>
  <c r="I4701" i="17"/>
  <c r="I4700" i="17"/>
  <c r="I4699" i="17"/>
  <c r="I4698" i="17"/>
  <c r="I4697" i="17"/>
  <c r="I4696" i="17"/>
  <c r="I4695" i="17"/>
  <c r="I4694" i="17"/>
  <c r="I4693" i="17"/>
  <c r="I4692" i="17"/>
  <c r="I4691" i="17"/>
  <c r="I4690" i="17"/>
  <c r="I4689" i="17"/>
  <c r="I4688" i="17"/>
  <c r="I4687" i="17"/>
  <c r="I4686" i="17"/>
  <c r="I4685" i="17"/>
  <c r="I4684" i="17"/>
  <c r="I4683" i="17"/>
  <c r="I4682" i="17"/>
  <c r="I4681" i="17"/>
  <c r="I4680" i="17"/>
  <c r="I4679" i="17"/>
  <c r="I4678" i="17"/>
  <c r="I4677" i="17"/>
  <c r="I4676" i="17"/>
  <c r="I4675" i="17"/>
  <c r="I4674" i="17"/>
  <c r="I4673" i="17"/>
  <c r="I4672" i="17"/>
  <c r="I4671" i="17"/>
  <c r="I4670" i="17"/>
  <c r="I4669" i="17"/>
  <c r="I4668" i="17"/>
  <c r="I4667" i="17"/>
  <c r="I4666" i="17"/>
  <c r="I4665" i="17"/>
  <c r="I4664" i="17"/>
  <c r="I4663" i="17"/>
  <c r="I4662" i="17"/>
  <c r="I4661" i="17"/>
  <c r="I4660" i="17"/>
  <c r="I4659" i="17"/>
  <c r="I4658" i="17"/>
  <c r="I4657" i="17"/>
  <c r="I4656" i="17"/>
  <c r="I4655" i="17"/>
  <c r="I4654" i="17"/>
  <c r="I4653" i="17"/>
  <c r="I4652" i="17"/>
  <c r="I4651" i="17"/>
  <c r="I4650" i="17"/>
  <c r="I4649" i="17"/>
  <c r="I4648" i="17"/>
  <c r="I4647" i="17"/>
  <c r="I4646" i="17"/>
  <c r="I4645" i="17"/>
  <c r="I4644" i="17"/>
  <c r="I4643" i="17"/>
  <c r="I4642" i="17"/>
  <c r="I4641" i="17"/>
  <c r="I4640" i="17"/>
  <c r="I4639" i="17"/>
  <c r="I4638" i="17"/>
  <c r="I4637" i="17"/>
  <c r="I4636" i="17"/>
  <c r="I4635" i="17"/>
  <c r="I4634" i="17"/>
  <c r="I4633" i="17"/>
  <c r="I4632" i="17"/>
  <c r="I4631" i="17"/>
  <c r="I4630" i="17"/>
  <c r="I4629" i="17"/>
  <c r="I4628" i="17"/>
  <c r="I4627" i="17"/>
  <c r="I4626" i="17"/>
  <c r="I4625" i="17"/>
  <c r="I4624" i="17"/>
  <c r="I4623" i="17"/>
  <c r="I4622" i="17"/>
  <c r="I4621" i="17"/>
  <c r="I4620" i="17"/>
  <c r="I4619" i="17"/>
  <c r="I4618" i="17"/>
  <c r="I4617" i="17"/>
  <c r="I4616" i="17"/>
  <c r="I4615" i="17"/>
  <c r="I4614" i="17"/>
  <c r="I4613" i="17"/>
  <c r="I4612" i="17"/>
  <c r="I4611" i="17"/>
  <c r="I4610" i="17"/>
  <c r="I4609" i="17"/>
  <c r="I4608" i="17"/>
  <c r="I4607" i="17"/>
  <c r="I4606" i="17"/>
  <c r="I4605" i="17"/>
  <c r="I4604" i="17"/>
  <c r="I4603" i="17"/>
  <c r="I4602" i="17"/>
  <c r="I4601" i="17"/>
  <c r="I4600" i="17"/>
  <c r="I4599" i="17"/>
  <c r="I4598" i="17"/>
  <c r="I4597" i="17"/>
  <c r="I4596" i="17"/>
  <c r="I4595" i="17"/>
  <c r="I4594" i="17"/>
  <c r="I4593" i="17"/>
  <c r="I4592" i="17"/>
  <c r="I4591" i="17"/>
  <c r="I4590" i="17"/>
  <c r="I4589" i="17"/>
  <c r="I4588" i="17"/>
  <c r="I4587" i="17"/>
  <c r="I4586" i="17"/>
  <c r="I4585" i="17"/>
  <c r="I4584" i="17"/>
  <c r="I4583" i="17"/>
  <c r="I4582" i="17"/>
  <c r="I4581" i="17"/>
  <c r="I4580" i="17"/>
  <c r="I4579" i="17"/>
  <c r="I4578" i="17"/>
  <c r="I4577" i="17"/>
  <c r="I4576" i="17"/>
  <c r="I4575" i="17"/>
  <c r="I4574" i="17"/>
  <c r="I4573" i="17"/>
  <c r="I4572" i="17"/>
  <c r="I4571" i="17"/>
  <c r="I4570" i="17"/>
  <c r="I4569" i="17"/>
  <c r="I4568" i="17"/>
  <c r="I4567" i="17"/>
  <c r="I4566" i="17"/>
  <c r="I4565" i="17"/>
  <c r="I4564" i="17"/>
  <c r="I4563" i="17"/>
  <c r="I4562" i="17"/>
  <c r="I4561" i="17"/>
  <c r="I4560" i="17"/>
  <c r="I4559" i="17"/>
  <c r="I4558" i="17"/>
  <c r="I4557" i="17"/>
  <c r="I4556" i="17"/>
  <c r="I4555" i="17"/>
  <c r="I4554" i="17"/>
  <c r="I4553" i="17"/>
  <c r="I4552" i="17"/>
  <c r="I4551" i="17"/>
  <c r="I4550" i="17"/>
  <c r="I4549" i="17"/>
  <c r="I4548" i="17"/>
  <c r="I4547" i="17"/>
  <c r="I4546" i="17"/>
  <c r="I4545" i="17"/>
  <c r="I4544" i="17"/>
  <c r="I4543" i="17"/>
  <c r="I4542" i="17"/>
  <c r="I4541" i="17"/>
  <c r="I4540" i="17"/>
  <c r="I4539" i="17"/>
  <c r="I4538" i="17"/>
  <c r="I4537" i="17"/>
  <c r="I4536" i="17"/>
  <c r="I4535" i="17"/>
  <c r="I4534" i="17"/>
  <c r="I4533" i="17"/>
  <c r="I4532" i="17"/>
  <c r="I4531" i="17"/>
  <c r="I4530" i="17"/>
  <c r="I4529" i="17"/>
  <c r="I4528" i="17"/>
  <c r="I4527" i="17"/>
  <c r="I4526" i="17"/>
  <c r="I4525" i="17"/>
  <c r="I4524" i="17"/>
  <c r="I4523" i="17"/>
  <c r="I4522" i="17"/>
  <c r="I4521" i="17"/>
  <c r="I4520" i="17"/>
  <c r="I4519" i="17"/>
  <c r="I4518" i="17"/>
  <c r="I4517" i="17"/>
  <c r="I4516" i="17"/>
  <c r="I4515" i="17"/>
  <c r="I4514" i="17"/>
  <c r="I4513" i="17"/>
  <c r="I4512" i="17"/>
  <c r="I4511" i="17"/>
  <c r="I4510" i="17"/>
  <c r="I4509" i="17"/>
  <c r="I4508" i="17"/>
  <c r="I4507" i="17"/>
  <c r="I4506" i="17"/>
  <c r="I4505" i="17"/>
  <c r="I4504" i="17"/>
  <c r="I4503" i="17"/>
  <c r="I4502" i="17"/>
  <c r="I4501" i="17"/>
  <c r="I4500" i="17"/>
  <c r="I4499" i="17"/>
  <c r="I4498" i="17"/>
  <c r="I4497" i="17"/>
  <c r="I4496" i="17"/>
  <c r="I4495" i="17"/>
  <c r="I4494" i="17"/>
  <c r="I4493" i="17"/>
  <c r="I4492" i="17"/>
  <c r="I4491" i="17"/>
  <c r="I4490" i="17"/>
  <c r="I4489" i="17"/>
  <c r="I4488" i="17"/>
  <c r="I4487" i="17"/>
  <c r="I4486" i="17"/>
  <c r="I4485" i="17"/>
  <c r="I4484" i="17"/>
  <c r="I4483" i="17"/>
  <c r="I4482" i="17"/>
  <c r="I4481" i="17"/>
  <c r="I4480" i="17"/>
  <c r="I4479" i="17"/>
  <c r="I4478" i="17"/>
  <c r="I4477" i="17"/>
  <c r="I4476" i="17"/>
  <c r="I4475" i="17"/>
  <c r="I4474" i="17"/>
  <c r="I4473" i="17"/>
  <c r="I4472" i="17"/>
  <c r="I4471" i="17"/>
  <c r="I4470" i="17"/>
  <c r="I4469" i="17"/>
  <c r="I4468" i="17"/>
  <c r="I4467" i="17"/>
  <c r="I4466" i="17"/>
  <c r="I4465" i="17"/>
  <c r="I4464" i="17"/>
  <c r="I4463" i="17"/>
  <c r="I4462" i="17"/>
  <c r="I4461" i="17"/>
  <c r="I4460" i="17"/>
  <c r="I4459" i="17"/>
  <c r="I4458" i="17"/>
  <c r="I4457" i="17"/>
  <c r="I4456" i="17"/>
  <c r="I4455" i="17"/>
  <c r="I4454" i="17"/>
  <c r="I4453" i="17"/>
  <c r="I4452" i="17"/>
  <c r="I4451" i="17"/>
  <c r="I4450" i="17"/>
  <c r="I4449" i="17"/>
  <c r="I4448" i="17"/>
  <c r="I4447" i="17"/>
  <c r="I4446" i="17"/>
  <c r="I4445" i="17"/>
  <c r="I4444" i="17"/>
  <c r="I4443" i="17"/>
  <c r="I4442" i="17"/>
  <c r="I4441" i="17"/>
  <c r="I4440" i="17"/>
  <c r="I4439" i="17"/>
  <c r="I4438" i="17"/>
  <c r="I4437" i="17"/>
  <c r="I4436" i="17"/>
  <c r="I4435" i="17"/>
  <c r="I4434" i="17"/>
  <c r="I4433" i="17"/>
  <c r="I4432" i="17"/>
  <c r="I4431" i="17"/>
  <c r="I4430" i="17"/>
  <c r="I4429" i="17"/>
  <c r="I4428" i="17"/>
  <c r="I4427" i="17"/>
  <c r="I4426" i="17"/>
  <c r="I4425" i="17"/>
  <c r="I4424" i="17"/>
  <c r="I4423" i="17"/>
  <c r="I4422" i="17"/>
  <c r="I4421" i="17"/>
  <c r="I4420" i="17"/>
  <c r="I4419" i="17"/>
  <c r="I4418" i="17"/>
  <c r="I4417" i="17"/>
  <c r="I4416" i="17"/>
  <c r="I4415" i="17"/>
  <c r="I4414" i="17"/>
  <c r="I4413" i="17"/>
  <c r="I4412" i="17"/>
  <c r="I4411" i="17"/>
  <c r="I4410" i="17"/>
  <c r="I4409" i="17"/>
  <c r="I4408" i="17"/>
  <c r="I4407" i="17"/>
  <c r="I4406" i="17"/>
  <c r="I4405" i="17"/>
  <c r="I4404" i="17"/>
  <c r="I4403" i="17"/>
  <c r="I4402" i="17"/>
  <c r="I4401" i="17"/>
  <c r="I4400" i="17"/>
  <c r="I4399" i="17"/>
  <c r="I4398" i="17"/>
  <c r="I4397" i="17"/>
  <c r="I4396" i="17"/>
  <c r="I4395" i="17"/>
  <c r="I4394" i="17"/>
  <c r="I4393" i="17"/>
  <c r="I4392" i="17"/>
  <c r="I4391" i="17"/>
  <c r="I4390" i="17"/>
  <c r="I4389" i="17"/>
  <c r="I4388" i="17"/>
  <c r="I4387" i="17"/>
  <c r="I4386" i="17"/>
  <c r="I4385" i="17"/>
  <c r="I4384" i="17"/>
  <c r="I4383" i="17"/>
  <c r="I4382" i="17"/>
  <c r="I4381" i="17"/>
  <c r="I4380" i="17"/>
  <c r="I4379" i="17"/>
  <c r="I4378" i="17"/>
  <c r="I4377" i="17"/>
  <c r="I4376" i="17"/>
  <c r="I4375" i="17"/>
  <c r="I4374" i="17"/>
  <c r="I4373" i="17"/>
  <c r="I4372" i="17"/>
  <c r="I4371" i="17"/>
  <c r="I4370" i="17"/>
  <c r="I4369" i="17"/>
  <c r="I4368" i="17"/>
  <c r="I4367" i="17"/>
  <c r="I4366" i="17"/>
  <c r="I4365" i="17"/>
  <c r="I4364" i="17"/>
  <c r="I4363" i="17"/>
  <c r="I4362" i="17"/>
  <c r="I4361" i="17"/>
  <c r="I4360" i="17"/>
  <c r="I4359" i="17"/>
  <c r="I4358" i="17"/>
  <c r="I4357" i="17"/>
  <c r="I4356" i="17"/>
  <c r="I4355" i="17"/>
  <c r="I4354" i="17"/>
  <c r="I4353" i="17"/>
  <c r="I4352" i="17"/>
  <c r="I4351" i="17"/>
  <c r="I4350" i="17"/>
  <c r="I4349" i="17"/>
  <c r="I4348" i="17"/>
  <c r="I4347" i="17"/>
  <c r="I4346" i="17"/>
  <c r="I4345" i="17"/>
  <c r="I4344" i="17"/>
  <c r="I4343" i="17"/>
  <c r="I4342" i="17"/>
  <c r="I4341" i="17"/>
  <c r="I4340" i="17"/>
  <c r="I4339" i="17"/>
  <c r="I4338" i="17"/>
  <c r="I4337" i="17"/>
  <c r="I4336" i="17"/>
  <c r="I4335" i="17"/>
  <c r="I4334" i="17"/>
  <c r="I4333" i="17"/>
  <c r="I4332" i="17"/>
  <c r="I4331" i="17"/>
  <c r="I4330" i="17"/>
  <c r="I4329" i="17"/>
  <c r="I4328" i="17"/>
  <c r="I4327" i="17"/>
  <c r="I4326" i="17"/>
  <c r="I4325" i="17"/>
  <c r="I4324" i="17"/>
  <c r="I4323" i="17"/>
  <c r="I4322" i="17"/>
  <c r="I4321" i="17"/>
  <c r="I4320" i="17"/>
  <c r="I4319" i="17"/>
  <c r="I4318" i="17"/>
  <c r="I4317" i="17"/>
  <c r="I4316" i="17"/>
  <c r="I4315" i="17"/>
  <c r="I4314" i="17"/>
  <c r="I4313" i="17"/>
  <c r="I4312" i="17"/>
  <c r="I4311" i="17"/>
  <c r="I4310" i="17"/>
  <c r="I4309" i="17"/>
  <c r="I4308" i="17"/>
  <c r="I4307" i="17"/>
  <c r="I4306" i="17"/>
  <c r="I4305" i="17"/>
  <c r="I4304" i="17"/>
  <c r="I4303" i="17"/>
  <c r="I4302" i="17"/>
  <c r="I4301" i="17"/>
  <c r="I4300" i="17"/>
  <c r="I4299" i="17"/>
  <c r="I4298" i="17"/>
  <c r="I4297" i="17"/>
  <c r="I4296" i="17"/>
  <c r="I4295" i="17"/>
  <c r="I4294" i="17"/>
  <c r="I4293" i="17"/>
  <c r="I4292" i="17"/>
  <c r="I4291" i="17"/>
  <c r="I4290" i="17"/>
  <c r="I4289" i="17"/>
  <c r="I4288" i="17"/>
  <c r="I4287" i="17"/>
  <c r="I4286" i="17"/>
  <c r="I4285" i="17"/>
  <c r="I4284" i="17"/>
  <c r="I4283" i="17"/>
  <c r="I4282" i="17"/>
  <c r="I4281" i="17"/>
  <c r="I4280" i="17"/>
  <c r="I4279" i="17"/>
  <c r="I4278" i="17"/>
  <c r="I4277" i="17"/>
  <c r="I4276" i="17"/>
  <c r="I4275" i="17"/>
  <c r="I4274" i="17"/>
  <c r="I4273" i="17"/>
  <c r="I4272" i="17"/>
  <c r="I4271" i="17"/>
  <c r="I4270" i="17"/>
  <c r="I4269" i="17"/>
  <c r="I4268" i="17"/>
  <c r="I4267" i="17"/>
  <c r="I4266" i="17"/>
  <c r="I4265" i="17"/>
  <c r="I4264" i="17"/>
  <c r="I4263" i="17"/>
  <c r="I4262" i="17"/>
  <c r="I4261" i="17"/>
  <c r="I4260" i="17"/>
  <c r="I4259" i="17"/>
  <c r="I4258" i="17"/>
  <c r="I4257" i="17"/>
  <c r="I4256" i="17"/>
  <c r="I4255" i="17"/>
  <c r="I4254" i="17"/>
  <c r="I4253" i="17"/>
  <c r="I4252" i="17"/>
  <c r="I4251" i="17"/>
  <c r="I4250" i="17"/>
  <c r="I4249" i="17"/>
  <c r="I4248" i="17"/>
  <c r="I4247" i="17"/>
  <c r="I4246" i="17"/>
  <c r="I4245" i="17"/>
  <c r="I4244" i="17"/>
  <c r="I4243" i="17"/>
  <c r="I4242" i="17"/>
  <c r="I4241" i="17"/>
  <c r="I4240" i="17"/>
  <c r="I4239" i="17"/>
  <c r="I4238" i="17"/>
  <c r="I4237" i="17"/>
  <c r="I4236" i="17"/>
  <c r="I4235" i="17"/>
  <c r="I4234" i="17"/>
  <c r="I4233" i="17"/>
  <c r="I4232" i="17"/>
  <c r="I4231" i="17"/>
  <c r="I4230" i="17"/>
  <c r="I4229" i="17"/>
  <c r="I4228" i="17"/>
  <c r="I4227" i="17"/>
  <c r="I4226" i="17"/>
  <c r="I4225" i="17"/>
  <c r="I4224" i="17"/>
  <c r="I4223" i="17"/>
  <c r="I4222" i="17"/>
  <c r="I4221" i="17"/>
  <c r="I4220" i="17"/>
  <c r="I4219" i="17"/>
  <c r="I4218" i="17"/>
  <c r="I4217" i="17"/>
  <c r="I4216" i="17"/>
  <c r="I4215" i="17"/>
  <c r="I4214" i="17"/>
  <c r="I4213" i="17"/>
  <c r="I4212" i="17"/>
  <c r="I4211" i="17"/>
  <c r="I4210" i="17"/>
  <c r="I4209" i="17"/>
  <c r="I4208" i="17"/>
  <c r="I4207" i="17"/>
  <c r="I4206" i="17"/>
  <c r="I4205" i="17"/>
  <c r="I4204" i="17"/>
  <c r="I4203" i="17"/>
  <c r="I4202" i="17"/>
  <c r="I4201" i="17"/>
  <c r="I4200" i="17"/>
  <c r="I4199" i="17"/>
  <c r="I4198" i="17"/>
  <c r="I4197" i="17"/>
  <c r="I4196" i="17"/>
  <c r="I4195" i="17"/>
  <c r="I4194" i="17"/>
  <c r="I4193" i="17"/>
  <c r="I4192" i="17"/>
  <c r="I4191" i="17"/>
  <c r="I4190" i="17"/>
  <c r="I4189" i="17"/>
  <c r="I4188" i="17"/>
  <c r="I4187" i="17"/>
  <c r="I4186" i="17"/>
  <c r="I4185" i="17"/>
  <c r="I4184" i="17"/>
  <c r="I4183" i="17"/>
  <c r="I4182" i="17"/>
  <c r="I4181" i="17"/>
  <c r="I4180" i="17"/>
  <c r="I4179" i="17"/>
  <c r="I4178" i="17"/>
  <c r="I4177" i="17"/>
  <c r="I4176" i="17"/>
  <c r="I4175" i="17"/>
  <c r="I4174" i="17"/>
  <c r="I4173" i="17"/>
  <c r="I4172" i="17"/>
  <c r="I4171" i="17"/>
  <c r="I4170" i="17"/>
  <c r="I4169" i="17"/>
  <c r="I4168" i="17"/>
  <c r="I4167" i="17"/>
  <c r="I4166" i="17"/>
  <c r="I4165" i="17"/>
  <c r="I4164" i="17"/>
  <c r="I4163" i="17"/>
  <c r="I4162" i="17"/>
  <c r="I4161" i="17"/>
  <c r="I4160" i="17"/>
  <c r="I4159" i="17"/>
  <c r="I4158" i="17"/>
  <c r="I4157" i="17"/>
  <c r="I4156" i="17"/>
  <c r="I4155" i="17"/>
  <c r="I4154" i="17"/>
  <c r="I4153" i="17"/>
  <c r="I4152" i="17"/>
  <c r="I4151" i="17"/>
  <c r="I4150" i="17"/>
  <c r="I4149" i="17"/>
  <c r="I4148" i="17"/>
  <c r="I4147" i="17"/>
  <c r="I4146" i="17"/>
  <c r="I4145" i="17"/>
  <c r="I4144" i="17"/>
  <c r="I4143" i="17"/>
  <c r="I4142" i="17"/>
  <c r="I4141" i="17"/>
  <c r="I4140" i="17"/>
  <c r="I4139" i="17"/>
  <c r="I4138" i="17"/>
  <c r="I4137" i="17"/>
  <c r="I4136" i="17"/>
  <c r="I4135" i="17"/>
  <c r="I4134" i="17"/>
  <c r="I4133" i="17"/>
  <c r="I4132" i="17"/>
  <c r="I4131" i="17"/>
  <c r="I4130" i="17"/>
  <c r="I4129" i="17"/>
  <c r="I4128" i="17"/>
  <c r="I4127" i="17"/>
  <c r="I4126" i="17"/>
  <c r="I4125" i="17"/>
  <c r="I4124" i="17"/>
  <c r="I4123" i="17"/>
  <c r="I4122" i="17"/>
  <c r="I4121" i="17"/>
  <c r="I4120" i="17"/>
  <c r="I4119" i="17"/>
  <c r="I4118" i="17"/>
  <c r="I4117" i="17"/>
  <c r="I4116" i="17"/>
  <c r="I4115" i="17"/>
  <c r="I4114" i="17"/>
  <c r="I4113" i="17"/>
  <c r="I4112" i="17"/>
  <c r="I4111" i="17"/>
  <c r="I4110" i="17"/>
  <c r="I4109" i="17"/>
  <c r="I4108" i="17"/>
  <c r="I4107" i="17"/>
  <c r="I4106" i="17"/>
  <c r="I4105" i="17"/>
  <c r="I4104" i="17"/>
  <c r="I4103" i="17"/>
  <c r="I4102" i="17"/>
  <c r="I4101" i="17"/>
  <c r="I4100" i="17"/>
  <c r="I4099" i="17"/>
  <c r="I4098" i="17"/>
  <c r="I4097" i="17"/>
  <c r="I4096" i="17"/>
  <c r="I4095" i="17"/>
  <c r="I4094" i="17"/>
  <c r="I4093" i="17"/>
  <c r="I4092" i="17"/>
  <c r="I4091" i="17"/>
  <c r="I4090" i="17"/>
  <c r="I4089" i="17"/>
  <c r="I4088" i="17"/>
  <c r="I4087" i="17"/>
  <c r="I4086" i="17"/>
  <c r="I4085" i="17"/>
  <c r="I4084" i="17"/>
  <c r="I4083" i="17"/>
  <c r="I4082" i="17"/>
  <c r="I4081" i="17"/>
  <c r="I4080" i="17"/>
  <c r="I4079" i="17"/>
  <c r="I4078" i="17"/>
  <c r="I4077" i="17"/>
  <c r="I4076" i="17"/>
  <c r="I4075" i="17"/>
  <c r="I4074" i="17"/>
  <c r="I4073" i="17"/>
  <c r="I4072" i="17"/>
  <c r="I4071" i="17"/>
  <c r="I4070" i="17"/>
  <c r="I4069" i="17"/>
  <c r="I4068" i="17"/>
  <c r="I4067" i="17"/>
  <c r="I4066" i="17"/>
  <c r="I4065" i="17"/>
  <c r="I4064" i="17"/>
  <c r="I4063" i="17"/>
  <c r="I4062" i="17"/>
  <c r="I4061" i="17"/>
  <c r="I4060" i="17"/>
  <c r="I4059" i="17"/>
  <c r="I4058" i="17"/>
  <c r="I4057" i="17"/>
  <c r="I4056" i="17"/>
  <c r="I4055" i="17"/>
  <c r="I4054" i="17"/>
  <c r="I4053" i="17"/>
  <c r="I4052" i="17"/>
  <c r="I4051" i="17"/>
  <c r="I4050" i="17"/>
  <c r="I4049" i="17"/>
  <c r="I4048" i="17"/>
  <c r="I4047" i="17"/>
  <c r="I4046" i="17"/>
  <c r="I4045" i="17"/>
  <c r="I4044" i="17"/>
  <c r="I4043" i="17"/>
  <c r="I4042" i="17"/>
  <c r="I4041" i="17"/>
  <c r="I4040" i="17"/>
  <c r="I4039" i="17"/>
  <c r="I4038" i="17"/>
  <c r="I4037" i="17"/>
  <c r="I4036" i="17"/>
  <c r="I4035" i="17"/>
  <c r="I4034" i="17"/>
  <c r="I4033" i="17"/>
  <c r="I4032" i="17"/>
  <c r="I4031" i="17"/>
  <c r="I4030" i="17"/>
  <c r="I4029" i="17"/>
  <c r="I4028" i="17"/>
  <c r="I4027" i="17"/>
  <c r="I4026" i="17"/>
  <c r="I4025" i="17"/>
  <c r="I4024" i="17"/>
  <c r="I4023" i="17"/>
  <c r="I4022" i="17"/>
  <c r="I4021" i="17"/>
  <c r="I4020" i="17"/>
  <c r="I4019" i="17"/>
  <c r="I4018" i="17"/>
  <c r="I4017" i="17"/>
  <c r="I4016" i="17"/>
  <c r="I4015" i="17"/>
  <c r="I4014" i="17"/>
  <c r="I4013" i="17"/>
  <c r="I4012" i="17"/>
  <c r="I4011" i="17"/>
  <c r="I4010" i="17"/>
  <c r="I4009" i="17"/>
  <c r="I4008" i="17"/>
  <c r="I4007" i="17"/>
  <c r="I4006" i="17"/>
  <c r="I4005" i="17"/>
  <c r="I4004" i="17"/>
  <c r="I4003" i="17"/>
  <c r="I4002" i="17"/>
  <c r="I4001" i="17"/>
  <c r="I4000" i="17"/>
  <c r="I3999" i="17"/>
  <c r="I3998" i="17"/>
  <c r="I3997" i="17"/>
  <c r="I3996" i="17"/>
  <c r="I3995" i="17"/>
  <c r="I3994" i="17"/>
  <c r="I3993" i="17"/>
  <c r="I3992" i="17"/>
  <c r="I3991" i="17"/>
  <c r="I3990" i="17"/>
  <c r="I3989" i="17"/>
  <c r="I3988" i="17"/>
  <c r="I3987" i="17"/>
  <c r="I3986" i="17"/>
  <c r="I3985" i="17"/>
  <c r="I3984" i="17"/>
  <c r="I3983" i="17"/>
  <c r="I3982" i="17"/>
  <c r="I3981" i="17"/>
  <c r="I3980" i="17"/>
  <c r="I3979" i="17"/>
  <c r="I3978" i="17"/>
  <c r="I3977" i="17"/>
  <c r="I3976" i="17"/>
  <c r="I3975" i="17"/>
  <c r="I3974" i="17"/>
  <c r="I3973" i="17"/>
  <c r="I3972" i="17"/>
  <c r="I3971" i="17"/>
  <c r="I3970" i="17"/>
  <c r="I3969" i="17"/>
  <c r="I3968" i="17"/>
  <c r="I3967" i="17"/>
  <c r="I3966" i="17"/>
  <c r="I3965" i="17"/>
  <c r="I3964" i="17"/>
  <c r="I3963" i="17"/>
  <c r="I3962" i="17"/>
  <c r="I3961" i="17"/>
  <c r="I3960" i="17"/>
  <c r="I3959" i="17"/>
  <c r="I3958" i="17"/>
  <c r="I3957" i="17"/>
  <c r="I3956" i="17"/>
  <c r="I3955" i="17"/>
  <c r="I3954" i="17"/>
  <c r="I3953" i="17"/>
  <c r="I3952" i="17"/>
  <c r="I3951" i="17"/>
  <c r="I3950" i="17"/>
  <c r="I3949" i="17"/>
  <c r="I3948" i="17"/>
  <c r="I3947" i="17"/>
  <c r="I3946" i="17"/>
  <c r="I3945" i="17"/>
  <c r="I3944" i="17"/>
  <c r="I3943" i="17"/>
  <c r="I3942" i="17"/>
  <c r="I3941" i="17"/>
  <c r="I3940" i="17"/>
  <c r="I3939" i="17"/>
  <c r="I3938" i="17"/>
  <c r="I3937" i="17"/>
  <c r="I3936" i="17"/>
  <c r="I3935" i="17"/>
  <c r="I3934" i="17"/>
  <c r="I3933" i="17"/>
  <c r="I3932" i="17"/>
  <c r="I3931" i="17"/>
  <c r="I3930" i="17"/>
  <c r="I3929" i="17"/>
  <c r="I3928" i="17"/>
  <c r="I3927" i="17"/>
  <c r="I3926" i="17"/>
  <c r="I3925" i="17"/>
  <c r="I3924" i="17"/>
  <c r="I3923" i="17"/>
  <c r="I3922" i="17"/>
  <c r="I3921" i="17"/>
  <c r="I3920" i="17"/>
  <c r="I3919" i="17"/>
  <c r="I3918" i="17"/>
  <c r="I3917" i="17"/>
  <c r="I3916" i="17"/>
  <c r="I3915" i="17"/>
  <c r="I3914" i="17"/>
  <c r="I3913" i="17"/>
  <c r="I3912" i="17"/>
  <c r="I3911" i="17"/>
  <c r="I3910" i="17"/>
  <c r="I3909" i="17"/>
  <c r="I3908" i="17"/>
  <c r="I3907" i="17"/>
  <c r="I3906" i="17"/>
  <c r="I3905" i="17"/>
  <c r="I3904" i="17"/>
  <c r="I3903" i="17"/>
  <c r="I3902" i="17"/>
  <c r="I3901" i="17"/>
  <c r="I3900" i="17"/>
  <c r="I3899" i="17"/>
  <c r="I3898" i="17"/>
  <c r="I3897" i="17"/>
  <c r="I3896" i="17"/>
  <c r="I3895" i="17"/>
  <c r="I3894" i="17"/>
  <c r="I3893" i="17"/>
  <c r="I3892" i="17"/>
  <c r="I3891" i="17"/>
  <c r="I3890" i="17"/>
  <c r="I3889" i="17"/>
  <c r="I3888" i="17"/>
  <c r="I3887" i="17"/>
  <c r="I3886" i="17"/>
  <c r="I3885" i="17"/>
  <c r="I3884" i="17"/>
  <c r="I3883" i="17"/>
  <c r="I3882" i="17"/>
  <c r="I3881" i="17"/>
  <c r="I3880" i="17"/>
  <c r="I3879" i="17"/>
  <c r="I3878" i="17"/>
  <c r="I3877" i="17"/>
  <c r="I3876" i="17"/>
  <c r="I3875" i="17"/>
  <c r="I3874" i="17"/>
  <c r="I3873" i="17"/>
  <c r="I3872" i="17"/>
  <c r="I3871" i="17"/>
  <c r="I3870" i="17"/>
  <c r="I3869" i="17"/>
  <c r="I3868" i="17"/>
  <c r="I3867" i="17"/>
  <c r="I3866" i="17"/>
  <c r="I3865" i="17"/>
  <c r="I3864" i="17"/>
  <c r="I3863" i="17"/>
  <c r="I3862" i="17"/>
  <c r="I3861" i="17"/>
  <c r="I3860" i="17"/>
  <c r="I3859" i="17"/>
  <c r="I3858" i="17"/>
  <c r="I3857" i="17"/>
  <c r="I3856" i="17"/>
  <c r="I3855" i="17"/>
  <c r="I3854" i="17"/>
  <c r="I3853" i="17"/>
  <c r="I3852" i="17"/>
  <c r="I3851" i="17"/>
  <c r="I3850" i="17"/>
  <c r="I3849" i="17"/>
  <c r="I3848" i="17"/>
  <c r="I3847" i="17"/>
  <c r="I3846" i="17"/>
  <c r="I3845" i="17"/>
  <c r="I3844" i="17"/>
  <c r="I3843" i="17"/>
  <c r="I3842" i="17"/>
  <c r="I3841" i="17"/>
  <c r="I3840" i="17"/>
  <c r="I3839" i="17"/>
  <c r="I3838" i="17"/>
  <c r="I3837" i="17"/>
  <c r="I3836" i="17"/>
  <c r="I3835" i="17"/>
  <c r="I3834" i="17"/>
  <c r="I3833" i="17"/>
  <c r="I3832" i="17"/>
  <c r="I3831" i="17"/>
  <c r="I3830" i="17"/>
  <c r="I3829" i="17"/>
  <c r="I3828" i="17"/>
  <c r="I3827" i="17"/>
  <c r="I3826" i="17"/>
  <c r="I3825" i="17"/>
  <c r="I3824" i="17"/>
  <c r="I3823" i="17"/>
  <c r="I3822" i="17"/>
  <c r="I3821" i="17"/>
  <c r="I3820" i="17"/>
  <c r="I3819" i="17"/>
  <c r="I3818" i="17"/>
  <c r="I3817" i="17"/>
  <c r="I3816" i="17"/>
  <c r="I3815" i="17"/>
  <c r="I3814" i="17"/>
  <c r="I3813" i="17"/>
  <c r="I3812" i="17"/>
  <c r="I3811" i="17"/>
  <c r="I3810" i="17"/>
  <c r="I3809" i="17"/>
  <c r="I3808" i="17"/>
  <c r="I3807" i="17"/>
  <c r="I3806" i="17"/>
  <c r="I3805" i="17"/>
  <c r="I3804" i="17"/>
  <c r="I3803" i="17"/>
  <c r="I3802" i="17"/>
  <c r="I3801" i="17"/>
  <c r="I3800" i="17"/>
  <c r="I3799" i="17"/>
  <c r="I3798" i="17"/>
  <c r="I3797" i="17"/>
  <c r="I3796" i="17"/>
  <c r="I3795" i="17"/>
  <c r="I3794" i="17"/>
  <c r="I3793" i="17"/>
  <c r="I3792" i="17"/>
  <c r="I3791" i="17"/>
  <c r="I3790" i="17"/>
  <c r="I3789" i="17"/>
  <c r="I3788" i="17"/>
  <c r="I3787" i="17"/>
  <c r="I3786" i="17"/>
  <c r="I3785" i="17"/>
  <c r="I3784" i="17"/>
  <c r="I3783" i="17"/>
  <c r="I3782" i="17"/>
  <c r="I3781" i="17"/>
  <c r="I3780" i="17"/>
  <c r="I3779" i="17"/>
  <c r="I3778" i="17"/>
  <c r="I3777" i="17"/>
  <c r="I3776" i="17"/>
  <c r="I3775" i="17"/>
  <c r="I3774" i="17"/>
  <c r="I3773" i="17"/>
  <c r="I3772" i="17"/>
  <c r="I3771" i="17"/>
  <c r="I3770" i="17"/>
  <c r="I3769" i="17"/>
  <c r="I3768" i="17"/>
  <c r="I3767" i="17"/>
  <c r="I3766" i="17"/>
  <c r="I3765" i="17"/>
  <c r="I3764" i="17"/>
  <c r="I3763" i="17"/>
  <c r="I3762" i="17"/>
  <c r="I3761" i="17"/>
  <c r="I3760" i="17"/>
  <c r="I3759" i="17"/>
  <c r="I3758" i="17"/>
  <c r="I3757" i="17"/>
  <c r="I3756" i="17"/>
  <c r="I3755" i="17"/>
  <c r="I3754" i="17"/>
  <c r="I3753" i="17"/>
  <c r="I3752" i="17"/>
  <c r="I3751" i="17"/>
  <c r="I3750" i="17"/>
  <c r="I3749" i="17"/>
  <c r="I3748" i="17"/>
  <c r="I3747" i="17"/>
  <c r="I3746" i="17"/>
  <c r="I3745" i="17"/>
  <c r="I3744" i="17"/>
  <c r="I3743" i="17"/>
  <c r="I3742" i="17"/>
  <c r="I3741" i="17"/>
  <c r="I3740" i="17"/>
  <c r="I3739" i="17"/>
  <c r="I3738" i="17"/>
  <c r="I3737" i="17"/>
  <c r="I3736" i="17"/>
  <c r="I3735" i="17"/>
  <c r="I3734" i="17"/>
  <c r="I3733" i="17"/>
  <c r="I3732" i="17"/>
  <c r="I3731" i="17"/>
  <c r="I3730" i="17"/>
  <c r="I3729" i="17"/>
  <c r="I3728" i="17"/>
  <c r="I3727" i="17"/>
  <c r="I3726" i="17"/>
  <c r="I3725" i="17"/>
  <c r="I3724" i="17"/>
  <c r="I3723" i="17"/>
  <c r="I3722" i="17"/>
  <c r="I3721" i="17"/>
  <c r="I3720" i="17"/>
  <c r="I3719" i="17"/>
  <c r="I3718" i="17"/>
  <c r="I3717" i="17"/>
  <c r="I3716" i="17"/>
  <c r="I3715" i="17"/>
  <c r="I3714" i="17"/>
  <c r="I3713" i="17"/>
  <c r="I3712" i="17"/>
  <c r="I3711" i="17"/>
  <c r="I3710" i="17"/>
  <c r="I3709" i="17"/>
  <c r="I3708" i="17"/>
  <c r="I3707" i="17"/>
  <c r="I3706" i="17"/>
  <c r="I3705" i="17"/>
  <c r="I3704" i="17"/>
  <c r="I3703" i="17"/>
  <c r="I3702" i="17"/>
  <c r="I3701" i="17"/>
  <c r="I3700" i="17"/>
  <c r="I3699" i="17"/>
  <c r="I3698" i="17"/>
  <c r="I3697" i="17"/>
  <c r="I3696" i="17"/>
  <c r="I3695" i="17"/>
  <c r="I3694" i="17"/>
  <c r="I3693" i="17"/>
  <c r="I3692" i="17"/>
  <c r="I3691" i="17"/>
  <c r="I3690" i="17"/>
  <c r="I3689" i="17"/>
  <c r="I3688" i="17"/>
  <c r="I3687" i="17"/>
  <c r="I3686" i="17"/>
  <c r="I3685" i="17"/>
  <c r="I3684" i="17"/>
  <c r="I3683" i="17"/>
  <c r="I3682" i="17"/>
  <c r="I3681" i="17"/>
  <c r="I3680" i="17"/>
  <c r="I3679" i="17"/>
  <c r="I3678" i="17"/>
  <c r="I3677" i="17"/>
  <c r="I3676" i="17"/>
  <c r="I3675" i="17"/>
  <c r="I3674" i="17"/>
  <c r="I3673" i="17"/>
  <c r="I3672" i="17"/>
  <c r="I3671" i="17"/>
  <c r="I3670" i="17"/>
  <c r="I3669" i="17"/>
  <c r="I3668" i="17"/>
  <c r="I3667" i="17"/>
  <c r="I3666" i="17"/>
  <c r="I3665" i="17"/>
  <c r="I3664" i="17"/>
  <c r="I3663" i="17"/>
  <c r="I3662" i="17"/>
  <c r="I3661" i="17"/>
  <c r="I3660" i="17"/>
  <c r="I3659" i="17"/>
  <c r="I3658" i="17"/>
  <c r="I3657" i="17"/>
  <c r="I3656" i="17"/>
  <c r="I3655" i="17"/>
  <c r="I3654" i="17"/>
  <c r="I3653" i="17"/>
  <c r="I3652" i="17"/>
  <c r="I3651" i="17"/>
  <c r="I3650" i="17"/>
  <c r="I3649" i="17"/>
  <c r="I3648" i="17"/>
  <c r="I3647" i="17"/>
  <c r="I3646" i="17"/>
  <c r="I3645" i="17"/>
  <c r="I3644" i="17"/>
  <c r="I3643" i="17"/>
  <c r="I3642" i="17"/>
  <c r="I3641" i="17"/>
  <c r="I3640" i="17"/>
  <c r="I3639" i="17"/>
  <c r="I3638" i="17"/>
  <c r="I3637" i="17"/>
  <c r="I3636" i="17"/>
  <c r="I3635" i="17"/>
  <c r="I3634" i="17"/>
  <c r="I3633" i="17"/>
  <c r="I3632" i="17"/>
  <c r="I3631" i="17"/>
  <c r="I3630" i="17"/>
  <c r="I3629" i="17"/>
  <c r="I3628" i="17"/>
  <c r="I3627" i="17"/>
  <c r="I3626" i="17"/>
  <c r="I3625" i="17"/>
  <c r="I3624" i="17"/>
  <c r="I3623" i="17"/>
  <c r="I3622" i="17"/>
  <c r="I3621" i="17"/>
  <c r="I3620" i="17"/>
  <c r="I3619" i="17"/>
  <c r="I3618" i="17"/>
  <c r="I3617" i="17"/>
  <c r="I3616" i="17"/>
  <c r="I3615" i="17"/>
  <c r="I3614" i="17"/>
  <c r="I3613" i="17"/>
  <c r="I3612" i="17"/>
  <c r="I3611" i="17"/>
  <c r="I3610" i="17"/>
  <c r="I3609" i="17"/>
  <c r="I3608" i="17"/>
  <c r="I3607" i="17"/>
  <c r="I3606" i="17"/>
  <c r="I3605" i="17"/>
  <c r="I3604" i="17"/>
  <c r="I3603" i="17"/>
  <c r="I3602" i="17"/>
  <c r="I3601" i="17"/>
  <c r="I3600" i="17"/>
  <c r="I3599" i="17"/>
  <c r="I3598" i="17"/>
  <c r="I3597" i="17"/>
  <c r="I3596" i="17"/>
  <c r="I3595" i="17"/>
  <c r="I3594" i="17"/>
  <c r="I3593" i="17"/>
  <c r="I3592" i="17"/>
  <c r="I3591" i="17"/>
  <c r="I3590" i="17"/>
  <c r="I3589" i="17"/>
  <c r="I3588" i="17"/>
  <c r="I3587" i="17"/>
  <c r="I3586" i="17"/>
  <c r="I3585" i="17"/>
  <c r="I3584" i="17"/>
  <c r="I3583" i="17"/>
  <c r="I3582" i="17"/>
  <c r="I3581" i="17"/>
  <c r="I3580" i="17"/>
  <c r="I3579" i="17"/>
  <c r="I3578" i="17"/>
  <c r="I3577" i="17"/>
  <c r="I3576" i="17"/>
  <c r="I3575" i="17"/>
  <c r="I3574" i="17"/>
  <c r="I3573" i="17"/>
  <c r="I3572" i="17"/>
  <c r="I3571" i="17"/>
  <c r="I3570" i="17"/>
  <c r="I3569" i="17"/>
  <c r="I3568" i="17"/>
  <c r="I3567" i="17"/>
  <c r="I3566" i="17"/>
  <c r="I3565" i="17"/>
  <c r="I3564" i="17"/>
  <c r="I3563" i="17"/>
  <c r="I3562" i="17"/>
  <c r="I3561" i="17"/>
  <c r="I3560" i="17"/>
  <c r="I3559" i="17"/>
  <c r="I3558" i="17"/>
  <c r="I3557" i="17"/>
  <c r="I3556" i="17"/>
  <c r="I3555" i="17"/>
  <c r="I3554" i="17"/>
  <c r="I3553" i="17"/>
  <c r="I3552" i="17"/>
  <c r="I3551" i="17"/>
  <c r="I3550" i="17"/>
  <c r="I3549" i="17"/>
  <c r="I3548" i="17"/>
  <c r="I3547" i="17"/>
  <c r="I3546" i="17"/>
  <c r="I3545" i="17"/>
  <c r="I3544" i="17"/>
  <c r="I3543" i="17"/>
  <c r="I3542" i="17"/>
  <c r="I3541" i="17"/>
  <c r="I3540" i="17"/>
  <c r="I3539" i="17"/>
  <c r="I3538" i="17"/>
  <c r="I3537" i="17"/>
  <c r="I3536" i="17"/>
  <c r="I3535" i="17"/>
  <c r="I3534" i="17"/>
  <c r="I3533" i="17"/>
  <c r="I3532" i="17"/>
  <c r="I3531" i="17"/>
  <c r="I3530" i="17"/>
  <c r="I3529" i="17"/>
  <c r="I3528" i="17"/>
  <c r="I3527" i="17"/>
  <c r="I3526" i="17"/>
  <c r="I3525" i="17"/>
  <c r="I3524" i="17"/>
  <c r="I3523" i="17"/>
  <c r="I3522" i="17"/>
  <c r="I3521" i="17"/>
  <c r="I3520" i="17"/>
  <c r="I3519" i="17"/>
  <c r="I3518" i="17"/>
  <c r="I3517" i="17"/>
  <c r="I3516" i="17"/>
  <c r="I3515" i="17"/>
  <c r="I3514" i="17"/>
  <c r="I3513" i="17"/>
  <c r="I3512" i="17"/>
  <c r="I3511" i="17"/>
  <c r="I3510" i="17"/>
  <c r="I3509" i="17"/>
  <c r="I3508" i="17"/>
  <c r="I3507" i="17"/>
  <c r="I3506" i="17"/>
  <c r="I3505" i="17"/>
  <c r="I3504" i="17"/>
  <c r="I3503" i="17"/>
  <c r="I3502" i="17"/>
  <c r="I3501" i="17"/>
  <c r="I3500" i="17"/>
  <c r="I3499" i="17"/>
  <c r="I3498" i="17"/>
  <c r="I3497" i="17"/>
  <c r="I3496" i="17"/>
  <c r="I3495" i="17"/>
  <c r="I3494" i="17"/>
  <c r="I3493" i="17"/>
  <c r="I3492" i="17"/>
  <c r="I3491" i="17"/>
  <c r="I3490" i="17"/>
  <c r="I3489" i="17"/>
  <c r="I3488" i="17"/>
  <c r="I3487" i="17"/>
  <c r="I3486" i="17"/>
  <c r="I3485" i="17"/>
  <c r="I3484" i="17"/>
  <c r="I3483" i="17"/>
  <c r="I3482" i="17"/>
  <c r="I3481" i="17"/>
  <c r="I3480" i="17"/>
  <c r="I3479" i="17"/>
  <c r="I3478" i="17"/>
  <c r="I3477" i="17"/>
  <c r="I3476" i="17"/>
  <c r="I3475" i="17"/>
  <c r="I3474" i="17"/>
  <c r="I3473" i="17"/>
  <c r="I3472" i="17"/>
  <c r="I3471" i="17"/>
  <c r="I3470" i="17"/>
  <c r="I3469" i="17"/>
  <c r="I3468" i="17"/>
  <c r="I3467" i="17"/>
  <c r="I3466" i="17"/>
  <c r="I3465" i="17"/>
  <c r="I3464" i="17"/>
  <c r="I3463" i="17"/>
  <c r="I3462" i="17"/>
  <c r="I3461" i="17"/>
  <c r="I3460" i="17"/>
  <c r="I3459" i="17"/>
  <c r="I3458" i="17"/>
  <c r="I3457" i="17"/>
  <c r="I3456" i="17"/>
  <c r="I3455" i="17"/>
  <c r="I3454" i="17"/>
  <c r="I3453" i="17"/>
  <c r="I3452" i="17"/>
  <c r="I3451" i="17"/>
  <c r="I3450" i="17"/>
  <c r="I3449" i="17"/>
  <c r="I3448" i="17"/>
  <c r="I3447" i="17"/>
  <c r="I3446" i="17"/>
  <c r="I3445" i="17"/>
  <c r="I3444" i="17"/>
  <c r="I3443" i="17"/>
  <c r="I3442" i="17"/>
  <c r="I3441" i="17"/>
  <c r="I3440" i="17"/>
  <c r="I3439" i="17"/>
  <c r="I3438" i="17"/>
  <c r="I3437" i="17"/>
  <c r="I3436" i="17"/>
  <c r="I3435" i="17"/>
  <c r="I3434" i="17"/>
  <c r="I3433" i="17"/>
  <c r="I3432" i="17"/>
  <c r="I3431" i="17"/>
  <c r="I3430" i="17"/>
  <c r="I3429" i="17"/>
  <c r="I3428" i="17"/>
  <c r="I3427" i="17"/>
  <c r="I3426" i="17"/>
  <c r="I3425" i="17"/>
  <c r="I3424" i="17"/>
  <c r="I3423" i="17"/>
  <c r="I3422" i="17"/>
  <c r="I3421" i="17"/>
  <c r="I3420" i="17"/>
  <c r="I3419" i="17"/>
  <c r="I3418" i="17"/>
  <c r="I3417" i="17"/>
  <c r="I3416" i="17"/>
  <c r="I3415" i="17"/>
  <c r="I3414" i="17"/>
  <c r="I3413" i="17"/>
  <c r="I3412" i="17"/>
  <c r="I3411" i="17"/>
  <c r="I3410" i="17"/>
  <c r="I3409" i="17"/>
  <c r="I3408" i="17"/>
  <c r="I3407" i="17"/>
  <c r="I3406" i="17"/>
  <c r="I3405" i="17"/>
  <c r="I3404" i="17"/>
  <c r="I3403" i="17"/>
  <c r="I3402" i="17"/>
  <c r="I3401" i="17"/>
  <c r="I3400" i="17"/>
  <c r="I3399" i="17"/>
  <c r="I3398" i="17"/>
  <c r="I3397" i="17"/>
  <c r="I3396" i="17"/>
  <c r="I3395" i="17"/>
  <c r="I3394" i="17"/>
  <c r="I3393" i="17"/>
  <c r="I3392" i="17"/>
  <c r="I3391" i="17"/>
  <c r="I3390" i="17"/>
  <c r="I3389" i="17"/>
  <c r="I3388" i="17"/>
  <c r="I3387" i="17"/>
  <c r="I3386" i="17"/>
  <c r="I3385" i="17"/>
  <c r="I3384" i="17"/>
  <c r="I3383" i="17"/>
  <c r="I3382" i="17"/>
  <c r="I3381" i="17"/>
  <c r="I3380" i="17"/>
  <c r="I3379" i="17"/>
  <c r="I3378" i="17"/>
  <c r="I3377" i="17"/>
  <c r="I3376" i="17"/>
  <c r="I3375" i="17"/>
  <c r="I3374" i="17"/>
  <c r="I3373" i="17"/>
  <c r="I3372" i="17"/>
  <c r="I3371" i="17"/>
  <c r="I3370" i="17"/>
  <c r="I3369" i="17"/>
  <c r="I3368" i="17"/>
  <c r="I3367" i="17"/>
  <c r="I3366" i="17"/>
  <c r="I3365" i="17"/>
  <c r="I3364" i="17"/>
  <c r="I3363" i="17"/>
  <c r="I3362" i="17"/>
  <c r="I3361" i="17"/>
  <c r="I3360" i="17"/>
  <c r="I3359" i="17"/>
  <c r="I3358" i="17"/>
  <c r="I3357" i="17"/>
  <c r="I3356" i="17"/>
  <c r="I3355" i="17"/>
  <c r="I3354" i="17"/>
  <c r="I3353" i="17"/>
  <c r="I3352" i="17"/>
  <c r="I3351" i="17"/>
  <c r="I3350" i="17"/>
  <c r="I3349" i="17"/>
  <c r="I3348" i="17"/>
  <c r="I3347" i="17"/>
  <c r="I3346" i="17"/>
  <c r="I3345" i="17"/>
  <c r="I3344" i="17"/>
  <c r="I3343" i="17"/>
  <c r="I3342" i="17"/>
  <c r="I3341" i="17"/>
  <c r="I3340" i="17"/>
  <c r="I3339" i="17"/>
  <c r="I3338" i="17"/>
  <c r="I3337" i="17"/>
  <c r="I3336" i="17"/>
  <c r="I3335" i="17"/>
  <c r="I3334" i="17"/>
  <c r="I3333" i="17"/>
  <c r="I3332" i="17"/>
  <c r="I3331" i="17"/>
  <c r="I3330" i="17"/>
  <c r="I3329" i="17"/>
  <c r="I3328" i="17"/>
  <c r="I3327" i="17"/>
  <c r="I3326" i="17"/>
  <c r="I3325" i="17"/>
  <c r="I3324" i="17"/>
  <c r="I3323" i="17"/>
  <c r="I3322" i="17"/>
  <c r="I3321" i="17"/>
  <c r="I3320" i="17"/>
  <c r="I3319" i="17"/>
  <c r="I3318" i="17"/>
  <c r="I3317" i="17"/>
  <c r="I3316" i="17"/>
  <c r="I3315" i="17"/>
  <c r="I3314" i="17"/>
  <c r="I3313" i="17"/>
  <c r="I3312" i="17"/>
  <c r="I3311" i="17"/>
  <c r="I3310" i="17"/>
  <c r="I3309" i="17"/>
  <c r="I3308" i="17"/>
  <c r="I3307" i="17"/>
  <c r="I3306" i="17"/>
  <c r="I3305" i="17"/>
  <c r="I3304" i="17"/>
  <c r="I3303" i="17"/>
  <c r="I3302" i="17"/>
  <c r="I3301" i="17"/>
  <c r="I3300" i="17"/>
  <c r="I3299" i="17"/>
  <c r="I3298" i="17"/>
  <c r="I3297" i="17"/>
  <c r="I3296" i="17"/>
  <c r="I3295" i="17"/>
  <c r="I3294" i="17"/>
  <c r="I3293" i="17"/>
  <c r="I3292" i="17"/>
  <c r="I3291" i="17"/>
  <c r="I3290" i="17"/>
  <c r="I3289" i="17"/>
  <c r="I3288" i="17"/>
  <c r="I3287" i="17"/>
  <c r="I3286" i="17"/>
  <c r="I3285" i="17"/>
  <c r="I3284" i="17"/>
  <c r="I3283" i="17"/>
  <c r="I3282" i="17"/>
  <c r="I3281" i="17"/>
  <c r="I3280" i="17"/>
  <c r="I3279" i="17"/>
  <c r="I3278" i="17"/>
  <c r="I3277" i="17"/>
  <c r="I3276" i="17"/>
  <c r="I3275" i="17"/>
  <c r="I3274" i="17"/>
  <c r="I3273" i="17"/>
  <c r="I3272" i="17"/>
  <c r="I3271" i="17"/>
  <c r="I3270" i="17"/>
  <c r="I3269" i="17"/>
  <c r="I3268" i="17"/>
  <c r="I3267" i="17"/>
  <c r="I3266" i="17"/>
  <c r="I3265" i="17"/>
  <c r="I3264" i="17"/>
  <c r="I3263" i="17"/>
  <c r="I3262" i="17"/>
  <c r="I3261" i="17"/>
  <c r="I3260" i="17"/>
  <c r="I3259" i="17"/>
  <c r="I3258" i="17"/>
  <c r="I3257" i="17"/>
  <c r="I3256" i="17"/>
  <c r="I3255" i="17"/>
  <c r="I3254" i="17"/>
  <c r="I3253" i="17"/>
  <c r="I3252" i="17"/>
  <c r="I3251" i="17"/>
  <c r="I3250" i="17"/>
  <c r="I3249" i="17"/>
  <c r="I3248" i="17"/>
  <c r="I3247" i="17"/>
  <c r="I3246" i="17"/>
  <c r="I3245" i="17"/>
  <c r="I3244" i="17"/>
  <c r="I3243" i="17"/>
  <c r="I3242" i="17"/>
  <c r="I3241" i="17"/>
  <c r="I3240" i="17"/>
  <c r="I3239" i="17"/>
  <c r="I3238" i="17"/>
  <c r="I3237" i="17"/>
  <c r="I3236" i="17"/>
  <c r="I3235" i="17"/>
  <c r="I3234" i="17"/>
  <c r="I3233" i="17"/>
  <c r="I3232" i="17"/>
  <c r="I3231" i="17"/>
  <c r="I3230" i="17"/>
  <c r="I3229" i="17"/>
  <c r="I3228" i="17"/>
  <c r="I3227" i="17"/>
  <c r="I3226" i="17"/>
  <c r="I3225" i="17"/>
  <c r="I3224" i="17"/>
  <c r="I3223" i="17"/>
  <c r="I3222" i="17"/>
  <c r="I3221" i="17"/>
  <c r="I3220" i="17"/>
  <c r="I3219" i="17"/>
  <c r="I3218" i="17"/>
  <c r="I3217" i="17"/>
  <c r="I3216" i="17"/>
  <c r="I3215" i="17"/>
  <c r="I3214" i="17"/>
  <c r="I3213" i="17"/>
  <c r="I3212" i="17"/>
  <c r="I3211" i="17"/>
  <c r="I3210" i="17"/>
  <c r="I3209" i="17"/>
  <c r="I3208" i="17"/>
  <c r="I3207" i="17"/>
  <c r="I3206" i="17"/>
  <c r="I3205" i="17"/>
  <c r="I3204" i="17"/>
  <c r="I3203" i="17"/>
  <c r="I3202" i="17"/>
  <c r="I3201" i="17"/>
  <c r="I3200" i="17"/>
  <c r="I3199" i="17"/>
  <c r="I3198" i="17"/>
  <c r="I3197" i="17"/>
  <c r="I3196" i="17"/>
  <c r="I3195" i="17"/>
  <c r="I3194" i="17"/>
  <c r="I3193" i="17"/>
  <c r="I3192" i="17"/>
  <c r="I3191" i="17"/>
  <c r="I3190" i="17"/>
  <c r="I3189" i="17"/>
  <c r="I3188" i="17"/>
  <c r="I3187" i="17"/>
  <c r="I3186" i="17"/>
  <c r="I3185" i="17"/>
  <c r="I3184" i="17"/>
  <c r="I3183" i="17"/>
  <c r="I3182" i="17"/>
  <c r="I3181" i="17"/>
  <c r="I3180" i="17"/>
  <c r="I3179" i="17"/>
  <c r="I3178" i="17"/>
  <c r="I3177" i="17"/>
  <c r="I3176" i="17"/>
  <c r="I3175" i="17"/>
  <c r="I3174" i="17"/>
  <c r="I3173" i="17"/>
  <c r="I3172" i="17"/>
  <c r="I3171" i="17"/>
  <c r="I3170" i="17"/>
  <c r="I3169" i="17"/>
  <c r="I3168" i="17"/>
  <c r="I3167" i="17"/>
  <c r="I3166" i="17"/>
  <c r="I3165" i="17"/>
  <c r="I3164" i="17"/>
  <c r="I3163" i="17"/>
  <c r="I3162" i="17"/>
  <c r="I3161" i="17"/>
  <c r="I3160" i="17"/>
  <c r="I3159" i="17"/>
  <c r="I3158" i="17"/>
  <c r="I3157" i="17"/>
  <c r="I3156" i="17"/>
  <c r="I3155" i="17"/>
  <c r="I3154" i="17"/>
  <c r="I3153" i="17"/>
  <c r="I3152" i="17"/>
  <c r="I3151" i="17"/>
  <c r="I3150" i="17"/>
  <c r="I3149" i="17"/>
  <c r="I3148" i="17"/>
  <c r="I3147" i="17"/>
  <c r="I3146" i="17"/>
  <c r="I3145" i="17"/>
  <c r="I3144" i="17"/>
  <c r="I3143" i="17"/>
  <c r="I3142" i="17"/>
  <c r="I3141" i="17"/>
  <c r="I3140" i="17"/>
  <c r="I3139" i="17"/>
  <c r="I3138" i="17"/>
  <c r="I3137" i="17"/>
  <c r="I3136" i="17"/>
  <c r="I3135" i="17"/>
  <c r="I3134" i="17"/>
  <c r="I3133" i="17"/>
  <c r="I3132" i="17"/>
  <c r="I3131" i="17"/>
  <c r="I3130" i="17"/>
  <c r="I3129" i="17"/>
  <c r="I3128" i="17"/>
  <c r="I3127" i="17"/>
  <c r="I3126" i="17"/>
  <c r="I3125" i="17"/>
  <c r="I3124" i="17"/>
  <c r="I3123" i="17"/>
  <c r="I3122" i="17"/>
  <c r="I3121" i="17"/>
  <c r="I3120" i="17"/>
  <c r="I3119" i="17"/>
  <c r="I3118" i="17"/>
  <c r="I3117" i="17"/>
  <c r="I3116" i="17"/>
  <c r="I3115" i="17"/>
  <c r="I3114" i="17"/>
  <c r="I3113" i="17"/>
  <c r="I3112" i="17"/>
  <c r="I3111" i="17"/>
  <c r="I3110" i="17"/>
  <c r="I3109" i="17"/>
  <c r="I3108" i="17"/>
  <c r="I3107" i="17"/>
  <c r="I3106" i="17"/>
  <c r="I3105" i="17"/>
  <c r="I3104" i="17"/>
  <c r="I3103" i="17"/>
  <c r="I3102" i="17"/>
  <c r="I3101" i="17"/>
  <c r="I3100" i="17"/>
  <c r="I3099" i="17"/>
  <c r="I3098" i="17"/>
  <c r="I3097" i="17"/>
  <c r="I3096" i="17"/>
  <c r="I3095" i="17"/>
  <c r="I3094" i="17"/>
  <c r="I3093" i="17"/>
  <c r="I3092" i="17"/>
  <c r="I3091" i="17"/>
  <c r="I3090" i="17"/>
  <c r="I3089" i="17"/>
  <c r="I3088" i="17"/>
  <c r="I3087" i="17"/>
  <c r="I3086" i="17"/>
  <c r="I3085" i="17"/>
  <c r="I3084" i="17"/>
  <c r="I3083" i="17"/>
  <c r="I3082" i="17"/>
  <c r="I3081" i="17"/>
  <c r="I3080" i="17"/>
  <c r="I3079" i="17"/>
  <c r="I3078" i="17"/>
  <c r="I3077" i="17"/>
  <c r="I3076" i="17"/>
  <c r="I3075" i="17"/>
  <c r="I3074" i="17"/>
  <c r="I3073" i="17"/>
  <c r="I3072" i="17"/>
  <c r="I3071" i="17"/>
  <c r="I3070" i="17"/>
  <c r="I3069" i="17"/>
  <c r="I3068" i="17"/>
  <c r="I3067" i="17"/>
  <c r="I3066" i="17"/>
  <c r="I3065" i="17"/>
  <c r="I3064" i="17"/>
  <c r="I3063" i="17"/>
  <c r="I3062" i="17"/>
  <c r="I3061" i="17"/>
  <c r="I3060" i="17"/>
  <c r="I3059" i="17"/>
  <c r="I3058" i="17"/>
  <c r="I3057" i="17"/>
  <c r="I3056" i="17"/>
  <c r="I3055" i="17"/>
  <c r="I3054" i="17"/>
  <c r="I3053" i="17"/>
  <c r="I3052" i="17"/>
  <c r="I3051" i="17"/>
  <c r="I3050" i="17"/>
  <c r="I3049" i="17"/>
  <c r="I3048" i="17"/>
  <c r="I3047" i="17"/>
  <c r="I3046" i="17"/>
  <c r="I3045" i="17"/>
  <c r="I3044" i="17"/>
  <c r="I3043" i="17"/>
  <c r="I3042" i="17"/>
  <c r="I3041" i="17"/>
  <c r="I3040" i="17"/>
  <c r="I3039" i="17"/>
  <c r="I3038" i="17"/>
  <c r="I3037" i="17"/>
  <c r="I3036" i="17"/>
  <c r="I3035" i="17"/>
  <c r="I3034" i="17"/>
  <c r="I3033" i="17"/>
  <c r="I3032" i="17"/>
  <c r="I3031" i="17"/>
  <c r="I3030" i="17"/>
  <c r="I3029" i="17"/>
  <c r="I3028" i="17"/>
  <c r="I3027" i="17"/>
  <c r="I3026" i="17"/>
  <c r="I3025" i="17"/>
  <c r="I3024" i="17"/>
  <c r="I3023" i="17"/>
  <c r="I3022" i="17"/>
  <c r="I3021" i="17"/>
  <c r="I3020" i="17"/>
  <c r="I3019" i="17"/>
  <c r="I3018" i="17"/>
  <c r="I3017" i="17"/>
  <c r="I3016" i="17"/>
  <c r="I3015" i="17"/>
  <c r="I3014" i="17"/>
  <c r="I3013" i="17"/>
  <c r="I3012" i="17"/>
  <c r="I3011" i="17"/>
  <c r="I3010" i="17"/>
  <c r="I3009" i="17"/>
  <c r="I3008" i="17"/>
  <c r="I3007" i="17"/>
  <c r="I3006" i="17"/>
  <c r="I3005" i="17"/>
  <c r="I3004" i="17"/>
  <c r="I3003" i="17"/>
  <c r="I3002" i="17"/>
  <c r="I3001" i="17"/>
  <c r="I3000" i="17"/>
  <c r="I2999" i="17"/>
  <c r="I2998" i="17"/>
  <c r="I2997" i="17"/>
  <c r="I2996" i="17"/>
  <c r="I2995" i="17"/>
  <c r="I2994" i="17"/>
  <c r="I2993" i="17"/>
  <c r="I2992" i="17"/>
  <c r="I2991" i="17"/>
  <c r="I2990" i="17"/>
  <c r="I2989" i="17"/>
  <c r="I2988" i="17"/>
  <c r="I2987" i="17"/>
  <c r="I2986" i="17"/>
  <c r="I2985" i="17"/>
  <c r="I2984" i="17"/>
  <c r="I2983" i="17"/>
  <c r="I2982" i="17"/>
  <c r="I2981" i="17"/>
  <c r="I2980" i="17"/>
  <c r="I2979" i="17"/>
  <c r="I2978" i="17"/>
  <c r="I2977" i="17"/>
  <c r="I2976" i="17"/>
  <c r="I2975" i="17"/>
  <c r="I2974" i="17"/>
  <c r="I2973" i="17"/>
  <c r="I2972" i="17"/>
  <c r="I2971" i="17"/>
  <c r="I2970" i="17"/>
  <c r="I2969" i="17"/>
  <c r="I2968" i="17"/>
  <c r="I2967" i="17"/>
  <c r="I2966" i="17"/>
  <c r="I2965" i="17"/>
  <c r="I2964" i="17"/>
  <c r="I2963" i="17"/>
  <c r="I2962" i="17"/>
  <c r="I2961" i="17"/>
  <c r="I2960" i="17"/>
  <c r="I2959" i="17"/>
  <c r="I2958" i="17"/>
  <c r="I2957" i="17"/>
  <c r="I2956" i="17"/>
  <c r="I2955" i="17"/>
  <c r="I2954" i="17"/>
  <c r="I2953" i="17"/>
  <c r="I2952" i="17"/>
  <c r="I2951" i="17"/>
  <c r="I2950" i="17"/>
  <c r="I2949" i="17"/>
  <c r="I2948" i="17"/>
  <c r="I2947" i="17"/>
  <c r="I2946" i="17"/>
  <c r="I2945" i="17"/>
  <c r="I2944" i="17"/>
  <c r="I2943" i="17"/>
  <c r="I2942" i="17"/>
  <c r="I2941" i="17"/>
  <c r="I2940" i="17"/>
  <c r="I2939" i="17"/>
  <c r="I2938" i="17"/>
  <c r="I2937" i="17"/>
  <c r="I2936" i="17"/>
  <c r="I2935" i="17"/>
  <c r="I2934" i="17"/>
  <c r="I2933" i="17"/>
  <c r="I2932" i="17"/>
  <c r="I2931" i="17"/>
  <c r="I2930" i="17"/>
  <c r="I2929" i="17"/>
  <c r="I2928" i="17"/>
  <c r="I2927" i="17"/>
  <c r="I2926" i="17"/>
  <c r="I2925" i="17"/>
  <c r="I2924" i="17"/>
  <c r="I2923" i="17"/>
  <c r="I2922" i="17"/>
  <c r="I2921" i="17"/>
  <c r="I2920" i="17"/>
  <c r="I2919" i="17"/>
  <c r="I2918" i="17"/>
  <c r="I2917" i="17"/>
  <c r="I2916" i="17"/>
  <c r="I2915" i="17"/>
  <c r="I2914" i="17"/>
  <c r="I2913" i="17"/>
  <c r="I2912" i="17"/>
  <c r="I2911" i="17"/>
  <c r="I2910" i="17"/>
  <c r="I2909" i="17"/>
  <c r="I2908" i="17"/>
  <c r="I2907" i="17"/>
  <c r="I2906" i="17"/>
  <c r="I2905" i="17"/>
  <c r="I2904" i="17"/>
  <c r="I2903" i="17"/>
  <c r="I2902" i="17"/>
  <c r="I2901" i="17"/>
  <c r="I2900" i="17"/>
  <c r="I2899" i="17"/>
  <c r="I2898" i="17"/>
  <c r="I2897" i="17"/>
  <c r="I2896" i="17"/>
  <c r="I2895" i="17"/>
  <c r="I2894" i="17"/>
  <c r="I2893" i="17"/>
  <c r="I2892" i="17"/>
  <c r="I2891" i="17"/>
  <c r="I2890" i="17"/>
  <c r="I2889" i="17"/>
  <c r="I2888" i="17"/>
  <c r="I2887" i="17"/>
  <c r="I2886" i="17"/>
  <c r="I2885" i="17"/>
  <c r="I2884" i="17"/>
  <c r="I2883" i="17"/>
  <c r="I2882" i="17"/>
  <c r="I2881" i="17"/>
  <c r="I2880" i="17"/>
  <c r="I2879" i="17"/>
  <c r="I2878" i="17"/>
  <c r="I2877" i="17"/>
  <c r="I2876" i="17"/>
  <c r="I2875" i="17"/>
  <c r="I2874" i="17"/>
  <c r="I2873" i="17"/>
  <c r="I2872" i="17"/>
  <c r="I2871" i="17"/>
  <c r="I2870" i="17"/>
  <c r="I2869" i="17"/>
  <c r="I2868" i="17"/>
  <c r="I2867" i="17"/>
  <c r="I2866" i="17"/>
  <c r="I2865" i="17"/>
  <c r="I2864" i="17"/>
  <c r="I2863" i="17"/>
  <c r="I2862" i="17"/>
  <c r="I2861" i="17"/>
  <c r="I2860" i="17"/>
  <c r="I2859" i="17"/>
  <c r="I2858" i="17"/>
  <c r="I2857" i="17"/>
  <c r="I2856" i="17"/>
  <c r="I2855" i="17"/>
  <c r="I2854" i="17"/>
  <c r="I2853" i="17"/>
  <c r="I2852" i="17"/>
  <c r="I2851" i="17"/>
  <c r="I2850" i="17"/>
  <c r="I2849" i="17"/>
  <c r="I2848" i="17"/>
  <c r="I2847" i="17"/>
  <c r="I2846" i="17"/>
  <c r="I2845" i="17"/>
  <c r="I2844" i="17"/>
  <c r="I2843" i="17"/>
  <c r="I2842" i="17"/>
  <c r="I2841" i="17"/>
  <c r="I2840" i="17"/>
  <c r="I2839" i="17"/>
  <c r="I2838" i="17"/>
  <c r="I2837" i="17"/>
  <c r="I2836" i="17"/>
  <c r="I2835" i="17"/>
  <c r="I2834" i="17"/>
  <c r="I2833" i="17"/>
  <c r="I2832" i="17"/>
  <c r="I2831" i="17"/>
  <c r="I2830" i="17"/>
  <c r="I2829" i="17"/>
  <c r="I2828" i="17"/>
  <c r="I2827" i="17"/>
  <c r="I2826" i="17"/>
  <c r="I2825" i="17"/>
  <c r="I2824" i="17"/>
  <c r="I2823" i="17"/>
  <c r="I2822" i="17"/>
  <c r="I2821" i="17"/>
  <c r="I2820" i="17"/>
  <c r="I2819" i="17"/>
  <c r="I2818" i="17"/>
  <c r="I2817" i="17"/>
  <c r="I2816" i="17"/>
  <c r="I2815" i="17"/>
  <c r="I2814" i="17"/>
  <c r="I2813" i="17"/>
  <c r="I2812" i="17"/>
  <c r="I2811" i="17"/>
  <c r="I2810" i="17"/>
  <c r="I2809" i="17"/>
  <c r="I2808" i="17"/>
  <c r="I2807" i="17"/>
  <c r="I2806" i="17"/>
  <c r="I2805" i="17"/>
  <c r="I2804" i="17"/>
  <c r="I2803" i="17"/>
  <c r="I2802" i="17"/>
  <c r="I2801" i="17"/>
  <c r="I2800" i="17"/>
  <c r="I2799" i="17"/>
  <c r="I2798" i="17"/>
  <c r="I2797" i="17"/>
  <c r="I2796" i="17"/>
  <c r="I2795" i="17"/>
  <c r="I2794" i="17"/>
  <c r="I2793" i="17"/>
  <c r="I2792" i="17"/>
  <c r="I2791" i="17"/>
  <c r="I2790" i="17"/>
  <c r="I2789" i="17"/>
  <c r="I2788" i="17"/>
  <c r="I2787" i="17"/>
  <c r="I2786" i="17"/>
  <c r="I2785" i="17"/>
  <c r="I2784" i="17"/>
  <c r="I2783" i="17"/>
  <c r="I2782" i="17"/>
  <c r="I2781" i="17"/>
  <c r="I2780" i="17"/>
  <c r="I2779" i="17"/>
  <c r="I2778" i="17"/>
  <c r="I2777" i="17"/>
  <c r="I2776" i="17"/>
  <c r="I2775" i="17"/>
  <c r="I2774" i="17"/>
  <c r="I2773" i="17"/>
  <c r="I2772" i="17"/>
  <c r="I2771" i="17"/>
  <c r="I2770" i="17"/>
  <c r="I2769" i="17"/>
  <c r="I2768" i="17"/>
  <c r="I2767" i="17"/>
  <c r="I2766" i="17"/>
  <c r="I2765" i="17"/>
  <c r="I2764" i="17"/>
  <c r="I2763" i="17"/>
  <c r="I2762" i="17"/>
  <c r="I2761" i="17"/>
  <c r="I2760" i="17"/>
  <c r="I2759" i="17"/>
  <c r="I2758" i="17"/>
  <c r="I2757" i="17"/>
  <c r="I2756" i="17"/>
  <c r="I2755" i="17"/>
  <c r="I2754" i="17"/>
  <c r="I2753" i="17"/>
  <c r="I2752" i="17"/>
  <c r="I2751" i="17"/>
  <c r="I2750" i="17"/>
  <c r="I2749" i="17"/>
  <c r="I2748" i="17"/>
  <c r="I2747" i="17"/>
  <c r="I2746" i="17"/>
  <c r="I2745" i="17"/>
  <c r="I2744" i="17"/>
  <c r="I2743" i="17"/>
  <c r="I2742" i="17"/>
  <c r="I2741" i="17"/>
  <c r="I2740" i="17"/>
  <c r="I2739" i="17"/>
  <c r="I2738" i="17"/>
  <c r="I2737" i="17"/>
  <c r="I2736" i="17"/>
  <c r="I2735" i="17"/>
  <c r="I2734" i="17"/>
  <c r="I2733" i="17"/>
  <c r="I2732" i="17"/>
  <c r="I2731" i="17"/>
  <c r="I2730" i="17"/>
  <c r="I2729" i="17"/>
  <c r="I2728" i="17"/>
  <c r="I2727" i="17"/>
  <c r="I2726" i="17"/>
  <c r="I2725" i="17"/>
  <c r="I2724" i="17"/>
  <c r="I2723" i="17"/>
  <c r="I2722" i="17"/>
  <c r="I2721" i="17"/>
  <c r="I2720" i="17"/>
  <c r="I2719" i="17"/>
  <c r="I2718" i="17"/>
  <c r="I2717" i="17"/>
  <c r="I2716" i="17"/>
  <c r="I2715" i="17"/>
  <c r="I2714" i="17"/>
  <c r="I2713" i="17"/>
  <c r="I2712" i="17"/>
  <c r="I2711" i="17"/>
  <c r="I2710" i="17"/>
  <c r="I2709" i="17"/>
  <c r="I2708" i="17"/>
  <c r="I2707" i="17"/>
  <c r="I2706" i="17"/>
  <c r="I2705" i="17"/>
  <c r="I2704" i="17"/>
  <c r="I2703" i="17"/>
  <c r="I2702" i="17"/>
  <c r="I2701" i="17"/>
  <c r="I2700" i="17"/>
  <c r="I2699" i="17"/>
  <c r="I2698" i="17"/>
  <c r="I2697" i="17"/>
  <c r="I2696" i="17"/>
  <c r="I2695" i="17"/>
  <c r="I2694" i="17"/>
  <c r="I2693" i="17"/>
  <c r="I2692" i="17"/>
  <c r="I2691" i="17"/>
  <c r="I2690" i="17"/>
  <c r="I2689" i="17"/>
  <c r="I2688" i="17"/>
  <c r="I2687" i="17"/>
  <c r="I2686" i="17"/>
  <c r="I2671" i="17"/>
  <c r="I2668" i="17"/>
  <c r="I2667" i="17"/>
  <c r="I2666" i="17"/>
  <c r="I2665" i="17"/>
  <c r="I2664" i="17"/>
  <c r="I2663" i="17"/>
  <c r="I2662" i="17"/>
  <c r="I2661" i="17"/>
  <c r="I2660" i="17"/>
  <c r="I2659" i="17"/>
  <c r="I2658" i="17"/>
  <c r="I2657" i="17"/>
  <c r="I2656" i="17"/>
  <c r="I2654" i="17"/>
  <c r="I2653" i="17"/>
  <c r="I2648" i="17"/>
  <c r="I2647" i="17"/>
  <c r="I2646" i="17"/>
  <c r="I2645" i="17"/>
  <c r="I2644" i="17"/>
  <c r="I2643" i="17"/>
  <c r="I2642" i="17"/>
  <c r="I2641" i="17"/>
  <c r="I2640" i="17"/>
  <c r="I2639" i="17"/>
  <c r="I2638" i="17"/>
  <c r="I2637" i="17"/>
  <c r="I2636" i="17"/>
  <c r="I2635" i="17"/>
  <c r="I2634" i="17"/>
  <c r="I2633" i="17"/>
  <c r="I2632" i="17"/>
  <c r="I2631" i="17"/>
  <c r="I2630" i="17"/>
  <c r="I2629" i="17"/>
  <c r="I2628" i="17"/>
  <c r="I2627" i="17"/>
  <c r="I2626" i="17"/>
  <c r="I2623" i="17"/>
  <c r="I2619" i="17"/>
  <c r="I2618" i="17"/>
  <c r="I2617" i="17"/>
  <c r="I2616" i="17"/>
  <c r="I2615" i="17"/>
  <c r="I2614" i="17"/>
  <c r="I2613" i="17"/>
  <c r="I2612" i="17"/>
  <c r="I2611" i="17"/>
  <c r="I2610" i="17"/>
  <c r="I2609" i="17"/>
  <c r="I2608" i="17"/>
  <c r="I2607" i="17"/>
  <c r="I2606" i="17"/>
  <c r="I2605" i="17"/>
  <c r="I2603" i="17"/>
  <c r="I2602" i="17"/>
  <c r="I2601" i="17"/>
  <c r="I2600" i="17"/>
  <c r="I2599" i="17"/>
  <c r="I2598" i="17"/>
  <c r="I2597" i="17"/>
  <c r="I2596" i="17"/>
  <c r="I2595" i="17"/>
  <c r="I2594" i="17"/>
  <c r="I2593" i="17"/>
  <c r="I2592" i="17"/>
  <c r="I2591" i="17"/>
  <c r="I2590" i="17"/>
  <c r="I2589" i="17"/>
  <c r="I2588" i="17"/>
  <c r="I2586" i="17"/>
  <c r="I2585" i="17"/>
  <c r="I2584" i="17"/>
  <c r="I2583" i="17"/>
  <c r="I2581" i="17"/>
  <c r="I2580" i="17"/>
  <c r="I2579" i="17"/>
  <c r="I2578" i="17"/>
  <c r="I2577" i="17"/>
  <c r="I2576" i="17"/>
  <c r="I2575" i="17"/>
  <c r="I2574" i="17"/>
  <c r="I2573" i="17"/>
  <c r="I2572" i="17"/>
  <c r="I2571" i="17"/>
  <c r="I2570" i="17"/>
  <c r="I2569" i="17"/>
  <c r="I2568" i="17"/>
  <c r="I2567" i="17"/>
  <c r="I2566" i="17"/>
  <c r="I2565" i="17"/>
  <c r="I2564" i="17"/>
  <c r="I2563" i="17"/>
  <c r="I2562" i="17"/>
  <c r="I2561" i="17"/>
  <c r="I2560" i="17"/>
  <c r="I2559" i="17"/>
  <c r="I2558" i="17"/>
  <c r="I2557" i="17"/>
  <c r="I2556" i="17"/>
  <c r="I2555" i="17"/>
  <c r="I2554" i="17"/>
  <c r="I2553" i="17"/>
  <c r="I2552" i="17"/>
  <c r="I2551" i="17"/>
  <c r="I2550" i="17"/>
  <c r="I2549" i="17"/>
  <c r="I2548" i="17"/>
  <c r="I2547" i="17"/>
  <c r="I2546" i="17"/>
  <c r="I2545" i="17"/>
  <c r="I2536" i="17"/>
  <c r="I2534" i="17"/>
  <c r="I2533" i="17"/>
  <c r="I2532" i="17"/>
  <c r="I2531" i="17"/>
  <c r="I2530" i="17"/>
  <c r="I2529" i="17"/>
  <c r="I2528" i="17"/>
  <c r="I2527" i="17"/>
  <c r="I2526" i="17"/>
  <c r="I2525" i="17"/>
  <c r="I2524" i="17"/>
  <c r="I2523" i="17"/>
  <c r="I2522" i="17"/>
  <c r="I2521" i="17"/>
  <c r="I2520" i="17"/>
  <c r="I2519" i="17"/>
  <c r="I2518" i="17"/>
  <c r="I2517" i="17"/>
  <c r="I2516" i="17"/>
  <c r="I2515" i="17"/>
  <c r="I2509" i="17"/>
  <c r="I2508" i="17"/>
  <c r="I2507" i="17"/>
  <c r="I2506" i="17"/>
  <c r="I2505" i="17"/>
  <c r="I2504" i="17"/>
  <c r="I2503" i="17"/>
  <c r="I2502" i="17"/>
  <c r="I2501" i="17"/>
  <c r="I2500" i="17"/>
  <c r="I2499" i="17"/>
  <c r="I2498" i="17"/>
  <c r="I2497" i="17"/>
  <c r="I2496" i="17"/>
  <c r="I2494" i="17"/>
  <c r="I2490" i="17"/>
  <c r="I2489" i="17"/>
  <c r="I2488" i="17"/>
  <c r="I2487" i="17"/>
  <c r="I2486" i="17"/>
  <c r="I2485" i="17"/>
  <c r="I2484" i="17"/>
  <c r="I2483" i="17"/>
  <c r="I2482" i="17"/>
  <c r="I2481" i="17"/>
  <c r="I2480" i="17"/>
  <c r="I2479" i="17"/>
  <c r="I2478" i="17"/>
  <c r="I2477" i="17"/>
  <c r="I2476" i="17"/>
  <c r="I2475" i="17"/>
  <c r="I2473" i="17"/>
  <c r="I2472" i="17"/>
  <c r="I2457" i="17"/>
  <c r="I2456" i="17"/>
  <c r="I2455" i="17"/>
  <c r="I2454" i="17"/>
  <c r="I2453" i="17"/>
  <c r="I2452" i="17"/>
  <c r="I2451" i="17"/>
  <c r="I2450" i="17"/>
  <c r="I2449" i="17"/>
  <c r="I2448" i="17"/>
  <c r="I2447" i="17"/>
  <c r="I2446" i="17"/>
  <c r="I2445" i="17"/>
  <c r="I2444" i="17"/>
  <c r="I2443" i="17"/>
  <c r="I2442" i="17"/>
  <c r="I2440" i="17"/>
  <c r="I2436" i="17"/>
  <c r="I2435" i="17"/>
  <c r="I2434" i="17"/>
  <c r="I2433" i="17"/>
  <c r="I2432" i="17"/>
  <c r="I2431" i="17"/>
  <c r="I2430" i="17"/>
  <c r="I2429" i="17"/>
  <c r="I2428" i="17"/>
  <c r="I2427" i="17"/>
  <c r="I2426" i="17"/>
  <c r="I2425" i="17"/>
  <c r="I2424" i="17"/>
  <c r="I2423" i="17"/>
  <c r="I2422" i="17"/>
  <c r="I2421" i="17"/>
  <c r="I2420" i="17"/>
  <c r="I2419" i="17"/>
  <c r="I2418" i="17"/>
  <c r="I2417" i="17"/>
  <c r="I2416" i="17"/>
  <c r="I2415" i="17"/>
  <c r="I2414" i="17"/>
  <c r="I2413" i="17"/>
  <c r="I2412" i="17"/>
  <c r="I2411" i="17"/>
  <c r="I2410" i="17"/>
  <c r="I2409" i="17"/>
  <c r="I2408" i="17"/>
  <c r="I2404" i="17"/>
  <c r="I2402" i="17"/>
  <c r="I2401" i="17"/>
  <c r="I2398" i="17"/>
  <c r="I2397" i="17"/>
  <c r="I2396" i="17"/>
  <c r="I2395" i="17"/>
  <c r="I2394" i="17"/>
  <c r="I2393" i="17"/>
  <c r="I2392" i="17"/>
  <c r="I2391" i="17"/>
  <c r="I2390" i="17"/>
  <c r="I2389" i="17"/>
  <c r="I2388" i="17"/>
  <c r="I2387" i="17"/>
  <c r="I2386" i="17"/>
  <c r="I2385" i="17"/>
  <c r="I2384" i="17"/>
  <c r="I2358" i="17"/>
  <c r="I2357" i="17"/>
  <c r="I2356" i="17"/>
  <c r="I2355" i="17"/>
  <c r="I2354" i="17"/>
  <c r="I2353" i="17"/>
  <c r="I2352" i="17"/>
  <c r="I2351" i="17"/>
  <c r="I2350" i="17"/>
  <c r="I2349" i="17"/>
  <c r="I2348" i="17"/>
  <c r="I2341" i="17"/>
  <c r="I2340" i="17"/>
  <c r="I2339" i="17"/>
  <c r="I2338" i="17"/>
  <c r="I2337" i="17"/>
  <c r="I2336" i="17"/>
  <c r="I2335" i="17"/>
  <c r="I2334" i="17"/>
  <c r="I2333" i="17"/>
  <c r="I2332" i="17"/>
  <c r="I2331" i="17"/>
  <c r="I2330" i="17"/>
  <c r="I2329" i="17"/>
  <c r="I2328" i="17"/>
  <c r="I2327" i="17"/>
  <c r="I2326" i="17"/>
  <c r="I2325" i="17"/>
  <c r="I2324" i="17"/>
  <c r="I2323" i="17"/>
  <c r="I2322" i="17"/>
  <c r="I2321" i="17"/>
  <c r="I2317" i="17"/>
  <c r="I2316" i="17"/>
  <c r="I2315" i="17"/>
  <c r="I2314" i="17"/>
  <c r="I2313" i="17"/>
  <c r="I2312" i="17"/>
  <c r="I2311" i="17"/>
  <c r="I2310" i="17"/>
  <c r="I2309" i="17"/>
  <c r="I2308" i="17"/>
  <c r="I2307" i="17"/>
  <c r="I2306" i="17"/>
  <c r="I2305" i="17"/>
  <c r="I2304" i="17"/>
  <c r="I2303" i="17"/>
  <c r="I2302" i="17"/>
  <c r="I2301" i="17"/>
  <c r="I2300" i="17"/>
  <c r="I2299" i="17"/>
  <c r="I2298" i="17"/>
  <c r="I2297" i="17"/>
  <c r="I2295" i="17"/>
  <c r="I2294" i="17"/>
  <c r="I2291" i="17"/>
  <c r="I2290" i="17"/>
  <c r="I2289" i="17"/>
  <c r="I2288" i="17"/>
  <c r="I2287" i="17"/>
  <c r="I2286" i="17"/>
  <c r="I2285" i="17"/>
  <c r="I2284" i="17"/>
  <c r="I2283" i="17"/>
  <c r="I2282" i="17"/>
  <c r="I2281" i="17"/>
  <c r="I2280" i="17"/>
  <c r="I2279" i="17"/>
  <c r="I2278" i="17"/>
  <c r="I2277" i="17"/>
  <c r="I2276" i="17"/>
  <c r="I2275" i="17"/>
  <c r="I2274" i="17"/>
  <c r="I2273" i="17"/>
  <c r="I2272" i="17"/>
  <c r="I2271" i="17"/>
  <c r="I2270" i="17"/>
  <c r="I2269" i="17"/>
  <c r="I2268" i="17"/>
  <c r="I2267" i="17"/>
  <c r="I2266" i="17"/>
  <c r="I2263" i="17"/>
  <c r="I2260" i="17"/>
  <c r="I2259" i="17"/>
  <c r="I2258" i="17"/>
  <c r="I2257" i="17"/>
  <c r="I2256" i="17"/>
  <c r="I2255" i="17"/>
  <c r="I2254" i="17"/>
  <c r="I2253" i="17"/>
  <c r="I2252" i="17"/>
  <c r="I2251" i="17"/>
  <c r="I2250" i="17"/>
  <c r="I2249" i="17"/>
  <c r="I2248" i="17"/>
  <c r="I2247" i="17"/>
  <c r="I2246" i="17"/>
  <c r="I2245" i="17"/>
  <c r="I2242" i="17"/>
  <c r="I2241" i="17"/>
  <c r="I2240" i="17"/>
  <c r="I2239" i="17"/>
  <c r="I2238" i="17"/>
  <c r="I2237" i="17"/>
  <c r="I2236" i="17"/>
  <c r="I2235" i="17"/>
  <c r="I2234" i="17"/>
  <c r="I2233" i="17"/>
  <c r="I2232" i="17"/>
  <c r="I2231" i="17"/>
  <c r="I2230" i="17"/>
  <c r="I2229" i="17"/>
  <c r="I2228" i="17"/>
  <c r="I2221" i="17"/>
  <c r="I2220" i="17"/>
  <c r="I2219" i="17"/>
  <c r="I2218" i="17"/>
  <c r="I2217" i="17"/>
  <c r="I2216" i="17"/>
  <c r="I2215" i="17"/>
  <c r="I2214" i="17"/>
  <c r="I2213" i="17"/>
  <c r="I2212" i="17"/>
  <c r="I2211" i="17"/>
  <c r="I2210" i="17"/>
  <c r="I2209" i="17"/>
  <c r="I2208" i="17"/>
  <c r="I2207" i="17"/>
  <c r="I2206" i="17"/>
  <c r="I2205" i="17"/>
  <c r="I2204" i="17"/>
  <c r="I2202" i="17"/>
  <c r="I2201" i="17"/>
  <c r="I2200" i="17"/>
  <c r="I2199" i="17"/>
  <c r="I2198" i="17"/>
  <c r="I2197" i="17"/>
  <c r="I2196" i="17"/>
  <c r="I2195" i="17"/>
  <c r="I2194" i="17"/>
  <c r="I2193" i="17"/>
  <c r="I2191" i="17"/>
  <c r="I2190" i="17"/>
  <c r="I2189" i="17"/>
  <c r="I2188" i="17"/>
  <c r="I2187" i="17"/>
  <c r="I2186" i="17"/>
  <c r="I2185" i="17"/>
  <c r="I2183" i="17"/>
  <c r="I2182" i="17"/>
  <c r="I2181" i="17"/>
  <c r="I2180" i="17"/>
  <c r="I2179" i="17"/>
  <c r="I2178" i="17"/>
  <c r="I2177" i="17"/>
  <c r="I2176" i="17"/>
  <c r="I2175" i="17"/>
  <c r="I2174" i="17"/>
  <c r="I2173" i="17"/>
  <c r="I2172" i="17"/>
  <c r="I2171" i="17"/>
  <c r="I2170" i="17"/>
  <c r="I2169" i="17"/>
  <c r="I2168" i="17"/>
  <c r="I2167" i="17"/>
  <c r="I2166" i="17"/>
  <c r="I2165" i="17"/>
  <c r="I2164" i="17"/>
  <c r="I2163" i="17"/>
  <c r="I2162" i="17"/>
  <c r="I2160" i="17"/>
  <c r="I2159" i="17"/>
  <c r="I2157" i="17"/>
  <c r="I2156" i="17"/>
  <c r="I2155" i="17"/>
  <c r="I2154" i="17"/>
  <c r="I2150" i="17"/>
  <c r="I2149" i="17"/>
  <c r="I2148" i="17"/>
  <c r="I2147" i="17"/>
  <c r="I2146" i="17"/>
  <c r="I2145" i="17"/>
  <c r="I2144" i="17"/>
  <c r="I2143" i="17"/>
  <c r="I2142" i="17"/>
  <c r="I2141" i="17"/>
  <c r="I2140" i="17"/>
  <c r="I2139" i="17"/>
  <c r="I2138" i="17"/>
  <c r="I2137" i="17"/>
  <c r="I2134" i="17"/>
  <c r="I2133" i="17"/>
  <c r="I2132" i="17"/>
  <c r="I2131" i="17"/>
  <c r="I2130" i="17"/>
  <c r="I2129" i="17"/>
  <c r="I2128" i="17"/>
  <c r="I2127" i="17"/>
  <c r="I2126" i="17"/>
  <c r="I2125" i="17"/>
  <c r="I2124" i="17"/>
  <c r="I2123" i="17"/>
  <c r="I2122" i="17"/>
  <c r="I2121" i="17"/>
  <c r="I2120" i="17"/>
  <c r="I2119" i="17"/>
  <c r="I2118" i="17"/>
  <c r="I2117" i="17"/>
  <c r="I2116" i="17"/>
  <c r="I2115" i="17"/>
  <c r="I2114" i="17"/>
  <c r="I2113" i="17"/>
  <c r="I2112" i="17"/>
  <c r="I2111" i="17"/>
  <c r="I2110" i="17"/>
  <c r="I2109" i="17"/>
  <c r="I2108" i="17"/>
  <c r="I2107" i="17"/>
  <c r="I2106" i="17"/>
  <c r="I2105" i="17"/>
  <c r="I2104" i="17"/>
  <c r="I2103" i="17"/>
  <c r="I2102" i="17"/>
  <c r="I2101" i="17"/>
  <c r="I2100" i="17"/>
  <c r="I2099" i="17"/>
  <c r="I2098" i="17"/>
  <c r="I2097" i="17"/>
  <c r="I2096" i="17"/>
  <c r="I2095" i="17"/>
  <c r="I2094" i="17"/>
  <c r="I2093" i="17"/>
  <c r="I2092" i="17"/>
  <c r="I2091" i="17"/>
  <c r="I2090" i="17"/>
  <c r="I2089" i="17"/>
  <c r="I2088" i="17"/>
  <c r="I2087" i="17"/>
  <c r="I2086" i="17"/>
  <c r="I2085" i="17"/>
  <c r="I2084" i="17"/>
  <c r="I2083" i="17"/>
  <c r="I2082" i="17"/>
  <c r="I2081" i="17"/>
  <c r="I2080" i="17"/>
  <c r="I2079" i="17"/>
  <c r="I2078" i="17"/>
  <c r="I2077" i="17"/>
  <c r="I2076" i="17"/>
  <c r="I2075" i="17"/>
  <c r="I2074" i="17"/>
  <c r="I2073" i="17"/>
  <c r="I2072" i="17"/>
  <c r="I2071" i="17"/>
  <c r="I2070" i="17"/>
  <c r="I2069" i="17"/>
  <c r="I2068" i="17"/>
  <c r="I2067" i="17"/>
  <c r="I2066" i="17"/>
  <c r="I2065" i="17"/>
  <c r="I2064" i="17"/>
  <c r="I2063" i="17"/>
  <c r="I2062" i="17"/>
  <c r="I2061" i="17"/>
  <c r="I2060" i="17"/>
  <c r="I2059" i="17"/>
  <c r="I2058" i="17"/>
  <c r="I2057" i="17"/>
  <c r="I2056" i="17"/>
  <c r="I2055" i="17"/>
  <c r="I2054" i="17"/>
  <c r="I2053" i="17"/>
  <c r="I2052" i="17"/>
  <c r="I2051" i="17"/>
  <c r="I2050" i="17"/>
  <c r="I2049" i="17"/>
  <c r="I2048" i="17"/>
  <c r="I2047" i="17"/>
  <c r="I2046" i="17"/>
  <c r="I2045" i="17"/>
  <c r="I2044" i="17"/>
  <c r="I2043" i="17"/>
  <c r="I2042" i="17"/>
  <c r="I2041" i="17"/>
  <c r="I2040" i="17"/>
  <c r="I2039" i="17"/>
  <c r="I2038" i="17"/>
  <c r="I2037" i="17"/>
  <c r="I2036" i="17"/>
  <c r="I2035" i="17"/>
  <c r="I2034" i="17"/>
  <c r="I2033" i="17"/>
  <c r="I2032" i="17"/>
  <c r="I2031" i="17"/>
  <c r="I2030" i="17"/>
  <c r="I2029" i="17"/>
  <c r="I2028" i="17"/>
  <c r="I2027" i="17"/>
  <c r="I2026" i="17"/>
  <c r="I2025" i="17"/>
  <c r="I2024" i="17"/>
  <c r="I2023" i="17"/>
  <c r="I2022" i="17"/>
  <c r="I2021" i="17"/>
  <c r="I2020" i="17"/>
  <c r="I2019" i="17"/>
  <c r="I2018" i="17"/>
  <c r="I2017" i="17"/>
  <c r="I2016" i="17"/>
  <c r="I2015" i="17"/>
  <c r="I2014" i="17"/>
  <c r="I2013" i="17"/>
  <c r="I2012" i="17"/>
  <c r="I2011" i="17"/>
  <c r="I2010" i="17"/>
  <c r="I2009" i="17"/>
  <c r="I2008" i="17"/>
  <c r="I2007" i="17"/>
  <c r="I2006" i="17"/>
  <c r="I2005" i="17"/>
  <c r="I2004" i="17"/>
  <c r="I2003" i="17"/>
  <c r="I2002" i="17"/>
  <c r="I2001" i="17"/>
  <c r="I2000" i="17"/>
  <c r="I1999" i="17"/>
  <c r="I1998" i="17"/>
  <c r="I1997" i="17"/>
  <c r="I1996" i="17"/>
  <c r="I1995" i="17"/>
  <c r="I1994" i="17"/>
  <c r="I1993" i="17"/>
  <c r="I1992" i="17"/>
  <c r="I1991" i="17"/>
  <c r="I1990" i="17"/>
  <c r="I1989" i="17"/>
  <c r="I1988" i="17"/>
  <c r="I1987" i="17"/>
  <c r="I1986" i="17"/>
  <c r="I1985" i="17"/>
  <c r="I1984" i="17"/>
  <c r="I1983" i="17"/>
  <c r="I1982" i="17"/>
  <c r="I1981" i="17"/>
  <c r="I1980" i="17"/>
  <c r="I1979" i="17"/>
  <c r="I1978" i="17"/>
  <c r="I1977" i="17"/>
  <c r="I1976" i="17"/>
  <c r="I1975" i="17"/>
  <c r="I1974" i="17"/>
  <c r="I1973" i="17"/>
  <c r="I1972" i="17"/>
  <c r="I1971" i="17"/>
  <c r="I1970" i="17"/>
  <c r="I1969" i="17"/>
  <c r="I1968" i="17"/>
  <c r="I1967" i="17"/>
  <c r="I1966" i="17"/>
  <c r="I1965" i="17"/>
  <c r="I1964" i="17"/>
  <c r="I1963" i="17"/>
  <c r="I1962" i="17"/>
  <c r="I1961" i="17"/>
  <c r="I1960" i="17"/>
  <c r="I1959" i="17"/>
  <c r="I1958" i="17"/>
  <c r="I1957" i="17"/>
  <c r="I1956" i="17"/>
  <c r="I1955" i="17"/>
  <c r="I1954" i="17"/>
  <c r="I1953" i="17"/>
  <c r="I1952" i="17"/>
  <c r="I1951" i="17"/>
  <c r="I1950" i="17"/>
  <c r="I1949" i="17"/>
  <c r="I1948" i="17"/>
  <c r="I1947" i="17"/>
  <c r="I1946" i="17"/>
  <c r="I1945" i="17"/>
  <c r="I1944" i="17"/>
  <c r="I1943" i="17"/>
  <c r="I1942" i="17"/>
  <c r="I1941" i="17"/>
  <c r="I1940" i="17"/>
  <c r="I1939" i="17"/>
  <c r="I1938" i="17"/>
  <c r="I1937" i="17"/>
  <c r="I1936" i="17"/>
  <c r="I1935" i="17"/>
  <c r="I1934" i="17"/>
  <c r="I1933" i="17"/>
  <c r="I1932" i="17"/>
  <c r="I1931" i="17"/>
  <c r="I1930" i="17"/>
  <c r="I1929" i="17"/>
  <c r="I1928" i="17"/>
  <c r="I1927" i="17"/>
  <c r="I1926" i="17"/>
  <c r="I1925" i="17"/>
  <c r="I1924" i="17"/>
  <c r="I1923" i="17"/>
  <c r="I1922" i="17"/>
  <c r="I1921" i="17"/>
  <c r="I1920" i="17"/>
  <c r="I1919" i="17"/>
  <c r="I1918" i="17"/>
  <c r="I1917" i="17"/>
  <c r="I1916" i="17"/>
  <c r="I1915" i="17"/>
  <c r="I1914" i="17"/>
  <c r="I1913" i="17"/>
  <c r="I1912" i="17"/>
  <c r="I1911" i="17"/>
  <c r="I1910" i="17"/>
  <c r="I1909" i="17"/>
  <c r="I1908" i="17"/>
  <c r="I1907" i="17"/>
  <c r="I1906" i="17"/>
  <c r="I1905" i="17"/>
  <c r="I1904" i="17"/>
  <c r="I1903" i="17"/>
  <c r="I1902" i="17"/>
  <c r="I1901" i="17"/>
  <c r="I1900" i="17"/>
  <c r="I1899" i="17"/>
  <c r="I1898" i="17"/>
  <c r="I1897" i="17"/>
  <c r="I1896" i="17"/>
  <c r="I1895" i="17"/>
  <c r="I1894" i="17"/>
  <c r="I1893" i="17"/>
  <c r="I1892" i="17"/>
  <c r="I1891" i="17"/>
  <c r="I1890" i="17"/>
  <c r="I1889" i="17"/>
  <c r="I1888" i="17"/>
  <c r="I1887" i="17"/>
  <c r="I1886" i="17"/>
  <c r="I1885" i="17"/>
  <c r="I1884" i="17"/>
  <c r="I1883" i="17"/>
  <c r="I1882" i="17"/>
  <c r="I1881" i="17"/>
  <c r="I1880" i="17"/>
  <c r="I1879" i="17"/>
  <c r="I1878" i="17"/>
  <c r="I1877" i="17"/>
  <c r="I1876" i="17"/>
  <c r="I1875" i="17"/>
  <c r="I1874" i="17"/>
  <c r="I1873" i="17"/>
  <c r="I1872" i="17"/>
  <c r="I1871" i="17"/>
  <c r="I1870" i="17"/>
  <c r="I1869" i="17"/>
  <c r="I1868" i="17"/>
  <c r="I1867" i="17"/>
  <c r="I1866" i="17"/>
  <c r="I1865" i="17"/>
  <c r="I1864" i="17"/>
  <c r="I1863" i="17"/>
  <c r="I1862" i="17"/>
  <c r="I1861" i="17"/>
  <c r="I1860" i="17"/>
  <c r="I1859" i="17"/>
  <c r="I1858" i="17"/>
  <c r="I1857" i="17"/>
  <c r="I1856" i="17"/>
  <c r="I1855" i="17"/>
  <c r="I1854" i="17"/>
  <c r="I1853" i="17"/>
  <c r="I1852" i="17"/>
  <c r="I1851" i="17"/>
  <c r="I1850" i="17"/>
  <c r="I1849" i="17"/>
  <c r="I1848" i="17"/>
  <c r="I1847" i="17"/>
  <c r="I1846" i="17"/>
  <c r="I1845" i="17"/>
  <c r="I1844" i="17"/>
  <c r="I1843" i="17"/>
  <c r="I1842" i="17"/>
  <c r="I1841" i="17"/>
  <c r="I1840" i="17"/>
  <c r="I1839" i="17"/>
  <c r="I1838" i="17"/>
  <c r="I1837" i="17"/>
  <c r="I1836" i="17"/>
  <c r="I1835" i="17"/>
  <c r="I1834" i="17"/>
  <c r="I1833" i="17"/>
  <c r="I1832" i="17"/>
  <c r="I1831" i="17"/>
  <c r="I1830" i="17"/>
  <c r="I1829" i="17"/>
  <c r="I1828" i="17"/>
  <c r="I1827" i="17"/>
  <c r="I1826" i="17"/>
  <c r="I1825" i="17"/>
  <c r="I1824" i="17"/>
  <c r="I1823" i="17"/>
  <c r="I1822" i="17"/>
  <c r="I1821" i="17"/>
  <c r="I1820" i="17"/>
  <c r="I1819" i="17"/>
  <c r="I1818" i="17"/>
  <c r="I1817" i="17"/>
  <c r="I1816" i="17"/>
  <c r="I1815" i="17"/>
  <c r="I1814" i="17"/>
  <c r="I1813" i="17"/>
  <c r="I1812" i="17"/>
  <c r="I1811" i="17"/>
  <c r="I1810" i="17"/>
  <c r="I1809" i="17"/>
  <c r="I1808" i="17"/>
  <c r="I1807" i="17"/>
  <c r="I1806" i="17"/>
  <c r="I1805" i="17"/>
  <c r="I1804" i="17"/>
  <c r="I1803" i="17"/>
  <c r="I1802" i="17"/>
  <c r="I1801" i="17"/>
  <c r="I1800" i="17"/>
  <c r="I1799" i="17"/>
  <c r="I1798" i="17"/>
  <c r="I1797" i="17"/>
  <c r="I1796" i="17"/>
  <c r="I1795" i="17"/>
  <c r="I1794" i="17"/>
  <c r="I1793" i="17"/>
  <c r="I1792" i="17"/>
  <c r="I1791" i="17"/>
  <c r="I1790" i="17"/>
  <c r="I1789" i="17"/>
  <c r="I1788" i="17"/>
  <c r="I1787" i="17"/>
  <c r="I1786" i="17"/>
  <c r="I1785" i="17"/>
  <c r="I1784" i="17"/>
  <c r="I1783" i="17"/>
  <c r="I1782" i="17"/>
  <c r="I1781" i="17"/>
  <c r="I1780" i="17"/>
  <c r="I1779" i="17"/>
  <c r="I1778" i="17"/>
  <c r="I1777" i="17"/>
  <c r="I1776" i="17"/>
  <c r="I1775" i="17"/>
  <c r="I1774" i="17"/>
  <c r="I1773" i="17"/>
  <c r="I1772" i="17"/>
  <c r="I1771" i="17"/>
  <c r="I1770" i="17"/>
  <c r="I1769" i="17"/>
  <c r="I1768" i="17"/>
  <c r="I1767" i="17"/>
  <c r="I1766" i="17"/>
  <c r="I1765" i="17"/>
  <c r="I1764" i="17"/>
  <c r="I1763" i="17"/>
  <c r="I1762" i="17"/>
  <c r="I1555" i="17"/>
  <c r="I1761" i="17"/>
  <c r="I1760" i="17"/>
  <c r="I1759" i="17"/>
  <c r="I1758" i="17"/>
  <c r="I1757" i="17"/>
  <c r="I1756" i="17"/>
  <c r="I1755" i="17"/>
  <c r="I1754" i="17"/>
  <c r="I1753" i="17"/>
  <c r="I1752" i="17"/>
  <c r="I1751" i="17"/>
  <c r="I1750" i="17"/>
  <c r="I1749" i="17"/>
  <c r="I1748" i="17"/>
  <c r="I1747" i="17"/>
  <c r="I1746" i="17"/>
  <c r="I1745" i="17"/>
  <c r="I1744" i="17"/>
  <c r="I1743" i="17"/>
  <c r="I1742" i="17"/>
  <c r="I1741" i="17"/>
  <c r="I1740" i="17"/>
  <c r="I1739" i="17"/>
  <c r="I1738" i="17"/>
  <c r="I1737" i="17"/>
  <c r="I1736" i="17"/>
  <c r="I1735" i="17"/>
  <c r="I1734" i="17"/>
  <c r="I1733" i="17"/>
  <c r="I1732" i="17"/>
  <c r="I1731" i="17"/>
  <c r="I1730" i="17"/>
  <c r="I1729" i="17"/>
  <c r="I1728" i="17"/>
  <c r="I1727" i="17"/>
  <c r="I1726" i="17"/>
  <c r="I1725" i="17"/>
  <c r="I1724" i="17"/>
  <c r="I1723" i="17"/>
  <c r="I1722" i="17"/>
  <c r="I1721" i="17"/>
  <c r="I1720" i="17"/>
  <c r="I1719" i="17"/>
  <c r="I1718" i="17"/>
  <c r="I1717" i="17"/>
  <c r="I1716" i="17"/>
  <c r="I1715" i="17"/>
  <c r="I1714" i="17"/>
  <c r="I1713" i="17"/>
  <c r="I1712" i="17"/>
  <c r="I1711" i="17"/>
  <c r="I1710" i="17"/>
  <c r="I1709" i="17"/>
  <c r="I1708" i="17"/>
  <c r="I1707" i="17"/>
  <c r="I1706" i="17"/>
  <c r="I1705" i="17"/>
  <c r="I1704" i="17"/>
  <c r="I1703" i="17"/>
  <c r="I1702" i="17"/>
  <c r="I1701" i="17"/>
  <c r="I1700" i="17"/>
  <c r="I1699" i="17"/>
  <c r="I1698" i="17"/>
  <c r="I1697" i="17"/>
  <c r="I1696" i="17"/>
  <c r="I1695" i="17"/>
  <c r="I1694" i="17"/>
  <c r="I1693" i="17"/>
  <c r="I1692" i="17"/>
  <c r="I1691" i="17"/>
  <c r="I1690" i="17"/>
  <c r="I1689" i="17"/>
  <c r="I1688" i="17"/>
  <c r="I1687" i="17"/>
  <c r="I1686" i="17"/>
  <c r="I1685" i="17"/>
  <c r="I1684" i="17"/>
  <c r="I1683" i="17"/>
  <c r="I1682" i="17"/>
  <c r="I1681" i="17"/>
  <c r="I1680" i="17"/>
  <c r="I1679" i="17"/>
  <c r="I1678" i="17"/>
  <c r="I1677" i="17"/>
  <c r="I1676" i="17"/>
  <c r="I1675" i="17"/>
  <c r="I1674" i="17"/>
  <c r="I1673" i="17"/>
  <c r="I1672" i="17"/>
  <c r="I1671" i="17"/>
  <c r="I1670" i="17"/>
  <c r="I1669" i="17"/>
  <c r="I1668" i="17"/>
  <c r="I1667" i="17"/>
  <c r="I1666" i="17"/>
  <c r="I1665" i="17"/>
  <c r="I1664" i="17"/>
  <c r="I1663" i="17"/>
  <c r="I1662" i="17"/>
  <c r="I1661" i="17"/>
  <c r="I1660" i="17"/>
  <c r="I1659" i="17"/>
  <c r="I1658" i="17"/>
  <c r="I1657" i="17"/>
  <c r="I1656" i="17"/>
  <c r="I1655" i="17"/>
  <c r="I1654" i="17"/>
  <c r="I1653" i="17"/>
  <c r="I1652" i="17"/>
  <c r="I1651" i="17"/>
  <c r="I1650" i="17"/>
  <c r="I1649" i="17"/>
  <c r="I1648" i="17"/>
  <c r="I1647" i="17"/>
  <c r="I1646" i="17"/>
  <c r="I1645" i="17"/>
  <c r="I1644" i="17"/>
  <c r="I1643" i="17"/>
  <c r="I1642" i="17"/>
  <c r="I1641" i="17"/>
  <c r="I1640" i="17"/>
  <c r="I1639" i="17"/>
  <c r="I1638" i="17"/>
  <c r="I1637" i="17"/>
  <c r="I1636" i="17"/>
  <c r="I1635" i="17"/>
  <c r="I1634" i="17"/>
  <c r="I1633" i="17"/>
  <c r="I1632" i="17"/>
  <c r="I1631" i="17"/>
  <c r="I1630" i="17"/>
  <c r="I1629" i="17"/>
  <c r="I1628" i="17"/>
  <c r="I1627" i="17"/>
  <c r="I1626" i="17"/>
  <c r="I1625" i="17"/>
  <c r="I1624" i="17"/>
  <c r="I1623" i="17"/>
  <c r="I1622" i="17"/>
  <c r="I1621" i="17"/>
  <c r="I1620" i="17"/>
  <c r="I1619" i="17"/>
  <c r="I1618" i="17"/>
  <c r="I1617" i="17"/>
  <c r="I1615" i="17"/>
  <c r="I1614" i="17"/>
  <c r="I1613" i="17"/>
  <c r="I1612" i="17"/>
  <c r="I1611" i="17"/>
  <c r="I1610" i="17"/>
  <c r="I1609" i="17"/>
  <c r="I1608" i="17"/>
  <c r="I1607" i="17"/>
  <c r="I1606" i="17"/>
  <c r="I1605" i="17"/>
  <c r="I1604" i="17"/>
  <c r="I1603" i="17"/>
  <c r="I1602" i="17"/>
  <c r="I1601" i="17"/>
  <c r="I1600" i="17"/>
  <c r="I1599" i="17"/>
  <c r="I1598" i="17"/>
  <c r="I1597" i="17"/>
  <c r="I1596" i="17"/>
  <c r="I1595" i="17"/>
  <c r="I1594" i="17"/>
  <c r="I1593" i="17"/>
  <c r="I1592" i="17"/>
  <c r="I1591" i="17"/>
  <c r="I1038" i="17"/>
  <c r="I1590" i="17"/>
  <c r="I1589" i="17"/>
  <c r="I1588" i="17"/>
  <c r="I1587" i="17"/>
  <c r="I1586" i="17"/>
  <c r="I1585" i="17"/>
  <c r="I1584" i="17"/>
  <c r="I1583" i="17"/>
  <c r="I1582" i="17"/>
  <c r="I1581" i="17"/>
  <c r="I1580" i="17"/>
  <c r="I1579" i="17"/>
  <c r="I1578" i="17"/>
  <c r="I1577" i="17"/>
  <c r="I1576" i="17"/>
  <c r="I1575" i="17"/>
  <c r="I1574" i="17"/>
  <c r="I1573" i="17"/>
  <c r="I1572" i="17"/>
  <c r="I1571" i="17"/>
  <c r="I1570" i="17"/>
  <c r="I1569" i="17"/>
  <c r="I1568" i="17"/>
  <c r="I1567" i="17"/>
  <c r="I1566" i="17"/>
  <c r="I1565" i="17"/>
  <c r="I1564" i="17"/>
  <c r="I1563" i="17"/>
  <c r="I1562" i="17"/>
  <c r="I1561" i="17"/>
  <c r="I1560" i="17"/>
  <c r="I1559" i="17"/>
  <c r="I1558" i="17"/>
  <c r="I1557" i="17"/>
  <c r="I1556" i="17"/>
  <c r="I1554" i="17"/>
  <c r="I1553" i="17"/>
  <c r="I1552" i="17"/>
  <c r="I1551" i="17"/>
  <c r="I1550" i="17"/>
  <c r="I1549" i="17"/>
  <c r="I1548" i="17"/>
  <c r="I1547" i="17"/>
  <c r="I1546" i="17"/>
  <c r="I1545" i="17"/>
  <c r="I1544" i="17"/>
  <c r="I1543" i="17"/>
  <c r="I1542" i="17"/>
  <c r="I1541" i="17"/>
  <c r="I1540" i="17"/>
  <c r="I1539" i="17"/>
  <c r="I1538" i="17"/>
  <c r="I1537" i="17"/>
  <c r="I1536" i="17"/>
  <c r="I1535" i="17"/>
  <c r="I1534" i="17"/>
  <c r="I1533" i="17"/>
  <c r="I1532" i="17"/>
  <c r="I1531" i="17"/>
  <c r="I1530" i="17"/>
  <c r="I1529" i="17"/>
  <c r="I1528" i="17"/>
  <c r="I1527" i="17"/>
  <c r="I1526" i="17"/>
  <c r="I1525" i="17"/>
  <c r="I1524" i="17"/>
  <c r="I1523" i="17"/>
  <c r="I1522" i="17"/>
  <c r="I1521" i="17"/>
  <c r="I1520" i="17"/>
  <c r="I1519" i="17"/>
  <c r="I1518" i="17"/>
  <c r="I1517" i="17"/>
  <c r="I1516" i="17"/>
  <c r="I1515" i="17"/>
  <c r="I1514" i="17"/>
  <c r="I1513" i="17"/>
  <c r="I1512" i="17"/>
  <c r="I1511" i="17"/>
  <c r="I1510" i="17"/>
  <c r="I1509" i="17"/>
  <c r="I1508" i="17"/>
  <c r="I1507" i="17"/>
  <c r="I1506" i="17"/>
  <c r="I1505" i="17"/>
  <c r="I1504" i="17"/>
  <c r="I1503" i="17"/>
  <c r="I1502" i="17"/>
  <c r="I1501" i="17"/>
  <c r="I1500" i="17"/>
  <c r="I1499" i="17"/>
  <c r="I1498" i="17"/>
  <c r="I1497" i="17"/>
  <c r="I1496" i="17"/>
  <c r="I1495" i="17"/>
  <c r="I1494" i="17"/>
  <c r="I1493" i="17"/>
  <c r="I1492" i="17"/>
  <c r="I1491" i="17"/>
  <c r="I1490" i="17"/>
  <c r="I1489" i="17"/>
  <c r="I1488" i="17"/>
  <c r="I1487" i="17"/>
  <c r="I1486" i="17"/>
  <c r="I1485" i="17"/>
  <c r="I1484" i="17"/>
  <c r="I1483" i="17"/>
  <c r="I1482" i="17"/>
  <c r="I1481" i="17"/>
  <c r="I1480" i="17"/>
  <c r="I1479" i="17"/>
  <c r="I1478" i="17"/>
  <c r="I1477" i="17"/>
  <c r="I1476" i="17"/>
  <c r="I1475" i="17"/>
  <c r="I1474" i="17"/>
  <c r="I1473" i="17"/>
  <c r="I1472" i="17"/>
  <c r="I1471" i="17"/>
  <c r="I1470" i="17"/>
  <c r="I1469" i="17"/>
  <c r="I1468" i="17"/>
  <c r="I1467" i="17"/>
  <c r="I1466" i="17"/>
  <c r="I1465" i="17"/>
  <c r="I1464" i="17"/>
  <c r="I1463" i="17"/>
  <c r="I1462" i="17"/>
  <c r="I1461" i="17"/>
  <c r="I1460" i="17"/>
  <c r="I1459" i="17"/>
  <c r="I1458" i="17"/>
  <c r="I1457" i="17"/>
  <c r="I1456" i="17"/>
  <c r="I1455" i="17"/>
  <c r="I1454" i="17"/>
  <c r="I1453" i="17"/>
  <c r="I1452" i="17"/>
  <c r="I1451" i="17"/>
  <c r="I1450" i="17"/>
  <c r="I1449" i="17"/>
  <c r="I1448" i="17"/>
  <c r="I1447" i="17"/>
  <c r="I1446" i="17"/>
  <c r="I1445" i="17"/>
  <c r="I1444" i="17"/>
  <c r="I1443" i="17"/>
  <c r="I1442" i="17"/>
  <c r="I1441" i="17"/>
  <c r="I1440" i="17"/>
  <c r="I1439" i="17"/>
  <c r="I1438" i="17"/>
  <c r="I1437" i="17"/>
  <c r="I1436" i="17"/>
  <c r="I1435" i="17"/>
  <c r="I1434" i="17"/>
  <c r="I1433" i="17"/>
  <c r="I1432" i="17"/>
  <c r="I1431" i="17"/>
  <c r="I1430" i="17"/>
  <c r="I1429" i="17"/>
  <c r="I1428" i="17"/>
  <c r="I1427" i="17"/>
  <c r="I1426" i="17"/>
  <c r="I1425" i="17"/>
  <c r="I1424" i="17"/>
  <c r="I1423" i="17"/>
  <c r="I1422" i="17"/>
  <c r="I1421" i="17"/>
  <c r="I1420" i="17"/>
  <c r="I1419" i="17"/>
  <c r="I1418" i="17"/>
  <c r="I1417" i="17"/>
  <c r="I1416" i="17"/>
  <c r="I1415" i="17"/>
  <c r="I1414" i="17"/>
  <c r="I1413" i="17"/>
  <c r="I1412" i="17"/>
  <c r="I1411" i="17"/>
  <c r="I1410" i="17"/>
  <c r="I1409" i="17"/>
  <c r="I1408" i="17"/>
  <c r="I1407" i="17"/>
  <c r="I1406" i="17"/>
  <c r="I1405" i="17"/>
  <c r="I1404" i="17"/>
  <c r="I1403" i="17"/>
  <c r="I1402" i="17"/>
  <c r="I1401" i="17"/>
  <c r="I1400" i="17"/>
  <c r="I1399" i="17"/>
  <c r="I1398" i="17"/>
  <c r="I1397" i="17"/>
  <c r="I1396" i="17"/>
  <c r="I1395" i="17"/>
  <c r="I1394" i="17"/>
  <c r="I1393" i="17"/>
  <c r="I1392" i="17"/>
  <c r="I1391" i="17"/>
  <c r="I1390" i="17"/>
  <c r="I1389" i="17"/>
  <c r="I1388" i="17"/>
  <c r="I1387" i="17"/>
  <c r="I1386" i="17"/>
  <c r="I1385" i="17"/>
  <c r="I1384" i="17"/>
  <c r="I1383" i="17"/>
  <c r="I1382" i="17"/>
  <c r="I1381" i="17"/>
  <c r="I1380" i="17"/>
  <c r="I1379" i="17"/>
  <c r="I1378" i="17"/>
  <c r="I1377" i="17"/>
  <c r="I1376" i="17"/>
  <c r="I1375" i="17"/>
  <c r="I1374" i="17"/>
  <c r="I1373" i="17"/>
  <c r="I1372" i="17"/>
  <c r="I1371" i="17"/>
  <c r="I1370" i="17"/>
  <c r="I1369" i="17"/>
  <c r="I1368" i="17"/>
  <c r="I1367" i="17"/>
  <c r="I1366" i="17"/>
  <c r="I1365" i="17"/>
  <c r="I1364" i="17"/>
  <c r="I1363" i="17"/>
  <c r="I524" i="17"/>
  <c r="I1362" i="17"/>
  <c r="I1361" i="17"/>
  <c r="I1360" i="17"/>
  <c r="I1359" i="17"/>
  <c r="I1358" i="17"/>
  <c r="I1357" i="17"/>
  <c r="I1356" i="17"/>
  <c r="I1355" i="17"/>
  <c r="I1354" i="17"/>
  <c r="I1353" i="17"/>
  <c r="I1352" i="17"/>
  <c r="I1351" i="17"/>
  <c r="I1350" i="17"/>
  <c r="I1349" i="17"/>
  <c r="I1348" i="17"/>
  <c r="I1347" i="17"/>
  <c r="I1346" i="17"/>
  <c r="I1345" i="17"/>
  <c r="I1344" i="17"/>
  <c r="I1343" i="17"/>
  <c r="I1342" i="17"/>
  <c r="I1341" i="17"/>
  <c r="I1340" i="17"/>
  <c r="I1339" i="17"/>
  <c r="I1338" i="17"/>
  <c r="I1337" i="17"/>
  <c r="I1336" i="17"/>
  <c r="I1335" i="17"/>
  <c r="I1334" i="17"/>
  <c r="I1333" i="17"/>
  <c r="I1332" i="17"/>
  <c r="I1331" i="17"/>
  <c r="I1330" i="17"/>
  <c r="I1329" i="17"/>
  <c r="I1328" i="17"/>
  <c r="I1327" i="17"/>
  <c r="I1326" i="17"/>
  <c r="I1325" i="17"/>
  <c r="I1324" i="17"/>
  <c r="I1323" i="17"/>
  <c r="I1322" i="17"/>
  <c r="I1321" i="17"/>
  <c r="I1320" i="17"/>
  <c r="I1319" i="17"/>
  <c r="I1318" i="17"/>
  <c r="I1317" i="17"/>
  <c r="I1316" i="17"/>
  <c r="I1315" i="17"/>
  <c r="I1314" i="17"/>
  <c r="I1313" i="17"/>
  <c r="I1312" i="17"/>
  <c r="I1311" i="17"/>
  <c r="I1310" i="17"/>
  <c r="I1309" i="17"/>
  <c r="I1308" i="17"/>
  <c r="I1307" i="17"/>
  <c r="I1306" i="17"/>
  <c r="I1305" i="17"/>
  <c r="I1304" i="17"/>
  <c r="I1303" i="17"/>
  <c r="I1302" i="17"/>
  <c r="I1301" i="17"/>
  <c r="I1300" i="17"/>
  <c r="I1299" i="17"/>
  <c r="I1298" i="17"/>
  <c r="I1297" i="17"/>
  <c r="I1296" i="17"/>
  <c r="I1295" i="17"/>
  <c r="I1294" i="17"/>
  <c r="I1293" i="17"/>
  <c r="I1292" i="17"/>
  <c r="I1291" i="17"/>
  <c r="I1290" i="17"/>
  <c r="I1289" i="17"/>
  <c r="I1288" i="17"/>
  <c r="I1287" i="17"/>
  <c r="I1286" i="17"/>
  <c r="I1285" i="17"/>
  <c r="I1284" i="17"/>
  <c r="I1283" i="17"/>
  <c r="I1282" i="17"/>
  <c r="I1281" i="17"/>
  <c r="I1280" i="17"/>
  <c r="I1279" i="17"/>
  <c r="I1278" i="17"/>
  <c r="I1277" i="17"/>
  <c r="I1276" i="17"/>
  <c r="I1275" i="17"/>
  <c r="I1274" i="17"/>
  <c r="I1273" i="17"/>
  <c r="I1272" i="17"/>
  <c r="I1271" i="17"/>
  <c r="I1270" i="17"/>
  <c r="I1269" i="17"/>
  <c r="I1268" i="17"/>
  <c r="I1267" i="17"/>
  <c r="I1266" i="17"/>
  <c r="I1265" i="17"/>
  <c r="I1264" i="17"/>
  <c r="I1263" i="17"/>
  <c r="I1262" i="17"/>
  <c r="I1261" i="17"/>
  <c r="I1260" i="17"/>
  <c r="I1259" i="17"/>
  <c r="I1258" i="17"/>
  <c r="I1257" i="17"/>
  <c r="I1256" i="17"/>
  <c r="I1255" i="17"/>
  <c r="I1254" i="17"/>
  <c r="I1253" i="17"/>
  <c r="I1252" i="17"/>
  <c r="I1251" i="17"/>
  <c r="I1250" i="17"/>
  <c r="I1249" i="17"/>
  <c r="I1248" i="17"/>
  <c r="I1247" i="17"/>
  <c r="I1246" i="17"/>
  <c r="I1245" i="17"/>
  <c r="I1244" i="17"/>
  <c r="I1243" i="17"/>
  <c r="I1242" i="17"/>
  <c r="I1241" i="17"/>
  <c r="I1240" i="17"/>
  <c r="I1239" i="17"/>
  <c r="I1238" i="17"/>
  <c r="I1237" i="17"/>
  <c r="I1236" i="17"/>
  <c r="I1235" i="17"/>
  <c r="I1234" i="17"/>
  <c r="I1233" i="17"/>
  <c r="I1232" i="17"/>
  <c r="I1231" i="17"/>
  <c r="I1230" i="17"/>
  <c r="I1229" i="17"/>
  <c r="I1228" i="17"/>
  <c r="I1227" i="17"/>
  <c r="I1226" i="17"/>
  <c r="I1225" i="17"/>
  <c r="I1224" i="17"/>
  <c r="I1223" i="17"/>
  <c r="I1222" i="17"/>
  <c r="I1221" i="17"/>
  <c r="I1220" i="17"/>
  <c r="I1219" i="17"/>
  <c r="I1218" i="17"/>
  <c r="I1217" i="17"/>
  <c r="I1216" i="17"/>
  <c r="I1215" i="17"/>
  <c r="I1214" i="17"/>
  <c r="I1213" i="17"/>
  <c r="I1212" i="17"/>
  <c r="I1211" i="17"/>
  <c r="I1210" i="17"/>
  <c r="I1209" i="17"/>
  <c r="I1208" i="17"/>
  <c r="I1207" i="17"/>
  <c r="I1206" i="17"/>
  <c r="I1205" i="17"/>
  <c r="I1204" i="17"/>
  <c r="I1203" i="17"/>
  <c r="I1202" i="17"/>
  <c r="I1201" i="17"/>
  <c r="I1200" i="17"/>
  <c r="I1199" i="17"/>
  <c r="I1198" i="17"/>
  <c r="I1197" i="17"/>
  <c r="I1196" i="17"/>
  <c r="I1195" i="17"/>
  <c r="I1194" i="17"/>
  <c r="I1193" i="17"/>
  <c r="I1192" i="17"/>
  <c r="I1191" i="17"/>
  <c r="I1190" i="17"/>
  <c r="I1189" i="17"/>
  <c r="I1188" i="17"/>
  <c r="I1187" i="17"/>
  <c r="I1186" i="17"/>
  <c r="I1185" i="17"/>
  <c r="I1184" i="17"/>
  <c r="I1183" i="17"/>
  <c r="I1182" i="17"/>
  <c r="I1181" i="17"/>
  <c r="I1180" i="17"/>
  <c r="I1179" i="17"/>
  <c r="I1178" i="17"/>
  <c r="I1177" i="17"/>
  <c r="I1176" i="17"/>
  <c r="I1175" i="17"/>
  <c r="I1174" i="17"/>
  <c r="I1173" i="17"/>
  <c r="I1172" i="17"/>
  <c r="I1171" i="17"/>
  <c r="I1170" i="17"/>
  <c r="I1169" i="17"/>
  <c r="I1168" i="17"/>
  <c r="I1167" i="17"/>
  <c r="I1166" i="17"/>
  <c r="I1165" i="17"/>
  <c r="I1164" i="17"/>
  <c r="I1163" i="17"/>
  <c r="I1162" i="17"/>
  <c r="I1161" i="17"/>
  <c r="I1160" i="17"/>
  <c r="I1159" i="17"/>
  <c r="I1158" i="17"/>
  <c r="I1157" i="17"/>
  <c r="I1156" i="17"/>
  <c r="I1155" i="17"/>
  <c r="I1154" i="17"/>
  <c r="I1153" i="17"/>
  <c r="I1152" i="17"/>
  <c r="I1151" i="17"/>
  <c r="I1150" i="17"/>
  <c r="I1149" i="17"/>
  <c r="I1148" i="17"/>
  <c r="I1147" i="17"/>
  <c r="I1146" i="17"/>
  <c r="I1145" i="17"/>
  <c r="I1144" i="17"/>
  <c r="I1143" i="17"/>
  <c r="I1142" i="17"/>
  <c r="I1141" i="17"/>
  <c r="I1140" i="17"/>
  <c r="I1139" i="17"/>
  <c r="I1138" i="17"/>
  <c r="I1137" i="17"/>
  <c r="I1136" i="17"/>
  <c r="I1135" i="17"/>
  <c r="I1134" i="17"/>
  <c r="I1133" i="17"/>
  <c r="I1132" i="17"/>
  <c r="I1131" i="17"/>
  <c r="I1130" i="17"/>
  <c r="I1129" i="17"/>
  <c r="I1128" i="17"/>
  <c r="I1127" i="17"/>
  <c r="I1126" i="17"/>
  <c r="I1125" i="17"/>
  <c r="I1124" i="17"/>
  <c r="I1123" i="17"/>
  <c r="I1122" i="17"/>
  <c r="I1121" i="17"/>
  <c r="I1120" i="17"/>
  <c r="I1119" i="17"/>
  <c r="I1118" i="17"/>
  <c r="I1117" i="17"/>
  <c r="I1116" i="17"/>
  <c r="I1115" i="17"/>
  <c r="I1114" i="17"/>
  <c r="I1113" i="17"/>
  <c r="I1112" i="17"/>
  <c r="I1111" i="17"/>
  <c r="I1110" i="17"/>
  <c r="I1109" i="17"/>
  <c r="I1108" i="17"/>
  <c r="I1107" i="17"/>
  <c r="I1106" i="17"/>
  <c r="I1105" i="17"/>
  <c r="I1104" i="17"/>
  <c r="I1103" i="17"/>
  <c r="I1102" i="17"/>
  <c r="I1101" i="17"/>
  <c r="I1100" i="17"/>
  <c r="I1099" i="17"/>
  <c r="I1098" i="17"/>
  <c r="I1097" i="17"/>
  <c r="I1096" i="17"/>
  <c r="I1095" i="17"/>
  <c r="I1094" i="17"/>
  <c r="I1093" i="17"/>
  <c r="I1092" i="17"/>
  <c r="I1091" i="17"/>
  <c r="I1090" i="17"/>
  <c r="I1089" i="17"/>
  <c r="I1088" i="17"/>
  <c r="I1087" i="17"/>
  <c r="I1086" i="17"/>
  <c r="I1085" i="17"/>
  <c r="I1084" i="17"/>
  <c r="I1083" i="17"/>
  <c r="I1082" i="17"/>
  <c r="I1081" i="17"/>
  <c r="I1080" i="17"/>
  <c r="I1079" i="17"/>
  <c r="I1078" i="17"/>
  <c r="I1077" i="17"/>
  <c r="I1076" i="17"/>
  <c r="I1075" i="17"/>
  <c r="I1074" i="17"/>
  <c r="I1073" i="17"/>
  <c r="I1072" i="17"/>
  <c r="I1071" i="17"/>
  <c r="I1070" i="17"/>
  <c r="I1069" i="17"/>
  <c r="I1068" i="17"/>
  <c r="I1067" i="17"/>
  <c r="I1066" i="17"/>
  <c r="I1065" i="17"/>
  <c r="I1064" i="17"/>
  <c r="I1063" i="17"/>
  <c r="I1062" i="17"/>
  <c r="I1061" i="17"/>
  <c r="I1060" i="17"/>
  <c r="I1059" i="17"/>
  <c r="I1058" i="17"/>
  <c r="I1057" i="17"/>
  <c r="I1056" i="17"/>
  <c r="I1055" i="17"/>
  <c r="I1054" i="17"/>
  <c r="I1053" i="17"/>
  <c r="I1052" i="17"/>
  <c r="I1051" i="17"/>
  <c r="I1050" i="17"/>
  <c r="I1049" i="17"/>
  <c r="I1048" i="17"/>
  <c r="I1047" i="17"/>
  <c r="I1046" i="17"/>
  <c r="I1045" i="17"/>
  <c r="I1044" i="17"/>
  <c r="I1043" i="17"/>
  <c r="I1042" i="17"/>
  <c r="I1041" i="17"/>
  <c r="I1040" i="17"/>
  <c r="I1039" i="17"/>
  <c r="I1036" i="17"/>
  <c r="I1035" i="17"/>
  <c r="I1034" i="17"/>
  <c r="I1033" i="17"/>
  <c r="I1032" i="17"/>
  <c r="I1031" i="17"/>
  <c r="I1030" i="17"/>
  <c r="I1029" i="17"/>
  <c r="I1028" i="17"/>
  <c r="I1027" i="17"/>
  <c r="I1026" i="17"/>
  <c r="I1025" i="17"/>
  <c r="I1024" i="17"/>
  <c r="I1023" i="17"/>
  <c r="I1022" i="17"/>
  <c r="I1021" i="17"/>
  <c r="I1020" i="17"/>
  <c r="I1019" i="17"/>
  <c r="I1018" i="17"/>
  <c r="I1017" i="17"/>
  <c r="I1016" i="17"/>
  <c r="I1015" i="17"/>
  <c r="I1014" i="17"/>
  <c r="I1013" i="17"/>
  <c r="I1012" i="17"/>
  <c r="I1011" i="17"/>
  <c r="I1010" i="17"/>
  <c r="I1009" i="17"/>
  <c r="I1008" i="17"/>
  <c r="I1007" i="17"/>
  <c r="I1006" i="17"/>
  <c r="I1005" i="17"/>
  <c r="I1004" i="17"/>
  <c r="I1003" i="17"/>
  <c r="I100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967" i="17"/>
  <c r="I966" i="17"/>
  <c r="I965" i="17"/>
  <c r="I964" i="17"/>
  <c r="I963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8" i="17"/>
  <c r="I677" i="17"/>
  <c r="I676" i="17"/>
  <c r="I675" i="17"/>
  <c r="I674" i="17"/>
  <c r="I673" i="17"/>
  <c r="I672" i="17"/>
  <c r="I671" i="17"/>
  <c r="I670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D59" i="22" l="1"/>
  <c r="E59" i="22"/>
  <c r="F59" i="22"/>
  <c r="G59" i="22"/>
  <c r="H59" i="22"/>
  <c r="I59" i="22"/>
  <c r="D84" i="22"/>
  <c r="H84" i="22"/>
  <c r="F84" i="22"/>
  <c r="I84" i="22"/>
  <c r="G84" i="22"/>
  <c r="E84" i="22"/>
  <c r="H90" i="22"/>
  <c r="D90" i="22"/>
  <c r="F90" i="22"/>
  <c r="I90" i="22"/>
  <c r="G90" i="22"/>
  <c r="D88" i="22"/>
  <c r="H88" i="22"/>
  <c r="I88" i="22"/>
  <c r="G88" i="22"/>
  <c r="F88" i="22"/>
  <c r="H89" i="22"/>
  <c r="D89" i="22"/>
  <c r="F89" i="22"/>
  <c r="I89" i="22"/>
  <c r="G89" i="22"/>
  <c r="H6" i="25"/>
  <c r="G6" i="25"/>
  <c r="F6" i="25"/>
  <c r="E6" i="25"/>
  <c r="D6" i="25"/>
  <c r="C6" i="25"/>
  <c r="C5" i="24"/>
  <c r="G5" i="24"/>
  <c r="F5" i="24"/>
  <c r="B5" i="24"/>
  <c r="E5" i="24"/>
  <c r="D5" i="24"/>
  <c r="G7" i="24"/>
  <c r="F7" i="24"/>
  <c r="E7" i="24"/>
  <c r="D7" i="24"/>
  <c r="B7" i="24"/>
  <c r="C7" i="24"/>
  <c r="D6" i="24"/>
  <c r="C6" i="24"/>
  <c r="F6" i="24"/>
  <c r="G6" i="24"/>
  <c r="B6" i="24"/>
  <c r="E6" i="24"/>
  <c r="G2" i="24"/>
  <c r="F2" i="24"/>
  <c r="E2" i="24"/>
  <c r="D2" i="24"/>
  <c r="C2" i="24"/>
  <c r="B2" i="24"/>
  <c r="D107" i="22"/>
  <c r="B26" i="24" s="1"/>
  <c r="G107" i="22"/>
  <c r="E26" i="24" s="1"/>
  <c r="I107" i="22"/>
  <c r="G26" i="24" s="1"/>
  <c r="F107" i="22"/>
  <c r="D26" i="24" s="1"/>
  <c r="H107" i="22"/>
  <c r="F26" i="24" s="1"/>
  <c r="E107" i="22"/>
  <c r="C26" i="24" s="1"/>
  <c r="E63" i="22"/>
  <c r="D63" i="22"/>
  <c r="H63" i="22"/>
  <c r="G63" i="22"/>
  <c r="F63" i="22"/>
  <c r="I63" i="22"/>
  <c r="E58" i="22"/>
  <c r="C15" i="24" s="1"/>
  <c r="H58" i="22"/>
  <c r="F15" i="24" s="1"/>
  <c r="G58" i="22"/>
  <c r="E15" i="24" s="1"/>
  <c r="D58" i="22"/>
  <c r="B15" i="24" s="1"/>
  <c r="I58" i="22"/>
  <c r="G15" i="24" s="1"/>
  <c r="F58" i="22"/>
  <c r="D15" i="24" s="1"/>
  <c r="G61" i="22"/>
  <c r="F61" i="22"/>
  <c r="E61" i="22"/>
  <c r="I61" i="22"/>
  <c r="D61" i="22"/>
  <c r="H61" i="22"/>
  <c r="D19" i="22"/>
  <c r="D16" i="22"/>
  <c r="H2" i="22"/>
  <c r="H97" i="22" l="1"/>
  <c r="H98" i="22"/>
  <c r="H77" i="22"/>
  <c r="H78" i="22"/>
  <c r="H79" i="22"/>
  <c r="H74" i="22"/>
  <c r="H73" i="22"/>
  <c r="C63" i="22"/>
  <c r="H15" i="24"/>
  <c r="H26" i="24"/>
  <c r="H5" i="25"/>
  <c r="H3" i="25"/>
  <c r="G3" i="25"/>
  <c r="G5" i="25"/>
  <c r="F5" i="25"/>
  <c r="F3" i="25"/>
  <c r="C3" i="25"/>
  <c r="C5" i="25"/>
  <c r="D5" i="25"/>
  <c r="D3" i="25"/>
  <c r="E5" i="25"/>
  <c r="E3" i="25"/>
  <c r="C59" i="22"/>
  <c r="F3" i="24"/>
  <c r="E3" i="24"/>
  <c r="B3" i="24"/>
  <c r="G3" i="24"/>
  <c r="C3" i="24"/>
  <c r="D3" i="24"/>
  <c r="C107" i="22"/>
  <c r="H115" i="22"/>
  <c r="H6" i="24"/>
  <c r="H5" i="24"/>
  <c r="H7" i="24"/>
  <c r="H2" i="24"/>
  <c r="H116" i="22"/>
  <c r="H117" i="22"/>
  <c r="H114" i="22"/>
  <c r="H95" i="22"/>
  <c r="H101" i="22"/>
  <c r="H99" i="22"/>
  <c r="H100" i="22"/>
  <c r="H76" i="22"/>
  <c r="C58" i="22"/>
  <c r="C61" i="22"/>
  <c r="H75" i="22"/>
  <c r="H72" i="22"/>
  <c r="D8" i="24" l="1"/>
  <c r="E8" i="24"/>
  <c r="C8" i="24"/>
  <c r="F8" i="24"/>
  <c r="F4" i="24"/>
  <c r="G8" i="24"/>
  <c r="B8" i="24"/>
  <c r="H3" i="24"/>
  <c r="H113" i="22"/>
  <c r="H8" i="24" l="1"/>
  <c r="I121" i="22"/>
  <c r="H121" i="22"/>
  <c r="G121" i="22"/>
  <c r="F121" i="22"/>
  <c r="E121" i="22"/>
  <c r="D121" i="22"/>
  <c r="I109" i="22"/>
  <c r="H109" i="22"/>
  <c r="G109" i="22"/>
  <c r="F109" i="22"/>
  <c r="E109" i="22"/>
  <c r="D109" i="22"/>
  <c r="I108" i="22"/>
  <c r="H108" i="22"/>
  <c r="G108" i="22"/>
  <c r="F108" i="22"/>
  <c r="E108" i="22"/>
  <c r="D108" i="22"/>
  <c r="C120" i="22" l="1"/>
  <c r="C109" i="22"/>
  <c r="C108" i="22"/>
  <c r="I20221" i="17" l="1"/>
  <c r="I20220" i="17"/>
  <c r="I20219" i="17"/>
  <c r="I20218" i="17"/>
  <c r="I20217" i="17"/>
  <c r="I20216" i="17"/>
  <c r="I20215" i="17"/>
  <c r="I20214" i="17"/>
  <c r="I20213" i="17"/>
  <c r="I20212" i="17"/>
  <c r="I20211" i="17"/>
  <c r="I20210" i="17"/>
  <c r="I20209" i="17"/>
  <c r="I20208" i="17"/>
  <c r="I20207" i="17"/>
  <c r="I20206" i="17"/>
  <c r="I20205" i="17"/>
  <c r="I20204" i="17"/>
  <c r="I20203" i="17"/>
  <c r="I20202" i="17"/>
  <c r="I20201" i="17"/>
  <c r="I20200" i="17"/>
  <c r="I20199" i="17"/>
  <c r="I20198" i="17"/>
  <c r="I20197" i="17"/>
  <c r="I20196" i="17"/>
  <c r="I20195" i="17"/>
  <c r="I20194" i="17"/>
  <c r="I20193" i="17"/>
  <c r="I20192" i="17"/>
  <c r="I20191" i="17"/>
  <c r="I20190" i="17"/>
  <c r="I20189" i="17"/>
  <c r="I20188" i="17"/>
  <c r="I20187" i="17"/>
  <c r="I20186" i="17"/>
  <c r="I20185" i="17"/>
  <c r="I20184" i="17"/>
  <c r="I20183" i="17"/>
  <c r="I20182" i="17"/>
  <c r="I20181" i="17"/>
  <c r="I20180" i="17"/>
  <c r="I20179" i="17"/>
  <c r="I20178" i="17"/>
  <c r="I20177" i="17"/>
  <c r="I20176" i="17"/>
  <c r="I20175" i="17"/>
  <c r="I20174" i="17"/>
  <c r="I20173" i="17"/>
  <c r="I20172" i="17"/>
  <c r="I20171" i="17"/>
  <c r="I20170" i="17"/>
  <c r="I20169" i="17"/>
  <c r="I20168" i="17"/>
  <c r="I20167" i="17"/>
  <c r="I20166" i="17"/>
  <c r="I20165" i="17"/>
  <c r="I20164" i="17"/>
  <c r="I20163" i="17"/>
  <c r="I20162" i="17"/>
  <c r="I20161" i="17"/>
  <c r="I20160" i="17"/>
  <c r="I20159" i="17"/>
  <c r="I20158" i="17"/>
  <c r="I20157" i="17"/>
  <c r="I20156" i="17"/>
  <c r="I20155" i="17"/>
  <c r="I20154" i="17"/>
  <c r="I20153" i="17"/>
  <c r="I20152" i="17"/>
  <c r="I20151" i="17"/>
  <c r="I20150" i="17"/>
  <c r="I20149" i="17"/>
  <c r="I20148" i="17"/>
  <c r="I20147" i="17"/>
  <c r="I20146" i="17"/>
  <c r="I20145" i="17"/>
  <c r="I20144" i="17"/>
  <c r="I20143" i="17"/>
  <c r="I20142" i="17"/>
  <c r="I20141" i="17"/>
  <c r="I20140" i="17"/>
  <c r="I20139" i="17"/>
  <c r="I20138" i="17"/>
  <c r="I20137" i="17"/>
  <c r="I20136" i="17"/>
  <c r="I20135" i="17"/>
  <c r="I20134" i="17"/>
  <c r="I20133" i="17"/>
  <c r="I20132" i="17"/>
  <c r="I20131" i="17"/>
  <c r="I20130" i="17"/>
  <c r="I20129" i="17"/>
  <c r="I20128" i="17"/>
  <c r="I20127" i="17"/>
  <c r="I20126" i="17"/>
  <c r="I20125" i="17"/>
  <c r="I20124" i="17"/>
  <c r="I20123" i="17"/>
  <c r="I20122" i="17"/>
  <c r="I20121" i="17"/>
  <c r="I20120" i="17"/>
  <c r="I20119" i="17"/>
  <c r="I20118" i="17"/>
  <c r="I20117" i="17"/>
  <c r="I20116" i="17"/>
  <c r="I20115" i="17"/>
  <c r="I20114" i="17"/>
  <c r="I20113" i="17"/>
  <c r="I2" i="17"/>
  <c r="M2" i="17"/>
  <c r="M3" i="17" s="1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 s="1"/>
  <c r="M85" i="17" s="1"/>
  <c r="M86" i="17" s="1"/>
  <c r="M87" i="17" s="1"/>
  <c r="M88" i="17" s="1"/>
  <c r="M89" i="17" s="1"/>
  <c r="M90" i="17" s="1"/>
  <c r="M91" i="17" s="1"/>
  <c r="M92" i="17" s="1"/>
  <c r="M93" i="17" s="1"/>
  <c r="M94" i="17" s="1"/>
  <c r="M95" i="17" s="1"/>
  <c r="M96" i="17" s="1"/>
  <c r="M97" i="17" s="1"/>
  <c r="M98" i="17" s="1"/>
  <c r="M99" i="17" s="1"/>
  <c r="M100" i="17" s="1"/>
  <c r="M101" i="17" s="1"/>
  <c r="M102" i="17" s="1"/>
  <c r="M103" i="17" s="1"/>
  <c r="M104" i="17" s="1"/>
  <c r="M105" i="17" s="1"/>
  <c r="M106" i="17" s="1"/>
  <c r="M107" i="17" s="1"/>
  <c r="M108" i="17" s="1"/>
  <c r="M109" i="17" s="1"/>
  <c r="M110" i="17" s="1"/>
  <c r="M111" i="17" s="1"/>
  <c r="M112" i="17" s="1"/>
  <c r="M113" i="17" s="1"/>
  <c r="M114" i="17" s="1"/>
  <c r="M115" i="17" s="1"/>
  <c r="M116" i="17" s="1"/>
  <c r="M117" i="17" s="1"/>
  <c r="M118" i="17" s="1"/>
  <c r="M119" i="17" s="1"/>
  <c r="M120" i="17" s="1"/>
  <c r="M121" i="17" s="1"/>
  <c r="M122" i="17" s="1"/>
  <c r="M123" i="17" s="1"/>
  <c r="M124" i="17" s="1"/>
  <c r="M125" i="17" s="1"/>
  <c r="M126" i="17" s="1"/>
  <c r="M127" i="17" s="1"/>
  <c r="M128" i="17" s="1"/>
  <c r="M129" i="17" s="1"/>
  <c r="M130" i="17" s="1"/>
  <c r="M131" i="17" s="1"/>
  <c r="M132" i="17" s="1"/>
  <c r="M133" i="17" s="1"/>
  <c r="M134" i="17" s="1"/>
  <c r="M135" i="17" s="1"/>
  <c r="M136" i="17" s="1"/>
  <c r="M137" i="17" s="1"/>
  <c r="M138" i="17" s="1"/>
  <c r="M139" i="17" s="1"/>
  <c r="M140" i="17" s="1"/>
  <c r="M141" i="17" s="1"/>
  <c r="M142" i="17" s="1"/>
  <c r="M143" i="17" s="1"/>
  <c r="M144" i="17" s="1"/>
  <c r="M145" i="17" s="1"/>
  <c r="M146" i="17" s="1"/>
  <c r="M147" i="17" s="1"/>
  <c r="M148" i="17" s="1"/>
  <c r="M149" i="17" s="1"/>
  <c r="M150" i="17" s="1"/>
  <c r="M151" i="17" s="1"/>
  <c r="M152" i="17" s="1"/>
  <c r="M153" i="17" s="1"/>
  <c r="M154" i="17" s="1"/>
  <c r="M155" i="17" s="1"/>
  <c r="M156" i="17" s="1"/>
  <c r="M157" i="17" s="1"/>
  <c r="M158" i="17" s="1"/>
  <c r="M159" i="17" s="1"/>
  <c r="M160" i="17" s="1"/>
  <c r="M161" i="17" s="1"/>
  <c r="M162" i="17" s="1"/>
  <c r="M163" i="17" s="1"/>
  <c r="M164" i="17" s="1"/>
  <c r="M165" i="17" s="1"/>
  <c r="M166" i="17" s="1"/>
  <c r="M167" i="17" s="1"/>
  <c r="M168" i="17" s="1"/>
  <c r="M169" i="17" s="1"/>
  <c r="M170" i="17" s="1"/>
  <c r="M171" i="17" s="1"/>
  <c r="M172" i="17" s="1"/>
  <c r="M173" i="17" s="1"/>
  <c r="M174" i="17" s="1"/>
  <c r="M175" i="17" s="1"/>
  <c r="M176" i="17" s="1"/>
  <c r="M177" i="17" s="1"/>
  <c r="M178" i="17" s="1"/>
  <c r="M179" i="17" s="1"/>
  <c r="M180" i="17" s="1"/>
  <c r="M181" i="17" s="1"/>
  <c r="M182" i="17" s="1"/>
  <c r="M183" i="17" s="1"/>
  <c r="M184" i="17" s="1"/>
  <c r="M185" i="17" s="1"/>
  <c r="M186" i="17" s="1"/>
  <c r="M187" i="17" s="1"/>
  <c r="M188" i="17" s="1"/>
  <c r="M189" i="17" s="1"/>
  <c r="M190" i="17" s="1"/>
  <c r="M191" i="17" s="1"/>
  <c r="M192" i="17" s="1"/>
  <c r="M193" i="17" s="1"/>
  <c r="M194" i="17" s="1"/>
  <c r="M195" i="17" s="1"/>
  <c r="M196" i="17" s="1"/>
  <c r="M197" i="17" s="1"/>
  <c r="M198" i="17" s="1"/>
  <c r="M199" i="17" s="1"/>
  <c r="M200" i="17" s="1"/>
  <c r="M201" i="17" s="1"/>
  <c r="M202" i="17" s="1"/>
  <c r="M203" i="17" s="1"/>
  <c r="M204" i="17" s="1"/>
  <c r="M205" i="17" s="1"/>
  <c r="M206" i="17" s="1"/>
  <c r="M207" i="17" s="1"/>
  <c r="M208" i="17" s="1"/>
  <c r="M209" i="17" s="1"/>
  <c r="M210" i="17" s="1"/>
  <c r="M211" i="17" s="1"/>
  <c r="M212" i="17" s="1"/>
  <c r="M213" i="17" s="1"/>
  <c r="M214" i="17" s="1"/>
  <c r="M215" i="17" s="1"/>
  <c r="M216" i="17" s="1"/>
  <c r="M217" i="17" s="1"/>
  <c r="M218" i="17" s="1"/>
  <c r="M219" i="17" s="1"/>
  <c r="M220" i="17" s="1"/>
  <c r="M221" i="17" s="1"/>
  <c r="M222" i="17" s="1"/>
  <c r="M223" i="17" s="1"/>
  <c r="M224" i="17" s="1"/>
  <c r="M225" i="17" s="1"/>
  <c r="M226" i="17" s="1"/>
  <c r="M227" i="17" s="1"/>
  <c r="M228" i="17" s="1"/>
  <c r="M229" i="17" s="1"/>
  <c r="M230" i="17" s="1"/>
  <c r="M231" i="17" s="1"/>
  <c r="M232" i="17" s="1"/>
  <c r="M233" i="17" s="1"/>
  <c r="M234" i="17" s="1"/>
  <c r="M235" i="17" s="1"/>
  <c r="M236" i="17" s="1"/>
  <c r="M237" i="17" s="1"/>
  <c r="M238" i="17" s="1"/>
  <c r="M239" i="17" s="1"/>
  <c r="M240" i="17" s="1"/>
  <c r="M241" i="17" s="1"/>
  <c r="M242" i="17" s="1"/>
  <c r="M243" i="17" s="1"/>
  <c r="M244" i="17" s="1"/>
  <c r="M245" i="17" s="1"/>
  <c r="M246" i="17" s="1"/>
  <c r="M247" i="17" s="1"/>
  <c r="M248" i="17" s="1"/>
  <c r="M249" i="17" s="1"/>
  <c r="M250" i="17" s="1"/>
  <c r="M251" i="17" s="1"/>
  <c r="M252" i="17" s="1"/>
  <c r="M253" i="17" s="1"/>
  <c r="M254" i="17" s="1"/>
  <c r="M255" i="17" s="1"/>
  <c r="M256" i="17" s="1"/>
  <c r="M257" i="17" s="1"/>
  <c r="M258" i="17" s="1"/>
  <c r="M259" i="17" s="1"/>
  <c r="M260" i="17" s="1"/>
  <c r="M261" i="17" s="1"/>
  <c r="M262" i="17" s="1"/>
  <c r="M263" i="17" s="1"/>
  <c r="M264" i="17" s="1"/>
  <c r="M265" i="17" s="1"/>
  <c r="M266" i="17" s="1"/>
  <c r="M267" i="17" s="1"/>
  <c r="M268" i="17" s="1"/>
  <c r="M269" i="17" s="1"/>
  <c r="M270" i="17" s="1"/>
  <c r="M271" i="17" s="1"/>
  <c r="M272" i="17" s="1"/>
  <c r="M273" i="17" s="1"/>
  <c r="M274" i="17" s="1"/>
  <c r="M275" i="17" s="1"/>
  <c r="M276" i="17" s="1"/>
  <c r="M277" i="17" s="1"/>
  <c r="M278" i="17" s="1"/>
  <c r="M279" i="17" s="1"/>
  <c r="M280" i="17" s="1"/>
  <c r="M281" i="17" s="1"/>
  <c r="M282" i="17" s="1"/>
  <c r="M283" i="17" s="1"/>
  <c r="M284" i="17" s="1"/>
  <c r="M285" i="17" s="1"/>
  <c r="M286" i="17" s="1"/>
  <c r="M287" i="17" s="1"/>
  <c r="M288" i="17" s="1"/>
  <c r="M289" i="17" s="1"/>
  <c r="M290" i="17" s="1"/>
  <c r="M291" i="17" s="1"/>
  <c r="M292" i="17" s="1"/>
  <c r="M293" i="17" s="1"/>
  <c r="M294" i="17" s="1"/>
  <c r="M295" i="17" s="1"/>
  <c r="M296" i="17" s="1"/>
  <c r="M297" i="17" s="1"/>
  <c r="M298" i="17" s="1"/>
  <c r="M299" i="17" s="1"/>
  <c r="M300" i="17" s="1"/>
  <c r="M301" i="17" s="1"/>
  <c r="M302" i="17" s="1"/>
  <c r="M303" i="17" s="1"/>
  <c r="M304" i="17" s="1"/>
  <c r="M305" i="17" s="1"/>
  <c r="M306" i="17" s="1"/>
  <c r="M307" i="17" s="1"/>
  <c r="M308" i="17" s="1"/>
  <c r="M309" i="17" s="1"/>
  <c r="M310" i="17" s="1"/>
  <c r="M311" i="17" s="1"/>
  <c r="M312" i="17" s="1"/>
  <c r="M313" i="17" s="1"/>
  <c r="M314" i="17" s="1"/>
  <c r="M315" i="17" s="1"/>
  <c r="M316" i="17" s="1"/>
  <c r="M317" i="17" s="1"/>
  <c r="M318" i="17" s="1"/>
  <c r="M319" i="17" s="1"/>
  <c r="M320" i="17" s="1"/>
  <c r="M321" i="17" s="1"/>
  <c r="M322" i="17" s="1"/>
  <c r="M323" i="17" s="1"/>
  <c r="M324" i="17" s="1"/>
  <c r="M325" i="17" s="1"/>
  <c r="M326" i="17" s="1"/>
  <c r="M327" i="17" s="1"/>
  <c r="M328" i="17" s="1"/>
  <c r="M329" i="17" s="1"/>
  <c r="M330" i="17" s="1"/>
  <c r="M331" i="17" s="1"/>
  <c r="M332" i="17" s="1"/>
  <c r="M333" i="17" s="1"/>
  <c r="M334" i="17" s="1"/>
  <c r="M335" i="17" s="1"/>
  <c r="M336" i="17" s="1"/>
  <c r="M337" i="17" s="1"/>
  <c r="M338" i="17" s="1"/>
  <c r="M339" i="17" s="1"/>
  <c r="M340" i="17" s="1"/>
  <c r="M341" i="17" s="1"/>
  <c r="M342" i="17" s="1"/>
  <c r="M343" i="17" s="1"/>
  <c r="M344" i="17" s="1"/>
  <c r="M345" i="17" s="1"/>
  <c r="M346" i="17" s="1"/>
  <c r="M347" i="17" s="1"/>
  <c r="M348" i="17" s="1"/>
  <c r="M349" i="17" s="1"/>
  <c r="M350" i="17" s="1"/>
  <c r="M351" i="17" s="1"/>
  <c r="M352" i="17" s="1"/>
  <c r="M353" i="17" s="1"/>
  <c r="M354" i="17" s="1"/>
  <c r="M355" i="17" s="1"/>
  <c r="M356" i="17" s="1"/>
  <c r="M357" i="17" s="1"/>
  <c r="M358" i="17" s="1"/>
  <c r="M359" i="17" s="1"/>
  <c r="M360" i="17" s="1"/>
  <c r="M361" i="17" s="1"/>
  <c r="M362" i="17" s="1"/>
  <c r="M363" i="17" s="1"/>
  <c r="M364" i="17" s="1"/>
  <c r="M365" i="17" s="1"/>
  <c r="M366" i="17" s="1"/>
  <c r="M367" i="17" s="1"/>
  <c r="M368" i="17" s="1"/>
  <c r="M369" i="17" s="1"/>
  <c r="M370" i="17" s="1"/>
  <c r="M371" i="17" s="1"/>
  <c r="M372" i="17" s="1"/>
  <c r="M373" i="17" s="1"/>
  <c r="M374" i="17" s="1"/>
  <c r="M375" i="17" s="1"/>
  <c r="M376" i="17" s="1"/>
  <c r="M377" i="17" s="1"/>
  <c r="M378" i="17" s="1"/>
  <c r="M379" i="17" s="1"/>
  <c r="M380" i="17" s="1"/>
  <c r="M381" i="17" s="1"/>
  <c r="M382" i="17" s="1"/>
  <c r="M383" i="17" s="1"/>
  <c r="M384" i="17" s="1"/>
  <c r="M385" i="17" s="1"/>
  <c r="M386" i="17" s="1"/>
  <c r="M387" i="17" s="1"/>
  <c r="M388" i="17" s="1"/>
  <c r="M389" i="17" s="1"/>
  <c r="M390" i="17" s="1"/>
  <c r="M391" i="17" s="1"/>
  <c r="M392" i="17" s="1"/>
  <c r="M393" i="17" s="1"/>
  <c r="M394" i="17" s="1"/>
  <c r="M395" i="17" s="1"/>
  <c r="M396" i="17" s="1"/>
  <c r="M397" i="17" s="1"/>
  <c r="M398" i="17" s="1"/>
  <c r="M399" i="17" s="1"/>
  <c r="M400" i="17" s="1"/>
  <c r="M401" i="17" s="1"/>
  <c r="M402" i="17" s="1"/>
  <c r="M403" i="17" s="1"/>
  <c r="M404" i="17" s="1"/>
  <c r="M405" i="17" s="1"/>
  <c r="M406" i="17" s="1"/>
  <c r="M407" i="17" s="1"/>
  <c r="M408" i="17" s="1"/>
  <c r="M409" i="17" s="1"/>
  <c r="M410" i="17" s="1"/>
  <c r="M411" i="17" s="1"/>
  <c r="M412" i="17" s="1"/>
  <c r="M413" i="17" s="1"/>
  <c r="M414" i="17" s="1"/>
  <c r="M415" i="17" s="1"/>
  <c r="M416" i="17" s="1"/>
  <c r="M417" i="17" s="1"/>
  <c r="M418" i="17" s="1"/>
  <c r="M419" i="17" s="1"/>
  <c r="M420" i="17" s="1"/>
  <c r="M421" i="17" s="1"/>
  <c r="M422" i="17" s="1"/>
  <c r="M423" i="17" s="1"/>
  <c r="M424" i="17" s="1"/>
  <c r="M425" i="17" s="1"/>
  <c r="M426" i="17" s="1"/>
  <c r="M427" i="17" s="1"/>
  <c r="M428" i="17" s="1"/>
  <c r="M429" i="17" s="1"/>
  <c r="M430" i="17" s="1"/>
  <c r="M431" i="17" s="1"/>
  <c r="M432" i="17" s="1"/>
  <c r="M433" i="17" s="1"/>
  <c r="M434" i="17" s="1"/>
  <c r="M435" i="17" s="1"/>
  <c r="M436" i="17" s="1"/>
  <c r="M437" i="17" s="1"/>
  <c r="M438" i="17" s="1"/>
  <c r="M439" i="17" s="1"/>
  <c r="M440" i="17" s="1"/>
  <c r="M441" i="17" s="1"/>
  <c r="M442" i="17" s="1"/>
  <c r="M443" i="17" s="1"/>
  <c r="M444" i="17" s="1"/>
  <c r="M445" i="17" s="1"/>
  <c r="M446" i="17" s="1"/>
  <c r="M447" i="17" s="1"/>
  <c r="M448" i="17" s="1"/>
  <c r="M449" i="17" s="1"/>
  <c r="M450" i="17" s="1"/>
  <c r="M451" i="17" s="1"/>
  <c r="M452" i="17" s="1"/>
  <c r="M453" i="17" s="1"/>
  <c r="M454" i="17" s="1"/>
  <c r="M455" i="17" s="1"/>
  <c r="M456" i="17" s="1"/>
  <c r="M457" i="17" s="1"/>
  <c r="M458" i="17" s="1"/>
  <c r="M459" i="17" s="1"/>
  <c r="M460" i="17" s="1"/>
  <c r="M461" i="17" s="1"/>
  <c r="M462" i="17" s="1"/>
  <c r="M463" i="17" s="1"/>
  <c r="M464" i="17" s="1"/>
  <c r="M465" i="17" s="1"/>
  <c r="M466" i="17" s="1"/>
  <c r="M467" i="17" s="1"/>
  <c r="M468" i="17" s="1"/>
  <c r="M469" i="17" s="1"/>
  <c r="M470" i="17" s="1"/>
  <c r="M471" i="17" s="1"/>
  <c r="M472" i="17" s="1"/>
  <c r="M473" i="17" s="1"/>
  <c r="M474" i="17" s="1"/>
  <c r="M475" i="17" s="1"/>
  <c r="M476" i="17" s="1"/>
  <c r="M477" i="17" s="1"/>
  <c r="M478" i="17" s="1"/>
  <c r="M479" i="17" s="1"/>
  <c r="M480" i="17" s="1"/>
  <c r="M481" i="17" s="1"/>
  <c r="M482" i="17" s="1"/>
  <c r="M483" i="17" s="1"/>
  <c r="M484" i="17" s="1"/>
  <c r="M485" i="17" s="1"/>
  <c r="M486" i="17" s="1"/>
  <c r="M487" i="17" s="1"/>
  <c r="M488" i="17" s="1"/>
  <c r="M489" i="17" s="1"/>
  <c r="M490" i="17" s="1"/>
  <c r="M491" i="17" s="1"/>
  <c r="M492" i="17" s="1"/>
  <c r="M493" i="17" s="1"/>
  <c r="M494" i="17" s="1"/>
  <c r="M495" i="17" s="1"/>
  <c r="M496" i="17" s="1"/>
  <c r="M497" i="17" s="1"/>
  <c r="M498" i="17" s="1"/>
  <c r="M499" i="17" s="1"/>
  <c r="M500" i="17" s="1"/>
  <c r="M501" i="17" s="1"/>
  <c r="M502" i="17" s="1"/>
  <c r="M503" i="17" s="1"/>
  <c r="M504" i="17" s="1"/>
  <c r="M505" i="17" s="1"/>
  <c r="M506" i="17" s="1"/>
  <c r="M507" i="17" s="1"/>
  <c r="M508" i="17" s="1"/>
  <c r="M509" i="17" s="1"/>
  <c r="M510" i="17" s="1"/>
  <c r="M511" i="17" s="1"/>
  <c r="M512" i="17" s="1"/>
  <c r="M513" i="17" s="1"/>
  <c r="M514" i="17" s="1"/>
  <c r="M515" i="17" s="1"/>
  <c r="M516" i="17" s="1"/>
  <c r="M517" i="17" s="1"/>
  <c r="M518" i="17" s="1"/>
  <c r="M519" i="17" s="1"/>
  <c r="M520" i="17" s="1"/>
  <c r="M521" i="17" s="1"/>
  <c r="M522" i="17" s="1"/>
  <c r="M523" i="17" s="1"/>
  <c r="M524" i="17" s="1"/>
  <c r="M525" i="17" s="1"/>
  <c r="M526" i="17" s="1"/>
  <c r="M527" i="17" s="1"/>
  <c r="M528" i="17" s="1"/>
  <c r="M529" i="17" s="1"/>
  <c r="M530" i="17" s="1"/>
  <c r="M531" i="17" s="1"/>
  <c r="M532" i="17" s="1"/>
  <c r="M533" i="17" s="1"/>
  <c r="M534" i="17" s="1"/>
  <c r="M535" i="17" s="1"/>
  <c r="M536" i="17" s="1"/>
  <c r="M537" i="17" s="1"/>
  <c r="M538" i="17" s="1"/>
  <c r="M539" i="17" s="1"/>
  <c r="M540" i="17" s="1"/>
  <c r="M541" i="17" s="1"/>
  <c r="M542" i="17" s="1"/>
  <c r="M543" i="17" s="1"/>
  <c r="M544" i="17" s="1"/>
  <c r="M545" i="17" s="1"/>
  <c r="M546" i="17" s="1"/>
  <c r="M547" i="17" s="1"/>
  <c r="M548" i="17" s="1"/>
  <c r="M549" i="17" s="1"/>
  <c r="M550" i="17" s="1"/>
  <c r="M551" i="17" s="1"/>
  <c r="M552" i="17" s="1"/>
  <c r="M553" i="17" s="1"/>
  <c r="M554" i="17" s="1"/>
  <c r="M555" i="17" s="1"/>
  <c r="M556" i="17" s="1"/>
  <c r="M557" i="17" s="1"/>
  <c r="M558" i="17" s="1"/>
  <c r="M559" i="17" s="1"/>
  <c r="M560" i="17" s="1"/>
  <c r="M561" i="17" s="1"/>
  <c r="M562" i="17" s="1"/>
  <c r="M563" i="17" s="1"/>
  <c r="M564" i="17" s="1"/>
  <c r="M565" i="17" s="1"/>
  <c r="M566" i="17" s="1"/>
  <c r="M567" i="17" s="1"/>
  <c r="M568" i="17" s="1"/>
  <c r="M569" i="17" s="1"/>
  <c r="M570" i="17" s="1"/>
  <c r="M571" i="17" s="1"/>
  <c r="M572" i="17" s="1"/>
  <c r="M573" i="17" s="1"/>
  <c r="M574" i="17" s="1"/>
  <c r="M575" i="17" s="1"/>
  <c r="M576" i="17" s="1"/>
  <c r="M577" i="17" s="1"/>
  <c r="M578" i="17" s="1"/>
  <c r="M579" i="17" s="1"/>
  <c r="M580" i="17" s="1"/>
  <c r="M581" i="17" s="1"/>
  <c r="M582" i="17" s="1"/>
  <c r="M583" i="17" s="1"/>
  <c r="M584" i="17" s="1"/>
  <c r="M585" i="17" s="1"/>
  <c r="M586" i="17" s="1"/>
  <c r="M587" i="17" s="1"/>
  <c r="M588" i="17" s="1"/>
  <c r="M589" i="17" s="1"/>
  <c r="M590" i="17" s="1"/>
  <c r="M591" i="17" s="1"/>
  <c r="M592" i="17" s="1"/>
  <c r="M593" i="17" s="1"/>
  <c r="M594" i="17" s="1"/>
  <c r="M595" i="17" s="1"/>
  <c r="M596" i="17" s="1"/>
  <c r="M597" i="17" s="1"/>
  <c r="M598" i="17" s="1"/>
  <c r="M599" i="17" s="1"/>
  <c r="M600" i="17" s="1"/>
  <c r="M601" i="17" s="1"/>
  <c r="M602" i="17" s="1"/>
  <c r="M603" i="17" s="1"/>
  <c r="M604" i="17" s="1"/>
  <c r="M605" i="17" s="1"/>
  <c r="M606" i="17" s="1"/>
  <c r="M607" i="17" s="1"/>
  <c r="M608" i="17" s="1"/>
  <c r="M609" i="17" s="1"/>
  <c r="M610" i="17" s="1"/>
  <c r="M611" i="17" s="1"/>
  <c r="M612" i="17" s="1"/>
  <c r="M613" i="17" s="1"/>
  <c r="M614" i="17" s="1"/>
  <c r="M615" i="17" s="1"/>
  <c r="M616" i="17" s="1"/>
  <c r="M617" i="17" s="1"/>
  <c r="M618" i="17" s="1"/>
  <c r="M619" i="17" s="1"/>
  <c r="M620" i="17" s="1"/>
  <c r="M621" i="17" s="1"/>
  <c r="M622" i="17" s="1"/>
  <c r="M623" i="17" s="1"/>
  <c r="M624" i="17" s="1"/>
  <c r="M625" i="17" s="1"/>
  <c r="M626" i="17" s="1"/>
  <c r="M627" i="17" s="1"/>
  <c r="M628" i="17" s="1"/>
  <c r="M629" i="17" s="1"/>
  <c r="M630" i="17" s="1"/>
  <c r="M631" i="17" s="1"/>
  <c r="M632" i="17" s="1"/>
  <c r="M633" i="17" s="1"/>
  <c r="M634" i="17" s="1"/>
  <c r="M635" i="17" s="1"/>
  <c r="M636" i="17" s="1"/>
  <c r="M637" i="17" s="1"/>
  <c r="M638" i="17" s="1"/>
  <c r="M639" i="17" s="1"/>
  <c r="M640" i="17" s="1"/>
  <c r="M641" i="17" s="1"/>
  <c r="M642" i="17" s="1"/>
  <c r="M643" i="17" s="1"/>
  <c r="M644" i="17" s="1"/>
  <c r="M645" i="17" s="1"/>
  <c r="M646" i="17" s="1"/>
  <c r="M647" i="17" s="1"/>
  <c r="M648" i="17" s="1"/>
  <c r="M649" i="17" s="1"/>
  <c r="M650" i="17" s="1"/>
  <c r="M651" i="17" s="1"/>
  <c r="M652" i="17" s="1"/>
  <c r="M653" i="17" s="1"/>
  <c r="M654" i="17" s="1"/>
  <c r="M655" i="17" s="1"/>
  <c r="M656" i="17" s="1"/>
  <c r="M657" i="17" s="1"/>
  <c r="M658" i="17" s="1"/>
  <c r="M659" i="17" s="1"/>
  <c r="M660" i="17" s="1"/>
  <c r="M661" i="17" s="1"/>
  <c r="M662" i="17" s="1"/>
  <c r="M663" i="17" s="1"/>
  <c r="M664" i="17" s="1"/>
  <c r="M665" i="17" s="1"/>
  <c r="M666" i="17" s="1"/>
  <c r="M667" i="17" s="1"/>
  <c r="M668" i="17" s="1"/>
  <c r="M669" i="17" s="1"/>
  <c r="M670" i="17" s="1"/>
  <c r="M671" i="17" s="1"/>
  <c r="M672" i="17" s="1"/>
  <c r="M673" i="17" s="1"/>
  <c r="M674" i="17" s="1"/>
  <c r="M675" i="17" s="1"/>
  <c r="M676" i="17" s="1"/>
  <c r="M677" i="17" s="1"/>
  <c r="M678" i="17" s="1"/>
  <c r="M679" i="17" s="1"/>
  <c r="M680" i="17" s="1"/>
  <c r="M681" i="17" s="1"/>
  <c r="M682" i="17" s="1"/>
  <c r="M683" i="17" s="1"/>
  <c r="M684" i="17" s="1"/>
  <c r="M685" i="17" s="1"/>
  <c r="M686" i="17" s="1"/>
  <c r="M687" i="17" s="1"/>
  <c r="M688" i="17" s="1"/>
  <c r="M689" i="17" s="1"/>
  <c r="M690" i="17" s="1"/>
  <c r="M691" i="17" s="1"/>
  <c r="M692" i="17" s="1"/>
  <c r="M693" i="17" s="1"/>
  <c r="M694" i="17" s="1"/>
  <c r="M695" i="17" s="1"/>
  <c r="M696" i="17" s="1"/>
  <c r="M697" i="17" s="1"/>
  <c r="M698" i="17" s="1"/>
  <c r="M699" i="17" s="1"/>
  <c r="M700" i="17" s="1"/>
  <c r="M701" i="17" s="1"/>
  <c r="M702" i="17" s="1"/>
  <c r="M703" i="17" s="1"/>
  <c r="M704" i="17" s="1"/>
  <c r="M705" i="17" s="1"/>
  <c r="M706" i="17" s="1"/>
  <c r="M707" i="17" s="1"/>
  <c r="M708" i="17" s="1"/>
  <c r="M709" i="17" s="1"/>
  <c r="M710" i="17" s="1"/>
  <c r="M711" i="17" s="1"/>
  <c r="M712" i="17" s="1"/>
  <c r="M713" i="17" s="1"/>
  <c r="M714" i="17" s="1"/>
  <c r="M715" i="17" s="1"/>
  <c r="M716" i="17" s="1"/>
  <c r="M717" i="17" s="1"/>
  <c r="M718" i="17" s="1"/>
  <c r="M719" i="17" s="1"/>
  <c r="M720" i="17" s="1"/>
  <c r="M721" i="17" s="1"/>
  <c r="M722" i="17" s="1"/>
  <c r="M723" i="17" s="1"/>
  <c r="M724" i="17" s="1"/>
  <c r="M725" i="17" s="1"/>
  <c r="M726" i="17" s="1"/>
  <c r="M727" i="17" s="1"/>
  <c r="M728" i="17" s="1"/>
  <c r="M729" i="17" s="1"/>
  <c r="M730" i="17" s="1"/>
  <c r="M731" i="17" s="1"/>
  <c r="M732" i="17" s="1"/>
  <c r="M733" i="17" s="1"/>
  <c r="M734" i="17" s="1"/>
  <c r="M735" i="17" s="1"/>
  <c r="M736" i="17" s="1"/>
  <c r="M737" i="17" s="1"/>
  <c r="M738" i="17" s="1"/>
  <c r="M739" i="17" s="1"/>
  <c r="M740" i="17" s="1"/>
  <c r="M741" i="17" s="1"/>
  <c r="M742" i="17" s="1"/>
  <c r="M743" i="17" s="1"/>
  <c r="M744" i="17" s="1"/>
  <c r="M745" i="17" s="1"/>
  <c r="M746" i="17" s="1"/>
  <c r="M747" i="17" s="1"/>
  <c r="M748" i="17" s="1"/>
  <c r="M749" i="17" s="1"/>
  <c r="M750" i="17" s="1"/>
  <c r="M751" i="17" s="1"/>
  <c r="M752" i="17" s="1"/>
  <c r="M753" i="17" s="1"/>
  <c r="M754" i="17" s="1"/>
  <c r="M755" i="17" s="1"/>
  <c r="M756" i="17" s="1"/>
  <c r="M757" i="17" s="1"/>
  <c r="M758" i="17" s="1"/>
  <c r="M759" i="17" s="1"/>
  <c r="M760" i="17" s="1"/>
  <c r="M761" i="17" s="1"/>
  <c r="M762" i="17" s="1"/>
  <c r="M763" i="17" s="1"/>
  <c r="M764" i="17" s="1"/>
  <c r="M765" i="17" s="1"/>
  <c r="M766" i="17" s="1"/>
  <c r="M767" i="17" s="1"/>
  <c r="M768" i="17" s="1"/>
  <c r="M769" i="17" s="1"/>
  <c r="M770" i="17" s="1"/>
  <c r="M771" i="17" s="1"/>
  <c r="M772" i="17" s="1"/>
  <c r="M773" i="17" s="1"/>
  <c r="M774" i="17" s="1"/>
  <c r="M775" i="17" s="1"/>
  <c r="M776" i="17" s="1"/>
  <c r="M777" i="17" s="1"/>
  <c r="M778" i="17" s="1"/>
  <c r="M779" i="17" s="1"/>
  <c r="M780" i="17" s="1"/>
  <c r="M781" i="17" s="1"/>
  <c r="M782" i="17" s="1"/>
  <c r="M783" i="17" s="1"/>
  <c r="M784" i="17" s="1"/>
  <c r="M785" i="17" s="1"/>
  <c r="M786" i="17" s="1"/>
  <c r="M787" i="17" s="1"/>
  <c r="M788" i="17" s="1"/>
  <c r="M789" i="17" s="1"/>
  <c r="M790" i="17" s="1"/>
  <c r="M791" i="17" s="1"/>
  <c r="M792" i="17" s="1"/>
  <c r="M793" i="17" s="1"/>
  <c r="M794" i="17" s="1"/>
  <c r="M795" i="17" s="1"/>
  <c r="M796" i="17" s="1"/>
  <c r="M797" i="17" s="1"/>
  <c r="M798" i="17" s="1"/>
  <c r="M799" i="17" s="1"/>
  <c r="M800" i="17" s="1"/>
  <c r="M801" i="17" s="1"/>
  <c r="M802" i="17" s="1"/>
  <c r="M803" i="17" s="1"/>
  <c r="M804" i="17" s="1"/>
  <c r="M805" i="17" s="1"/>
  <c r="M806" i="17" s="1"/>
  <c r="M807" i="17" s="1"/>
  <c r="M808" i="17" s="1"/>
  <c r="M809" i="17" s="1"/>
  <c r="M810" i="17" s="1"/>
  <c r="M811" i="17" s="1"/>
  <c r="M812" i="17" s="1"/>
  <c r="M813" i="17" s="1"/>
  <c r="M814" i="17" s="1"/>
  <c r="M815" i="17" s="1"/>
  <c r="M816" i="17" s="1"/>
  <c r="M817" i="17" s="1"/>
  <c r="M818" i="17" s="1"/>
  <c r="M819" i="17" s="1"/>
  <c r="M820" i="17" s="1"/>
  <c r="M821" i="17" s="1"/>
  <c r="M822" i="17" s="1"/>
  <c r="M823" i="17" s="1"/>
  <c r="M824" i="17" s="1"/>
  <c r="M825" i="17" s="1"/>
  <c r="M826" i="17" s="1"/>
  <c r="M827" i="17" s="1"/>
  <c r="M828" i="17" s="1"/>
  <c r="M829" i="17" s="1"/>
  <c r="M830" i="17" s="1"/>
  <c r="M831" i="17" s="1"/>
  <c r="M832" i="17" s="1"/>
  <c r="M833" i="17" s="1"/>
  <c r="M834" i="17" s="1"/>
  <c r="M835" i="17" s="1"/>
  <c r="M836" i="17" s="1"/>
  <c r="M837" i="17" s="1"/>
  <c r="M838" i="17" s="1"/>
  <c r="M839" i="17" s="1"/>
  <c r="M840" i="17" s="1"/>
  <c r="M841" i="17" s="1"/>
  <c r="M842" i="17" s="1"/>
  <c r="M843" i="17" s="1"/>
  <c r="M844" i="17" s="1"/>
  <c r="M845" i="17" s="1"/>
  <c r="M846" i="17" s="1"/>
  <c r="M847" i="17" s="1"/>
  <c r="M848" i="17" s="1"/>
  <c r="M849" i="17" s="1"/>
  <c r="M850" i="17" s="1"/>
  <c r="M851" i="17" s="1"/>
  <c r="M852" i="17" s="1"/>
  <c r="M853" i="17" s="1"/>
  <c r="M854" i="17" s="1"/>
  <c r="M855" i="17" s="1"/>
  <c r="M856" i="17" s="1"/>
  <c r="M857" i="17" s="1"/>
  <c r="M858" i="17" s="1"/>
  <c r="M859" i="17" s="1"/>
  <c r="M860" i="17" s="1"/>
  <c r="M861" i="17" s="1"/>
  <c r="M862" i="17" s="1"/>
  <c r="M863" i="17" s="1"/>
  <c r="M864" i="17" s="1"/>
  <c r="M865" i="17" s="1"/>
  <c r="M866" i="17" s="1"/>
  <c r="M867" i="17" s="1"/>
  <c r="M868" i="17" s="1"/>
  <c r="M869" i="17" s="1"/>
  <c r="M870" i="17" s="1"/>
  <c r="M871" i="17" s="1"/>
  <c r="M872" i="17" s="1"/>
  <c r="M873" i="17" s="1"/>
  <c r="M874" i="17" s="1"/>
  <c r="M875" i="17" s="1"/>
  <c r="M876" i="17" s="1"/>
  <c r="M877" i="17" s="1"/>
  <c r="M878" i="17" s="1"/>
  <c r="M879" i="17" s="1"/>
  <c r="M880" i="17" s="1"/>
  <c r="M881" i="17" s="1"/>
  <c r="M882" i="17" s="1"/>
  <c r="M883" i="17" s="1"/>
  <c r="M884" i="17" s="1"/>
  <c r="M885" i="17" s="1"/>
  <c r="M886" i="17" s="1"/>
  <c r="M887" i="17" s="1"/>
  <c r="M888" i="17" s="1"/>
  <c r="M889" i="17" s="1"/>
  <c r="M890" i="17" s="1"/>
  <c r="M891" i="17" s="1"/>
  <c r="M892" i="17" s="1"/>
  <c r="M893" i="17" s="1"/>
  <c r="M894" i="17" s="1"/>
  <c r="M895" i="17" s="1"/>
  <c r="M896" i="17" s="1"/>
  <c r="M897" i="17" s="1"/>
  <c r="M898" i="17" s="1"/>
  <c r="M899" i="17" s="1"/>
  <c r="M900" i="17" s="1"/>
  <c r="M901" i="17" s="1"/>
  <c r="M902" i="17" s="1"/>
  <c r="M903" i="17" s="1"/>
  <c r="M904" i="17" s="1"/>
  <c r="M905" i="17" s="1"/>
  <c r="M906" i="17" s="1"/>
  <c r="M907" i="17" s="1"/>
  <c r="M908" i="17" s="1"/>
  <c r="M909" i="17" s="1"/>
  <c r="M910" i="17" s="1"/>
  <c r="M911" i="17" s="1"/>
  <c r="M912" i="17" s="1"/>
  <c r="M913" i="17" s="1"/>
  <c r="M914" i="17" s="1"/>
  <c r="M915" i="17" s="1"/>
  <c r="M916" i="17" s="1"/>
  <c r="M917" i="17" s="1"/>
  <c r="M918" i="17" s="1"/>
  <c r="M919" i="17" s="1"/>
  <c r="M920" i="17" s="1"/>
  <c r="M921" i="17" s="1"/>
  <c r="M922" i="17" s="1"/>
  <c r="M923" i="17" s="1"/>
  <c r="M924" i="17" s="1"/>
  <c r="M925" i="17" s="1"/>
  <c r="M926" i="17" s="1"/>
  <c r="M927" i="17" s="1"/>
  <c r="M928" i="17" s="1"/>
  <c r="M929" i="17" s="1"/>
  <c r="M930" i="17" s="1"/>
  <c r="M931" i="17" s="1"/>
  <c r="M932" i="17" s="1"/>
  <c r="M933" i="17" s="1"/>
  <c r="M934" i="17" s="1"/>
  <c r="M935" i="17" s="1"/>
  <c r="M936" i="17" s="1"/>
  <c r="M937" i="17" s="1"/>
  <c r="M938" i="17" s="1"/>
  <c r="M939" i="17" s="1"/>
  <c r="M940" i="17" s="1"/>
  <c r="M941" i="17" s="1"/>
  <c r="M942" i="17" s="1"/>
  <c r="M943" i="17" s="1"/>
  <c r="M944" i="17" s="1"/>
  <c r="M945" i="17" s="1"/>
  <c r="M946" i="17" s="1"/>
  <c r="M947" i="17" s="1"/>
  <c r="M948" i="17" s="1"/>
  <c r="M949" i="17" s="1"/>
  <c r="M950" i="17" s="1"/>
  <c r="M951" i="17" s="1"/>
  <c r="M952" i="17" s="1"/>
  <c r="M953" i="17" s="1"/>
  <c r="M954" i="17" s="1"/>
  <c r="M955" i="17" s="1"/>
  <c r="M956" i="17" s="1"/>
  <c r="M957" i="17" s="1"/>
  <c r="M958" i="17" s="1"/>
  <c r="M959" i="17" s="1"/>
  <c r="M960" i="17" s="1"/>
  <c r="M961" i="17" s="1"/>
  <c r="M962" i="17" s="1"/>
  <c r="M963" i="17" s="1"/>
  <c r="M964" i="17" s="1"/>
  <c r="M965" i="17" s="1"/>
  <c r="M966" i="17" s="1"/>
  <c r="M967" i="17" s="1"/>
  <c r="M968" i="17" s="1"/>
  <c r="M969" i="17" s="1"/>
  <c r="M970" i="17" s="1"/>
  <c r="M971" i="17" s="1"/>
  <c r="M972" i="17" s="1"/>
  <c r="M973" i="17" s="1"/>
  <c r="M974" i="17" s="1"/>
  <c r="M975" i="17" s="1"/>
  <c r="M976" i="17" s="1"/>
  <c r="M977" i="17" s="1"/>
  <c r="M978" i="17" s="1"/>
  <c r="M979" i="17" s="1"/>
  <c r="M980" i="17" s="1"/>
  <c r="M981" i="17" s="1"/>
  <c r="M982" i="17" s="1"/>
  <c r="M983" i="17" s="1"/>
  <c r="M984" i="17" s="1"/>
  <c r="M985" i="17" s="1"/>
  <c r="M986" i="17" s="1"/>
  <c r="M987" i="17" s="1"/>
  <c r="M988" i="17" s="1"/>
  <c r="M989" i="17" s="1"/>
  <c r="M990" i="17" s="1"/>
  <c r="M991" i="17" s="1"/>
  <c r="M992" i="17" s="1"/>
  <c r="M993" i="17" s="1"/>
  <c r="M994" i="17" s="1"/>
  <c r="M995" i="17" s="1"/>
  <c r="M996" i="17" s="1"/>
  <c r="M997" i="17" s="1"/>
  <c r="M998" i="17" s="1"/>
  <c r="M999" i="17" s="1"/>
  <c r="M1000" i="17" s="1"/>
  <c r="M1001" i="17" s="1"/>
  <c r="M1002" i="17" s="1"/>
  <c r="M1003" i="17" s="1"/>
  <c r="M1004" i="17" s="1"/>
  <c r="M1005" i="17" s="1"/>
  <c r="M1006" i="17" s="1"/>
  <c r="M1007" i="17" s="1"/>
  <c r="M1008" i="17" s="1"/>
  <c r="M1009" i="17" s="1"/>
  <c r="M1010" i="17" s="1"/>
  <c r="M1011" i="17" s="1"/>
  <c r="M1012" i="17" s="1"/>
  <c r="M1013" i="17" s="1"/>
  <c r="M1014" i="17" s="1"/>
  <c r="M1015" i="17" s="1"/>
  <c r="M1016" i="17" s="1"/>
  <c r="M1017" i="17" s="1"/>
  <c r="M1018" i="17" s="1"/>
  <c r="M1019" i="17" s="1"/>
  <c r="M1020" i="17" s="1"/>
  <c r="M1021" i="17" s="1"/>
  <c r="M1022" i="17" s="1"/>
  <c r="M1023" i="17" s="1"/>
  <c r="M1024" i="17" s="1"/>
  <c r="M1025" i="17" s="1"/>
  <c r="M1026" i="17" s="1"/>
  <c r="M1027" i="17" s="1"/>
  <c r="M1028" i="17" s="1"/>
  <c r="M1029" i="17" s="1"/>
  <c r="M1030" i="17" s="1"/>
  <c r="M1031" i="17" s="1"/>
  <c r="M1032" i="17" s="1"/>
  <c r="M1033" i="17" s="1"/>
  <c r="M1034" i="17" s="1"/>
  <c r="M1035" i="17" s="1"/>
  <c r="M1036" i="17" s="1"/>
  <c r="M1037" i="17" s="1"/>
  <c r="M1038" i="17" s="1"/>
  <c r="M1039" i="17" s="1"/>
  <c r="M1040" i="17" s="1"/>
  <c r="M1041" i="17" s="1"/>
  <c r="M1042" i="17" s="1"/>
  <c r="M1043" i="17" s="1"/>
  <c r="M1044" i="17" s="1"/>
  <c r="M1045" i="17" s="1"/>
  <c r="M1046" i="17" s="1"/>
  <c r="M1047" i="17" s="1"/>
  <c r="M1048" i="17" s="1"/>
  <c r="M1049" i="17" s="1"/>
  <c r="M1050" i="17" s="1"/>
  <c r="M1051" i="17" s="1"/>
  <c r="M1052" i="17" s="1"/>
  <c r="M1053" i="17" s="1"/>
  <c r="M1054" i="17" s="1"/>
  <c r="M1055" i="17" s="1"/>
  <c r="M1056" i="17" s="1"/>
  <c r="M1057" i="17" s="1"/>
  <c r="M1058" i="17" s="1"/>
  <c r="M1059" i="17" s="1"/>
  <c r="M1060" i="17" s="1"/>
  <c r="M1061" i="17" s="1"/>
  <c r="M1062" i="17" s="1"/>
  <c r="M1063" i="17" s="1"/>
  <c r="M1064" i="17" s="1"/>
  <c r="M1065" i="17" s="1"/>
  <c r="M1066" i="17" s="1"/>
  <c r="M1067" i="17" s="1"/>
  <c r="M1068" i="17" s="1"/>
  <c r="M1069" i="17" s="1"/>
  <c r="M1070" i="17" s="1"/>
  <c r="M1071" i="17" s="1"/>
  <c r="M1072" i="17" s="1"/>
  <c r="M1073" i="17" s="1"/>
  <c r="M1074" i="17" s="1"/>
  <c r="M1075" i="17" s="1"/>
  <c r="M1076" i="17" s="1"/>
  <c r="M1077" i="17" s="1"/>
  <c r="M1078" i="17" s="1"/>
  <c r="M1079" i="17" s="1"/>
  <c r="M1080" i="17" s="1"/>
  <c r="M1081" i="17" s="1"/>
  <c r="M1082" i="17" s="1"/>
  <c r="M1083" i="17" s="1"/>
  <c r="M1084" i="17" s="1"/>
  <c r="M1085" i="17" s="1"/>
  <c r="M1086" i="17" s="1"/>
  <c r="M1087" i="17" s="1"/>
  <c r="M1088" i="17" s="1"/>
  <c r="M1089" i="17" s="1"/>
  <c r="M1090" i="17" s="1"/>
  <c r="M1091" i="17" s="1"/>
  <c r="M1092" i="17" s="1"/>
  <c r="M1093" i="17" s="1"/>
  <c r="M1094" i="17" s="1"/>
  <c r="M1095" i="17" s="1"/>
  <c r="M1096" i="17" s="1"/>
  <c r="M1097" i="17" s="1"/>
  <c r="M1098" i="17" s="1"/>
  <c r="M1099" i="17" s="1"/>
  <c r="M1100" i="17" s="1"/>
  <c r="M1101" i="17" s="1"/>
  <c r="M1102" i="17" s="1"/>
  <c r="M1103" i="17" s="1"/>
  <c r="M1104" i="17" s="1"/>
  <c r="M1105" i="17" s="1"/>
  <c r="M1106" i="17" s="1"/>
  <c r="M1107" i="17" s="1"/>
  <c r="M1108" i="17" s="1"/>
  <c r="M1109" i="17" s="1"/>
  <c r="M1110" i="17" s="1"/>
  <c r="M1111" i="17" s="1"/>
  <c r="M1112" i="17" s="1"/>
  <c r="M1113" i="17" s="1"/>
  <c r="M1114" i="17" s="1"/>
  <c r="M1115" i="17" s="1"/>
  <c r="M1116" i="17" s="1"/>
  <c r="M1117" i="17" s="1"/>
  <c r="M1118" i="17" s="1"/>
  <c r="M1119" i="17" s="1"/>
  <c r="M1120" i="17" s="1"/>
  <c r="M1121" i="17" s="1"/>
  <c r="M1122" i="17" s="1"/>
  <c r="M1123" i="17" s="1"/>
  <c r="M1124" i="17" s="1"/>
  <c r="M1125" i="17" s="1"/>
  <c r="M1126" i="17" s="1"/>
  <c r="M1127" i="17" s="1"/>
  <c r="M1128" i="17" s="1"/>
  <c r="M1129" i="17" s="1"/>
  <c r="M1130" i="17" s="1"/>
  <c r="M1131" i="17" s="1"/>
  <c r="M1132" i="17" s="1"/>
  <c r="M1133" i="17" s="1"/>
  <c r="M1134" i="17" s="1"/>
  <c r="M1135" i="17" s="1"/>
  <c r="M1136" i="17" s="1"/>
  <c r="M1137" i="17" s="1"/>
  <c r="M1138" i="17" s="1"/>
  <c r="M1139" i="17" s="1"/>
  <c r="M1140" i="17" s="1"/>
  <c r="M1141" i="17" s="1"/>
  <c r="M1142" i="17" s="1"/>
  <c r="M1143" i="17" s="1"/>
  <c r="M1144" i="17" s="1"/>
  <c r="M1145" i="17" s="1"/>
  <c r="M1146" i="17" s="1"/>
  <c r="M1147" i="17" s="1"/>
  <c r="M1148" i="17" s="1"/>
  <c r="M1149" i="17" s="1"/>
  <c r="M1150" i="17" s="1"/>
  <c r="M1151" i="17" s="1"/>
  <c r="M1152" i="17" s="1"/>
  <c r="M1153" i="17" s="1"/>
  <c r="M1154" i="17" s="1"/>
  <c r="M1155" i="17" s="1"/>
  <c r="M1156" i="17" s="1"/>
  <c r="M1157" i="17" s="1"/>
  <c r="M1158" i="17" s="1"/>
  <c r="M1159" i="17" s="1"/>
  <c r="M1160" i="17" s="1"/>
  <c r="M1161" i="17" s="1"/>
  <c r="M1162" i="17" s="1"/>
  <c r="M1163" i="17" s="1"/>
  <c r="M1164" i="17" s="1"/>
  <c r="M1165" i="17" s="1"/>
  <c r="M1166" i="17" s="1"/>
  <c r="M1167" i="17" s="1"/>
  <c r="M1168" i="17" s="1"/>
  <c r="M1169" i="17" s="1"/>
  <c r="M1170" i="17" s="1"/>
  <c r="M1171" i="17" s="1"/>
  <c r="M1172" i="17" s="1"/>
  <c r="M1173" i="17" s="1"/>
  <c r="M1174" i="17" s="1"/>
  <c r="M1175" i="17" s="1"/>
  <c r="M1176" i="17" s="1"/>
  <c r="M1177" i="17" s="1"/>
  <c r="M1178" i="17" s="1"/>
  <c r="M1179" i="17" s="1"/>
  <c r="M1180" i="17" s="1"/>
  <c r="M1181" i="17" s="1"/>
  <c r="M1182" i="17" s="1"/>
  <c r="M1183" i="17" s="1"/>
  <c r="M1184" i="17" s="1"/>
  <c r="M1185" i="17" s="1"/>
  <c r="M1186" i="17" s="1"/>
  <c r="M1187" i="17" s="1"/>
  <c r="M1188" i="17" s="1"/>
  <c r="M1189" i="17" s="1"/>
  <c r="M1190" i="17" s="1"/>
  <c r="M1191" i="17" s="1"/>
  <c r="M1192" i="17" s="1"/>
  <c r="M1193" i="17" s="1"/>
  <c r="M1194" i="17" s="1"/>
  <c r="M1195" i="17" s="1"/>
  <c r="M1196" i="17" s="1"/>
  <c r="M1197" i="17" s="1"/>
  <c r="M1198" i="17" s="1"/>
  <c r="M1199" i="17" s="1"/>
  <c r="M1200" i="17" s="1"/>
  <c r="M1201" i="17" s="1"/>
  <c r="M1202" i="17" s="1"/>
  <c r="M1203" i="17" s="1"/>
  <c r="M1204" i="17" s="1"/>
  <c r="M1205" i="17" s="1"/>
  <c r="M1206" i="17" s="1"/>
  <c r="M1207" i="17" s="1"/>
  <c r="M1208" i="17" s="1"/>
  <c r="M1209" i="17" s="1"/>
  <c r="M1210" i="17" s="1"/>
  <c r="M1211" i="17" s="1"/>
  <c r="M1212" i="17" s="1"/>
  <c r="M1213" i="17" s="1"/>
  <c r="M1214" i="17" s="1"/>
  <c r="M1215" i="17" s="1"/>
  <c r="M1216" i="17" s="1"/>
  <c r="M1217" i="17" s="1"/>
  <c r="M1218" i="17" s="1"/>
  <c r="M1219" i="17" s="1"/>
  <c r="M1220" i="17" s="1"/>
  <c r="M1221" i="17" s="1"/>
  <c r="M1222" i="17" s="1"/>
  <c r="M1223" i="17" s="1"/>
  <c r="M1224" i="17" s="1"/>
  <c r="M1225" i="17" s="1"/>
  <c r="M1226" i="17" s="1"/>
  <c r="M1227" i="17" s="1"/>
  <c r="M1228" i="17" s="1"/>
  <c r="M1229" i="17" s="1"/>
  <c r="M1230" i="17" s="1"/>
  <c r="M1231" i="17" s="1"/>
  <c r="M1232" i="17" s="1"/>
  <c r="M1233" i="17" s="1"/>
  <c r="M1234" i="17" s="1"/>
  <c r="M1235" i="17" s="1"/>
  <c r="M1236" i="17" s="1"/>
  <c r="M1237" i="17" s="1"/>
  <c r="M1238" i="17" s="1"/>
  <c r="M1239" i="17" s="1"/>
  <c r="M1240" i="17" s="1"/>
  <c r="M1241" i="17" s="1"/>
  <c r="M1242" i="17" s="1"/>
  <c r="M1243" i="17" s="1"/>
  <c r="M1244" i="17" s="1"/>
  <c r="M1245" i="17" s="1"/>
  <c r="M1246" i="17" s="1"/>
  <c r="M1247" i="17" s="1"/>
  <c r="M1248" i="17" s="1"/>
  <c r="M1249" i="17" s="1"/>
  <c r="M1250" i="17" s="1"/>
  <c r="M1251" i="17" s="1"/>
  <c r="M1252" i="17" s="1"/>
  <c r="M1253" i="17" s="1"/>
  <c r="M1254" i="17" s="1"/>
  <c r="M1255" i="17" s="1"/>
  <c r="M1256" i="17" s="1"/>
  <c r="M1257" i="17" s="1"/>
  <c r="M1258" i="17" s="1"/>
  <c r="M1259" i="17" s="1"/>
  <c r="M1260" i="17" s="1"/>
  <c r="M1261" i="17" s="1"/>
  <c r="M1262" i="17" s="1"/>
  <c r="M1263" i="17" s="1"/>
  <c r="M1264" i="17" s="1"/>
  <c r="M1265" i="17" s="1"/>
  <c r="M1266" i="17" s="1"/>
  <c r="M1267" i="17" s="1"/>
  <c r="M1268" i="17" s="1"/>
  <c r="M1269" i="17" s="1"/>
  <c r="M1270" i="17" s="1"/>
  <c r="M1271" i="17" s="1"/>
  <c r="M1272" i="17" s="1"/>
  <c r="M1273" i="17" s="1"/>
  <c r="M1274" i="17" s="1"/>
  <c r="M1275" i="17" s="1"/>
  <c r="M1276" i="17" s="1"/>
  <c r="M1277" i="17" s="1"/>
  <c r="M1278" i="17" s="1"/>
  <c r="M1279" i="17" s="1"/>
  <c r="M1280" i="17" s="1"/>
  <c r="M1281" i="17" s="1"/>
  <c r="M1282" i="17" s="1"/>
  <c r="M1283" i="17" s="1"/>
  <c r="M1284" i="17" s="1"/>
  <c r="M1285" i="17" s="1"/>
  <c r="M1286" i="17" s="1"/>
  <c r="M1287" i="17" s="1"/>
  <c r="M1288" i="17" s="1"/>
  <c r="M1289" i="17" s="1"/>
  <c r="M1290" i="17" s="1"/>
  <c r="M1291" i="17" s="1"/>
  <c r="M1292" i="17" s="1"/>
  <c r="M1293" i="17" s="1"/>
  <c r="M1294" i="17" s="1"/>
  <c r="M1295" i="17" s="1"/>
  <c r="M1296" i="17" s="1"/>
  <c r="M1297" i="17" s="1"/>
  <c r="M1298" i="17" s="1"/>
  <c r="M1299" i="17" s="1"/>
  <c r="M1300" i="17" s="1"/>
  <c r="M1301" i="17" s="1"/>
  <c r="M1302" i="17" s="1"/>
  <c r="M1303" i="17" s="1"/>
  <c r="M1304" i="17" s="1"/>
  <c r="M1305" i="17" s="1"/>
  <c r="M1306" i="17" s="1"/>
  <c r="M1307" i="17" s="1"/>
  <c r="M1308" i="17" s="1"/>
  <c r="M1309" i="17" s="1"/>
  <c r="M1310" i="17" s="1"/>
  <c r="M1311" i="17" s="1"/>
  <c r="M1312" i="17" s="1"/>
  <c r="M1313" i="17" s="1"/>
  <c r="M1314" i="17" s="1"/>
  <c r="M1315" i="17" s="1"/>
  <c r="M1316" i="17" s="1"/>
  <c r="M1317" i="17" s="1"/>
  <c r="M1318" i="17" s="1"/>
  <c r="M1319" i="17" s="1"/>
  <c r="M1320" i="17" s="1"/>
  <c r="M1321" i="17" s="1"/>
  <c r="M1322" i="17" s="1"/>
  <c r="M1323" i="17" s="1"/>
  <c r="M1324" i="17" s="1"/>
  <c r="M1325" i="17" s="1"/>
  <c r="M1326" i="17" s="1"/>
  <c r="M1327" i="17" s="1"/>
  <c r="M1328" i="17" s="1"/>
  <c r="M1329" i="17" s="1"/>
  <c r="M1330" i="17" s="1"/>
  <c r="M1331" i="17" s="1"/>
  <c r="M1332" i="17" s="1"/>
  <c r="M1333" i="17" s="1"/>
  <c r="M1334" i="17" s="1"/>
  <c r="M1335" i="17" s="1"/>
  <c r="M1336" i="17" s="1"/>
  <c r="M1337" i="17" s="1"/>
  <c r="M1338" i="17" s="1"/>
  <c r="M1339" i="17" s="1"/>
  <c r="M1340" i="17" s="1"/>
  <c r="M1341" i="17" s="1"/>
  <c r="M1342" i="17" s="1"/>
  <c r="M1343" i="17" s="1"/>
  <c r="M1344" i="17" s="1"/>
  <c r="M1345" i="17" s="1"/>
  <c r="M1346" i="17" s="1"/>
  <c r="M1347" i="17" s="1"/>
  <c r="M1348" i="17" s="1"/>
  <c r="M1349" i="17" s="1"/>
  <c r="M1350" i="17" s="1"/>
  <c r="M1351" i="17" s="1"/>
  <c r="M1352" i="17" s="1"/>
  <c r="M1353" i="17" s="1"/>
  <c r="M1354" i="17" s="1"/>
  <c r="M1355" i="17" s="1"/>
  <c r="M1356" i="17" s="1"/>
  <c r="M1357" i="17" s="1"/>
  <c r="M1358" i="17" s="1"/>
  <c r="M1359" i="17" s="1"/>
  <c r="M1360" i="17" s="1"/>
  <c r="M1361" i="17" s="1"/>
  <c r="M1362" i="17" s="1"/>
  <c r="M1363" i="17" s="1"/>
  <c r="M1364" i="17" s="1"/>
  <c r="M1365" i="17" s="1"/>
  <c r="M1366" i="17" s="1"/>
  <c r="M1367" i="17" s="1"/>
  <c r="M1368" i="17" s="1"/>
  <c r="M1369" i="17" s="1"/>
  <c r="M1370" i="17" s="1"/>
  <c r="M1371" i="17" s="1"/>
  <c r="M1372" i="17" s="1"/>
  <c r="M1373" i="17" s="1"/>
  <c r="M1374" i="17" s="1"/>
  <c r="M1375" i="17" s="1"/>
  <c r="M1376" i="17" s="1"/>
  <c r="M1377" i="17" s="1"/>
  <c r="M1378" i="17" s="1"/>
  <c r="M1379" i="17" s="1"/>
  <c r="M1380" i="17" s="1"/>
  <c r="M1381" i="17" s="1"/>
  <c r="M1382" i="17" s="1"/>
  <c r="M1383" i="17" s="1"/>
  <c r="M1384" i="17" s="1"/>
  <c r="M1385" i="17" s="1"/>
  <c r="M1386" i="17" s="1"/>
  <c r="M1387" i="17" s="1"/>
  <c r="M1388" i="17" s="1"/>
  <c r="M1389" i="17" s="1"/>
  <c r="M1390" i="17" s="1"/>
  <c r="M1391" i="17" s="1"/>
  <c r="M1392" i="17" s="1"/>
  <c r="M1393" i="17" s="1"/>
  <c r="M1394" i="17" s="1"/>
  <c r="M1395" i="17" s="1"/>
  <c r="M1396" i="17" s="1"/>
  <c r="M1397" i="17" s="1"/>
  <c r="M1398" i="17" s="1"/>
  <c r="M1399" i="17" s="1"/>
  <c r="M1400" i="17" s="1"/>
  <c r="M1401" i="17" s="1"/>
  <c r="M1402" i="17" s="1"/>
  <c r="M1403" i="17" s="1"/>
  <c r="M1404" i="17" s="1"/>
  <c r="M1405" i="17" s="1"/>
  <c r="M1406" i="17" s="1"/>
  <c r="M1407" i="17" s="1"/>
  <c r="M1408" i="17" s="1"/>
  <c r="M1409" i="17" s="1"/>
  <c r="M1410" i="17" s="1"/>
  <c r="M1411" i="17" s="1"/>
  <c r="M1412" i="17" s="1"/>
  <c r="M1413" i="17" s="1"/>
  <c r="M1414" i="17" s="1"/>
  <c r="M1415" i="17" s="1"/>
  <c r="M1416" i="17" s="1"/>
  <c r="M1417" i="17" s="1"/>
  <c r="M1418" i="17" s="1"/>
  <c r="M1419" i="17" s="1"/>
  <c r="M1420" i="17" s="1"/>
  <c r="M1421" i="17" s="1"/>
  <c r="M1422" i="17" s="1"/>
  <c r="M1423" i="17" s="1"/>
  <c r="M1424" i="17" s="1"/>
  <c r="M1425" i="17" s="1"/>
  <c r="M1426" i="17" s="1"/>
  <c r="M1427" i="17" s="1"/>
  <c r="M1428" i="17" s="1"/>
  <c r="M1429" i="17" s="1"/>
  <c r="M1430" i="17" s="1"/>
  <c r="M1431" i="17" s="1"/>
  <c r="M1432" i="17" s="1"/>
  <c r="M1433" i="17" s="1"/>
  <c r="M1434" i="17" s="1"/>
  <c r="M1435" i="17" s="1"/>
  <c r="M1436" i="17" s="1"/>
  <c r="M1437" i="17" s="1"/>
  <c r="M1438" i="17" s="1"/>
  <c r="M1439" i="17" s="1"/>
  <c r="M1440" i="17" s="1"/>
  <c r="M1441" i="17" s="1"/>
  <c r="M1442" i="17" s="1"/>
  <c r="M1443" i="17" s="1"/>
  <c r="M1444" i="17" s="1"/>
  <c r="M1445" i="17" s="1"/>
  <c r="M1446" i="17" s="1"/>
  <c r="M1447" i="17" s="1"/>
  <c r="M1448" i="17" s="1"/>
  <c r="M1449" i="17" s="1"/>
  <c r="M1450" i="17" s="1"/>
  <c r="M1451" i="17" s="1"/>
  <c r="M1452" i="17" s="1"/>
  <c r="M1453" i="17" s="1"/>
  <c r="M1454" i="17" s="1"/>
  <c r="M1455" i="17" s="1"/>
  <c r="M1456" i="17" s="1"/>
  <c r="M1457" i="17" s="1"/>
  <c r="M1458" i="17" s="1"/>
  <c r="M1459" i="17" s="1"/>
  <c r="M1460" i="17" s="1"/>
  <c r="M1461" i="17" s="1"/>
  <c r="M1462" i="17" s="1"/>
  <c r="M1463" i="17" s="1"/>
  <c r="M1464" i="17" s="1"/>
  <c r="M1465" i="17" s="1"/>
  <c r="M1466" i="17" s="1"/>
  <c r="M1467" i="17" s="1"/>
  <c r="M1468" i="17" s="1"/>
  <c r="M1469" i="17" s="1"/>
  <c r="M1470" i="17" s="1"/>
  <c r="M1471" i="17" s="1"/>
  <c r="M1472" i="17" s="1"/>
  <c r="M1473" i="17" s="1"/>
  <c r="M1474" i="17" s="1"/>
  <c r="M1475" i="17" s="1"/>
  <c r="M1476" i="17" s="1"/>
  <c r="M1477" i="17" s="1"/>
  <c r="M1478" i="17" s="1"/>
  <c r="M1479" i="17" s="1"/>
  <c r="M1480" i="17" s="1"/>
  <c r="M1481" i="17" s="1"/>
  <c r="M1482" i="17" s="1"/>
  <c r="M1483" i="17" s="1"/>
  <c r="M1484" i="17" s="1"/>
  <c r="M1485" i="17" s="1"/>
  <c r="M1486" i="17" s="1"/>
  <c r="M1487" i="17" s="1"/>
  <c r="M1488" i="17" s="1"/>
  <c r="M1489" i="17" s="1"/>
  <c r="M1490" i="17" s="1"/>
  <c r="M1491" i="17" s="1"/>
  <c r="M1492" i="17" s="1"/>
  <c r="M1493" i="17" s="1"/>
  <c r="M1494" i="17" s="1"/>
  <c r="M1495" i="17" s="1"/>
  <c r="M1496" i="17" s="1"/>
  <c r="M1497" i="17" s="1"/>
  <c r="M1498" i="17" s="1"/>
  <c r="M1499" i="17" s="1"/>
  <c r="M1500" i="17" s="1"/>
  <c r="M1501" i="17" s="1"/>
  <c r="M1502" i="17" s="1"/>
  <c r="M1503" i="17" s="1"/>
  <c r="M1504" i="17" s="1"/>
  <c r="M1505" i="17" s="1"/>
  <c r="M1506" i="17" s="1"/>
  <c r="M1507" i="17" s="1"/>
  <c r="M1508" i="17" s="1"/>
  <c r="M1509" i="17" s="1"/>
  <c r="M1510" i="17" s="1"/>
  <c r="M1511" i="17" s="1"/>
  <c r="M1512" i="17" s="1"/>
  <c r="M1513" i="17" s="1"/>
  <c r="M1514" i="17" s="1"/>
  <c r="M1515" i="17" s="1"/>
  <c r="M1516" i="17" s="1"/>
  <c r="M1517" i="17" s="1"/>
  <c r="M1518" i="17" s="1"/>
  <c r="M1519" i="17" s="1"/>
  <c r="M1520" i="17" s="1"/>
  <c r="M1521" i="17" s="1"/>
  <c r="M1522" i="17" s="1"/>
  <c r="M1523" i="17" s="1"/>
  <c r="M1524" i="17" s="1"/>
  <c r="M1525" i="17" s="1"/>
  <c r="M1526" i="17" s="1"/>
  <c r="M1527" i="17" s="1"/>
  <c r="M1528" i="17" s="1"/>
  <c r="M1529" i="17" s="1"/>
  <c r="M1530" i="17" s="1"/>
  <c r="M1531" i="17" s="1"/>
  <c r="M1532" i="17" s="1"/>
  <c r="M1533" i="17" s="1"/>
  <c r="M1534" i="17" s="1"/>
  <c r="M1535" i="17" s="1"/>
  <c r="M1536" i="17" s="1"/>
  <c r="M1537" i="17" s="1"/>
  <c r="M1538" i="17" s="1"/>
  <c r="M1539" i="17" s="1"/>
  <c r="M1540" i="17" s="1"/>
  <c r="M1541" i="17" s="1"/>
  <c r="M1542" i="17" s="1"/>
  <c r="M1543" i="17" s="1"/>
  <c r="M1544" i="17" s="1"/>
  <c r="M1545" i="17" s="1"/>
  <c r="M1546" i="17" s="1"/>
  <c r="M1547" i="17" s="1"/>
  <c r="M1548" i="17" s="1"/>
  <c r="M1549" i="17" s="1"/>
  <c r="M1550" i="17" s="1"/>
  <c r="M1551" i="17" s="1"/>
  <c r="M1552" i="17" s="1"/>
  <c r="M1553" i="17" s="1"/>
  <c r="M1554" i="17" s="1"/>
  <c r="M1555" i="17" s="1"/>
  <c r="M1556" i="17" s="1"/>
  <c r="M1557" i="17" s="1"/>
  <c r="M1558" i="17" s="1"/>
  <c r="M1559" i="17" s="1"/>
  <c r="M1560" i="17" s="1"/>
  <c r="M1561" i="17" s="1"/>
  <c r="M1562" i="17" s="1"/>
  <c r="M1563" i="17" s="1"/>
  <c r="M1564" i="17" s="1"/>
  <c r="M1565" i="17" s="1"/>
  <c r="M1566" i="17" s="1"/>
  <c r="M1567" i="17" s="1"/>
  <c r="M1568" i="17" s="1"/>
  <c r="M1569" i="17" s="1"/>
  <c r="M1570" i="17" s="1"/>
  <c r="M1571" i="17" s="1"/>
  <c r="M1572" i="17" s="1"/>
  <c r="M1573" i="17" s="1"/>
  <c r="M1574" i="17" s="1"/>
  <c r="M1575" i="17" s="1"/>
  <c r="M1576" i="17" s="1"/>
  <c r="M1577" i="17" s="1"/>
  <c r="M1578" i="17" s="1"/>
  <c r="M1579" i="17" s="1"/>
  <c r="M1580" i="17" s="1"/>
  <c r="M1581" i="17" s="1"/>
  <c r="M1582" i="17" s="1"/>
  <c r="M1583" i="17" s="1"/>
  <c r="M1584" i="17" s="1"/>
  <c r="M1585" i="17" s="1"/>
  <c r="M1586" i="17" s="1"/>
  <c r="M1587" i="17" s="1"/>
  <c r="M1588" i="17" s="1"/>
  <c r="M1589" i="17" s="1"/>
  <c r="M1590" i="17" s="1"/>
  <c r="M1591" i="17" s="1"/>
  <c r="M1592" i="17" s="1"/>
  <c r="M1593" i="17" s="1"/>
  <c r="M1594" i="17" s="1"/>
  <c r="M1595" i="17" s="1"/>
  <c r="M1596" i="17" s="1"/>
  <c r="M1597" i="17" s="1"/>
  <c r="M1598" i="17" s="1"/>
  <c r="M1599" i="17" s="1"/>
  <c r="M1600" i="17" s="1"/>
  <c r="M1601" i="17" s="1"/>
  <c r="M1602" i="17" s="1"/>
  <c r="M1603" i="17" s="1"/>
  <c r="M1604" i="17" s="1"/>
  <c r="M1605" i="17" s="1"/>
  <c r="M1606" i="17" s="1"/>
  <c r="M1607" i="17" s="1"/>
  <c r="M1608" i="17" s="1"/>
  <c r="M1609" i="17" s="1"/>
  <c r="M1610" i="17" s="1"/>
  <c r="M1611" i="17" s="1"/>
  <c r="M1612" i="17" s="1"/>
  <c r="M1613" i="17" s="1"/>
  <c r="M1614" i="17" s="1"/>
  <c r="M1615" i="17" s="1"/>
  <c r="M1616" i="17" s="1"/>
  <c r="M1617" i="17" s="1"/>
  <c r="M1618" i="17" s="1"/>
  <c r="M1619" i="17" s="1"/>
  <c r="M1620" i="17" s="1"/>
  <c r="M1621" i="17" s="1"/>
  <c r="M1622" i="17" s="1"/>
  <c r="M1623" i="17" s="1"/>
  <c r="M1624" i="17" s="1"/>
  <c r="M1625" i="17" s="1"/>
  <c r="M1626" i="17" s="1"/>
  <c r="M1627" i="17" s="1"/>
  <c r="M1628" i="17" s="1"/>
  <c r="M1629" i="17" s="1"/>
  <c r="M1630" i="17" s="1"/>
  <c r="M1631" i="17" s="1"/>
  <c r="M1632" i="17" s="1"/>
  <c r="M1633" i="17" s="1"/>
  <c r="M1634" i="17" s="1"/>
  <c r="M1635" i="17" s="1"/>
  <c r="M1636" i="17" s="1"/>
  <c r="M1637" i="17" s="1"/>
  <c r="M1638" i="17" s="1"/>
  <c r="M1639" i="17" s="1"/>
  <c r="M1640" i="17" s="1"/>
  <c r="M1641" i="17" s="1"/>
  <c r="M1642" i="17" s="1"/>
  <c r="M1643" i="17" s="1"/>
  <c r="M1644" i="17" s="1"/>
  <c r="M1645" i="17" s="1"/>
  <c r="M1646" i="17" s="1"/>
  <c r="M1647" i="17" s="1"/>
  <c r="M1648" i="17" s="1"/>
  <c r="M1649" i="17" s="1"/>
  <c r="M1650" i="17" s="1"/>
  <c r="M1651" i="17" s="1"/>
  <c r="M1652" i="17" s="1"/>
  <c r="M1653" i="17" s="1"/>
  <c r="M1654" i="17" s="1"/>
  <c r="M1655" i="17" s="1"/>
  <c r="M1656" i="17" s="1"/>
  <c r="M1657" i="17" s="1"/>
  <c r="M1658" i="17" s="1"/>
  <c r="M1659" i="17" s="1"/>
  <c r="M1660" i="17" s="1"/>
  <c r="M1661" i="17" s="1"/>
  <c r="M1662" i="17" s="1"/>
  <c r="M1663" i="17" s="1"/>
  <c r="M1664" i="17" s="1"/>
  <c r="M1665" i="17" s="1"/>
  <c r="M1666" i="17" s="1"/>
  <c r="M1667" i="17" s="1"/>
  <c r="M1668" i="17" s="1"/>
  <c r="M1669" i="17" s="1"/>
  <c r="M1670" i="17" s="1"/>
  <c r="M1671" i="17" s="1"/>
  <c r="M1672" i="17" s="1"/>
  <c r="M1673" i="17" s="1"/>
  <c r="M1674" i="17" s="1"/>
  <c r="M1675" i="17" s="1"/>
  <c r="M1676" i="17" s="1"/>
  <c r="M1677" i="17" s="1"/>
  <c r="M1678" i="17" s="1"/>
  <c r="M1679" i="17" s="1"/>
  <c r="M1680" i="17" s="1"/>
  <c r="M1681" i="17" s="1"/>
  <c r="M1682" i="17" s="1"/>
  <c r="M1683" i="17" s="1"/>
  <c r="M1684" i="17" s="1"/>
  <c r="M1685" i="17" s="1"/>
  <c r="M1686" i="17" s="1"/>
  <c r="M1687" i="17" s="1"/>
  <c r="M1688" i="17" s="1"/>
  <c r="M1689" i="17" s="1"/>
  <c r="M1690" i="17" s="1"/>
  <c r="M1691" i="17" s="1"/>
  <c r="M1692" i="17" s="1"/>
  <c r="M1693" i="17" s="1"/>
  <c r="M1694" i="17" s="1"/>
  <c r="M1695" i="17" s="1"/>
  <c r="M1696" i="17" s="1"/>
  <c r="M1697" i="17" s="1"/>
  <c r="M1698" i="17" s="1"/>
  <c r="M1699" i="17" s="1"/>
  <c r="M1700" i="17" s="1"/>
  <c r="M1701" i="17" s="1"/>
  <c r="M1702" i="17" s="1"/>
  <c r="M1703" i="17" s="1"/>
  <c r="M1704" i="17" s="1"/>
  <c r="M1705" i="17" s="1"/>
  <c r="M1706" i="17" s="1"/>
  <c r="M1707" i="17" s="1"/>
  <c r="M1708" i="17" s="1"/>
  <c r="M1709" i="17" s="1"/>
  <c r="M1710" i="17" s="1"/>
  <c r="M1711" i="17" s="1"/>
  <c r="M1712" i="17" s="1"/>
  <c r="M1713" i="17" s="1"/>
  <c r="M1714" i="17" s="1"/>
  <c r="M1715" i="17" s="1"/>
  <c r="M1716" i="17" s="1"/>
  <c r="M1717" i="17" s="1"/>
  <c r="M1718" i="17" s="1"/>
  <c r="M1719" i="17" s="1"/>
  <c r="M1720" i="17" s="1"/>
  <c r="M1721" i="17" s="1"/>
  <c r="M1722" i="17" s="1"/>
  <c r="M1723" i="17" s="1"/>
  <c r="M1724" i="17" s="1"/>
  <c r="M1725" i="17" s="1"/>
  <c r="M1726" i="17" s="1"/>
  <c r="M1727" i="17" s="1"/>
  <c r="M1728" i="17" s="1"/>
  <c r="M1729" i="17" s="1"/>
  <c r="M1730" i="17" s="1"/>
  <c r="M1731" i="17" s="1"/>
  <c r="M1732" i="17" s="1"/>
  <c r="M1733" i="17" s="1"/>
  <c r="M1734" i="17" s="1"/>
  <c r="M1735" i="17" s="1"/>
  <c r="M1736" i="17" s="1"/>
  <c r="M1737" i="17" s="1"/>
  <c r="M1738" i="17" s="1"/>
  <c r="M1739" i="17" s="1"/>
  <c r="M1740" i="17" s="1"/>
  <c r="M1741" i="17" s="1"/>
  <c r="M1742" i="17" s="1"/>
  <c r="M1743" i="17" s="1"/>
  <c r="M1744" i="17" s="1"/>
  <c r="M1745" i="17" s="1"/>
  <c r="M1746" i="17" s="1"/>
  <c r="M1747" i="17" s="1"/>
  <c r="M1748" i="17" s="1"/>
  <c r="M1749" i="17" s="1"/>
  <c r="M1750" i="17" s="1"/>
  <c r="M1751" i="17" s="1"/>
  <c r="M1752" i="17" s="1"/>
  <c r="M1753" i="17" s="1"/>
  <c r="M1754" i="17" s="1"/>
  <c r="M1755" i="17" s="1"/>
  <c r="M1756" i="17" s="1"/>
  <c r="M1757" i="17" s="1"/>
  <c r="M1758" i="17" s="1"/>
  <c r="M1759" i="17" s="1"/>
  <c r="M1760" i="17" s="1"/>
  <c r="M1761" i="17" s="1"/>
  <c r="M1762" i="17" s="1"/>
  <c r="M1763" i="17" s="1"/>
  <c r="M1764" i="17" s="1"/>
  <c r="M1765" i="17" s="1"/>
  <c r="M1766" i="17" s="1"/>
  <c r="M1767" i="17" s="1"/>
  <c r="M1768" i="17" s="1"/>
  <c r="M1769" i="17" s="1"/>
  <c r="M1770" i="17" s="1"/>
  <c r="M1771" i="17" s="1"/>
  <c r="M1772" i="17" s="1"/>
  <c r="M1773" i="17" s="1"/>
  <c r="M1774" i="17" s="1"/>
  <c r="M1775" i="17" s="1"/>
  <c r="M1776" i="17" s="1"/>
  <c r="M1777" i="17" s="1"/>
  <c r="M1778" i="17" s="1"/>
  <c r="M1779" i="17" s="1"/>
  <c r="M1780" i="17" s="1"/>
  <c r="M1781" i="17" s="1"/>
  <c r="M1782" i="17" s="1"/>
  <c r="M1783" i="17" s="1"/>
  <c r="M1784" i="17" s="1"/>
  <c r="M1785" i="17" s="1"/>
  <c r="M1786" i="17" s="1"/>
  <c r="M1787" i="17" s="1"/>
  <c r="M1788" i="17" s="1"/>
  <c r="M1789" i="17" s="1"/>
  <c r="M1790" i="17" s="1"/>
  <c r="M1791" i="17" s="1"/>
  <c r="M1792" i="17" s="1"/>
  <c r="M1793" i="17" s="1"/>
  <c r="M1794" i="17" s="1"/>
  <c r="M1795" i="17" s="1"/>
  <c r="M1796" i="17" s="1"/>
  <c r="M1797" i="17" s="1"/>
  <c r="M1798" i="17" s="1"/>
  <c r="M1799" i="17" s="1"/>
  <c r="M1800" i="17" s="1"/>
  <c r="M1801" i="17" s="1"/>
  <c r="M1802" i="17" s="1"/>
  <c r="M1803" i="17" s="1"/>
  <c r="M1804" i="17" s="1"/>
  <c r="M1805" i="17" s="1"/>
  <c r="M1806" i="17" s="1"/>
  <c r="M1807" i="17" s="1"/>
  <c r="M1808" i="17" s="1"/>
  <c r="M1809" i="17" s="1"/>
  <c r="M1810" i="17" s="1"/>
  <c r="M1811" i="17" s="1"/>
  <c r="M1812" i="17" s="1"/>
  <c r="M1813" i="17" s="1"/>
  <c r="M1814" i="17" s="1"/>
  <c r="M1815" i="17" s="1"/>
  <c r="M1816" i="17" s="1"/>
  <c r="M1817" i="17" s="1"/>
  <c r="M1818" i="17" s="1"/>
  <c r="M1819" i="17" s="1"/>
  <c r="M1820" i="17" s="1"/>
  <c r="M1821" i="17" s="1"/>
  <c r="M1822" i="17" s="1"/>
  <c r="M1823" i="17" s="1"/>
  <c r="M1824" i="17" s="1"/>
  <c r="M1825" i="17" s="1"/>
  <c r="M1826" i="17" s="1"/>
  <c r="M1827" i="17" s="1"/>
  <c r="M1828" i="17" s="1"/>
  <c r="M1829" i="17" s="1"/>
  <c r="M1830" i="17" s="1"/>
  <c r="M1831" i="17" s="1"/>
  <c r="M1832" i="17" s="1"/>
  <c r="M1833" i="17" s="1"/>
  <c r="M1834" i="17" s="1"/>
  <c r="M1835" i="17" s="1"/>
  <c r="M1836" i="17" s="1"/>
  <c r="M1837" i="17" s="1"/>
  <c r="M1838" i="17" s="1"/>
  <c r="M1839" i="17" s="1"/>
  <c r="M1840" i="17" s="1"/>
  <c r="M1841" i="17" s="1"/>
  <c r="M1842" i="17" s="1"/>
  <c r="M1843" i="17" s="1"/>
  <c r="M1844" i="17" s="1"/>
  <c r="M1845" i="17" s="1"/>
  <c r="M1846" i="17" s="1"/>
  <c r="M1847" i="17" s="1"/>
  <c r="M1848" i="17" s="1"/>
  <c r="M1849" i="17" s="1"/>
  <c r="M1850" i="17" s="1"/>
  <c r="M1851" i="17" s="1"/>
  <c r="M1852" i="17" s="1"/>
  <c r="M1853" i="17" s="1"/>
  <c r="M1854" i="17" s="1"/>
  <c r="M1855" i="17" s="1"/>
  <c r="M1856" i="17" s="1"/>
  <c r="M1857" i="17" s="1"/>
  <c r="M1858" i="17" s="1"/>
  <c r="M1859" i="17" s="1"/>
  <c r="M1860" i="17" s="1"/>
  <c r="M1861" i="17" s="1"/>
  <c r="M1862" i="17" s="1"/>
  <c r="M1863" i="17" s="1"/>
  <c r="M1864" i="17" s="1"/>
  <c r="M1865" i="17" s="1"/>
  <c r="M1866" i="17" s="1"/>
  <c r="M1867" i="17" s="1"/>
  <c r="M1868" i="17" s="1"/>
  <c r="M1869" i="17" s="1"/>
  <c r="M1870" i="17" s="1"/>
  <c r="M1871" i="17" s="1"/>
  <c r="M1872" i="17" s="1"/>
  <c r="M1873" i="17" s="1"/>
  <c r="M1874" i="17" s="1"/>
  <c r="M1875" i="17" s="1"/>
  <c r="M1876" i="17" s="1"/>
  <c r="M1877" i="17" s="1"/>
  <c r="M1878" i="17" s="1"/>
  <c r="M1879" i="17" s="1"/>
  <c r="M1880" i="17" s="1"/>
  <c r="M1881" i="17" s="1"/>
  <c r="M1882" i="17" s="1"/>
  <c r="M1883" i="17" s="1"/>
  <c r="M1884" i="17" s="1"/>
  <c r="M1885" i="17" s="1"/>
  <c r="M1886" i="17" s="1"/>
  <c r="M1887" i="17" s="1"/>
  <c r="M1888" i="17" s="1"/>
  <c r="M1889" i="17" s="1"/>
  <c r="M1890" i="17" s="1"/>
  <c r="M1891" i="17" s="1"/>
  <c r="M1892" i="17" s="1"/>
  <c r="M1893" i="17" s="1"/>
  <c r="M1894" i="17" s="1"/>
  <c r="M1895" i="17" s="1"/>
  <c r="M1896" i="17" s="1"/>
  <c r="M1897" i="17" s="1"/>
  <c r="M1898" i="17" s="1"/>
  <c r="M1899" i="17" s="1"/>
  <c r="M1900" i="17" s="1"/>
  <c r="M1901" i="17" s="1"/>
  <c r="M1902" i="17" s="1"/>
  <c r="M1903" i="17" s="1"/>
  <c r="M1904" i="17" s="1"/>
  <c r="M1905" i="17" s="1"/>
  <c r="M1906" i="17" s="1"/>
  <c r="M1907" i="17" s="1"/>
  <c r="M1908" i="17" s="1"/>
  <c r="M1909" i="17" s="1"/>
  <c r="M1910" i="17" s="1"/>
  <c r="M1911" i="17" s="1"/>
  <c r="M1912" i="17" s="1"/>
  <c r="M1913" i="17" s="1"/>
  <c r="M1914" i="17" s="1"/>
  <c r="M1915" i="17" s="1"/>
  <c r="M1916" i="17" s="1"/>
  <c r="M1917" i="17" s="1"/>
  <c r="M1918" i="17" s="1"/>
  <c r="M1919" i="17" s="1"/>
  <c r="M1920" i="17" s="1"/>
  <c r="M1921" i="17" s="1"/>
  <c r="M1922" i="17" s="1"/>
  <c r="M1923" i="17" s="1"/>
  <c r="M1924" i="17" s="1"/>
  <c r="M1925" i="17" s="1"/>
  <c r="M1926" i="17" s="1"/>
  <c r="M1927" i="17" s="1"/>
  <c r="M1928" i="17" s="1"/>
  <c r="M1929" i="17" s="1"/>
  <c r="M1930" i="17" s="1"/>
  <c r="M1931" i="17" s="1"/>
  <c r="M1932" i="17" s="1"/>
  <c r="M1933" i="17" s="1"/>
  <c r="M1934" i="17" s="1"/>
  <c r="M1935" i="17" s="1"/>
  <c r="M1936" i="17" s="1"/>
  <c r="M1937" i="17" s="1"/>
  <c r="M1938" i="17" s="1"/>
  <c r="M1939" i="17" s="1"/>
  <c r="M1940" i="17" s="1"/>
  <c r="M1941" i="17" s="1"/>
  <c r="M1942" i="17" s="1"/>
  <c r="M1943" i="17" s="1"/>
  <c r="M1944" i="17" s="1"/>
  <c r="M1945" i="17" s="1"/>
  <c r="M1946" i="17" s="1"/>
  <c r="M1947" i="17" s="1"/>
  <c r="M1948" i="17" s="1"/>
  <c r="M1949" i="17" s="1"/>
  <c r="M1950" i="17" s="1"/>
  <c r="M1951" i="17" s="1"/>
  <c r="M1952" i="17" s="1"/>
  <c r="M1953" i="17" s="1"/>
  <c r="M1954" i="17" s="1"/>
  <c r="M1955" i="17" s="1"/>
  <c r="M1956" i="17" s="1"/>
  <c r="M1957" i="17" s="1"/>
  <c r="M1958" i="17" s="1"/>
  <c r="M1959" i="17" s="1"/>
  <c r="M1960" i="17" s="1"/>
  <c r="M1961" i="17" s="1"/>
  <c r="M1962" i="17" s="1"/>
  <c r="M1963" i="17" s="1"/>
  <c r="M1964" i="17" s="1"/>
  <c r="M1965" i="17" s="1"/>
  <c r="M1966" i="17" s="1"/>
  <c r="M1967" i="17" s="1"/>
  <c r="M1968" i="17" s="1"/>
  <c r="M1969" i="17" s="1"/>
  <c r="M1970" i="17" s="1"/>
  <c r="M1971" i="17" s="1"/>
  <c r="M1972" i="17" s="1"/>
  <c r="M1973" i="17" s="1"/>
  <c r="M1974" i="17" s="1"/>
  <c r="M1975" i="17" s="1"/>
  <c r="M1976" i="17" s="1"/>
  <c r="M1977" i="17" s="1"/>
  <c r="M1978" i="17" s="1"/>
  <c r="M1979" i="17" s="1"/>
  <c r="M1980" i="17" s="1"/>
  <c r="M1981" i="17" s="1"/>
  <c r="M1982" i="17" s="1"/>
  <c r="M1983" i="17" s="1"/>
  <c r="M1984" i="17" s="1"/>
  <c r="M1985" i="17" s="1"/>
  <c r="M1986" i="17" s="1"/>
  <c r="M1987" i="17" s="1"/>
  <c r="M1988" i="17" s="1"/>
  <c r="M1989" i="17" s="1"/>
  <c r="M1990" i="17" s="1"/>
  <c r="M1991" i="17" s="1"/>
  <c r="M1992" i="17" s="1"/>
  <c r="M1993" i="17" s="1"/>
  <c r="M1994" i="17" s="1"/>
  <c r="M1995" i="17" s="1"/>
  <c r="M1996" i="17" s="1"/>
  <c r="M1997" i="17" s="1"/>
  <c r="M1998" i="17" s="1"/>
  <c r="M1999" i="17" s="1"/>
  <c r="M2000" i="17" s="1"/>
  <c r="M2001" i="17" s="1"/>
  <c r="M2002" i="17" s="1"/>
  <c r="M2003" i="17" s="1"/>
  <c r="M2004" i="17" s="1"/>
  <c r="M2005" i="17" s="1"/>
  <c r="M2006" i="17" s="1"/>
  <c r="M2007" i="17" s="1"/>
  <c r="M2008" i="17" s="1"/>
  <c r="M2009" i="17" s="1"/>
  <c r="M2010" i="17" s="1"/>
  <c r="M2011" i="17" s="1"/>
  <c r="M2012" i="17" s="1"/>
  <c r="M2013" i="17" s="1"/>
  <c r="M2014" i="17" s="1"/>
  <c r="M2015" i="17" s="1"/>
  <c r="M2016" i="17" s="1"/>
  <c r="M2017" i="17" s="1"/>
  <c r="M2018" i="17" s="1"/>
  <c r="M2019" i="17" s="1"/>
  <c r="M2020" i="17" s="1"/>
  <c r="M2021" i="17" s="1"/>
  <c r="M2022" i="17" s="1"/>
  <c r="M2023" i="17" s="1"/>
  <c r="M2024" i="17" s="1"/>
  <c r="M2025" i="17" s="1"/>
  <c r="M2026" i="17" s="1"/>
  <c r="M2027" i="17" s="1"/>
  <c r="M2028" i="17" s="1"/>
  <c r="M2029" i="17" s="1"/>
  <c r="M2030" i="17" s="1"/>
  <c r="M2031" i="17" s="1"/>
  <c r="M2032" i="17" s="1"/>
  <c r="M2033" i="17" s="1"/>
  <c r="M2034" i="17" s="1"/>
  <c r="M2035" i="17" s="1"/>
  <c r="M2036" i="17" s="1"/>
  <c r="M2037" i="17" s="1"/>
  <c r="M2038" i="17" s="1"/>
  <c r="M2039" i="17" s="1"/>
  <c r="M2040" i="17" s="1"/>
  <c r="M2041" i="17" s="1"/>
  <c r="M2042" i="17" s="1"/>
  <c r="M2043" i="17" s="1"/>
  <c r="M2044" i="17" s="1"/>
  <c r="M2045" i="17" s="1"/>
  <c r="M2046" i="17" s="1"/>
  <c r="M2047" i="17" s="1"/>
  <c r="M2048" i="17" s="1"/>
  <c r="M2049" i="17" s="1"/>
  <c r="M2050" i="17" s="1"/>
  <c r="M2051" i="17" s="1"/>
  <c r="M2052" i="17" s="1"/>
  <c r="M2053" i="17" s="1"/>
  <c r="M2054" i="17" s="1"/>
  <c r="M2055" i="17" s="1"/>
  <c r="M2056" i="17" s="1"/>
  <c r="M2057" i="17" s="1"/>
  <c r="M2058" i="17" s="1"/>
  <c r="M2059" i="17" s="1"/>
  <c r="M2060" i="17" s="1"/>
  <c r="M2061" i="17" s="1"/>
  <c r="M2062" i="17" s="1"/>
  <c r="M2063" i="17" s="1"/>
  <c r="M2064" i="17" s="1"/>
  <c r="M2065" i="17" s="1"/>
  <c r="M2066" i="17" s="1"/>
  <c r="M2067" i="17" s="1"/>
  <c r="M2068" i="17" s="1"/>
  <c r="M2069" i="17" s="1"/>
  <c r="M2070" i="17" s="1"/>
  <c r="M2071" i="17" s="1"/>
  <c r="M2072" i="17" s="1"/>
  <c r="M2073" i="17" s="1"/>
  <c r="M2074" i="17" s="1"/>
  <c r="M2075" i="17" s="1"/>
  <c r="M2076" i="17" s="1"/>
  <c r="M2077" i="17" s="1"/>
  <c r="M2078" i="17" s="1"/>
  <c r="M2079" i="17" s="1"/>
  <c r="M2080" i="17" s="1"/>
  <c r="M2081" i="17" s="1"/>
  <c r="M2082" i="17" s="1"/>
  <c r="M2083" i="17" s="1"/>
  <c r="M2084" i="17" s="1"/>
  <c r="M2085" i="17" s="1"/>
  <c r="M2086" i="17" s="1"/>
  <c r="M2087" i="17" s="1"/>
  <c r="M2088" i="17" s="1"/>
  <c r="M2089" i="17" s="1"/>
  <c r="M2090" i="17" s="1"/>
  <c r="M2091" i="17" s="1"/>
  <c r="M2092" i="17" s="1"/>
  <c r="M2093" i="17" s="1"/>
  <c r="M2094" i="17" s="1"/>
  <c r="M2095" i="17" s="1"/>
  <c r="M2096" i="17" s="1"/>
  <c r="M2097" i="17" s="1"/>
  <c r="M2098" i="17" s="1"/>
  <c r="M2099" i="17" s="1"/>
  <c r="M2100" i="17" s="1"/>
  <c r="M2101" i="17" s="1"/>
  <c r="M2102" i="17" s="1"/>
  <c r="M2103" i="17" s="1"/>
  <c r="M2104" i="17" s="1"/>
  <c r="M2105" i="17" s="1"/>
  <c r="M2106" i="17" s="1"/>
  <c r="M2107" i="17" s="1"/>
  <c r="M2108" i="17" s="1"/>
  <c r="M2109" i="17" s="1"/>
  <c r="M2110" i="17" s="1"/>
  <c r="M2111" i="17" s="1"/>
  <c r="M2112" i="17" s="1"/>
  <c r="M2113" i="17" s="1"/>
  <c r="M2114" i="17" s="1"/>
  <c r="M2115" i="17" s="1"/>
  <c r="M2116" i="17" s="1"/>
  <c r="M2117" i="17" s="1"/>
  <c r="M2118" i="17" s="1"/>
  <c r="M2119" i="17" s="1"/>
  <c r="M2120" i="17" s="1"/>
  <c r="M2121" i="17" s="1"/>
  <c r="M2122" i="17" s="1"/>
  <c r="M2123" i="17" s="1"/>
  <c r="M2124" i="17" s="1"/>
  <c r="M2125" i="17" s="1"/>
  <c r="M2126" i="17" s="1"/>
  <c r="M2127" i="17" s="1"/>
  <c r="M2128" i="17" s="1"/>
  <c r="M2129" i="17" s="1"/>
  <c r="M2130" i="17" s="1"/>
  <c r="M2131" i="17" s="1"/>
  <c r="M2132" i="17" s="1"/>
  <c r="M2133" i="17" s="1"/>
  <c r="M2134" i="17" s="1"/>
  <c r="M2135" i="17" s="1"/>
  <c r="M2136" i="17" s="1"/>
  <c r="M2137" i="17" s="1"/>
  <c r="M2138" i="17" s="1"/>
  <c r="M2139" i="17" s="1"/>
  <c r="M2140" i="17" s="1"/>
  <c r="M2141" i="17" s="1"/>
  <c r="M2142" i="17" s="1"/>
  <c r="M2143" i="17" s="1"/>
  <c r="M2144" i="17" s="1"/>
  <c r="M2145" i="17" s="1"/>
  <c r="M2146" i="17" s="1"/>
  <c r="M2147" i="17" s="1"/>
  <c r="M2148" i="17" s="1"/>
  <c r="M2149" i="17" s="1"/>
  <c r="M2150" i="17" s="1"/>
  <c r="M2151" i="17" s="1"/>
  <c r="M2152" i="17" s="1"/>
  <c r="M2153" i="17" s="1"/>
  <c r="M2154" i="17" s="1"/>
  <c r="M2155" i="17" s="1"/>
  <c r="M2156" i="17" s="1"/>
  <c r="M2157" i="17" s="1"/>
  <c r="M2158" i="17" s="1"/>
  <c r="M2159" i="17" s="1"/>
  <c r="M2160" i="17" s="1"/>
  <c r="M2161" i="17" s="1"/>
  <c r="M2162" i="17" s="1"/>
  <c r="M2163" i="17" s="1"/>
  <c r="M2164" i="17" s="1"/>
  <c r="M2165" i="17" s="1"/>
  <c r="M2166" i="17" s="1"/>
  <c r="M2167" i="17" s="1"/>
  <c r="M2168" i="17" s="1"/>
  <c r="M2169" i="17" s="1"/>
  <c r="M2170" i="17" s="1"/>
  <c r="M2171" i="17" s="1"/>
  <c r="M2172" i="17" s="1"/>
  <c r="M2173" i="17" s="1"/>
  <c r="M2174" i="17" s="1"/>
  <c r="M2175" i="17" s="1"/>
  <c r="M2176" i="17" s="1"/>
  <c r="M2177" i="17" s="1"/>
  <c r="M2178" i="17" s="1"/>
  <c r="M2179" i="17" s="1"/>
  <c r="M2180" i="17" s="1"/>
  <c r="M2181" i="17" s="1"/>
  <c r="M2182" i="17" s="1"/>
  <c r="M2183" i="17" s="1"/>
  <c r="M2184" i="17" s="1"/>
  <c r="M2185" i="17" s="1"/>
  <c r="M2186" i="17" s="1"/>
  <c r="M2187" i="17" s="1"/>
  <c r="M2188" i="17" s="1"/>
  <c r="M2189" i="17" s="1"/>
  <c r="M2190" i="17" s="1"/>
  <c r="M2191" i="17" s="1"/>
  <c r="M2192" i="17" s="1"/>
  <c r="M2193" i="17" s="1"/>
  <c r="M2194" i="17" s="1"/>
  <c r="M2195" i="17" s="1"/>
  <c r="M2196" i="17" s="1"/>
  <c r="M2197" i="17" s="1"/>
  <c r="M2198" i="17" s="1"/>
  <c r="M2199" i="17" s="1"/>
  <c r="M2200" i="17" s="1"/>
  <c r="M2201" i="17" s="1"/>
  <c r="M2202" i="17" s="1"/>
  <c r="M2203" i="17" s="1"/>
  <c r="M2204" i="17" s="1"/>
  <c r="M2205" i="17" s="1"/>
  <c r="M2206" i="17" s="1"/>
  <c r="M2207" i="17" s="1"/>
  <c r="M2208" i="17" s="1"/>
  <c r="M2209" i="17" s="1"/>
  <c r="M2210" i="17" s="1"/>
  <c r="M2211" i="17" s="1"/>
  <c r="M2212" i="17" s="1"/>
  <c r="M2213" i="17" s="1"/>
  <c r="M2214" i="17" s="1"/>
  <c r="M2215" i="17" s="1"/>
  <c r="M2216" i="17" s="1"/>
  <c r="M2217" i="17" s="1"/>
  <c r="M2218" i="17" s="1"/>
  <c r="M2219" i="17" s="1"/>
  <c r="M2220" i="17" s="1"/>
  <c r="M2221" i="17" s="1"/>
  <c r="M2222" i="17" s="1"/>
  <c r="M2223" i="17" s="1"/>
  <c r="M2224" i="17" s="1"/>
  <c r="M2225" i="17" s="1"/>
  <c r="M2226" i="17" s="1"/>
  <c r="M2227" i="17" s="1"/>
  <c r="M2228" i="17" s="1"/>
  <c r="M2229" i="17" s="1"/>
  <c r="M2230" i="17" s="1"/>
  <c r="M2231" i="17" s="1"/>
  <c r="M2232" i="17" s="1"/>
  <c r="M2233" i="17" s="1"/>
  <c r="M2234" i="17" s="1"/>
  <c r="M2235" i="17" s="1"/>
  <c r="M2236" i="17" s="1"/>
  <c r="M2237" i="17" s="1"/>
  <c r="M2238" i="17" s="1"/>
  <c r="M2239" i="17" s="1"/>
  <c r="M2240" i="17" s="1"/>
  <c r="M2241" i="17" s="1"/>
  <c r="M2242" i="17" s="1"/>
  <c r="M2243" i="17" s="1"/>
  <c r="M2244" i="17" s="1"/>
  <c r="M2245" i="17" s="1"/>
  <c r="M2246" i="17" s="1"/>
  <c r="M2247" i="17" s="1"/>
  <c r="M2248" i="17" s="1"/>
  <c r="M2249" i="17" s="1"/>
  <c r="M2250" i="17" s="1"/>
  <c r="M2251" i="17" s="1"/>
  <c r="M2252" i="17" s="1"/>
  <c r="M2253" i="17" s="1"/>
  <c r="M2254" i="17" s="1"/>
  <c r="M2255" i="17" s="1"/>
  <c r="M2256" i="17" s="1"/>
  <c r="M2257" i="17" s="1"/>
  <c r="M2258" i="17" s="1"/>
  <c r="M2259" i="17" s="1"/>
  <c r="M2260" i="17" s="1"/>
  <c r="M2261" i="17" s="1"/>
  <c r="M2262" i="17" s="1"/>
  <c r="M2263" i="17" s="1"/>
  <c r="M2264" i="17" s="1"/>
  <c r="M2265" i="17" s="1"/>
  <c r="M2266" i="17" s="1"/>
  <c r="M2267" i="17" s="1"/>
  <c r="M2268" i="17" s="1"/>
  <c r="M2269" i="17" s="1"/>
  <c r="M2270" i="17" s="1"/>
  <c r="M2271" i="17" s="1"/>
  <c r="M2272" i="17" s="1"/>
  <c r="M2273" i="17" s="1"/>
  <c r="M2274" i="17" s="1"/>
  <c r="M2275" i="17" s="1"/>
  <c r="M2276" i="17" s="1"/>
  <c r="M2277" i="17" s="1"/>
  <c r="M2278" i="17" s="1"/>
  <c r="M2279" i="17" s="1"/>
  <c r="M2280" i="17" s="1"/>
  <c r="M2281" i="17" s="1"/>
  <c r="M2282" i="17" s="1"/>
  <c r="M2283" i="17" s="1"/>
  <c r="M2284" i="17" s="1"/>
  <c r="M2285" i="17" s="1"/>
  <c r="M2286" i="17" s="1"/>
  <c r="M2287" i="17" s="1"/>
  <c r="M2288" i="17" s="1"/>
  <c r="M2289" i="17" s="1"/>
  <c r="M2290" i="17" s="1"/>
  <c r="M2291" i="17" s="1"/>
  <c r="M2292" i="17" s="1"/>
  <c r="M2293" i="17" s="1"/>
  <c r="M2294" i="17" s="1"/>
  <c r="M2295" i="17" s="1"/>
  <c r="M2296" i="17" s="1"/>
  <c r="M2297" i="17" s="1"/>
  <c r="M2298" i="17" s="1"/>
  <c r="M2299" i="17" s="1"/>
  <c r="M2300" i="17" s="1"/>
  <c r="M2301" i="17" s="1"/>
  <c r="M2302" i="17" s="1"/>
  <c r="M2303" i="17" s="1"/>
  <c r="M2304" i="17" s="1"/>
  <c r="M2305" i="17" s="1"/>
  <c r="M2306" i="17" s="1"/>
  <c r="M2307" i="17" s="1"/>
  <c r="M2308" i="17" s="1"/>
  <c r="M2309" i="17" s="1"/>
  <c r="M2310" i="17" s="1"/>
  <c r="M2311" i="17" s="1"/>
  <c r="M2312" i="17" s="1"/>
  <c r="M2313" i="17" s="1"/>
  <c r="M2314" i="17" s="1"/>
  <c r="M2315" i="17" s="1"/>
  <c r="M2316" i="17" s="1"/>
  <c r="M2317" i="17" s="1"/>
  <c r="M2318" i="17" s="1"/>
  <c r="M2319" i="17" s="1"/>
  <c r="M2320" i="17" s="1"/>
  <c r="M2321" i="17" s="1"/>
  <c r="M2322" i="17" s="1"/>
  <c r="M2323" i="17" s="1"/>
  <c r="M2324" i="17" s="1"/>
  <c r="M2325" i="17" s="1"/>
  <c r="M2326" i="17" s="1"/>
  <c r="M2327" i="17" s="1"/>
  <c r="M2328" i="17" s="1"/>
  <c r="M2329" i="17" s="1"/>
  <c r="M2330" i="17" s="1"/>
  <c r="M2331" i="17" s="1"/>
  <c r="M2332" i="17" s="1"/>
  <c r="M2333" i="17" s="1"/>
  <c r="M2334" i="17" s="1"/>
  <c r="M2335" i="17" s="1"/>
  <c r="M2336" i="17" s="1"/>
  <c r="M2337" i="17" s="1"/>
  <c r="M2338" i="17" s="1"/>
  <c r="M2339" i="17" s="1"/>
  <c r="M2340" i="17" s="1"/>
  <c r="M2341" i="17" s="1"/>
  <c r="M2342" i="17" s="1"/>
  <c r="M2343" i="17" s="1"/>
  <c r="M2344" i="17" s="1"/>
  <c r="M2345" i="17" s="1"/>
  <c r="M2346" i="17" s="1"/>
  <c r="M2347" i="17" s="1"/>
  <c r="M2348" i="17" s="1"/>
  <c r="M2349" i="17" s="1"/>
  <c r="M2350" i="17" s="1"/>
  <c r="M2351" i="17" s="1"/>
  <c r="M2352" i="17" s="1"/>
  <c r="M2353" i="17" s="1"/>
  <c r="M2354" i="17" s="1"/>
  <c r="M2355" i="17" s="1"/>
  <c r="M2356" i="17" s="1"/>
  <c r="M2357" i="17" s="1"/>
  <c r="M2358" i="17" s="1"/>
  <c r="M2359" i="17" s="1"/>
  <c r="M2360" i="17" s="1"/>
  <c r="M2361" i="17" s="1"/>
  <c r="M2362" i="17" s="1"/>
  <c r="M2363" i="17" s="1"/>
  <c r="M2364" i="17" s="1"/>
  <c r="M2365" i="17" s="1"/>
  <c r="M2366" i="17" s="1"/>
  <c r="M2367" i="17" s="1"/>
  <c r="M2368" i="17" s="1"/>
  <c r="M2369" i="17" s="1"/>
  <c r="M2370" i="17" s="1"/>
  <c r="M2371" i="17" s="1"/>
  <c r="M2372" i="17" s="1"/>
  <c r="M2373" i="17" s="1"/>
  <c r="M2374" i="17" s="1"/>
  <c r="M2375" i="17" s="1"/>
  <c r="M2376" i="17" s="1"/>
  <c r="M2377" i="17" s="1"/>
  <c r="M2378" i="17" s="1"/>
  <c r="M2379" i="17" s="1"/>
  <c r="M2380" i="17" s="1"/>
  <c r="M2381" i="17" s="1"/>
  <c r="M2382" i="17" s="1"/>
  <c r="M2383" i="17" s="1"/>
  <c r="M2384" i="17" s="1"/>
  <c r="M2385" i="17" s="1"/>
  <c r="M2386" i="17" s="1"/>
  <c r="M2387" i="17" s="1"/>
  <c r="M2388" i="17" s="1"/>
  <c r="M2389" i="17" s="1"/>
  <c r="M2390" i="17" s="1"/>
  <c r="M2391" i="17" s="1"/>
  <c r="M2392" i="17" s="1"/>
  <c r="M2393" i="17" s="1"/>
  <c r="M2394" i="17" s="1"/>
  <c r="M2395" i="17" s="1"/>
  <c r="M2396" i="17" s="1"/>
  <c r="M2397" i="17" s="1"/>
  <c r="M2398" i="17" s="1"/>
  <c r="M2399" i="17" s="1"/>
  <c r="M2400" i="17" s="1"/>
  <c r="M2401" i="17" s="1"/>
  <c r="M2402" i="17" s="1"/>
  <c r="M2403" i="17" s="1"/>
  <c r="M2404" i="17" s="1"/>
  <c r="M2405" i="17" s="1"/>
  <c r="M2406" i="17" s="1"/>
  <c r="M2407" i="17" s="1"/>
  <c r="M2408" i="17" s="1"/>
  <c r="M2409" i="17" s="1"/>
  <c r="M2410" i="17" s="1"/>
  <c r="M2411" i="17" s="1"/>
  <c r="M2412" i="17" s="1"/>
  <c r="M2413" i="17" s="1"/>
  <c r="M2414" i="17" s="1"/>
  <c r="M2415" i="17" s="1"/>
  <c r="M2416" i="17" s="1"/>
  <c r="M2417" i="17" s="1"/>
  <c r="M2418" i="17" s="1"/>
  <c r="M2419" i="17" s="1"/>
  <c r="M2420" i="17" s="1"/>
  <c r="M2421" i="17" s="1"/>
  <c r="M2422" i="17" s="1"/>
  <c r="M2423" i="17" s="1"/>
  <c r="M2424" i="17" s="1"/>
  <c r="M2425" i="17" s="1"/>
  <c r="M2426" i="17" s="1"/>
  <c r="M2427" i="17" s="1"/>
  <c r="M2428" i="17" s="1"/>
  <c r="M2429" i="17" s="1"/>
  <c r="M2430" i="17" s="1"/>
  <c r="M2431" i="17" s="1"/>
  <c r="M2432" i="17" s="1"/>
  <c r="M2433" i="17" s="1"/>
  <c r="M2434" i="17" s="1"/>
  <c r="M2435" i="17" s="1"/>
  <c r="M2436" i="17" s="1"/>
  <c r="M2437" i="17" s="1"/>
  <c r="M2438" i="17" s="1"/>
  <c r="M2439" i="17" s="1"/>
  <c r="M2440" i="17" s="1"/>
  <c r="M2441" i="17" s="1"/>
  <c r="M2442" i="17" s="1"/>
  <c r="M2443" i="17" s="1"/>
  <c r="M2444" i="17" s="1"/>
  <c r="M2445" i="17" s="1"/>
  <c r="M2446" i="17" s="1"/>
  <c r="M2447" i="17" s="1"/>
  <c r="M2448" i="17" s="1"/>
  <c r="M2449" i="17" s="1"/>
  <c r="M2450" i="17" s="1"/>
  <c r="M2451" i="17" s="1"/>
  <c r="M2452" i="17" s="1"/>
  <c r="M2453" i="17" s="1"/>
  <c r="M2454" i="17" s="1"/>
  <c r="M2455" i="17" s="1"/>
  <c r="M2456" i="17" s="1"/>
  <c r="M2457" i="17" s="1"/>
  <c r="M2458" i="17" s="1"/>
  <c r="M2459" i="17" s="1"/>
  <c r="M2460" i="17" s="1"/>
  <c r="M2461" i="17" s="1"/>
  <c r="M2462" i="17" s="1"/>
  <c r="M2463" i="17" s="1"/>
  <c r="M2464" i="17" s="1"/>
  <c r="M2465" i="17" s="1"/>
  <c r="M2466" i="17" s="1"/>
  <c r="M2467" i="17" s="1"/>
  <c r="M2468" i="17" s="1"/>
  <c r="M2469" i="17" s="1"/>
  <c r="M2470" i="17" s="1"/>
  <c r="M2471" i="17" s="1"/>
  <c r="M2472" i="17" s="1"/>
  <c r="M2473" i="17" s="1"/>
  <c r="M2474" i="17" s="1"/>
  <c r="M2475" i="17" s="1"/>
  <c r="M2476" i="17" s="1"/>
  <c r="M2477" i="17" s="1"/>
  <c r="M2478" i="17" s="1"/>
  <c r="M2479" i="17" s="1"/>
  <c r="M2480" i="17" s="1"/>
  <c r="M2481" i="17" s="1"/>
  <c r="M2482" i="17" s="1"/>
  <c r="M2483" i="17" s="1"/>
  <c r="M2484" i="17" s="1"/>
  <c r="M2485" i="17" s="1"/>
  <c r="M2486" i="17" s="1"/>
  <c r="M2487" i="17" s="1"/>
  <c r="M2488" i="17" s="1"/>
  <c r="M2489" i="17" s="1"/>
  <c r="M2490" i="17" s="1"/>
  <c r="M2491" i="17" s="1"/>
  <c r="M2492" i="17" s="1"/>
  <c r="M2493" i="17" s="1"/>
  <c r="M2494" i="17" s="1"/>
  <c r="M2495" i="17" s="1"/>
  <c r="M2496" i="17" s="1"/>
  <c r="M2497" i="17" s="1"/>
  <c r="M2498" i="17" s="1"/>
  <c r="M2499" i="17" s="1"/>
  <c r="M2500" i="17" s="1"/>
  <c r="M2501" i="17" s="1"/>
  <c r="M2502" i="17" s="1"/>
  <c r="M2503" i="17" s="1"/>
  <c r="M2504" i="17" s="1"/>
  <c r="M2505" i="17" s="1"/>
  <c r="M2506" i="17" s="1"/>
  <c r="M2507" i="17" s="1"/>
  <c r="M2508" i="17" s="1"/>
  <c r="M2509" i="17" s="1"/>
  <c r="M2510" i="17" s="1"/>
  <c r="M2511" i="17" s="1"/>
  <c r="M2512" i="17" s="1"/>
  <c r="M2513" i="17" s="1"/>
  <c r="M2514" i="17" s="1"/>
  <c r="M2515" i="17" s="1"/>
  <c r="M2516" i="17" s="1"/>
  <c r="M2517" i="17" s="1"/>
  <c r="M2518" i="17" s="1"/>
  <c r="M2519" i="17" s="1"/>
  <c r="M2520" i="17" s="1"/>
  <c r="M2521" i="17" s="1"/>
  <c r="M2522" i="17" s="1"/>
  <c r="M2523" i="17" s="1"/>
  <c r="M2524" i="17" s="1"/>
  <c r="M2525" i="17" s="1"/>
  <c r="M2526" i="17" s="1"/>
  <c r="M2527" i="17" s="1"/>
  <c r="M2528" i="17" s="1"/>
  <c r="M2529" i="17" s="1"/>
  <c r="M2530" i="17" s="1"/>
  <c r="M2531" i="17" s="1"/>
  <c r="M2532" i="17" s="1"/>
  <c r="M2533" i="17" s="1"/>
  <c r="M2534" i="17" s="1"/>
  <c r="M2535" i="17" s="1"/>
  <c r="M2536" i="17" s="1"/>
  <c r="M2537" i="17" s="1"/>
  <c r="M2538" i="17" s="1"/>
  <c r="M2539" i="17" s="1"/>
  <c r="M2540" i="17" s="1"/>
  <c r="M2541" i="17" s="1"/>
  <c r="M2542" i="17" s="1"/>
  <c r="M2543" i="17" s="1"/>
  <c r="M2544" i="17" s="1"/>
  <c r="M2545" i="17" s="1"/>
  <c r="M2546" i="17" s="1"/>
  <c r="M2547" i="17" s="1"/>
  <c r="M2548" i="17" s="1"/>
  <c r="M2549" i="17" s="1"/>
  <c r="M2550" i="17" s="1"/>
  <c r="M2551" i="17" s="1"/>
  <c r="M2552" i="17" s="1"/>
  <c r="M2553" i="17" s="1"/>
  <c r="M2554" i="17" s="1"/>
  <c r="M2555" i="17" s="1"/>
  <c r="M2556" i="17" s="1"/>
  <c r="M2557" i="17" s="1"/>
  <c r="M2558" i="17" s="1"/>
  <c r="M2559" i="17" s="1"/>
  <c r="M2560" i="17" s="1"/>
  <c r="M2561" i="17" s="1"/>
  <c r="M2562" i="17" s="1"/>
  <c r="M2563" i="17" s="1"/>
  <c r="M2564" i="17" s="1"/>
  <c r="M2565" i="17" s="1"/>
  <c r="M2566" i="17" s="1"/>
  <c r="M2567" i="17" s="1"/>
  <c r="M2568" i="17" s="1"/>
  <c r="M2569" i="17" s="1"/>
  <c r="M2570" i="17" s="1"/>
  <c r="M2571" i="17" s="1"/>
  <c r="M2572" i="17" s="1"/>
  <c r="M2573" i="17" s="1"/>
  <c r="M2574" i="17" s="1"/>
  <c r="M2575" i="17" s="1"/>
  <c r="M2576" i="17" s="1"/>
  <c r="M2577" i="17" s="1"/>
  <c r="M2578" i="17" s="1"/>
  <c r="M2579" i="17" s="1"/>
  <c r="M2580" i="17" s="1"/>
  <c r="M2581" i="17" s="1"/>
  <c r="M2582" i="17" s="1"/>
  <c r="M2583" i="17" s="1"/>
  <c r="M2584" i="17" s="1"/>
  <c r="M2585" i="17" s="1"/>
  <c r="M2586" i="17" s="1"/>
  <c r="M2587" i="17" s="1"/>
  <c r="M2588" i="17" s="1"/>
  <c r="M2589" i="17" s="1"/>
  <c r="M2590" i="17" s="1"/>
  <c r="M2591" i="17" s="1"/>
  <c r="M2592" i="17" s="1"/>
  <c r="M2593" i="17" s="1"/>
  <c r="M2594" i="17" s="1"/>
  <c r="M2595" i="17" s="1"/>
  <c r="M2596" i="17" s="1"/>
  <c r="M2597" i="17" s="1"/>
  <c r="M2598" i="17" s="1"/>
  <c r="M2599" i="17" s="1"/>
  <c r="M2600" i="17" s="1"/>
  <c r="M2601" i="17" s="1"/>
  <c r="M2602" i="17" s="1"/>
  <c r="M2603" i="17" s="1"/>
  <c r="M2604" i="17" s="1"/>
  <c r="M2605" i="17" s="1"/>
  <c r="M2606" i="17" s="1"/>
  <c r="M2607" i="17" s="1"/>
  <c r="M2608" i="17" s="1"/>
  <c r="M2609" i="17" s="1"/>
  <c r="M2610" i="17" s="1"/>
  <c r="M2611" i="17" s="1"/>
  <c r="M2612" i="17" s="1"/>
  <c r="M2613" i="17" s="1"/>
  <c r="M2614" i="17" s="1"/>
  <c r="M2615" i="17" s="1"/>
  <c r="M2616" i="17" s="1"/>
  <c r="M2617" i="17" s="1"/>
  <c r="M2618" i="17" s="1"/>
  <c r="M2619" i="17" s="1"/>
  <c r="M2620" i="17" s="1"/>
  <c r="M2621" i="17" s="1"/>
  <c r="M2622" i="17" s="1"/>
  <c r="M2623" i="17" s="1"/>
  <c r="M2624" i="17" s="1"/>
  <c r="M2625" i="17" s="1"/>
  <c r="M2626" i="17" s="1"/>
  <c r="M2627" i="17" s="1"/>
  <c r="M2628" i="17" s="1"/>
  <c r="M2629" i="17" s="1"/>
  <c r="M2630" i="17" s="1"/>
  <c r="M2631" i="17" s="1"/>
  <c r="M2632" i="17" s="1"/>
  <c r="M2633" i="17" s="1"/>
  <c r="M2634" i="17" s="1"/>
  <c r="M2635" i="17" s="1"/>
  <c r="M2636" i="17" s="1"/>
  <c r="M2637" i="17" s="1"/>
  <c r="M2638" i="17" s="1"/>
  <c r="M2639" i="17" s="1"/>
  <c r="M2640" i="17" s="1"/>
  <c r="M2641" i="17" s="1"/>
  <c r="M2642" i="17" s="1"/>
  <c r="M2643" i="17" s="1"/>
  <c r="M2644" i="17" s="1"/>
  <c r="M2645" i="17" s="1"/>
  <c r="M2646" i="17" s="1"/>
  <c r="M2647" i="17" s="1"/>
  <c r="M2648" i="17" s="1"/>
  <c r="M2649" i="17" s="1"/>
  <c r="M2650" i="17" s="1"/>
  <c r="M2651" i="17" s="1"/>
  <c r="M2652" i="17" s="1"/>
  <c r="M2653" i="17" s="1"/>
  <c r="M2654" i="17" s="1"/>
  <c r="M2655" i="17" s="1"/>
  <c r="M2656" i="17" s="1"/>
  <c r="M2657" i="17" s="1"/>
  <c r="M2658" i="17" s="1"/>
  <c r="M2659" i="17" s="1"/>
  <c r="M2660" i="17" s="1"/>
  <c r="M2661" i="17" s="1"/>
  <c r="M2662" i="17" s="1"/>
  <c r="M2663" i="17" s="1"/>
  <c r="M2664" i="17" s="1"/>
  <c r="M2665" i="17" s="1"/>
  <c r="M2666" i="17" s="1"/>
  <c r="M2667" i="17" s="1"/>
  <c r="M2668" i="17" s="1"/>
  <c r="M2669" i="17" s="1"/>
  <c r="M2670" i="17" s="1"/>
  <c r="M2671" i="17" s="1"/>
  <c r="M2672" i="17" s="1"/>
  <c r="M2673" i="17" s="1"/>
  <c r="M2674" i="17" s="1"/>
  <c r="M2675" i="17" s="1"/>
  <c r="M2676" i="17" s="1"/>
  <c r="M2677" i="17" s="1"/>
  <c r="M2678" i="17" s="1"/>
  <c r="M2679" i="17" s="1"/>
  <c r="M2680" i="17" s="1"/>
  <c r="M2681" i="17" s="1"/>
  <c r="M2682" i="17" s="1"/>
  <c r="M2683" i="17" s="1"/>
  <c r="M2684" i="17" s="1"/>
  <c r="M2685" i="17" s="1"/>
  <c r="M2686" i="17" s="1"/>
  <c r="N20221" i="17"/>
  <c r="N20220" i="17"/>
  <c r="N20219" i="17"/>
  <c r="N20218" i="17"/>
  <c r="N20217" i="17"/>
  <c r="N20216" i="17"/>
  <c r="N20215" i="17"/>
  <c r="N20214" i="17"/>
  <c r="N20213" i="17"/>
  <c r="N20212" i="17"/>
  <c r="N20211" i="17"/>
  <c r="N20210" i="17"/>
  <c r="N20209" i="17"/>
  <c r="N20208" i="17"/>
  <c r="N20207" i="17"/>
  <c r="N20206" i="17"/>
  <c r="N20205" i="17"/>
  <c r="N20204" i="17"/>
  <c r="N20203" i="17"/>
  <c r="N20202" i="17"/>
  <c r="N20201" i="17"/>
  <c r="N20200" i="17"/>
  <c r="N20199" i="17"/>
  <c r="N20198" i="17"/>
  <c r="N20197" i="17"/>
  <c r="N20196" i="17"/>
  <c r="N20195" i="17"/>
  <c r="N20194" i="17"/>
  <c r="N20193" i="17"/>
  <c r="N20192" i="17"/>
  <c r="N20191" i="17"/>
  <c r="N20190" i="17"/>
  <c r="N20189" i="17"/>
  <c r="N20188" i="17"/>
  <c r="N20187" i="17"/>
  <c r="N20186" i="17"/>
  <c r="N20185" i="17"/>
  <c r="N20184" i="17"/>
  <c r="N20183" i="17"/>
  <c r="N20182" i="17"/>
  <c r="N20181" i="17"/>
  <c r="N20180" i="17"/>
  <c r="N20179" i="17"/>
  <c r="N20178" i="17"/>
  <c r="N20177" i="17"/>
  <c r="N20176" i="17"/>
  <c r="N20175" i="17"/>
  <c r="N20174" i="17"/>
  <c r="N20173" i="17"/>
  <c r="N20172" i="17"/>
  <c r="N20171" i="17"/>
  <c r="N20170" i="17"/>
  <c r="N20169" i="17"/>
  <c r="N20168" i="17"/>
  <c r="N20167" i="17"/>
  <c r="N20166" i="17"/>
  <c r="N20165" i="17"/>
  <c r="N20164" i="17"/>
  <c r="N20163" i="17"/>
  <c r="N20162" i="17"/>
  <c r="N20161" i="17"/>
  <c r="N20160" i="17"/>
  <c r="N20159" i="17"/>
  <c r="N20158" i="17"/>
  <c r="N20157" i="17"/>
  <c r="N20156" i="17"/>
  <c r="N20155" i="17"/>
  <c r="N20154" i="17"/>
  <c r="N20153" i="17"/>
  <c r="N20152" i="17"/>
  <c r="N20151" i="17"/>
  <c r="N20150" i="17"/>
  <c r="N20149" i="17"/>
  <c r="N20148" i="17"/>
  <c r="N20147" i="17"/>
  <c r="N20146" i="17"/>
  <c r="N20145" i="17"/>
  <c r="N20144" i="17"/>
  <c r="N20143" i="17"/>
  <c r="N20142" i="17"/>
  <c r="N20141" i="17"/>
  <c r="N20140" i="17"/>
  <c r="N20139" i="17"/>
  <c r="N20138" i="17"/>
  <c r="N20137" i="17"/>
  <c r="N20136" i="17"/>
  <c r="N20135" i="17"/>
  <c r="N20134" i="17"/>
  <c r="N20133" i="17"/>
  <c r="N20132" i="17"/>
  <c r="N20131" i="17"/>
  <c r="N20130" i="17"/>
  <c r="N20129" i="17"/>
  <c r="N20128" i="17"/>
  <c r="N20127" i="17"/>
  <c r="N20126" i="17"/>
  <c r="N20125" i="17"/>
  <c r="N20124" i="17"/>
  <c r="N20123" i="17"/>
  <c r="N20122" i="17"/>
  <c r="N20121" i="17"/>
  <c r="N20120" i="17"/>
  <c r="N20119" i="17"/>
  <c r="N20118" i="17"/>
  <c r="N20117" i="17"/>
  <c r="N20116" i="17"/>
  <c r="N20115" i="17"/>
  <c r="N20114" i="17"/>
  <c r="N20113" i="17"/>
  <c r="M20221" i="17"/>
  <c r="M20220" i="17"/>
  <c r="M20219" i="17"/>
  <c r="M20218" i="17"/>
  <c r="M20217" i="17"/>
  <c r="M20216" i="17"/>
  <c r="M20215" i="17"/>
  <c r="M20214" i="17"/>
  <c r="M20213" i="17"/>
  <c r="M20212" i="17"/>
  <c r="M20211" i="17"/>
  <c r="M20210" i="17"/>
  <c r="M20209" i="17"/>
  <c r="M20208" i="17"/>
  <c r="M20207" i="17"/>
  <c r="M20206" i="17"/>
  <c r="M20205" i="17"/>
  <c r="M20204" i="17"/>
  <c r="M20203" i="17"/>
  <c r="M20202" i="17"/>
  <c r="M20201" i="17"/>
  <c r="M20200" i="17"/>
  <c r="M20199" i="17"/>
  <c r="M20198" i="17"/>
  <c r="M20197" i="17"/>
  <c r="M20196" i="17"/>
  <c r="M20195" i="17"/>
  <c r="M20194" i="17"/>
  <c r="M20193" i="17"/>
  <c r="M20192" i="17"/>
  <c r="M20191" i="17"/>
  <c r="M20190" i="17"/>
  <c r="M20189" i="17"/>
  <c r="M20188" i="17"/>
  <c r="M20187" i="17"/>
  <c r="M20186" i="17"/>
  <c r="M20185" i="17"/>
  <c r="M20184" i="17"/>
  <c r="M20183" i="17"/>
  <c r="M20182" i="17"/>
  <c r="M20181" i="17"/>
  <c r="M20180" i="17"/>
  <c r="M20179" i="17"/>
  <c r="M20178" i="17"/>
  <c r="M20177" i="17"/>
  <c r="M20176" i="17"/>
  <c r="M20175" i="17"/>
  <c r="M20174" i="17"/>
  <c r="M20173" i="17"/>
  <c r="M20172" i="17"/>
  <c r="M20171" i="17"/>
  <c r="M20170" i="17"/>
  <c r="M20169" i="17"/>
  <c r="M20168" i="17"/>
  <c r="M20167" i="17"/>
  <c r="M20166" i="17"/>
  <c r="M20165" i="17"/>
  <c r="M20164" i="17"/>
  <c r="M20163" i="17"/>
  <c r="M20162" i="17"/>
  <c r="M20161" i="17"/>
  <c r="M20160" i="17"/>
  <c r="M20159" i="17"/>
  <c r="M20158" i="17"/>
  <c r="M20157" i="17"/>
  <c r="M20156" i="17"/>
  <c r="M20155" i="17"/>
  <c r="M20154" i="17"/>
  <c r="M20153" i="17"/>
  <c r="M20152" i="17"/>
  <c r="M20151" i="17"/>
  <c r="M20150" i="17"/>
  <c r="M20149" i="17"/>
  <c r="M20148" i="17"/>
  <c r="M20147" i="17"/>
  <c r="M20146" i="17"/>
  <c r="M20145" i="17"/>
  <c r="M20144" i="17"/>
  <c r="M20143" i="17"/>
  <c r="M20142" i="17"/>
  <c r="M20141" i="17"/>
  <c r="M20140" i="17"/>
  <c r="M20139" i="17"/>
  <c r="M20138" i="17"/>
  <c r="M20137" i="17"/>
  <c r="M20136" i="17"/>
  <c r="M20135" i="17"/>
  <c r="M20134" i="17"/>
  <c r="M20133" i="17"/>
  <c r="M20132" i="17"/>
  <c r="M20131" i="17"/>
  <c r="M20130" i="17"/>
  <c r="M20129" i="17"/>
  <c r="M20128" i="17"/>
  <c r="M20127" i="17"/>
  <c r="M20126" i="17"/>
  <c r="M20125" i="17"/>
  <c r="M20124" i="17"/>
  <c r="M20123" i="17"/>
  <c r="M20122" i="17"/>
  <c r="M20121" i="17"/>
  <c r="M20120" i="17"/>
  <c r="M20119" i="17"/>
  <c r="M20118" i="17"/>
  <c r="M20117" i="17"/>
  <c r="M20116" i="17"/>
  <c r="M20115" i="17"/>
  <c r="M20114" i="17"/>
  <c r="M20113" i="17"/>
  <c r="N2" i="17"/>
  <c r="I30" i="22" l="1"/>
  <c r="G30" i="22"/>
  <c r="D30" i="22"/>
  <c r="H30" i="22"/>
  <c r="F30" i="22"/>
  <c r="E30" i="22"/>
  <c r="H20" i="22"/>
  <c r="F20" i="22"/>
  <c r="E20" i="22"/>
  <c r="I20" i="22"/>
  <c r="G20" i="22"/>
  <c r="D20" i="22"/>
  <c r="H29" i="22"/>
  <c r="F29" i="22"/>
  <c r="E29" i="22"/>
  <c r="I29" i="22"/>
  <c r="G29" i="22"/>
  <c r="D29" i="22"/>
  <c r="F17" i="22"/>
  <c r="E17" i="22"/>
  <c r="I17" i="22"/>
  <c r="G17" i="22"/>
  <c r="H17" i="22"/>
  <c r="D23" i="22"/>
  <c r="H23" i="22"/>
  <c r="F23" i="22"/>
  <c r="E23" i="22"/>
  <c r="I23" i="22"/>
  <c r="G23" i="22"/>
  <c r="I26" i="22"/>
  <c r="G26" i="22"/>
  <c r="D26" i="22"/>
  <c r="H26" i="22"/>
  <c r="F26" i="22"/>
  <c r="E26" i="22"/>
  <c r="H16" i="22"/>
  <c r="F16" i="22"/>
  <c r="I16" i="22"/>
  <c r="G16" i="22"/>
  <c r="I60" i="22"/>
  <c r="G16" i="24" s="1"/>
  <c r="G60" i="22"/>
  <c r="E16" i="24" s="1"/>
  <c r="D60" i="22"/>
  <c r="B16" i="24" s="1"/>
  <c r="H60" i="22"/>
  <c r="F16" i="24" s="1"/>
  <c r="F60" i="22"/>
  <c r="D16" i="24" s="1"/>
  <c r="E60" i="22"/>
  <c r="C16" i="24" s="1"/>
  <c r="H25" i="22"/>
  <c r="F25" i="22"/>
  <c r="E25" i="22"/>
  <c r="I25" i="22"/>
  <c r="G25" i="22"/>
  <c r="D25" i="22"/>
  <c r="H21" i="22"/>
  <c r="F21" i="22"/>
  <c r="E21" i="22"/>
  <c r="I21" i="22"/>
  <c r="G21" i="22"/>
  <c r="D21" i="22"/>
  <c r="H24" i="22"/>
  <c r="F24" i="22"/>
  <c r="E24" i="22"/>
  <c r="I24" i="22"/>
  <c r="G24" i="22"/>
  <c r="D24" i="22"/>
  <c r="H28" i="22"/>
  <c r="F28" i="22"/>
  <c r="E28" i="22"/>
  <c r="I28" i="22"/>
  <c r="G28" i="22"/>
  <c r="D28" i="22"/>
  <c r="I22" i="22"/>
  <c r="G22" i="22"/>
  <c r="D22" i="22"/>
  <c r="H22" i="22"/>
  <c r="F22" i="22"/>
  <c r="E22" i="22"/>
  <c r="G19" i="22"/>
  <c r="H19" i="22"/>
  <c r="F19" i="22"/>
  <c r="E19" i="22"/>
  <c r="I19" i="22"/>
  <c r="G57" i="22"/>
  <c r="E14" i="24" s="1"/>
  <c r="H57" i="22"/>
  <c r="F14" i="24" s="1"/>
  <c r="F57" i="22"/>
  <c r="D14" i="24" s="1"/>
  <c r="E57" i="22"/>
  <c r="C14" i="24" s="1"/>
  <c r="I57" i="22"/>
  <c r="G14" i="24" s="1"/>
  <c r="D57" i="22"/>
  <c r="B14" i="24" s="1"/>
  <c r="F56" i="22"/>
  <c r="E56" i="22"/>
  <c r="G56" i="22"/>
  <c r="D56" i="22"/>
  <c r="H31" i="22"/>
  <c r="F31" i="22"/>
  <c r="E31" i="22"/>
  <c r="I31" i="22"/>
  <c r="G31" i="22"/>
  <c r="D31" i="22"/>
  <c r="H85" i="22"/>
  <c r="F85" i="22"/>
  <c r="D19" i="24" s="1"/>
  <c r="E85" i="22"/>
  <c r="C19" i="24" s="1"/>
  <c r="I85" i="22"/>
  <c r="G19" i="24" s="1"/>
  <c r="G85" i="22"/>
  <c r="E19" i="24" s="1"/>
  <c r="D85" i="22"/>
  <c r="G27" i="22"/>
  <c r="D27" i="22"/>
  <c r="H27" i="22"/>
  <c r="F27" i="22"/>
  <c r="E27" i="22"/>
  <c r="I27" i="22"/>
  <c r="I106" i="22"/>
  <c r="E106" i="22"/>
  <c r="H106" i="22"/>
  <c r="D106" i="22"/>
  <c r="G106" i="22"/>
  <c r="F106" i="22"/>
  <c r="E2" i="22"/>
  <c r="D2" i="22"/>
  <c r="G2" i="22"/>
  <c r="F2" i="22"/>
  <c r="R20" i="17"/>
  <c r="R15" i="17"/>
  <c r="R21" i="17"/>
  <c r="R10" i="17"/>
  <c r="R11" i="17"/>
  <c r="R16" i="17"/>
  <c r="E98" i="22" l="1"/>
  <c r="E97" i="22"/>
  <c r="C4" i="24"/>
  <c r="I98" i="22"/>
  <c r="I97" i="22"/>
  <c r="G4" i="24"/>
  <c r="F98" i="22"/>
  <c r="F97" i="22"/>
  <c r="D4" i="24"/>
  <c r="G98" i="22"/>
  <c r="G97" i="22"/>
  <c r="E4" i="24"/>
  <c r="D98" i="22"/>
  <c r="D97" i="22"/>
  <c r="B4" i="24"/>
  <c r="B19" i="24"/>
  <c r="C85" i="22"/>
  <c r="F19" i="24"/>
  <c r="H83" i="22"/>
  <c r="I15" i="22"/>
  <c r="G11" i="24" s="1"/>
  <c r="F15" i="22"/>
  <c r="D11" i="24" s="1"/>
  <c r="H15" i="22"/>
  <c r="F11" i="24" s="1"/>
  <c r="E15" i="22"/>
  <c r="C11" i="24" s="1"/>
  <c r="D15" i="22"/>
  <c r="B11" i="24" s="1"/>
  <c r="G15" i="22"/>
  <c r="E11" i="24" s="1"/>
  <c r="I78" i="22"/>
  <c r="I79" i="22"/>
  <c r="I77" i="22"/>
  <c r="G77" i="22"/>
  <c r="G78" i="22"/>
  <c r="G79" i="22"/>
  <c r="F79" i="22"/>
  <c r="F77" i="22"/>
  <c r="F78" i="22"/>
  <c r="D78" i="22"/>
  <c r="D79" i="22"/>
  <c r="D77" i="22"/>
  <c r="E78" i="22"/>
  <c r="E79" i="22"/>
  <c r="E77" i="22"/>
  <c r="G73" i="22"/>
  <c r="G74" i="22"/>
  <c r="F74" i="22"/>
  <c r="F73" i="22"/>
  <c r="D74" i="22"/>
  <c r="D73" i="22"/>
  <c r="E74" i="22"/>
  <c r="E73" i="22"/>
  <c r="I74" i="22"/>
  <c r="I73" i="22"/>
  <c r="C13" i="24"/>
  <c r="E55" i="22"/>
  <c r="D13" i="24"/>
  <c r="F55" i="22"/>
  <c r="E13" i="24"/>
  <c r="G55" i="22"/>
  <c r="F13" i="24"/>
  <c r="H55" i="22"/>
  <c r="H14" i="24"/>
  <c r="B13" i="24"/>
  <c r="D55" i="22"/>
  <c r="G13" i="24"/>
  <c r="I55" i="22"/>
  <c r="I105" i="22"/>
  <c r="G24" i="24"/>
  <c r="E105" i="22"/>
  <c r="C24" i="24"/>
  <c r="F105" i="22"/>
  <c r="D24" i="24"/>
  <c r="D105" i="22"/>
  <c r="B24" i="24"/>
  <c r="H105" i="22"/>
  <c r="F24" i="24"/>
  <c r="G105" i="22"/>
  <c r="E24" i="24"/>
  <c r="G83" i="22"/>
  <c r="E90" i="22"/>
  <c r="E88" i="22"/>
  <c r="H16" i="24"/>
  <c r="I116" i="22"/>
  <c r="I117" i="22"/>
  <c r="I114" i="22"/>
  <c r="I115" i="22"/>
  <c r="F117" i="22"/>
  <c r="F116" i="22"/>
  <c r="F115" i="22"/>
  <c r="F114" i="22"/>
  <c r="G117" i="22"/>
  <c r="G116" i="22"/>
  <c r="G115" i="22"/>
  <c r="G114" i="22"/>
  <c r="D117" i="22"/>
  <c r="D116" i="22"/>
  <c r="D115" i="22"/>
  <c r="D114" i="22"/>
  <c r="E117" i="22"/>
  <c r="E116" i="22"/>
  <c r="E114" i="22"/>
  <c r="E115" i="22"/>
  <c r="F95" i="22"/>
  <c r="F101" i="22"/>
  <c r="F99" i="22"/>
  <c r="F100" i="22"/>
  <c r="I99" i="22"/>
  <c r="I101" i="22"/>
  <c r="I100" i="22"/>
  <c r="I95" i="22"/>
  <c r="D100" i="22"/>
  <c r="D95" i="22"/>
  <c r="D99" i="22"/>
  <c r="D101" i="22"/>
  <c r="G95" i="22"/>
  <c r="G101" i="22"/>
  <c r="G99" i="22"/>
  <c r="G100" i="22"/>
  <c r="E95" i="22"/>
  <c r="E100" i="22"/>
  <c r="E101" i="22"/>
  <c r="E99" i="22"/>
  <c r="F76" i="22"/>
  <c r="G76" i="22"/>
  <c r="I76" i="22"/>
  <c r="D76" i="22"/>
  <c r="E76" i="22"/>
  <c r="D75" i="22"/>
  <c r="D72" i="22"/>
  <c r="E75" i="22"/>
  <c r="E72" i="22"/>
  <c r="G72" i="22"/>
  <c r="G75" i="22"/>
  <c r="I75" i="22"/>
  <c r="I72" i="22"/>
  <c r="F75" i="22"/>
  <c r="F72" i="22"/>
  <c r="F36" i="22"/>
  <c r="G96" i="22"/>
  <c r="E40" i="22"/>
  <c r="I50" i="22"/>
  <c r="H96" i="22"/>
  <c r="H94" i="22" s="1"/>
  <c r="C2" i="22"/>
  <c r="C17" i="22"/>
  <c r="C27" i="22"/>
  <c r="C31" i="22"/>
  <c r="C57" i="22"/>
  <c r="C28" i="22"/>
  <c r="C24" i="22"/>
  <c r="C25" i="22"/>
  <c r="C16" i="22"/>
  <c r="C29" i="22"/>
  <c r="C20" i="22"/>
  <c r="C22" i="22"/>
  <c r="C60" i="22"/>
  <c r="C26" i="22"/>
  <c r="C23" i="22"/>
  <c r="C18" i="22"/>
  <c r="C30" i="22"/>
  <c r="C56" i="22"/>
  <c r="C19" i="22"/>
  <c r="C21" i="22"/>
  <c r="C106" i="22"/>
  <c r="D37" i="22"/>
  <c r="I71" i="22"/>
  <c r="G39" i="22"/>
  <c r="I39" i="22"/>
  <c r="I42" i="22"/>
  <c r="D71" i="22"/>
  <c r="F71" i="22"/>
  <c r="D39" i="22"/>
  <c r="D42" i="22"/>
  <c r="F42" i="22"/>
  <c r="D49" i="22"/>
  <c r="I70" i="22"/>
  <c r="G70" i="22"/>
  <c r="E48" i="22"/>
  <c r="E44" i="22"/>
  <c r="F41" i="22"/>
  <c r="E41" i="22"/>
  <c r="D45" i="22"/>
  <c r="D36" i="22"/>
  <c r="D43" i="22"/>
  <c r="H40" i="22"/>
  <c r="F40" i="22"/>
  <c r="D47" i="22"/>
  <c r="F51" i="22"/>
  <c r="E51" i="22"/>
  <c r="E46" i="22"/>
  <c r="E37" i="22"/>
  <c r="H37" i="22"/>
  <c r="E38" i="22"/>
  <c r="D50" i="22"/>
  <c r="F50" i="22"/>
  <c r="E96" i="22"/>
  <c r="H71" i="22"/>
  <c r="G71" i="22"/>
  <c r="H39" i="22"/>
  <c r="H42" i="22"/>
  <c r="G42" i="22"/>
  <c r="H49" i="22"/>
  <c r="E70" i="22"/>
  <c r="F70" i="22"/>
  <c r="I48" i="22"/>
  <c r="I44" i="22"/>
  <c r="G41" i="22"/>
  <c r="I41" i="22"/>
  <c r="H45" i="22"/>
  <c r="H36" i="22"/>
  <c r="H43" i="22"/>
  <c r="D40" i="22"/>
  <c r="G40" i="22"/>
  <c r="H47" i="22"/>
  <c r="G51" i="22"/>
  <c r="I51" i="22"/>
  <c r="I46" i="22"/>
  <c r="F37" i="22"/>
  <c r="I37" i="22"/>
  <c r="D38" i="22"/>
  <c r="H50" i="22"/>
  <c r="G50" i="22"/>
  <c r="I96" i="22"/>
  <c r="E71" i="22"/>
  <c r="F39" i="22"/>
  <c r="E39" i="22"/>
  <c r="E42" i="22"/>
  <c r="F49" i="22"/>
  <c r="E49" i="22"/>
  <c r="H70" i="22"/>
  <c r="D48" i="22"/>
  <c r="F48" i="22"/>
  <c r="H44" i="22"/>
  <c r="F44" i="22"/>
  <c r="D41" i="22"/>
  <c r="F45" i="22"/>
  <c r="E45" i="22"/>
  <c r="G36" i="22"/>
  <c r="I36" i="22"/>
  <c r="E36" i="22"/>
  <c r="F43" i="22"/>
  <c r="E43" i="22"/>
  <c r="I40" i="22"/>
  <c r="F47" i="22"/>
  <c r="E47" i="22"/>
  <c r="D51" i="22"/>
  <c r="D46" i="22"/>
  <c r="F46" i="22"/>
  <c r="G37" i="22"/>
  <c r="H38" i="22"/>
  <c r="F38" i="22"/>
  <c r="E50" i="22"/>
  <c r="D96" i="22"/>
  <c r="F96" i="22"/>
  <c r="G49" i="22"/>
  <c r="I49" i="22"/>
  <c r="D70" i="22"/>
  <c r="H48" i="22"/>
  <c r="G48" i="22"/>
  <c r="D44" i="22"/>
  <c r="G44" i="22"/>
  <c r="H41" i="22"/>
  <c r="G45" i="22"/>
  <c r="I45" i="22"/>
  <c r="G43" i="22"/>
  <c r="I43" i="22"/>
  <c r="G47" i="22"/>
  <c r="I47" i="22"/>
  <c r="H51" i="22"/>
  <c r="H46" i="22"/>
  <c r="G46" i="22"/>
  <c r="I38" i="22"/>
  <c r="G38" i="22"/>
  <c r="R22" i="17"/>
  <c r="R12" i="17"/>
  <c r="R17" i="17"/>
  <c r="H4" i="24" l="1"/>
  <c r="D69" i="22"/>
  <c r="H69" i="22"/>
  <c r="C97" i="22"/>
  <c r="C98" i="22"/>
  <c r="C96" i="22"/>
  <c r="F69" i="22"/>
  <c r="G12" i="24"/>
  <c r="G10" i="24" s="1"/>
  <c r="I69" i="22"/>
  <c r="H19" i="24"/>
  <c r="E69" i="22"/>
  <c r="G69" i="22"/>
  <c r="C12" i="24"/>
  <c r="C10" i="24" s="1"/>
  <c r="B12" i="24"/>
  <c r="B10" i="24" s="1"/>
  <c r="C14" i="22"/>
  <c r="H11" i="24" s="1"/>
  <c r="D12" i="24"/>
  <c r="D10" i="24" s="1"/>
  <c r="C77" i="22"/>
  <c r="C79" i="22"/>
  <c r="C78" i="22"/>
  <c r="C73" i="22"/>
  <c r="C74" i="22"/>
  <c r="H13" i="24"/>
  <c r="C54" i="22"/>
  <c r="C68" i="22" s="1"/>
  <c r="F12" i="24"/>
  <c r="F10" i="24" s="1"/>
  <c r="E12" i="24"/>
  <c r="E10" i="24" s="1"/>
  <c r="H7" i="22"/>
  <c r="H11" i="22"/>
  <c r="G11" i="22"/>
  <c r="G7" i="22"/>
  <c r="H24" i="24"/>
  <c r="C104" i="22"/>
  <c r="C89" i="22"/>
  <c r="C90" i="22"/>
  <c r="I83" i="22"/>
  <c r="C88" i="22"/>
  <c r="C84" i="22"/>
  <c r="D83" i="22"/>
  <c r="F83" i="22"/>
  <c r="E83" i="22"/>
  <c r="E35" i="22"/>
  <c r="I35" i="22"/>
  <c r="G35" i="22"/>
  <c r="D35" i="22"/>
  <c r="F35" i="22"/>
  <c r="H35" i="22"/>
  <c r="C115" i="22"/>
  <c r="F113" i="22"/>
  <c r="E113" i="22"/>
  <c r="I113" i="22"/>
  <c r="D113" i="22"/>
  <c r="C114" i="22"/>
  <c r="C116" i="22"/>
  <c r="C117" i="22"/>
  <c r="G113" i="22"/>
  <c r="D94" i="22"/>
  <c r="C95" i="22"/>
  <c r="C100" i="22"/>
  <c r="G94" i="22"/>
  <c r="I94" i="22"/>
  <c r="E94" i="22"/>
  <c r="F94" i="22"/>
  <c r="C101" i="22"/>
  <c r="C99" i="22"/>
  <c r="C76" i="22"/>
  <c r="C70" i="22"/>
  <c r="C39" i="22"/>
  <c r="C40" i="22"/>
  <c r="C41" i="22"/>
  <c r="C43" i="22"/>
  <c r="C71" i="22"/>
  <c r="C46" i="22"/>
  <c r="C51" i="22"/>
  <c r="C45" i="22"/>
  <c r="C38" i="22"/>
  <c r="C44" i="22"/>
  <c r="C48" i="22"/>
  <c r="C47" i="22"/>
  <c r="C49" i="22"/>
  <c r="C72" i="22"/>
  <c r="C50" i="22"/>
  <c r="C36" i="22"/>
  <c r="C42" i="22"/>
  <c r="C37" i="22"/>
  <c r="C75" i="22"/>
  <c r="H3" i="22" l="1"/>
  <c r="F21" i="24"/>
  <c r="F17" i="24" s="1"/>
  <c r="F18" i="24" s="1"/>
  <c r="G3" i="22"/>
  <c r="E21" i="24"/>
  <c r="E17" i="24" s="1"/>
  <c r="E18" i="24" s="1"/>
  <c r="C112" i="22"/>
  <c r="D11" i="22"/>
  <c r="C82" i="22"/>
  <c r="H12" i="24"/>
  <c r="E7" i="22"/>
  <c r="E11" i="22"/>
  <c r="F7" i="22"/>
  <c r="F11" i="22"/>
  <c r="D7" i="22"/>
  <c r="B21" i="24" s="1"/>
  <c r="I7" i="22"/>
  <c r="I11" i="22"/>
  <c r="C34" i="22"/>
  <c r="F3" i="22" l="1"/>
  <c r="D21" i="24"/>
  <c r="D17" i="24" s="1"/>
  <c r="D18" i="24" s="1"/>
  <c r="I3" i="22"/>
  <c r="G21" i="24"/>
  <c r="G17" i="24" s="1"/>
  <c r="G18" i="24" s="1"/>
  <c r="E3" i="22"/>
  <c r="C21" i="24"/>
  <c r="C17" i="24" s="1"/>
  <c r="C18" i="24" s="1"/>
  <c r="B17" i="24"/>
  <c r="B9" i="24" s="1"/>
  <c r="D3" i="22"/>
  <c r="C6" i="22"/>
  <c r="C93" i="22"/>
  <c r="H21" i="24" l="1"/>
  <c r="H17" i="24"/>
  <c r="H18" i="24"/>
  <c r="B18" i="24"/>
  <c r="C10" i="22"/>
  <c r="C3" i="22"/>
  <c r="C9" i="24" l="1"/>
  <c r="C22" i="24" s="1"/>
  <c r="D9" i="24"/>
  <c r="D22" i="24" s="1"/>
  <c r="E9" i="24"/>
  <c r="E22" i="24" s="1"/>
  <c r="F9" i="24"/>
  <c r="F22" i="24" s="1"/>
  <c r="G9" i="24"/>
  <c r="G22" i="24" s="1"/>
  <c r="E25" i="24" l="1"/>
  <c r="E27" i="24" s="1"/>
  <c r="E28" i="24" s="1"/>
  <c r="E23" i="24"/>
  <c r="G25" i="24"/>
  <c r="G27" i="24" s="1"/>
  <c r="G28" i="24" s="1"/>
  <c r="G23" i="24"/>
  <c r="F25" i="24"/>
  <c r="F27" i="24" s="1"/>
  <c r="F28" i="24" s="1"/>
  <c r="F23" i="24"/>
  <c r="D25" i="24"/>
  <c r="D27" i="24" s="1"/>
  <c r="D28" i="24" s="1"/>
  <c r="D23" i="24"/>
  <c r="C25" i="24"/>
  <c r="C27" i="24" s="1"/>
  <c r="C28" i="24" s="1"/>
  <c r="C23" i="24"/>
  <c r="H10" i="24"/>
  <c r="H9" i="24" l="1"/>
  <c r="B22" i="24"/>
  <c r="B25" i="24" l="1"/>
  <c r="H25" i="24" s="1"/>
  <c r="H23" i="24"/>
  <c r="B23" i="24"/>
  <c r="H22" i="24"/>
  <c r="B27" i="24" l="1"/>
  <c r="B28" i="24" s="1"/>
  <c r="B3" i="25"/>
  <c r="H27" i="24" l="1"/>
  <c r="H28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claudio.holanda</author>
    <author>thiago macri</author>
    <author>Andressa</author>
  </authors>
  <commentList>
    <comment ref="E49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 xml:space="preserve">Daphne
</t>
        </r>
      </text>
    </comment>
    <comment ref="D524" authorId="1" shapeId="0" xr:uid="{00000000-0006-0000-0100-000002000000}">
      <text>
        <r>
          <rPr>
            <b/>
            <sz val="11"/>
            <color indexed="81"/>
            <rFont val="Segoe UI"/>
            <family val="2"/>
          </rPr>
          <t>20/10/23</t>
        </r>
      </text>
    </comment>
    <comment ref="K539" authorId="2" shapeId="0" xr:uid="{00000000-0006-0000-0100-000003000000}">
      <text>
        <r>
          <rPr>
            <b/>
            <sz val="9"/>
            <color indexed="81"/>
            <rFont val="Segoe UI"/>
            <family val="2"/>
          </rPr>
          <t>Andressa:</t>
        </r>
        <r>
          <rPr>
            <sz val="9"/>
            <color indexed="81"/>
            <rFont val="Segoe UI"/>
            <family val="2"/>
          </rPr>
          <t xml:space="preserve">
Pago em 21/09/2023
</t>
        </r>
      </text>
    </comment>
    <comment ref="F581" authorId="1" shapeId="0" xr:uid="{00000000-0006-0000-0100-000004000000}">
      <text>
        <r>
          <rPr>
            <b/>
            <sz val="11"/>
            <color indexed="81"/>
            <rFont val="Segoe UI"/>
            <family val="2"/>
          </rPr>
          <t>Daniel
0</t>
        </r>
      </text>
    </comment>
    <comment ref="E659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Reembolso Daniel
</t>
        </r>
      </text>
    </comment>
    <comment ref="E856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300 Unid</t>
        </r>
      </text>
    </comment>
    <comment ref="F875" authorId="1" shapeId="0" xr:uid="{00000000-0006-0000-0100-000007000000}">
      <text>
        <r>
          <rPr>
            <b/>
            <sz val="11"/>
            <color indexed="81"/>
            <rFont val="Segoe UI"/>
            <family val="2"/>
          </rPr>
          <t xml:space="preserve">Higor
</t>
        </r>
      </text>
    </comment>
    <comment ref="E896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 xml:space="preserve">400 unid
</t>
        </r>
      </text>
    </comment>
    <comment ref="E929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 xml:space="preserve">300 unid
</t>
        </r>
      </text>
    </comment>
    <comment ref="E1021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 xml:space="preserve">300 unid
</t>
        </r>
      </text>
    </comment>
    <comment ref="D1037" authorId="1" shapeId="0" xr:uid="{00000000-0006-0000-0100-00000B000000}">
      <text>
        <r>
          <rPr>
            <b/>
            <sz val="11"/>
            <color indexed="81"/>
            <rFont val="Segoe UI"/>
            <family val="2"/>
          </rPr>
          <t>20/10/23</t>
        </r>
      </text>
    </comment>
    <comment ref="D1038" authorId="0" shapeId="0" xr:uid="{00000000-0006-0000-0100-00000C000000}">
      <text>
        <r>
          <rPr>
            <b/>
            <sz val="9"/>
            <color indexed="81"/>
            <rFont val="Segoe UI"/>
            <family val="2"/>
          </rPr>
          <t xml:space="preserve">03/11/2023
</t>
        </r>
      </text>
    </comment>
    <comment ref="D1555" authorId="1" shapeId="0" xr:uid="{00000000-0006-0000-0100-00000D000000}">
      <text>
        <r>
          <rPr>
            <b/>
            <sz val="11"/>
            <color indexed="81"/>
            <rFont val="Segoe UI"/>
            <family val="2"/>
          </rPr>
          <t>13/11/23</t>
        </r>
      </text>
    </comment>
    <comment ref="E1571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>800 Unid</t>
        </r>
      </text>
    </comment>
    <comment ref="E1673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400 Unid</t>
        </r>
      </text>
    </comment>
    <comment ref="E1680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Cacau</t>
        </r>
      </text>
    </comment>
    <comment ref="E1710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400 Unid</t>
        </r>
      </text>
    </comment>
    <comment ref="E1729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1846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1847" authorId="0" shapeId="0" xr:uid="{00000000-0006-0000-0100-000014000000}">
      <text>
        <r>
          <rPr>
            <b/>
            <sz val="9"/>
            <color indexed="81"/>
            <rFont val="Segoe UI"/>
            <family val="2"/>
          </rPr>
          <t>800 Unid</t>
        </r>
      </text>
    </comment>
    <comment ref="E1851" authorId="0" shapeId="0" xr:uid="{00000000-0006-0000-0100-000015000000}">
      <text>
        <r>
          <rPr>
            <b/>
            <sz val="9"/>
            <color indexed="81"/>
            <rFont val="Segoe UI"/>
            <family val="2"/>
          </rPr>
          <t xml:space="preserve">Cacau
</t>
        </r>
      </text>
    </comment>
    <comment ref="E1852" authorId="0" shapeId="0" xr:uid="{00000000-0006-0000-0100-000016000000}">
      <text>
        <r>
          <rPr>
            <b/>
            <sz val="9"/>
            <color indexed="81"/>
            <rFont val="Segoe UI"/>
            <family val="2"/>
          </rPr>
          <t>400 Unid</t>
        </r>
      </text>
    </comment>
    <comment ref="K1907" authorId="2" shapeId="0" xr:uid="{00000000-0006-0000-0100-000017000000}">
      <text>
        <r>
          <rPr>
            <b/>
            <sz val="9"/>
            <color indexed="81"/>
            <rFont val="Segoe UI"/>
            <family val="2"/>
          </rPr>
          <t>Andressa:</t>
        </r>
        <r>
          <rPr>
            <sz val="9"/>
            <color indexed="81"/>
            <rFont val="Segoe UI"/>
            <family val="2"/>
          </rPr>
          <t xml:space="preserve">
Pago em 20/11/2023</t>
        </r>
      </text>
    </comment>
    <comment ref="E1940" authorId="0" shapeId="0" xr:uid="{00000000-0006-0000-0100-000018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1962" authorId="0" shapeId="0" xr:uid="{00000000-0006-0000-0100-000019000000}">
      <text>
        <r>
          <rPr>
            <b/>
            <sz val="9"/>
            <color indexed="81"/>
            <rFont val="Segoe UI"/>
            <family val="2"/>
          </rPr>
          <t xml:space="preserve">Saveiro
</t>
        </r>
      </text>
    </comment>
    <comment ref="E1982" authorId="0" shapeId="0" xr:uid="{00000000-0006-0000-0100-00001A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039" authorId="0" shapeId="0" xr:uid="{00000000-0006-0000-0100-00001B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072" authorId="0" shapeId="0" xr:uid="{00000000-0006-0000-0100-00001C000000}">
      <text>
        <r>
          <rPr>
            <b/>
            <sz val="9"/>
            <color indexed="81"/>
            <rFont val="Segoe UI"/>
            <family val="2"/>
          </rPr>
          <t>Saveiro</t>
        </r>
      </text>
    </comment>
    <comment ref="E2087" authorId="0" shapeId="0" xr:uid="{00000000-0006-0000-0100-00001D000000}">
      <text>
        <r>
          <rPr>
            <b/>
            <sz val="9"/>
            <color indexed="81"/>
            <rFont val="Segoe UI"/>
            <family val="2"/>
          </rPr>
          <t>1200 Unid</t>
        </r>
      </text>
    </comment>
    <comment ref="B2135" authorId="2" shapeId="0" xr:uid="{277FDCDF-EF87-4823-BEE1-72AB5122833C}">
      <text>
        <r>
          <rPr>
            <b/>
            <sz val="9"/>
            <color indexed="81"/>
            <rFont val="Segoe UI"/>
            <family val="2"/>
          </rPr>
          <t>Andressa:</t>
        </r>
        <r>
          <rPr>
            <sz val="9"/>
            <color indexed="81"/>
            <rFont val="Segoe UI"/>
            <family val="2"/>
          </rPr>
          <t xml:space="preserve">
pago em 01/12/2023</t>
        </r>
      </text>
    </comment>
    <comment ref="B2136" authorId="2" shapeId="0" xr:uid="{AAFF3104-10BF-4FEF-9D30-4EAA2F7247CE}">
      <text>
        <r>
          <rPr>
            <b/>
            <sz val="9"/>
            <color indexed="81"/>
            <rFont val="Segoe UI"/>
            <family val="2"/>
          </rPr>
          <t>Andressa:</t>
        </r>
        <r>
          <rPr>
            <sz val="9"/>
            <color indexed="81"/>
            <rFont val="Segoe UI"/>
            <family val="2"/>
          </rPr>
          <t xml:space="preserve">
pago em 01/12/2023</t>
        </r>
      </text>
    </comment>
    <comment ref="E2148" authorId="0" shapeId="0" xr:uid="{00000000-0006-0000-0100-00001E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179" authorId="0" shapeId="0" xr:uid="{00000000-0006-0000-0100-00001F000000}">
      <text>
        <r>
          <rPr>
            <b/>
            <sz val="9"/>
            <color indexed="81"/>
            <rFont val="Segoe UI"/>
            <family val="2"/>
          </rPr>
          <t>400 Unid</t>
        </r>
      </text>
    </comment>
    <comment ref="E2240" authorId="0" shapeId="0" xr:uid="{00000000-0006-0000-0100-000020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256" authorId="0" shapeId="0" xr:uid="{00000000-0006-0000-0100-000021000000}">
      <text>
        <r>
          <rPr>
            <b/>
            <sz val="9"/>
            <color indexed="81"/>
            <rFont val="Segoe UI"/>
            <family val="2"/>
          </rPr>
          <t xml:space="preserve">Saveiro
</t>
        </r>
      </text>
    </comment>
    <comment ref="E2260" authorId="0" shapeId="0" xr:uid="{00000000-0006-0000-0100-000022000000}">
      <text>
        <r>
          <rPr>
            <b/>
            <sz val="9"/>
            <color indexed="81"/>
            <rFont val="Segoe UI"/>
            <family val="2"/>
          </rPr>
          <t xml:space="preserve">Instalação
</t>
        </r>
      </text>
    </comment>
    <comment ref="E2291" authorId="0" shapeId="0" xr:uid="{00000000-0006-0000-0100-000023000000}">
      <text>
        <r>
          <rPr>
            <b/>
            <sz val="9"/>
            <color indexed="81"/>
            <rFont val="Segoe UI"/>
            <family val="2"/>
          </rPr>
          <t>Cacau</t>
        </r>
      </text>
    </comment>
    <comment ref="E2340" authorId="0" shapeId="0" xr:uid="{00000000-0006-0000-0100-000024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397" authorId="0" shapeId="0" xr:uid="{00000000-0006-0000-0100-000025000000}">
      <text>
        <r>
          <rPr>
            <b/>
            <sz val="9"/>
            <color indexed="81"/>
            <rFont val="Segoe UI"/>
            <family val="2"/>
          </rPr>
          <t xml:space="preserve">Daphne
</t>
        </r>
      </text>
    </comment>
    <comment ref="E2429" authorId="0" shapeId="0" xr:uid="{00000000-0006-0000-0100-000026000000}">
      <text>
        <r>
          <rPr>
            <b/>
            <sz val="9"/>
            <color indexed="81"/>
            <rFont val="Segoe UI"/>
            <family val="2"/>
          </rPr>
          <t xml:space="preserve">Saveiro
</t>
        </r>
      </text>
    </comment>
    <comment ref="K2430" authorId="2" shapeId="0" xr:uid="{00000000-0006-0000-0100-000027000000}">
      <text>
        <r>
          <rPr>
            <b/>
            <sz val="9"/>
            <color indexed="81"/>
            <rFont val="Segoe UI"/>
            <family val="2"/>
          </rPr>
          <t>Andressa:</t>
        </r>
        <r>
          <rPr>
            <sz val="9"/>
            <color indexed="81"/>
            <rFont val="Segoe UI"/>
            <family val="2"/>
          </rPr>
          <t xml:space="preserve">
Pago em 18/12/2023</t>
        </r>
      </text>
    </comment>
    <comment ref="E2431" authorId="0" shapeId="0" xr:uid="{00000000-0006-0000-0100-000028000000}">
      <text>
        <r>
          <rPr>
            <b/>
            <sz val="9"/>
            <color indexed="81"/>
            <rFont val="Segoe UI"/>
            <family val="2"/>
          </rPr>
          <t xml:space="preserve">300 unid
</t>
        </r>
      </text>
    </comment>
    <comment ref="E2454" authorId="0" shapeId="0" xr:uid="{00000000-0006-0000-0100-000029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577" authorId="0" shapeId="0" xr:uid="{00000000-0006-0000-0100-00002A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578" authorId="0" shapeId="0" xr:uid="{00000000-0006-0000-0100-00002B000000}">
      <text>
        <r>
          <rPr>
            <b/>
            <sz val="9"/>
            <color indexed="81"/>
            <rFont val="Segoe UI"/>
            <family val="2"/>
          </rPr>
          <t>400 Unid</t>
        </r>
      </text>
    </comment>
    <comment ref="E2579" authorId="0" shapeId="0" xr:uid="{00000000-0006-0000-0100-00002C000000}">
      <text>
        <r>
          <rPr>
            <b/>
            <sz val="9"/>
            <color indexed="81"/>
            <rFont val="Segoe UI"/>
            <family val="2"/>
          </rPr>
          <t xml:space="preserve">Saveiro
</t>
        </r>
      </text>
    </comment>
    <comment ref="E2615" authorId="0" shapeId="0" xr:uid="{00000000-0006-0000-0100-00002D000000}">
      <text>
        <r>
          <rPr>
            <b/>
            <sz val="9"/>
            <color indexed="81"/>
            <rFont val="Segoe UI"/>
            <family val="2"/>
          </rPr>
          <t xml:space="preserve">Diesel Gerador
</t>
        </r>
      </text>
    </comment>
    <comment ref="E2617" authorId="0" shapeId="0" xr:uid="{00000000-0006-0000-0100-00002E000000}">
      <text>
        <r>
          <rPr>
            <b/>
            <sz val="9"/>
            <color indexed="81"/>
            <rFont val="Segoe UI"/>
            <family val="2"/>
          </rPr>
          <t xml:space="preserve">P45
</t>
        </r>
      </text>
    </comment>
    <comment ref="E2619" authorId="0" shapeId="0" xr:uid="{00000000-0006-0000-0100-00002F000000}">
      <text>
        <r>
          <rPr>
            <b/>
            <sz val="9"/>
            <color indexed="81"/>
            <rFont val="Segoe UI"/>
            <family val="2"/>
          </rPr>
          <t xml:space="preserve">Daphne
</t>
        </r>
      </text>
    </comment>
    <comment ref="E2642" authorId="0" shapeId="0" xr:uid="{00000000-0006-0000-0100-000030000000}">
      <text>
        <r>
          <rPr>
            <b/>
            <sz val="9"/>
            <color indexed="81"/>
            <rFont val="Segoe UI"/>
            <family val="2"/>
          </rPr>
          <t>1200 Unid</t>
        </r>
      </text>
    </comment>
    <comment ref="E2643" authorId="0" shapeId="0" xr:uid="{00000000-0006-0000-0100-000031000000}">
      <text>
        <r>
          <rPr>
            <b/>
            <sz val="9"/>
            <color indexed="81"/>
            <rFont val="Segoe UI"/>
            <family val="2"/>
          </rPr>
          <t xml:space="preserve">Restante
</t>
        </r>
      </text>
    </comment>
    <comment ref="E2658" authorId="2" shapeId="0" xr:uid="{00000000-0006-0000-0100-000032000000}">
      <text>
        <r>
          <rPr>
            <b/>
            <sz val="9"/>
            <color indexed="81"/>
            <rFont val="Segoe UI"/>
            <family val="2"/>
          </rPr>
          <t>Saveiro</t>
        </r>
      </text>
    </comment>
    <comment ref="E2664" authorId="2" shapeId="0" xr:uid="{00000000-0006-0000-0100-000033000000}">
      <text>
        <r>
          <rPr>
            <b/>
            <sz val="9"/>
            <color indexed="81"/>
            <rFont val="Segoe UI"/>
            <family val="2"/>
          </rPr>
          <t>Diesel Gerador</t>
        </r>
      </text>
    </comment>
    <comment ref="E2665" authorId="2" shapeId="0" xr:uid="{00000000-0006-0000-0100-000034000000}">
      <text>
        <r>
          <rPr>
            <b/>
            <sz val="9"/>
            <color indexed="81"/>
            <rFont val="Segoe UI"/>
            <family val="2"/>
          </rPr>
          <t>Diesel Gerador</t>
        </r>
      </text>
    </comment>
    <comment ref="E2667" authorId="2" shapeId="0" xr:uid="{00000000-0006-0000-0100-000035000000}">
      <text>
        <r>
          <rPr>
            <b/>
            <sz val="9"/>
            <color indexed="81"/>
            <rFont val="Segoe UI"/>
            <family val="2"/>
          </rPr>
          <t>Diesel Gerador</t>
        </r>
      </text>
    </comment>
    <comment ref="D2669" authorId="2" shapeId="0" xr:uid="{7B3ED02F-E28C-4B2F-BEB2-3470ED6339A5}">
      <text>
        <r>
          <rPr>
            <b/>
            <sz val="11"/>
            <color indexed="81"/>
            <rFont val="Segoe UI"/>
            <family val="2"/>
          </rPr>
          <t>03/01/2024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70" authorId="2" shapeId="0" xr:uid="{54AF768D-B78C-4869-ABBE-5DE9CC271044}">
      <text>
        <r>
          <rPr>
            <sz val="9"/>
            <color indexed="81"/>
            <rFont val="Segoe UI"/>
            <charset val="1"/>
          </rPr>
          <t xml:space="preserve">19/01/2024
</t>
        </r>
      </text>
    </comment>
  </commentList>
</comments>
</file>

<file path=xl/sharedStrings.xml><?xml version="1.0" encoding="utf-8"?>
<sst xmlns="http://schemas.openxmlformats.org/spreadsheetml/2006/main" count="16674" uniqueCount="840">
  <si>
    <t>Despesas</t>
  </si>
  <si>
    <t>Aluguéis</t>
  </si>
  <si>
    <t>Telefone</t>
  </si>
  <si>
    <t>Tipo</t>
  </si>
  <si>
    <t>Categoria</t>
  </si>
  <si>
    <t>Sistema</t>
  </si>
  <si>
    <t>Internet</t>
  </si>
  <si>
    <t>Nome</t>
  </si>
  <si>
    <t>Data</t>
  </si>
  <si>
    <t>Nota Fiscal</t>
  </si>
  <si>
    <t>Pix Recebidos 22/08/2023</t>
  </si>
  <si>
    <t>Pix recebidos SAFRAPAY</t>
  </si>
  <si>
    <t>Tarifa Pix Qr Code Safrapay</t>
  </si>
  <si>
    <t>Resumo vendas Debito</t>
  </si>
  <si>
    <t>Vendas Débitos SAFRA</t>
  </si>
  <si>
    <t>Antecipação RV VISA</t>
  </si>
  <si>
    <t>Antecipação RV SAFRA</t>
  </si>
  <si>
    <t>Antecipação RV MASTER</t>
  </si>
  <si>
    <t>Antecipação RV American Express</t>
  </si>
  <si>
    <t>Pix Recebidos 23/08/2023</t>
  </si>
  <si>
    <t>Não Consta</t>
  </si>
  <si>
    <t>Flor do Mar</t>
  </si>
  <si>
    <t>NFCe</t>
  </si>
  <si>
    <t>Tarifa Pix Enviado</t>
  </si>
  <si>
    <t>Antecipação RV ELO</t>
  </si>
  <si>
    <t>Pix Recebidos em 24/08/2023</t>
  </si>
  <si>
    <t>Compra de fardamento - 11:21</t>
  </si>
  <si>
    <t>Mãe Rainha</t>
  </si>
  <si>
    <t>Emerson Peixe</t>
  </si>
  <si>
    <t>AMBEV</t>
  </si>
  <si>
    <t xml:space="preserve">Compras cabides </t>
  </si>
  <si>
    <t>CB Distribuidora</t>
  </si>
  <si>
    <t>Dia do evento sábado 26/08</t>
  </si>
  <si>
    <t>J&amp;L</t>
  </si>
  <si>
    <t>Pão de Açúcar</t>
  </si>
  <si>
    <t>Mercado Livre</t>
  </si>
  <si>
    <t>Savia Almeida</t>
  </si>
  <si>
    <t>Mult Embalagens</t>
  </si>
  <si>
    <t>Compra de embalagens</t>
  </si>
  <si>
    <t>Ultragaz</t>
  </si>
  <si>
    <t>Frete Angelo Bonfim</t>
  </si>
  <si>
    <t>74668;2611;37842;26395</t>
  </si>
  <si>
    <t>Reembolso Compras feitas pela Vanessa</t>
  </si>
  <si>
    <t>Vendas</t>
  </si>
  <si>
    <t>Pix Recebidos em 25/08/2023</t>
  </si>
  <si>
    <t>PC Magic</t>
  </si>
  <si>
    <t xml:space="preserve">Pagamento serviços Michel </t>
  </si>
  <si>
    <t>Eventos</t>
  </si>
  <si>
    <t>Saxofone</t>
  </si>
  <si>
    <t>Pgto. Antoio Edvanisom Sax 27/08</t>
  </si>
  <si>
    <t>Neide Salgados</t>
  </si>
  <si>
    <t>Rei do Atum</t>
  </si>
  <si>
    <t>Pix Recebidos em 28/08/2023</t>
  </si>
  <si>
    <t>Refritek</t>
  </si>
  <si>
    <t>Compra de forno</t>
  </si>
  <si>
    <t>Pix recebidos em 30/08/2023</t>
  </si>
  <si>
    <t>Pix recebidos em 29/08/2023</t>
  </si>
  <si>
    <t>Serviços gráficos - etiquetas</t>
  </si>
  <si>
    <t>Kleins Empório</t>
  </si>
  <si>
    <t>Ambev</t>
  </si>
  <si>
    <t>Conecty</t>
  </si>
  <si>
    <t>Alexandre</t>
  </si>
  <si>
    <t>Folha de Pagamento</t>
  </si>
  <si>
    <t>Marina</t>
  </si>
  <si>
    <t>Daniel</t>
  </si>
  <si>
    <t>Douglas</t>
  </si>
  <si>
    <t>Jardel</t>
  </si>
  <si>
    <t>Francisco</t>
  </si>
  <si>
    <t>Higor</t>
  </si>
  <si>
    <t>Isabel</t>
  </si>
  <si>
    <t>Reginaldo</t>
  </si>
  <si>
    <t>Festas Paracuru</t>
  </si>
  <si>
    <t>Isabel (restante)</t>
  </si>
  <si>
    <t>Alana</t>
  </si>
  <si>
    <t>Vanessa Cozinha</t>
  </si>
  <si>
    <t>Vanessa Compras</t>
  </si>
  <si>
    <t>Quina do Queijo</t>
  </si>
  <si>
    <t>Talita (Steice)</t>
  </si>
  <si>
    <t>Pix Recebidos em 31/08/2023</t>
  </si>
  <si>
    <t>Antecipação RV</t>
  </si>
  <si>
    <t>VISA</t>
  </si>
  <si>
    <t>MASTER</t>
  </si>
  <si>
    <t>ELO</t>
  </si>
  <si>
    <t>AMERICAN EXPRESS</t>
  </si>
  <si>
    <t>Cristiane 2/2</t>
  </si>
  <si>
    <t>Cristiane 1/2</t>
  </si>
  <si>
    <t xml:space="preserve">Cacau </t>
  </si>
  <si>
    <t>Claudelene</t>
  </si>
  <si>
    <t>Certify Paracuru - Rita</t>
  </si>
  <si>
    <t>Certificado Digital</t>
  </si>
  <si>
    <t>Premibeer Cervejaria</t>
  </si>
  <si>
    <t>Opção Alimentos</t>
  </si>
  <si>
    <t>Pão e Cia</t>
  </si>
  <si>
    <t>Tarifa Pix QR Code Safrapay</t>
  </si>
  <si>
    <t>Pix Recebidos em 01/09/2023</t>
  </si>
  <si>
    <t>Pix Recebidos Safrapay</t>
  </si>
  <si>
    <t>Emitir</t>
  </si>
  <si>
    <t>Eduardo</t>
  </si>
  <si>
    <t>Gasolina</t>
  </si>
  <si>
    <t xml:space="preserve">Pgto  DJ Gennaro </t>
  </si>
  <si>
    <t>Ursula</t>
  </si>
  <si>
    <t>Pgto DJ Urusula</t>
  </si>
  <si>
    <t>emitir</t>
  </si>
  <si>
    <t>solicitar</t>
  </si>
  <si>
    <t xml:space="preserve">Rei da Macaxeira </t>
  </si>
  <si>
    <t>Pix Recebidos em 04/09/2023</t>
  </si>
  <si>
    <t>13160, 13179</t>
  </si>
  <si>
    <t>Ismael Fiuza Junior</t>
  </si>
  <si>
    <t>Côcos</t>
  </si>
  <si>
    <t>Refletores e cabo PP</t>
  </si>
  <si>
    <t>Ageu Sistemas</t>
  </si>
  <si>
    <t>Neto Verduras</t>
  </si>
  <si>
    <t>Pneus</t>
  </si>
  <si>
    <t>Pix Recebidos em 05/09/2023</t>
  </si>
  <si>
    <t>M J Art Plasticos LTDA</t>
  </si>
  <si>
    <t>Compra de copos</t>
  </si>
  <si>
    <t>Açaí Sabor do Norte</t>
  </si>
  <si>
    <t>D C Viana E F P Neto LTDA</t>
  </si>
  <si>
    <t>Compras barraca</t>
  </si>
  <si>
    <t>SolMar</t>
  </si>
  <si>
    <t>Boleto</t>
  </si>
  <si>
    <t>34610, 32418</t>
  </si>
  <si>
    <t>Pix Recebidos em 06/09/2023</t>
  </si>
  <si>
    <t>duas panelas</t>
  </si>
  <si>
    <t>Pix Recebidos em 08/09/2023</t>
  </si>
  <si>
    <t>Jefferson Valcacio Gomes</t>
  </si>
  <si>
    <t>Jose Ricardo Alves da Silva</t>
  </si>
  <si>
    <t>Transporte Músicos</t>
  </si>
  <si>
    <t>13265, 13266</t>
  </si>
  <si>
    <t>Pisca pisca, suporte e tv</t>
  </si>
  <si>
    <t>65845, 247170, 13325748</t>
  </si>
  <si>
    <t>36, 37</t>
  </si>
  <si>
    <t>Cesta de Batata Frita</t>
  </si>
  <si>
    <t>Pix Recebidos em 11/09/2023</t>
  </si>
  <si>
    <t>Supremo Açaí</t>
  </si>
  <si>
    <t>Andre Luiz Tavares Silva</t>
  </si>
  <si>
    <t>Banda</t>
  </si>
  <si>
    <t>Pix Recebidos em 12/09/2023</t>
  </si>
  <si>
    <t>Daniel Acacio da Silva Santos</t>
  </si>
  <si>
    <t>Reembolso Daniel</t>
  </si>
  <si>
    <t>Vanessa</t>
  </si>
  <si>
    <t>Empréstimo Vanessa</t>
  </si>
  <si>
    <t>Valdemir Couto de Lima</t>
  </si>
  <si>
    <t>Bebidas</t>
  </si>
  <si>
    <t>Pix Recebidos em 13/09/2023</t>
  </si>
  <si>
    <t>Cristiane Rescisão</t>
  </si>
  <si>
    <t>Pix Recebidos em 14/09/2023</t>
  </si>
  <si>
    <t>Senzala</t>
  </si>
  <si>
    <t>Jose Messias da Rocha Pintor</t>
  </si>
  <si>
    <t>Daniel - Cozinheiro</t>
  </si>
  <si>
    <t>Douglas - Ajudante Bar</t>
  </si>
  <si>
    <t>Jardel - Cozinheiro</t>
  </si>
  <si>
    <t>Reginaldo - Administrador</t>
  </si>
  <si>
    <t>Francisco - Vigia</t>
  </si>
  <si>
    <t>Higor - Vigia</t>
  </si>
  <si>
    <t>Vanessa - Cozinheira</t>
  </si>
  <si>
    <t>Marina - Aux. De Cozinha</t>
  </si>
  <si>
    <t>Alana - Aux. De Louça</t>
  </si>
  <si>
    <t>Mayra - Aux. De Cozinha</t>
  </si>
  <si>
    <t>Claudelene - Ajudante Caixa</t>
  </si>
  <si>
    <t>Ozeias - BarMan</t>
  </si>
  <si>
    <t>Ubirajara Jorge da Silva</t>
  </si>
  <si>
    <t>Samba</t>
  </si>
  <si>
    <t>Pix Recebidos em 15/09/2023</t>
  </si>
  <si>
    <t>13367, 13365</t>
  </si>
  <si>
    <t>Eduardo - Jardim</t>
  </si>
  <si>
    <t>Taças</t>
  </si>
  <si>
    <t>Cabos</t>
  </si>
  <si>
    <t>102448, 13659, 385599</t>
  </si>
  <si>
    <t>Salgados</t>
  </si>
  <si>
    <t>Pix recebidos em 18/09/2023</t>
  </si>
  <si>
    <t>Impostos s/ Folha</t>
  </si>
  <si>
    <t>137, 2302, 101796, 1</t>
  </si>
  <si>
    <t>Espécie</t>
  </si>
  <si>
    <t>Pix</t>
  </si>
  <si>
    <t>Reformas</t>
  </si>
  <si>
    <t>Equipamentos</t>
  </si>
  <si>
    <t>Contabilidade</t>
  </si>
  <si>
    <t>Insumos</t>
  </si>
  <si>
    <t>Peixe</t>
  </si>
  <si>
    <t>Embalagens</t>
  </si>
  <si>
    <t>Gás</t>
  </si>
  <si>
    <t>Taxas Bancárias</t>
  </si>
  <si>
    <t>Frete</t>
  </si>
  <si>
    <t>Ebanx</t>
  </si>
  <si>
    <t>Mapas</t>
  </si>
  <si>
    <t>Débito Automático</t>
  </si>
  <si>
    <t>Pix Recebidos em 19/09/2023</t>
  </si>
  <si>
    <t>ART Bombeiros</t>
  </si>
  <si>
    <t>Solicitar</t>
  </si>
  <si>
    <t>Vistoria Bombeiros</t>
  </si>
  <si>
    <t>Pix Recebidos em 20/09/2023</t>
  </si>
  <si>
    <t>Antonio Marcelo</t>
  </si>
  <si>
    <t>Bobinas</t>
  </si>
  <si>
    <t>381555 barraca</t>
  </si>
  <si>
    <t>Ultragáz</t>
  </si>
  <si>
    <t>Pix Recebidos em 21/09/2023</t>
  </si>
  <si>
    <t>Investimento</t>
  </si>
  <si>
    <t xml:space="preserve">Transferência enviada    </t>
  </si>
  <si>
    <t xml:space="preserve">Tarifa Pix Enviado       </t>
  </si>
  <si>
    <t xml:space="preserve">Tar DOC/TED Eletrônico   </t>
  </si>
  <si>
    <t xml:space="preserve">Pix - Enviado            </t>
  </si>
  <si>
    <t xml:space="preserve">Pagamento de Boleto      </t>
  </si>
  <si>
    <t>cnl pix pag</t>
  </si>
  <si>
    <t>Freitas Varejo</t>
  </si>
  <si>
    <t>Diversos</t>
  </si>
  <si>
    <t>ViaMar</t>
  </si>
  <si>
    <t>Faturamento</t>
  </si>
  <si>
    <t>DJ Ursula</t>
  </si>
  <si>
    <t>DJ 16/09</t>
  </si>
  <si>
    <t>Andressa Gomes</t>
  </si>
  <si>
    <t>pag pix</t>
  </si>
  <si>
    <t>especie</t>
  </si>
  <si>
    <t>pag cartao</t>
  </si>
  <si>
    <t xml:space="preserve">Compra com Cartão        </t>
  </si>
  <si>
    <t>cnl</t>
  </si>
  <si>
    <t>mika pix sumup</t>
  </si>
  <si>
    <t>c6</t>
  </si>
  <si>
    <t>nubank sole</t>
  </si>
  <si>
    <t xml:space="preserve">Pagamento conta luz      </t>
  </si>
  <si>
    <t>c6 pix</t>
  </si>
  <si>
    <t xml:space="preserve">LUNDGAARD J C C I L    </t>
  </si>
  <si>
    <t>SINVAL PAULO DE CASTRO NET</t>
  </si>
  <si>
    <t>Solmar</t>
  </si>
  <si>
    <t>Naturagua</t>
  </si>
  <si>
    <t>Salario</t>
  </si>
  <si>
    <t>ICMS</t>
  </si>
  <si>
    <t>Pix recebidos em 22/09/2023</t>
  </si>
  <si>
    <t>38, 39</t>
  </si>
  <si>
    <t>Açaí</t>
  </si>
  <si>
    <t>COFINS</t>
  </si>
  <si>
    <t>PIS</t>
  </si>
  <si>
    <t>GM Extintores</t>
  </si>
  <si>
    <t>Germano Extintores</t>
  </si>
  <si>
    <t>3106, 2421</t>
  </si>
  <si>
    <t>13488, 13490, 13489</t>
  </si>
  <si>
    <t>Pix Recebidos em 25/09/2023</t>
  </si>
  <si>
    <t>Pix Recebidos em 26/09/2023</t>
  </si>
  <si>
    <t>Sacos de lixo</t>
  </si>
  <si>
    <t>Inauguração</t>
  </si>
  <si>
    <t>Carrefour</t>
  </si>
  <si>
    <t>Geladão</t>
  </si>
  <si>
    <t>RB ENTRETENIMENTO E COMERC</t>
  </si>
  <si>
    <t>José Antônio Martins Viana</t>
  </si>
  <si>
    <t>CT COMTEC</t>
  </si>
  <si>
    <t>CNL</t>
  </si>
  <si>
    <t xml:space="preserve">POSTO SAO JOSE          </t>
  </si>
  <si>
    <t xml:space="preserve">Jose Mardonio Da Silva </t>
  </si>
  <si>
    <t>Cardapio</t>
  </si>
  <si>
    <t>Cacau</t>
  </si>
  <si>
    <t>FRANCISCO RODRIGUES SILVA</t>
  </si>
  <si>
    <t>Tar. agrupadas - ocorrencia 17/07</t>
  </si>
  <si>
    <t>Posto 1000</t>
  </si>
  <si>
    <t>Vanessa Moreira Ribeiro</t>
  </si>
  <si>
    <t>Tar. agrupadas - ocorrencia 18/07</t>
  </si>
  <si>
    <t>Tar. agrupadas - ocorrencia 19/07</t>
  </si>
  <si>
    <t>Brava Wine</t>
  </si>
  <si>
    <t>Tar. agrupadas - ocorrencia 20/07</t>
  </si>
  <si>
    <t>geladão</t>
  </si>
  <si>
    <t>Mardonio</t>
  </si>
  <si>
    <t>Gabriel</t>
  </si>
  <si>
    <t>João Paulo</t>
  </si>
  <si>
    <t>Rondinelli</t>
  </si>
  <si>
    <t>Enel</t>
  </si>
  <si>
    <t>LUIZ CARLOS BRAGA BARRETO</t>
  </si>
  <si>
    <t>Tar. agrupadas - ocorrencia 21/07</t>
  </si>
  <si>
    <t>CDL Ceara</t>
  </si>
  <si>
    <t>Macaxeira</t>
  </si>
  <si>
    <t>Tar. agrupadas - ocorrencia 24/07</t>
  </si>
  <si>
    <t>Americanas</t>
  </si>
  <si>
    <t>J&amp;l</t>
  </si>
  <si>
    <t>Tar. agrupadas - ocorrencia 25/07</t>
  </si>
  <si>
    <t>Posto são jose</t>
  </si>
  <si>
    <t>tesouraria</t>
  </si>
  <si>
    <t>Arthur Pereira Teixeira</t>
  </si>
  <si>
    <t>Janielly Almeida Rocha</t>
  </si>
  <si>
    <t>Tar. agrupadas - ocorrencia 26/07</t>
  </si>
  <si>
    <t>Tar. agrupadas - ocorrencia 27/07</t>
  </si>
  <si>
    <t>BOBINAS</t>
  </si>
  <si>
    <t>050803707000104 LA PETITE MAI</t>
  </si>
  <si>
    <t>Cobrança referente 31/07</t>
  </si>
  <si>
    <t>Tar. agrupadas - ocorrencia 28/07</t>
  </si>
  <si>
    <t>Pix recebidos em 27/09/2023</t>
  </si>
  <si>
    <t>Espelhos</t>
  </si>
  <si>
    <t>Sapatas p/ mesas</t>
  </si>
  <si>
    <t>13525, 13526</t>
  </si>
  <si>
    <t>Cartão CL</t>
  </si>
  <si>
    <t>Cartão Sumap</t>
  </si>
  <si>
    <t>Vendas Espécie</t>
  </si>
  <si>
    <t>Danilo</t>
  </si>
  <si>
    <t>Salário</t>
  </si>
  <si>
    <t>bb pix</t>
  </si>
  <si>
    <t>bb</t>
  </si>
  <si>
    <t>mercado pago pix</t>
  </si>
  <si>
    <t>bb cartao</t>
  </si>
  <si>
    <t>merc boleto</t>
  </si>
  <si>
    <t xml:space="preserve">KM ESTETICA AUTOMOTI      </t>
  </si>
  <si>
    <t>Lava Jato</t>
  </si>
  <si>
    <t>TEREZA CRISTINA MEND</t>
  </si>
  <si>
    <t>Bateria do carro</t>
  </si>
  <si>
    <t>Posto São José</t>
  </si>
  <si>
    <t>Rei da Macaxeira</t>
  </si>
  <si>
    <t>Tar. agrupadas - ocorrencia 31/07</t>
  </si>
  <si>
    <t xml:space="preserve">BBSEGUROS </t>
  </si>
  <si>
    <t>Paulinho</t>
  </si>
  <si>
    <t xml:space="preserve">TON BAR E PESTIS      </t>
  </si>
  <si>
    <t>carro alternador conserto</t>
  </si>
  <si>
    <t xml:space="preserve">LUNDGAARD J C C I L  </t>
  </si>
  <si>
    <t>DJ Gennaro</t>
  </si>
  <si>
    <t>Gennaro Illiano</t>
  </si>
  <si>
    <t>Tar. agrupadas - ocorrencia 01/08</t>
  </si>
  <si>
    <t>FARMACIA GASTE MENOS</t>
  </si>
  <si>
    <t>Chip Celular</t>
  </si>
  <si>
    <t>São Luiz</t>
  </si>
  <si>
    <t>Gelo</t>
  </si>
  <si>
    <t>Conserto Geladeira</t>
  </si>
  <si>
    <t>edivania dos santos</t>
  </si>
  <si>
    <t>Marcenaria</t>
  </si>
  <si>
    <t>joao vitor miranda alves</t>
  </si>
  <si>
    <t>washington goncalves oliveira</t>
  </si>
  <si>
    <t>joao clecio viana mesquita</t>
  </si>
  <si>
    <t>thalles mecanico</t>
  </si>
  <si>
    <t>carro gurgel conserto</t>
  </si>
  <si>
    <t>danielly cicera lotaçao</t>
  </si>
  <si>
    <t>restaurante</t>
  </si>
  <si>
    <t>Torres Indústria</t>
  </si>
  <si>
    <t xml:space="preserve">Gabriel </t>
  </si>
  <si>
    <t>antonio edivanisom lima barros</t>
  </si>
  <si>
    <t>Saxofonista</t>
  </si>
  <si>
    <t>isabel cozinha</t>
  </si>
  <si>
    <t>douglas limpeza</t>
  </si>
  <si>
    <t>cristiane cozinha</t>
  </si>
  <si>
    <t>jardel cozinha</t>
  </si>
  <si>
    <t>daniel cozinha</t>
  </si>
  <si>
    <t>marina cozinha</t>
  </si>
  <si>
    <t>Vigia</t>
  </si>
  <si>
    <t>Louças</t>
  </si>
  <si>
    <t>Arthur</t>
  </si>
  <si>
    <t>Barman</t>
  </si>
  <si>
    <t>Batista Motor</t>
  </si>
  <si>
    <t>poço produto limpeza</t>
  </si>
  <si>
    <t>aguiar comercial de alimentos</t>
  </si>
  <si>
    <t>poço bomba limpeza</t>
  </si>
  <si>
    <t>Posto Sol e mar</t>
  </si>
  <si>
    <t>simples cnl maquina c6</t>
  </si>
  <si>
    <t>Casa na lagoa</t>
  </si>
  <si>
    <t>delta bebidas sobral</t>
  </si>
  <si>
    <t>pratileiras inox</t>
  </si>
  <si>
    <t>pregos cadeiras</t>
  </si>
  <si>
    <t xml:space="preserve">Vendas  </t>
  </si>
  <si>
    <t xml:space="preserve">Vendas Cartão </t>
  </si>
  <si>
    <t>25566, 25565</t>
  </si>
  <si>
    <t>45799, 45801, 31027, 45823</t>
  </si>
  <si>
    <t>Pix Recebidos em 28/09/2023</t>
  </si>
  <si>
    <t>DJ Biruta</t>
  </si>
  <si>
    <t>Pix Recebidos em 29/09/2023</t>
  </si>
  <si>
    <t>Los Cupinchas</t>
  </si>
  <si>
    <t>Resumo Vendas Débito</t>
  </si>
  <si>
    <t xml:space="preserve">Folha de Pagamento </t>
  </si>
  <si>
    <t>272578 barraca</t>
  </si>
  <si>
    <t>Tarifa Px QR Code</t>
  </si>
  <si>
    <t>Pix Recebidos em 02/10/2023</t>
  </si>
  <si>
    <t>25354, 567132</t>
  </si>
  <si>
    <t>Resumo Vendas Crédito</t>
  </si>
  <si>
    <t>Pix Recebidos em 03/10/2023</t>
  </si>
  <si>
    <t>Tarifa Pix QR Code</t>
  </si>
  <si>
    <t>Benedito Washington Alves Costa</t>
  </si>
  <si>
    <t>Pix Recebidos em 04/10/2023</t>
  </si>
  <si>
    <t>Michel TI</t>
  </si>
  <si>
    <t xml:space="preserve">368557, 368556 </t>
  </si>
  <si>
    <t>Mardônio</t>
  </si>
  <si>
    <t xml:space="preserve">Cartão        </t>
  </si>
  <si>
    <t>Pix Recebidos em 05/10/2023</t>
  </si>
  <si>
    <t>Resumo Vendas Débitos</t>
  </si>
  <si>
    <t>40, 41</t>
  </si>
  <si>
    <t>Pix Recebidos em 06/10/2023</t>
  </si>
  <si>
    <t>Gilvan Lima dos Santos</t>
  </si>
  <si>
    <t>Gabriela Pinto dos Santos</t>
  </si>
  <si>
    <t>Tacildo Camarão/ Mirian</t>
  </si>
  <si>
    <t>13689, 13687, 13688</t>
  </si>
  <si>
    <t>Pix Recebidos em 09/10/2023</t>
  </si>
  <si>
    <t>Vendas Crédito SAFRA</t>
  </si>
  <si>
    <t>Vendas Débito SAFRA</t>
  </si>
  <si>
    <t>NortePlast</t>
  </si>
  <si>
    <t>Pix Recebidos em 10/10/2023</t>
  </si>
  <si>
    <t>13722, 13723, 13724</t>
  </si>
  <si>
    <t>DJ Matheus Ribeiro</t>
  </si>
  <si>
    <t>DJ</t>
  </si>
  <si>
    <t>Marcos Antonio de Alencar Lopes</t>
  </si>
  <si>
    <t>Cardápios</t>
  </si>
  <si>
    <t>418953 barraca</t>
  </si>
  <si>
    <t>Pix Recebidos em 11/10/2023</t>
  </si>
  <si>
    <t>Placas</t>
  </si>
  <si>
    <t>IPIX</t>
  </si>
  <si>
    <t>Construfort</t>
  </si>
  <si>
    <t xml:space="preserve">SILVA &amp; MARTINS COM DE MEDIC </t>
  </si>
  <si>
    <t xml:space="preserve">J R Meireles Filho </t>
  </si>
  <si>
    <t>Memorial Descritivo</t>
  </si>
  <si>
    <t>13762, 13769, 13769</t>
  </si>
  <si>
    <t>Pix Recebidos em 13/10/2023</t>
  </si>
  <si>
    <t>SAFRA</t>
  </si>
  <si>
    <t>217720 barraca</t>
  </si>
  <si>
    <t>Débito Automático SAFRA</t>
  </si>
  <si>
    <t>Boleto SAFRA</t>
  </si>
  <si>
    <t>Pix SAFRA</t>
  </si>
  <si>
    <t>Cardápios AMBEV</t>
  </si>
  <si>
    <t>Francisco Edvardo Gomes</t>
  </si>
  <si>
    <t>Pix Mercado Pago</t>
  </si>
  <si>
    <t>Reginaldo - Caixa</t>
  </si>
  <si>
    <t>13791, 13792</t>
  </si>
  <si>
    <t>Compressores</t>
  </si>
  <si>
    <t>13747, 13748, 13746</t>
  </si>
  <si>
    <t>13811, 13820</t>
  </si>
  <si>
    <t>Pix Recebidos em 16/10/2023</t>
  </si>
  <si>
    <t>Pix Recebidos em 17/10/2023</t>
  </si>
  <si>
    <t>duplicidade</t>
  </si>
  <si>
    <t>58042, 57430, 847382, 6682, 32433, 223</t>
  </si>
  <si>
    <t>36993, 19808, 142878, 572, 77855, 158381, 27930, 10198</t>
  </si>
  <si>
    <t>41612, 854, 7546</t>
  </si>
  <si>
    <t>13856, 13863</t>
  </si>
  <si>
    <t>Pix Recebidos em 18/10/2023</t>
  </si>
  <si>
    <t>Diogo - Pintor</t>
  </si>
  <si>
    <t>Pix Recebidos em 19/10/2023</t>
  </si>
  <si>
    <t>LPM Imóveis</t>
  </si>
  <si>
    <t>Pagamento de aluguel LPM</t>
  </si>
  <si>
    <t>Transferência SAFRA</t>
  </si>
  <si>
    <t>Não Precisa</t>
  </si>
  <si>
    <t>Simples Nacional</t>
  </si>
  <si>
    <t>Mercado Pago</t>
  </si>
  <si>
    <t>Vendas Mercado Pago</t>
  </si>
  <si>
    <t>Elisa - Garçonete</t>
  </si>
  <si>
    <t>Polícia</t>
  </si>
  <si>
    <t>Galetos</t>
  </si>
  <si>
    <t>Alimentação Funcionários</t>
  </si>
  <si>
    <t>Comissão</t>
  </si>
  <si>
    <t>Comissão Garçons</t>
  </si>
  <si>
    <t>42, 43</t>
  </si>
  <si>
    <t>SOLICITAR</t>
  </si>
  <si>
    <t>Pix Recebidos em 20/10/2023</t>
  </si>
  <si>
    <t>Pix Recebidos em 23/10/2023</t>
  </si>
  <si>
    <t>Thiago Cavalcante Nogueira</t>
  </si>
  <si>
    <t>Gaste Menos</t>
  </si>
  <si>
    <t>Marcos Antônio de Alencar Lopes</t>
  </si>
  <si>
    <t>2876717  barraca</t>
  </si>
  <si>
    <t>Pix Recebidos em 24/10/2023</t>
  </si>
  <si>
    <t>13642, 13641, 13643</t>
  </si>
  <si>
    <t>13899, 13901</t>
  </si>
  <si>
    <t>13919, 13918</t>
  </si>
  <si>
    <t>13947, 13927</t>
  </si>
  <si>
    <t>13641, 13642, 13643</t>
  </si>
  <si>
    <t>13912, 13913</t>
  </si>
  <si>
    <t>218888 barraca</t>
  </si>
  <si>
    <t>Claudio Ferreira Leitão</t>
  </si>
  <si>
    <t>Conserto geladeira</t>
  </si>
  <si>
    <t>solicitar barraca</t>
  </si>
  <si>
    <t>Pix Recebidos em 25/10/2023</t>
  </si>
  <si>
    <t>Pix Recebidos em 26/10/2023</t>
  </si>
  <si>
    <t>Pix Recebidos em 27/10/2023</t>
  </si>
  <si>
    <t xml:space="preserve">Elioberto da Silva Magalhaes </t>
  </si>
  <si>
    <t>Italo Domingues Martins de Santos</t>
  </si>
  <si>
    <t>Nacional Gás</t>
  </si>
  <si>
    <t>Pix Recebidos em 30/10/2023</t>
  </si>
  <si>
    <t>Pix Recebidos em 31/10/2023</t>
  </si>
  <si>
    <t>DJ Urusula</t>
  </si>
  <si>
    <t>Halloween</t>
  </si>
  <si>
    <t>44, 45</t>
  </si>
  <si>
    <t>Francisco Cristiano Ferreira dos Santos</t>
  </si>
  <si>
    <t>Picolés</t>
  </si>
  <si>
    <t>Formas Petit Gateau</t>
  </si>
  <si>
    <t>Beach Tenis</t>
  </si>
  <si>
    <t>Claudio Luiz Serpa de Macedo Filho</t>
  </si>
  <si>
    <t xml:space="preserve">DJ sexta </t>
  </si>
  <si>
    <t xml:space="preserve">Pix Recebidos em </t>
  </si>
  <si>
    <t>Manoel Lairton Pinto Moreira</t>
  </si>
  <si>
    <t>Matheus Ribeiro Torres</t>
  </si>
  <si>
    <t xml:space="preserve">DJ  </t>
  </si>
  <si>
    <t>2, 3</t>
  </si>
  <si>
    <t>Fardamentos, Notebook e Cataventos</t>
  </si>
  <si>
    <t>Antonio Marcelo Andrade Lima</t>
  </si>
  <si>
    <t>2 caixas de bobina térmica</t>
  </si>
  <si>
    <t>Gabriel Felipe Brito de Araújo</t>
  </si>
  <si>
    <t>Adesivos Freezer</t>
  </si>
  <si>
    <t>Cafés</t>
  </si>
  <si>
    <t>Chocolates</t>
  </si>
  <si>
    <t>Potes de mousse</t>
  </si>
  <si>
    <t>Federico Botteghi</t>
  </si>
  <si>
    <t xml:space="preserve">Sidney Pinheiro Monteiro </t>
  </si>
  <si>
    <t>Simples Nacional LPM Serv</t>
  </si>
  <si>
    <t>Boleto Mercado Pago</t>
  </si>
  <si>
    <t>PLACAS</t>
  </si>
  <si>
    <t>Camily Cunha Braga</t>
  </si>
  <si>
    <t>impressão fotos quebra mar</t>
  </si>
  <si>
    <t>Frutas e Verduras</t>
  </si>
  <si>
    <t>Francisco Juarez Gomes da Silva</t>
  </si>
  <si>
    <t>Forró</t>
  </si>
  <si>
    <t>13970, 13971</t>
  </si>
  <si>
    <t>13999, 14000</t>
  </si>
  <si>
    <t>14059, 14060</t>
  </si>
  <si>
    <t>14131, 14135</t>
  </si>
  <si>
    <t>14158, 14159, 14160, 14161</t>
  </si>
  <si>
    <t>14228, 14227</t>
  </si>
  <si>
    <t>1256650, 1256651, 1256693</t>
  </si>
  <si>
    <t>2867257 </t>
  </si>
  <si>
    <t>472607 barraca</t>
  </si>
  <si>
    <t>Isis Maria da Silva Juca</t>
  </si>
  <si>
    <t>Cadeira Reginaldo</t>
  </si>
  <si>
    <t xml:space="preserve">Fardamento  </t>
  </si>
  <si>
    <t>Decoração de natal</t>
  </si>
  <si>
    <t>Equipamento Beach Tenis</t>
  </si>
  <si>
    <t>Prefeitura de Paracuru</t>
  </si>
  <si>
    <t>Alvará e licença</t>
  </si>
  <si>
    <t>Cb Distribuidora</t>
  </si>
  <si>
    <t>2893156  barraca</t>
  </si>
  <si>
    <t xml:space="preserve">Pix Devolução </t>
  </si>
  <si>
    <t>Devolução</t>
  </si>
  <si>
    <t xml:space="preserve">DJ Sábado </t>
  </si>
  <si>
    <t>Jordânia Gás</t>
  </si>
  <si>
    <t>46, 47</t>
  </si>
  <si>
    <t>11036, 12188, 15324, 206, 26767</t>
  </si>
  <si>
    <t>7664, 93387</t>
  </si>
  <si>
    <t>35013, 34994, 15342</t>
  </si>
  <si>
    <t>79037, 27606, 11790, 15023790, 261, 11791</t>
  </si>
  <si>
    <t>8171, 8725</t>
  </si>
  <si>
    <t>66734, 8637, 16254</t>
  </si>
  <si>
    <t>2212, 38445, 16907, 986, 496, 27558</t>
  </si>
  <si>
    <t>6898, 1262</t>
  </si>
  <si>
    <t>211987, 112, 5413</t>
  </si>
  <si>
    <t>Castanhas e frutas</t>
  </si>
  <si>
    <t>Alfajor</t>
  </si>
  <si>
    <t>Diocelio Estofados</t>
  </si>
  <si>
    <t>Estação Meteorológica</t>
  </si>
  <si>
    <t>Instalação Estação Meteorológica</t>
  </si>
  <si>
    <t>Instalação</t>
  </si>
  <si>
    <t>400035 barraca</t>
  </si>
  <si>
    <t>400036 barraca</t>
  </si>
  <si>
    <t>485378  barraca</t>
  </si>
  <si>
    <t>Molduras</t>
  </si>
  <si>
    <t>Carlos Alberto de Albuquerque Junior</t>
  </si>
  <si>
    <t>Casa Blanca</t>
  </si>
  <si>
    <t>Tecidos Fardamento</t>
  </si>
  <si>
    <t>formas LPM e Peneira de Praia</t>
  </si>
  <si>
    <t>224408 barraca</t>
  </si>
  <si>
    <t>Gilvan Lima Santiago</t>
  </si>
  <si>
    <t>Projeto Tô Na Praia</t>
  </si>
  <si>
    <t>Supermercado Bom Preço</t>
  </si>
  <si>
    <t>Contrato</t>
  </si>
  <si>
    <t>Comercial Brasil</t>
  </si>
  <si>
    <t>Francisco Diogo Guilherme de S</t>
  </si>
  <si>
    <t>Troca de Oleo do carro</t>
  </si>
  <si>
    <t>Synapcom Comercio Eletronico Ltda</t>
  </si>
  <si>
    <t>290511 barraca</t>
  </si>
  <si>
    <t>emiir</t>
  </si>
  <si>
    <t>SEAVIEW</t>
  </si>
  <si>
    <t>IPTU LPM</t>
  </si>
  <si>
    <t>Computador Caixa</t>
  </si>
  <si>
    <t>Dj Ursula</t>
  </si>
  <si>
    <t>Dj</t>
  </si>
  <si>
    <t>Cogerh</t>
  </si>
  <si>
    <t>Outorga do Poço</t>
  </si>
  <si>
    <t>6, 7</t>
  </si>
  <si>
    <t>284412, 284425</t>
  </si>
  <si>
    <t>401068 barraca</t>
  </si>
  <si>
    <t>401231 barraca</t>
  </si>
  <si>
    <t>Ipix</t>
  </si>
  <si>
    <t>Eduardo Altarriba Lopes</t>
  </si>
  <si>
    <t>Músico</t>
  </si>
  <si>
    <t>Pacote PJ Fácil</t>
  </si>
  <si>
    <t>1292068 barraca</t>
  </si>
  <si>
    <t>1294459  barraca</t>
  </si>
  <si>
    <t>Chico</t>
  </si>
  <si>
    <t>Mão de Obra</t>
  </si>
  <si>
    <t>25/11 a 1/12</t>
  </si>
  <si>
    <t>Parque Infantil</t>
  </si>
  <si>
    <t>2º quinzena Novembro Mardonio</t>
  </si>
  <si>
    <t>2º quinzena Novembro Danilo</t>
  </si>
  <si>
    <t>Supermercados Bom Preço</t>
  </si>
  <si>
    <t>SB Comércio de Combustiveis</t>
  </si>
  <si>
    <t xml:space="preserve">Instalação de computador </t>
  </si>
  <si>
    <t>Roberto Michel Barbosa Pinto</t>
  </si>
  <si>
    <t>1297132 barraca</t>
  </si>
  <si>
    <t>Devolução Pix</t>
  </si>
  <si>
    <t>TendTudo</t>
  </si>
  <si>
    <t>Decoração Natal</t>
  </si>
  <si>
    <t>Presentes Confra Natal</t>
  </si>
  <si>
    <t>Bolas de Natal Parque Infantil</t>
  </si>
  <si>
    <t>Cantor</t>
  </si>
  <si>
    <t>MC Comercio</t>
  </si>
  <si>
    <t>Celio da Silva Ribeiro</t>
  </si>
  <si>
    <t>3 sacos de carvão</t>
  </si>
  <si>
    <t>Iluminação LPM</t>
  </si>
  <si>
    <t>Elisangela de Oliveira</t>
  </si>
  <si>
    <t>Lavadeira de Louça - diária</t>
  </si>
  <si>
    <t>MERCADO PAGO</t>
  </si>
  <si>
    <t>Lorrayne Cacau</t>
  </si>
  <si>
    <t>Salário Cacau</t>
  </si>
  <si>
    <t>Adiantamento</t>
  </si>
  <si>
    <t>Horas Extras</t>
  </si>
  <si>
    <t>Chá de Frauda</t>
  </si>
  <si>
    <t>Mayra</t>
  </si>
  <si>
    <t>Vivo</t>
  </si>
  <si>
    <t>R R COMERCIO VAREJISTA DE GLP</t>
  </si>
  <si>
    <t xml:space="preserve">Elizangela </t>
  </si>
  <si>
    <t>Diarista</t>
  </si>
  <si>
    <t>Rita</t>
  </si>
  <si>
    <t>Deusilene</t>
  </si>
  <si>
    <t>Francisco Vigia 2</t>
  </si>
  <si>
    <t>07/10 a 07/11</t>
  </si>
  <si>
    <t>Francisco - Vigia 1</t>
  </si>
  <si>
    <t>Vanessa - Cozinheira/Compras</t>
  </si>
  <si>
    <t>Francisco - Vigia 2</t>
  </si>
  <si>
    <t>Kaua - Aux. De Barman</t>
  </si>
  <si>
    <t>Ozeias - Barman</t>
  </si>
  <si>
    <t>Folha de Pagamento - Bônus</t>
  </si>
  <si>
    <t>Claudelene - Aux. De Caixa</t>
  </si>
  <si>
    <t>Laura - Aux. De Louça</t>
  </si>
  <si>
    <t>Joana Darc - Lavadeira de Louça</t>
  </si>
  <si>
    <t>INSS LPM Serviços</t>
  </si>
  <si>
    <t>Jennifer Roxana Rios</t>
  </si>
  <si>
    <t>Biscoitos Caseiros</t>
  </si>
  <si>
    <t>Estofados Puff</t>
  </si>
  <si>
    <t xml:space="preserve">Jhosephe Thierry </t>
  </si>
  <si>
    <t>Artes LPM</t>
  </si>
  <si>
    <t>Flavia Romao</t>
  </si>
  <si>
    <t>Reembolso Cheirinho LPM</t>
  </si>
  <si>
    <t>Isabel - Diarista</t>
  </si>
  <si>
    <t>Andressa - Gerente Financeira</t>
  </si>
  <si>
    <t>Flavia - Conciergn</t>
  </si>
  <si>
    <t>Marcos - Garçon</t>
  </si>
  <si>
    <t>Isabel Filha - Diarista</t>
  </si>
  <si>
    <t>Antonio Carlos Sorzi</t>
  </si>
  <si>
    <t>Conserto Camara Frigorífico</t>
  </si>
  <si>
    <t>Indicador</t>
  </si>
  <si>
    <t>Saldo entradas e saídas Mercado Pago</t>
  </si>
  <si>
    <t>Saldo entradas e saídas SAFRA</t>
  </si>
  <si>
    <t>Saldo entradas e saídas Espécie</t>
  </si>
  <si>
    <t>Entradas</t>
  </si>
  <si>
    <t>Saídas</t>
  </si>
  <si>
    <t>Saldo</t>
  </si>
  <si>
    <t>394929 barraca</t>
  </si>
  <si>
    <t>14291, 14290, 14289</t>
  </si>
  <si>
    <t>14393, 14394</t>
  </si>
  <si>
    <t>14413, 14412</t>
  </si>
  <si>
    <t>9260, 199</t>
  </si>
  <si>
    <t>49, 50</t>
  </si>
  <si>
    <t>51, 52</t>
  </si>
  <si>
    <t>Raimundo Nonato N Albano</t>
  </si>
  <si>
    <t>Fogos Ano Novo</t>
  </si>
  <si>
    <t>Marcelino Pereira da Silva</t>
  </si>
  <si>
    <t>Banda Confra</t>
  </si>
  <si>
    <t>Marcos Antonio Valente</t>
  </si>
  <si>
    <t>Lâmpadas</t>
  </si>
  <si>
    <t>A Geradora</t>
  </si>
  <si>
    <t>Aluguel gerador Ano Novo</t>
  </si>
  <si>
    <t xml:space="preserve">Marvel Faber Pelucio Falcão Jr </t>
  </si>
  <si>
    <t>Limpa Pratas</t>
  </si>
  <si>
    <t>03/12, 09/12, 12/12</t>
  </si>
  <si>
    <t>Jose Valdenio da Costa dos Santos</t>
  </si>
  <si>
    <t>Redes Beach Tenis</t>
  </si>
  <si>
    <t xml:space="preserve">Marivaldo Ismael dos Santos </t>
  </si>
  <si>
    <t>TRT</t>
  </si>
  <si>
    <t>1302410 barraca</t>
  </si>
  <si>
    <t>Ganchos Loja LPM</t>
  </si>
  <si>
    <t>Guarderia</t>
  </si>
  <si>
    <t>Estacas, arame, mão de obra</t>
  </si>
  <si>
    <t>Tochas LPM</t>
  </si>
  <si>
    <t>Módulo</t>
  </si>
  <si>
    <t>Fonte</t>
  </si>
  <si>
    <t>Italo Santos Menezes (Italo som)</t>
  </si>
  <si>
    <t>Luz Caixotes</t>
  </si>
  <si>
    <t xml:space="preserve">Pix Recebidos  </t>
  </si>
  <si>
    <t>Ano Novo</t>
  </si>
  <si>
    <t xml:space="preserve">Pix recebidos em </t>
  </si>
  <si>
    <t>Conserto Impressora</t>
  </si>
  <si>
    <t>Facebook</t>
  </si>
  <si>
    <t>Tráfego Pago</t>
  </si>
  <si>
    <t>Recibo</t>
  </si>
  <si>
    <t>DoceLar</t>
  </si>
  <si>
    <t>Impressões</t>
  </si>
  <si>
    <t>Reveillon</t>
  </si>
  <si>
    <t>Pix Recebidos</t>
  </si>
  <si>
    <t xml:space="preserve">Maria Valdineia </t>
  </si>
  <si>
    <t>Val Redes BT</t>
  </si>
  <si>
    <t>Entidade</t>
  </si>
  <si>
    <t>Entrada</t>
  </si>
  <si>
    <t>Total</t>
  </si>
  <si>
    <t>Modo de ajuste</t>
  </si>
  <si>
    <t>Descrição</t>
  </si>
  <si>
    <t>Entidades</t>
  </si>
  <si>
    <t>Restaurante</t>
  </si>
  <si>
    <t>Beach Tennis</t>
  </si>
  <si>
    <t>Escola de Kite</t>
  </si>
  <si>
    <t>Misto</t>
  </si>
  <si>
    <t>Alimentos</t>
  </si>
  <si>
    <t>Clientes</t>
  </si>
  <si>
    <t>Custos Fixos</t>
  </si>
  <si>
    <t>Serviços Fixos</t>
  </si>
  <si>
    <t>Funcionários</t>
  </si>
  <si>
    <t>Impostos</t>
  </si>
  <si>
    <t>Serviços variáveis</t>
  </si>
  <si>
    <t>Veículos</t>
  </si>
  <si>
    <t>Reforma</t>
  </si>
  <si>
    <t>Utilidades</t>
  </si>
  <si>
    <t>Mês</t>
  </si>
  <si>
    <t>Saída</t>
  </si>
  <si>
    <t>Forma de Pagamento</t>
  </si>
  <si>
    <t>Categorias</t>
  </si>
  <si>
    <t xml:space="preserve">Compra com Cartão </t>
  </si>
  <si>
    <t>Pix - Enviado</t>
  </si>
  <si>
    <t>Pagamento de Boleto</t>
  </si>
  <si>
    <t>Tipos</t>
  </si>
  <si>
    <t>Faturamento
Total</t>
  </si>
  <si>
    <t>Margem</t>
  </si>
  <si>
    <t>Fixos Funcionamento</t>
  </si>
  <si>
    <t>Fixos Investimento</t>
  </si>
  <si>
    <t>Fixos Management</t>
  </si>
  <si>
    <t>Custo Total</t>
  </si>
  <si>
    <t>EBE</t>
  </si>
  <si>
    <t>Frios</t>
  </si>
  <si>
    <t>Energia</t>
  </si>
  <si>
    <t>Pães</t>
  </si>
  <si>
    <t>Serviços Variáveis</t>
  </si>
  <si>
    <t>ISS</t>
  </si>
  <si>
    <t xml:space="preserve">Simples Nacional </t>
  </si>
  <si>
    <t>Sousa - metre</t>
  </si>
  <si>
    <t>Produtos Orientais</t>
  </si>
  <si>
    <t>Alimentos e Limpeza</t>
  </si>
  <si>
    <t>Alimentos e Bebidas</t>
  </si>
  <si>
    <t>Gestão</t>
  </si>
  <si>
    <t>Utensilios de cozinha</t>
  </si>
  <si>
    <t>Combustível</t>
  </si>
  <si>
    <t>Carnes</t>
  </si>
  <si>
    <t>Faturamento
Restaurante</t>
  </si>
  <si>
    <t>Faturamento
Guarderia</t>
  </si>
  <si>
    <t>Margens Percentuais</t>
  </si>
  <si>
    <t>Demonstrativo de Resultado</t>
  </si>
  <si>
    <t>Julho</t>
  </si>
  <si>
    <t>Agosto</t>
  </si>
  <si>
    <t>Setembro</t>
  </si>
  <si>
    <t>Outubro</t>
  </si>
  <si>
    <t>Novembro</t>
  </si>
  <si>
    <t>Dezembro</t>
  </si>
  <si>
    <t>Acumulado</t>
  </si>
  <si>
    <t>Receita Operacional Bruta</t>
  </si>
  <si>
    <t>Deduções da Receita Bruta</t>
  </si>
  <si>
    <t>Receita Operacional Líquida</t>
  </si>
  <si>
    <t>Custo Variável</t>
  </si>
  <si>
    <t>Custo Fixo</t>
  </si>
  <si>
    <t>Resultado antes dos Aluguéis</t>
  </si>
  <si>
    <t>Tesouraria</t>
  </si>
  <si>
    <t>Impostos s/ Vendas</t>
  </si>
  <si>
    <t>Alugueis</t>
  </si>
  <si>
    <t>Impostos S/ Vendas</t>
  </si>
  <si>
    <t>FGTS Andressa Gomes</t>
  </si>
  <si>
    <t>Impostos S/ Folha</t>
  </si>
  <si>
    <t>Percentual Mensal</t>
  </si>
  <si>
    <t>jul/23</t>
  </si>
  <si>
    <t>ago/23</t>
  </si>
  <si>
    <t>set/23</t>
  </si>
  <si>
    <t>out/23</t>
  </si>
  <si>
    <t>nov/23</t>
  </si>
  <si>
    <t>dez/23</t>
  </si>
  <si>
    <t>2023</t>
  </si>
  <si>
    <t>Custos Variáveis de Insumos</t>
  </si>
  <si>
    <t>Outros Custos Variáveis</t>
  </si>
  <si>
    <t>Molho de Peixe Mercado Livre</t>
  </si>
  <si>
    <t xml:space="preserve">Tapioca MERCADINHO PECHINCHA </t>
  </si>
  <si>
    <t>Cartão Mercado Pago</t>
  </si>
  <si>
    <t>Frigorífico Sidney</t>
  </si>
  <si>
    <t>Selecto/JSM</t>
  </si>
  <si>
    <t>Naturalle/JMJ</t>
  </si>
  <si>
    <t>Spots de Led</t>
  </si>
  <si>
    <t>Frete/Projeto do Lixo</t>
  </si>
  <si>
    <t>Protetor Solar/Projeto do Lixo</t>
  </si>
  <si>
    <t>Cadeados</t>
  </si>
  <si>
    <t>49kg Arraia Tacildo Camarão/ Mirian</t>
  </si>
  <si>
    <t>35kg Camarão Michel Barbosa Moreira</t>
  </si>
  <si>
    <t>Curry Mercado Livre</t>
  </si>
  <si>
    <t>Impostos Diversos</t>
  </si>
  <si>
    <t>Manutenção de Veículos</t>
  </si>
  <si>
    <t>Custo Operacional</t>
  </si>
  <si>
    <t>Custos Variaveis de Insumos sobre o Faturamento %</t>
  </si>
  <si>
    <t>Outros Custos Variáveis sobre o Faturamento %</t>
  </si>
  <si>
    <t>Fixos Funcionamento %</t>
  </si>
  <si>
    <t>Fixos Investimento %</t>
  </si>
  <si>
    <t>Custo Variável (%)</t>
  </si>
  <si>
    <t>Custo Fixo (%)</t>
  </si>
  <si>
    <t>EBE (%)</t>
  </si>
  <si>
    <t>Margem (%)</t>
  </si>
  <si>
    <t>Outros Custos Fixos</t>
  </si>
  <si>
    <t>Deduções da Receita Bruta (%)</t>
  </si>
  <si>
    <t>Claudenia - Louça</t>
  </si>
  <si>
    <t xml:space="preserve">Edvardo </t>
  </si>
  <si>
    <t>FGTS</t>
  </si>
  <si>
    <t>Gasolina Flavia</t>
  </si>
  <si>
    <t>Projeto de Surf</t>
  </si>
  <si>
    <t>Antonio Rodrigues Gomes Sanders</t>
  </si>
  <si>
    <t>Argenilson</t>
  </si>
  <si>
    <t>Lixeiras Artesanais</t>
  </si>
  <si>
    <t>Samela Daiany Mendes Lima</t>
  </si>
  <si>
    <t xml:space="preserve">Joaquim Bandeira de Castro </t>
  </si>
  <si>
    <t xml:space="preserve">Ziper </t>
  </si>
  <si>
    <t>Fabio da Silva</t>
  </si>
  <si>
    <t>Fco Crstiano</t>
  </si>
  <si>
    <t xml:space="preserve">Prêmio Bingo Jardel </t>
  </si>
  <si>
    <t>Jardel da Silva</t>
  </si>
  <si>
    <t xml:space="preserve">Prêmio Bingo Francisco </t>
  </si>
  <si>
    <t>Francisco Vigia 1</t>
  </si>
  <si>
    <t xml:space="preserve">Prêmio Bingo Elisa </t>
  </si>
  <si>
    <t>Elisa</t>
  </si>
  <si>
    <t>Manutenção da Camara Frigorifica</t>
  </si>
  <si>
    <t>Francisco Lucas da Silva</t>
  </si>
  <si>
    <t>Mardonio - Barman</t>
  </si>
  <si>
    <t>Angelvan - Compras</t>
  </si>
  <si>
    <t>Deocelio</t>
  </si>
  <si>
    <t>Bolsas Crochê</t>
  </si>
  <si>
    <t xml:space="preserve">Ateliê da Josyzer </t>
  </si>
  <si>
    <t>Policial</t>
  </si>
  <si>
    <t>Paulo Cesar/Frete Gerador</t>
  </si>
  <si>
    <t>Juarez e Banda</t>
  </si>
  <si>
    <t>Fco Juarez G da Silva</t>
  </si>
  <si>
    <t>INSS 13º</t>
  </si>
  <si>
    <t xml:space="preserve">INSS  </t>
  </si>
  <si>
    <t>Folha de Pagamento - 13º</t>
  </si>
  <si>
    <t>Cacau - Marketing</t>
  </si>
  <si>
    <t>Placa Estacionamento</t>
  </si>
  <si>
    <t>NeyMarcio</t>
  </si>
  <si>
    <t>Tend Tudo</t>
  </si>
  <si>
    <t>Reparo e Costura</t>
  </si>
  <si>
    <t>Helia Maria de Oliveira Melo</t>
  </si>
  <si>
    <t>Divulgação Ano Novo</t>
  </si>
  <si>
    <t>Marcos Paulo</t>
  </si>
  <si>
    <t>Reembolso papel cartão impressora</t>
  </si>
  <si>
    <t>Jogo Pedras</t>
  </si>
  <si>
    <t>Romã</t>
  </si>
  <si>
    <t>Sobremesas Ano Novo</t>
  </si>
  <si>
    <t xml:space="preserve">Fernanda Hammony </t>
  </si>
  <si>
    <t>Ônibus Surfistas</t>
  </si>
  <si>
    <t>Andrade Gomes</t>
  </si>
  <si>
    <t>DJ Samila</t>
  </si>
  <si>
    <t>Plásticos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</si>
</sst>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 -416]#,##0.00"/>
    <numFmt numFmtId="165" formatCode="_-&quot;R$&quot;\ * #,##0.00_-;\-&quot;R$&quot;\ * #,##0.00_-;_-&quot;R$&quot;\ * &quot;-&quot;_-;_-@_-"/>
    <numFmt numFmtId="166" formatCode="0.0%"/>
    <numFmt numFmtId="167" formatCode="&quot;R$&quot;\ #,##0.00"/>
  </numFmts>
  <fonts count="22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9"/>
      <color indexed="81"/>
      <name val="Segoe UI"/>
      <family val="2"/>
    </font>
    <font>
      <b/>
      <sz val="12"/>
      <color indexed="9"/>
      <name val="Calibri"/>
      <family val="2"/>
    </font>
    <font>
      <sz val="9"/>
      <color indexed="81"/>
      <name val="Segoe UI"/>
      <family val="2"/>
    </font>
    <font>
      <b/>
      <sz val="11"/>
      <color indexed="81"/>
      <name val="Segoe UI"/>
      <family val="2"/>
    </font>
    <font>
      <b/>
      <sz val="11"/>
      <color rgb="FF000000"/>
      <name val="Calibri"/>
      <family val="2"/>
    </font>
    <font>
      <b/>
      <sz val="14"/>
      <name val="Calibri"/>
      <family val="2"/>
    </font>
    <font>
      <b/>
      <sz val="10"/>
      <color rgb="FF000000"/>
      <name val="Calibri"/>
      <family val="2"/>
    </font>
    <font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6" tint="0.749992370372631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11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4" xfId="0" applyFont="1" applyBorder="1" applyAlignment="1">
      <alignment horizontal="center" vertical="center"/>
    </xf>
    <xf numFmtId="44" fontId="11" fillId="0" borderId="44" xfId="1" applyFont="1" applyBorder="1" applyAlignment="1">
      <alignment horizontal="center" vertical="center"/>
    </xf>
    <xf numFmtId="14" fontId="11" fillId="0" borderId="44" xfId="0" applyNumberFormat="1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 wrapText="1"/>
    </xf>
    <xf numFmtId="9" fontId="2" fillId="0" borderId="0" xfId="0" applyNumberFormat="1" applyFont="1"/>
    <xf numFmtId="0" fontId="11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right" vertical="center"/>
    </xf>
    <xf numFmtId="44" fontId="0" fillId="0" borderId="0" xfId="1" applyFont="1" applyAlignment="1">
      <alignment horizontal="center" vertical="center"/>
    </xf>
    <xf numFmtId="2" fontId="2" fillId="0" borderId="0" xfId="2" applyNumberFormat="1" applyFont="1"/>
    <xf numFmtId="2" fontId="11" fillId="0" borderId="0" xfId="0" applyNumberFormat="1" applyFont="1"/>
    <xf numFmtId="2" fontId="2" fillId="0" borderId="2" xfId="2" applyNumberFormat="1" applyFont="1" applyBorder="1"/>
    <xf numFmtId="2" fontId="2" fillId="0" borderId="39" xfId="2" applyNumberFormat="1" applyFont="1" applyBorder="1"/>
    <xf numFmtId="2" fontId="2" fillId="0" borderId="37" xfId="2" applyNumberFormat="1" applyFont="1" applyBorder="1"/>
    <xf numFmtId="2" fontId="2" fillId="0" borderId="38" xfId="2" applyNumberFormat="1" applyFont="1" applyBorder="1"/>
    <xf numFmtId="17" fontId="11" fillId="0" borderId="48" xfId="0" applyNumberFormat="1" applyFont="1" applyBorder="1"/>
    <xf numFmtId="17" fontId="11" fillId="0" borderId="49" xfId="0" applyNumberFormat="1" applyFont="1" applyBorder="1"/>
    <xf numFmtId="17" fontId="11" fillId="0" borderId="50" xfId="0" applyNumberFormat="1" applyFont="1" applyBorder="1"/>
    <xf numFmtId="4" fontId="11" fillId="0" borderId="22" xfId="0" applyNumberFormat="1" applyFont="1" applyBorder="1"/>
    <xf numFmtId="4" fontId="11" fillId="0" borderId="1" xfId="0" applyNumberFormat="1" applyFont="1" applyBorder="1"/>
    <xf numFmtId="2" fontId="2" fillId="0" borderId="19" xfId="2" applyNumberFormat="1" applyFont="1" applyBorder="1"/>
    <xf numFmtId="2" fontId="2" fillId="0" borderId="25" xfId="2" applyNumberFormat="1" applyFont="1" applyBorder="1"/>
    <xf numFmtId="2" fontId="2" fillId="0" borderId="6" xfId="2" applyNumberFormat="1" applyFont="1" applyBorder="1"/>
    <xf numFmtId="2" fontId="2" fillId="0" borderId="20" xfId="2" applyNumberFormat="1" applyFont="1" applyBorder="1"/>
    <xf numFmtId="2" fontId="2" fillId="0" borderId="21" xfId="2" applyNumberFormat="1" applyFont="1" applyBorder="1"/>
    <xf numFmtId="17" fontId="11" fillId="0" borderId="51" xfId="0" applyNumberFormat="1" applyFont="1" applyBorder="1"/>
    <xf numFmtId="17" fontId="11" fillId="0" borderId="52" xfId="0" applyNumberFormat="1" applyFont="1" applyBorder="1"/>
    <xf numFmtId="17" fontId="11" fillId="0" borderId="53" xfId="0" applyNumberFormat="1" applyFont="1" applyBorder="1"/>
    <xf numFmtId="4" fontId="11" fillId="0" borderId="43" xfId="0" applyNumberFormat="1" applyFont="1" applyBorder="1"/>
    <xf numFmtId="0" fontId="11" fillId="0" borderId="51" xfId="0" applyFont="1" applyBorder="1"/>
    <xf numFmtId="0" fontId="11" fillId="0" borderId="33" xfId="0" applyFont="1" applyBorder="1"/>
    <xf numFmtId="0" fontId="11" fillId="0" borderId="17" xfId="0" applyFont="1" applyBorder="1"/>
    <xf numFmtId="0" fontId="11" fillId="0" borderId="30" xfId="0" applyFont="1" applyBorder="1"/>
    <xf numFmtId="4" fontId="11" fillId="0" borderId="14" xfId="0" applyNumberFormat="1" applyFont="1" applyBorder="1"/>
    <xf numFmtId="0" fontId="1" fillId="0" borderId="0" xfId="0" applyFont="1"/>
    <xf numFmtId="2" fontId="1" fillId="0" borderId="0" xfId="0" applyNumberFormat="1" applyFont="1"/>
    <xf numFmtId="0" fontId="11" fillId="0" borderId="42" xfId="0" applyFont="1" applyBorder="1"/>
    <xf numFmtId="44" fontId="11" fillId="0" borderId="11" xfId="1" applyFont="1" applyBorder="1"/>
    <xf numFmtId="44" fontId="11" fillId="0" borderId="54" xfId="1" applyFont="1" applyBorder="1"/>
    <xf numFmtId="4" fontId="15" fillId="7" borderId="8" xfId="0" applyNumberFormat="1" applyFont="1" applyFill="1" applyBorder="1" applyAlignment="1">
      <alignment horizontal="left" vertical="center"/>
    </xf>
    <xf numFmtId="4" fontId="15" fillId="7" borderId="9" xfId="0" applyNumberFormat="1" applyFont="1" applyFill="1" applyBorder="1" applyAlignment="1">
      <alignment horizontal="center" vertical="center"/>
    </xf>
    <xf numFmtId="4" fontId="15" fillId="7" borderId="10" xfId="0" applyNumberFormat="1" applyFont="1" applyFill="1" applyBorder="1" applyAlignment="1">
      <alignment horizontal="center" vertical="center"/>
    </xf>
    <xf numFmtId="4" fontId="9" fillId="0" borderId="0" xfId="0" applyNumberFormat="1" applyFont="1"/>
    <xf numFmtId="4" fontId="8" fillId="9" borderId="33" xfId="0" applyNumberFormat="1" applyFont="1" applyFill="1" applyBorder="1" applyAlignment="1">
      <alignment horizontal="left" vertical="center"/>
    </xf>
    <xf numFmtId="4" fontId="7" fillId="10" borderId="33" xfId="3" applyNumberFormat="1" applyFont="1" applyFill="1" applyBorder="1" applyAlignment="1">
      <alignment horizontal="right" vertical="center"/>
    </xf>
    <xf numFmtId="4" fontId="7" fillId="10" borderId="3" xfId="3" applyNumberFormat="1" applyFont="1" applyFill="1" applyBorder="1" applyAlignment="1">
      <alignment horizontal="right" vertical="center"/>
    </xf>
    <xf numFmtId="4" fontId="8" fillId="8" borderId="33" xfId="0" applyNumberFormat="1" applyFont="1" applyFill="1" applyBorder="1" applyAlignment="1">
      <alignment horizontal="left" vertical="center"/>
    </xf>
    <xf numFmtId="4" fontId="7" fillId="3" borderId="3" xfId="3" applyNumberFormat="1" applyFont="1" applyFill="1" applyBorder="1" applyAlignment="1">
      <alignment horizontal="right" vertical="center"/>
    </xf>
    <xf numFmtId="4" fontId="8" fillId="9" borderId="40" xfId="0" applyNumberFormat="1" applyFont="1" applyFill="1" applyBorder="1" applyAlignment="1">
      <alignment horizontal="left" vertical="center"/>
    </xf>
    <xf numFmtId="4" fontId="9" fillId="0" borderId="0" xfId="0" applyNumberFormat="1" applyFont="1" applyAlignment="1">
      <alignment horizontal="center" wrapText="1"/>
    </xf>
    <xf numFmtId="4" fontId="5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right" vertical="center"/>
    </xf>
    <xf numFmtId="3" fontId="2" fillId="0" borderId="37" xfId="2" applyNumberFormat="1" applyFont="1" applyBorder="1"/>
    <xf numFmtId="3" fontId="2" fillId="0" borderId="38" xfId="2" applyNumberFormat="1" applyFont="1" applyBorder="1"/>
    <xf numFmtId="42" fontId="11" fillId="0" borderId="11" xfId="1" applyNumberFormat="1" applyFont="1" applyBorder="1"/>
    <xf numFmtId="3" fontId="2" fillId="0" borderId="33" xfId="2" applyNumberFormat="1" applyFont="1" applyBorder="1"/>
    <xf numFmtId="3" fontId="2" fillId="0" borderId="17" xfId="2" applyNumberFormat="1" applyFont="1" applyBorder="1"/>
    <xf numFmtId="42" fontId="11" fillId="0" borderId="54" xfId="1" applyNumberFormat="1" applyFont="1" applyBorder="1"/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42" fontId="11" fillId="0" borderId="1" xfId="1" applyNumberFormat="1" applyFont="1" applyBorder="1"/>
    <xf numFmtId="3" fontId="2" fillId="0" borderId="1" xfId="2" applyNumberFormat="1" applyFont="1" applyBorder="1"/>
    <xf numFmtId="10" fontId="2" fillId="0" borderId="1" xfId="2" applyNumberFormat="1" applyFont="1" applyBorder="1"/>
    <xf numFmtId="4" fontId="11" fillId="0" borderId="36" xfId="0" applyNumberFormat="1" applyFont="1" applyBorder="1" applyAlignment="1">
      <alignment horizontal="right"/>
    </xf>
    <xf numFmtId="4" fontId="2" fillId="0" borderId="33" xfId="2" applyNumberFormat="1" applyFont="1" applyBorder="1" applyAlignment="1">
      <alignment horizontal="right"/>
    </xf>
    <xf numFmtId="4" fontId="2" fillId="0" borderId="1" xfId="2" applyNumberFormat="1" applyFont="1" applyBorder="1" applyAlignment="1">
      <alignment horizontal="right"/>
    </xf>
    <xf numFmtId="165" fontId="11" fillId="0" borderId="1" xfId="1" applyNumberFormat="1" applyFont="1" applyBorder="1" applyAlignment="1">
      <alignment horizontal="right"/>
    </xf>
    <xf numFmtId="10" fontId="2" fillId="0" borderId="33" xfId="2" applyNumberFormat="1" applyFont="1" applyBorder="1" applyAlignment="1">
      <alignment horizontal="right"/>
    </xf>
    <xf numFmtId="10" fontId="11" fillId="0" borderId="33" xfId="2" applyNumberFormat="1" applyFont="1" applyBorder="1" applyAlignment="1">
      <alignment horizontal="right"/>
    </xf>
    <xf numFmtId="10" fontId="11" fillId="0" borderId="43" xfId="2" applyNumberFormat="1" applyFont="1" applyBorder="1" applyAlignment="1">
      <alignment horizontal="right"/>
    </xf>
    <xf numFmtId="4" fontId="2" fillId="0" borderId="16" xfId="2" applyNumberFormat="1" applyFont="1" applyBorder="1" applyAlignment="1">
      <alignment horizontal="right"/>
    </xf>
    <xf numFmtId="0" fontId="11" fillId="0" borderId="11" xfId="0" applyFont="1" applyBorder="1"/>
    <xf numFmtId="0" fontId="11" fillId="0" borderId="45" xfId="0" applyFont="1" applyBorder="1"/>
    <xf numFmtId="10" fontId="2" fillId="0" borderId="37" xfId="2" applyNumberFormat="1" applyFont="1" applyBorder="1"/>
    <xf numFmtId="10" fontId="2" fillId="0" borderId="38" xfId="2" applyNumberFormat="1" applyFont="1" applyBorder="1"/>
    <xf numFmtId="44" fontId="11" fillId="0" borderId="1" xfId="1" applyFont="1" applyBorder="1"/>
    <xf numFmtId="165" fontId="11" fillId="0" borderId="34" xfId="1" applyNumberFormat="1" applyFont="1" applyBorder="1" applyAlignment="1">
      <alignment horizontal="right"/>
    </xf>
    <xf numFmtId="165" fontId="11" fillId="0" borderId="3" xfId="1" applyNumberFormat="1" applyFont="1" applyBorder="1" applyAlignment="1">
      <alignment horizontal="right"/>
    </xf>
    <xf numFmtId="0" fontId="11" fillId="0" borderId="16" xfId="0" applyFont="1" applyBorder="1"/>
    <xf numFmtId="165" fontId="11" fillId="0" borderId="35" xfId="1" applyNumberFormat="1" applyFont="1" applyBorder="1" applyAlignment="1">
      <alignment horizontal="right"/>
    </xf>
    <xf numFmtId="10" fontId="2" fillId="0" borderId="16" xfId="2" applyNumberFormat="1" applyFont="1" applyBorder="1" applyAlignment="1">
      <alignment horizontal="right"/>
    </xf>
    <xf numFmtId="4" fontId="2" fillId="0" borderId="30" xfId="2" applyNumberFormat="1" applyFont="1" applyBorder="1" applyAlignment="1">
      <alignment horizontal="right"/>
    </xf>
    <xf numFmtId="4" fontId="2" fillId="0" borderId="28" xfId="2" applyNumberFormat="1" applyFont="1" applyBorder="1" applyAlignment="1">
      <alignment horizontal="right"/>
    </xf>
    <xf numFmtId="4" fontId="2" fillId="0" borderId="28" xfId="2" applyNumberFormat="1" applyFont="1" applyBorder="1"/>
    <xf numFmtId="4" fontId="2" fillId="0" borderId="33" xfId="2" applyNumberFormat="1" applyFont="1" applyBorder="1"/>
    <xf numFmtId="4" fontId="2" fillId="0" borderId="17" xfId="2" applyNumberFormat="1" applyFont="1" applyBorder="1"/>
    <xf numFmtId="4" fontId="2" fillId="0" borderId="34" xfId="2" applyNumberFormat="1" applyFont="1" applyBorder="1" applyAlignment="1">
      <alignment horizontal="right"/>
    </xf>
    <xf numFmtId="4" fontId="2" fillId="0" borderId="3" xfId="2" applyNumberFormat="1" applyFont="1" applyBorder="1" applyAlignment="1">
      <alignment horizontal="right"/>
    </xf>
    <xf numFmtId="4" fontId="2" fillId="0" borderId="3" xfId="2" applyNumberFormat="1" applyFont="1" applyBorder="1"/>
    <xf numFmtId="10" fontId="2" fillId="0" borderId="33" xfId="2" applyNumberFormat="1" applyFont="1" applyBorder="1"/>
    <xf numFmtId="10" fontId="2" fillId="0" borderId="34" xfId="2" applyNumberFormat="1" applyFont="1" applyBorder="1" applyAlignment="1">
      <alignment horizontal="right"/>
    </xf>
    <xf numFmtId="10" fontId="2" fillId="0" borderId="3" xfId="2" applyNumberFormat="1" applyFont="1" applyBorder="1" applyAlignment="1">
      <alignment horizontal="right"/>
    </xf>
    <xf numFmtId="10" fontId="2" fillId="0" borderId="3" xfId="2" applyNumberFormat="1" applyFont="1" applyBorder="1"/>
    <xf numFmtId="10" fontId="2" fillId="0" borderId="30" xfId="2" applyNumberFormat="1" applyFont="1" applyBorder="1" applyAlignment="1">
      <alignment horizontal="right"/>
    </xf>
    <xf numFmtId="10" fontId="2" fillId="0" borderId="28" xfId="2" applyNumberFormat="1" applyFont="1" applyBorder="1" applyAlignment="1">
      <alignment horizontal="right"/>
    </xf>
    <xf numFmtId="10" fontId="2" fillId="0" borderId="28" xfId="2" applyNumberFormat="1" applyFont="1" applyBorder="1"/>
    <xf numFmtId="4" fontId="2" fillId="0" borderId="1" xfId="2" applyNumberFormat="1" applyFont="1" applyBorder="1"/>
    <xf numFmtId="10" fontId="2" fillId="0" borderId="17" xfId="2" applyNumberFormat="1" applyFont="1" applyBorder="1"/>
    <xf numFmtId="10" fontId="11" fillId="0" borderId="35" xfId="2" applyNumberFormat="1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44" fontId="11" fillId="0" borderId="1" xfId="1" applyFont="1" applyBorder="1" applyAlignment="1">
      <alignment horizontal="center" vertical="center"/>
    </xf>
    <xf numFmtId="10" fontId="11" fillId="0" borderId="43" xfId="2" applyNumberFormat="1" applyFont="1" applyBorder="1"/>
    <xf numFmtId="10" fontId="11" fillId="0" borderId="22" xfId="2" applyNumberFormat="1" applyFont="1" applyBorder="1"/>
    <xf numFmtId="10" fontId="11" fillId="0" borderId="11" xfId="2" applyNumberFormat="1" applyFont="1" applyBorder="1"/>
    <xf numFmtId="10" fontId="11" fillId="0" borderId="54" xfId="2" applyNumberFormat="1" applyFont="1" applyBorder="1"/>
    <xf numFmtId="10" fontId="2" fillId="0" borderId="16" xfId="2" applyNumberFormat="1" applyFont="1" applyBorder="1"/>
    <xf numFmtId="10" fontId="11" fillId="0" borderId="14" xfId="2" applyNumberFormat="1" applyFont="1" applyBorder="1"/>
    <xf numFmtId="0" fontId="11" fillId="2" borderId="23" xfId="0" applyFont="1" applyFill="1" applyBorder="1" applyAlignment="1">
      <alignment horizontal="center" vertical="center" wrapText="1"/>
    </xf>
    <xf numFmtId="4" fontId="7" fillId="10" borderId="11" xfId="3" applyNumberFormat="1" applyFont="1" applyFill="1" applyBorder="1" applyAlignment="1">
      <alignment horizontal="right" vertical="center"/>
    </xf>
    <xf numFmtId="4" fontId="7" fillId="3" borderId="40" xfId="3" applyNumberFormat="1" applyFont="1" applyFill="1" applyBorder="1" applyAlignment="1">
      <alignment horizontal="right" vertical="center"/>
    </xf>
    <xf numFmtId="4" fontId="8" fillId="9" borderId="42" xfId="3" applyNumberFormat="1" applyFont="1" applyFill="1" applyBorder="1" applyAlignment="1">
      <alignment horizontal="right" vertical="center"/>
    </xf>
    <xf numFmtId="4" fontId="8" fillId="9" borderId="5" xfId="3" applyNumberFormat="1" applyFont="1" applyFill="1" applyBorder="1" applyAlignment="1">
      <alignment horizontal="right" vertical="center"/>
    </xf>
    <xf numFmtId="4" fontId="7" fillId="3" borderId="12" xfId="3" applyNumberFormat="1" applyFont="1" applyFill="1" applyBorder="1" applyAlignment="1">
      <alignment horizontal="right" vertical="center"/>
    </xf>
    <xf numFmtId="4" fontId="7" fillId="3" borderId="55" xfId="3" applyNumberFormat="1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center" vertical="center" wrapText="1"/>
    </xf>
    <xf numFmtId="17" fontId="1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2" borderId="34" xfId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wrapText="1"/>
    </xf>
    <xf numFmtId="10" fontId="11" fillId="0" borderId="34" xfId="2" applyNumberFormat="1" applyFont="1" applyBorder="1" applyAlignment="1">
      <alignment horizontal="right"/>
    </xf>
    <xf numFmtId="10" fontId="11" fillId="0" borderId="3" xfId="2" applyNumberFormat="1" applyFont="1" applyBorder="1" applyAlignment="1">
      <alignment horizontal="right"/>
    </xf>
    <xf numFmtId="10" fontId="11" fillId="0" borderId="36" xfId="2" applyNumberFormat="1" applyFont="1" applyBorder="1" applyAlignment="1">
      <alignment horizontal="right"/>
    </xf>
    <xf numFmtId="10" fontId="11" fillId="0" borderId="10" xfId="2" applyNumberFormat="1" applyFont="1" applyBorder="1" applyAlignment="1">
      <alignment horizontal="right"/>
    </xf>
    <xf numFmtId="10" fontId="2" fillId="0" borderId="17" xfId="2" applyNumberFormat="1" applyFont="1" applyBorder="1" applyAlignment="1">
      <alignment horizontal="right"/>
    </xf>
    <xf numFmtId="10" fontId="2" fillId="0" borderId="35" xfId="2" applyNumberFormat="1" applyFont="1" applyBorder="1" applyAlignment="1">
      <alignment horizontal="right"/>
    </xf>
    <xf numFmtId="10" fontId="2" fillId="0" borderId="60" xfId="2" applyNumberFormat="1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4" fontId="2" fillId="0" borderId="17" xfId="2" applyNumberFormat="1" applyFont="1" applyBorder="1" applyAlignment="1">
      <alignment horizontal="right"/>
    </xf>
    <xf numFmtId="4" fontId="2" fillId="0" borderId="35" xfId="2" applyNumberFormat="1" applyFont="1" applyBorder="1" applyAlignment="1">
      <alignment horizontal="right"/>
    </xf>
    <xf numFmtId="4" fontId="2" fillId="0" borderId="60" xfId="2" applyNumberFormat="1" applyFont="1" applyBorder="1" applyAlignment="1">
      <alignment horizontal="right"/>
    </xf>
    <xf numFmtId="4" fontId="8" fillId="11" borderId="11" xfId="3" applyNumberFormat="1" applyFont="1" applyFill="1" applyBorder="1" applyAlignment="1">
      <alignment horizontal="right" vertical="center"/>
    </xf>
    <xf numFmtId="4" fontId="8" fillId="4" borderId="12" xfId="3" applyNumberFormat="1" applyFont="1" applyFill="1" applyBorder="1" applyAlignment="1">
      <alignment horizontal="right" vertical="center"/>
    </xf>
    <xf numFmtId="4" fontId="8" fillId="4" borderId="40" xfId="3" applyNumberFormat="1" applyFont="1" applyFill="1" applyBorder="1" applyAlignment="1">
      <alignment horizontal="right" vertical="center"/>
    </xf>
    <xf numFmtId="4" fontId="8" fillId="4" borderId="55" xfId="3" applyNumberFormat="1" applyFont="1" applyFill="1" applyBorder="1" applyAlignment="1">
      <alignment horizontal="right" vertical="center"/>
    </xf>
    <xf numFmtId="4" fontId="4" fillId="9" borderId="1" xfId="3" applyNumberFormat="1" applyFont="1" applyFill="1" applyBorder="1" applyAlignment="1">
      <alignment horizontal="right" vertical="center"/>
    </xf>
    <xf numFmtId="4" fontId="4" fillId="9" borderId="14" xfId="3" applyNumberFormat="1" applyFont="1" applyFill="1" applyBorder="1" applyAlignment="1">
      <alignment horizontal="right" vertical="center"/>
    </xf>
    <xf numFmtId="4" fontId="4" fillId="9" borderId="55" xfId="3" applyNumberFormat="1" applyFont="1" applyFill="1" applyBorder="1" applyAlignment="1">
      <alignment horizontal="right" vertical="center"/>
    </xf>
    <xf numFmtId="4" fontId="4" fillId="9" borderId="4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4" fontId="11" fillId="0" borderId="43" xfId="2" applyNumberFormat="1" applyFont="1" applyBorder="1" applyAlignment="1">
      <alignment horizontal="right"/>
    </xf>
    <xf numFmtId="4" fontId="2" fillId="0" borderId="16" xfId="2" applyNumberFormat="1" applyFont="1" applyBorder="1"/>
    <xf numFmtId="4" fontId="11" fillId="0" borderId="11" xfId="2" applyNumberFormat="1" applyFont="1" applyBorder="1"/>
    <xf numFmtId="4" fontId="11" fillId="0" borderId="54" xfId="2" applyNumberFormat="1" applyFont="1" applyBorder="1"/>
    <xf numFmtId="0" fontId="18" fillId="0" borderId="1" xfId="0" applyFont="1" applyBorder="1" applyAlignment="1">
      <alignment horizontal="center" vertical="center" wrapText="1"/>
    </xf>
    <xf numFmtId="10" fontId="11" fillId="0" borderId="1" xfId="2" applyNumberFormat="1" applyFont="1" applyBorder="1" applyAlignment="1">
      <alignment horizontal="right"/>
    </xf>
    <xf numFmtId="4" fontId="11" fillId="0" borderId="1" xfId="2" applyNumberFormat="1" applyFont="1" applyBorder="1"/>
    <xf numFmtId="0" fontId="11" fillId="0" borderId="61" xfId="0" applyFont="1" applyBorder="1"/>
    <xf numFmtId="4" fontId="2" fillId="0" borderId="42" xfId="2" applyNumberFormat="1" applyFont="1" applyBorder="1"/>
    <xf numFmtId="4" fontId="19" fillId="8" borderId="16" xfId="0" applyNumberFormat="1" applyFont="1" applyFill="1" applyBorder="1" applyAlignment="1">
      <alignment horizontal="left" vertical="center"/>
    </xf>
    <xf numFmtId="4" fontId="19" fillId="4" borderId="16" xfId="3" applyNumberFormat="1" applyFont="1" applyFill="1" applyBorder="1" applyAlignment="1">
      <alignment horizontal="right" vertical="center"/>
    </xf>
    <xf numFmtId="4" fontId="10" fillId="0" borderId="0" xfId="0" applyNumberFormat="1" applyFont="1"/>
    <xf numFmtId="4" fontId="19" fillId="8" borderId="33" xfId="0" applyNumberFormat="1" applyFont="1" applyFill="1" applyBorder="1" applyAlignment="1">
      <alignment horizontal="left" vertical="center"/>
    </xf>
    <xf numFmtId="4" fontId="19" fillId="8" borderId="3" xfId="3" applyNumberFormat="1" applyFont="1" applyFill="1" applyBorder="1" applyAlignment="1">
      <alignment horizontal="right" vertical="center"/>
    </xf>
    <xf numFmtId="4" fontId="19" fillId="8" borderId="33" xfId="3" applyNumberFormat="1" applyFont="1" applyFill="1" applyBorder="1" applyAlignment="1">
      <alignment horizontal="right" vertical="center"/>
    </xf>
    <xf numFmtId="44" fontId="1" fillId="0" borderId="0" xfId="0" applyNumberFormat="1" applyFont="1"/>
    <xf numFmtId="44" fontId="10" fillId="0" borderId="0" xfId="0" applyNumberFormat="1" applyFont="1" applyAlignment="1">
      <alignment horizontal="center" vertical="center"/>
    </xf>
    <xf numFmtId="4" fontId="11" fillId="0" borderId="41" xfId="0" applyNumberFormat="1" applyFont="1" applyBorder="1"/>
    <xf numFmtId="10" fontId="11" fillId="0" borderId="41" xfId="2" applyNumberFormat="1" applyFont="1" applyBorder="1"/>
    <xf numFmtId="4" fontId="11" fillId="0" borderId="41" xfId="2" applyNumberFormat="1" applyFont="1" applyBorder="1" applyAlignment="1">
      <alignment horizontal="right"/>
    </xf>
    <xf numFmtId="10" fontId="11" fillId="0" borderId="41" xfId="2" applyNumberFormat="1" applyFont="1" applyBorder="1" applyAlignment="1">
      <alignment horizontal="right"/>
    </xf>
    <xf numFmtId="4" fontId="1" fillId="0" borderId="0" xfId="0" applyNumberFormat="1" applyFont="1"/>
    <xf numFmtId="44" fontId="0" fillId="0" borderId="0" xfId="1" applyFont="1" applyAlignment="1">
      <alignment wrapText="1"/>
    </xf>
    <xf numFmtId="44" fontId="0" fillId="0" borderId="0" xfId="0" applyNumberFormat="1" applyAlignment="1">
      <alignment wrapText="1"/>
    </xf>
    <xf numFmtId="4" fontId="2" fillId="0" borderId="27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right"/>
    </xf>
    <xf numFmtId="4" fontId="2" fillId="0" borderId="25" xfId="0" applyNumberFormat="1" applyFont="1" applyBorder="1" applyAlignment="1">
      <alignment horizontal="right"/>
    </xf>
    <xf numFmtId="4" fontId="7" fillId="3" borderId="42" xfId="3" applyNumberFormat="1" applyFont="1" applyFill="1" applyBorder="1" applyAlignment="1">
      <alignment horizontal="right" vertical="center"/>
    </xf>
    <xf numFmtId="4" fontId="7" fillId="3" borderId="5" xfId="3" applyNumberFormat="1" applyFont="1" applyFill="1" applyBorder="1" applyAlignment="1">
      <alignment horizontal="right" vertical="center"/>
    </xf>
    <xf numFmtId="4" fontId="8" fillId="9" borderId="45" xfId="3" applyNumberFormat="1" applyFont="1" applyFill="1" applyBorder="1" applyAlignment="1">
      <alignment horizontal="right" vertical="center"/>
    </xf>
    <xf numFmtId="4" fontId="7" fillId="3" borderId="11" xfId="3" applyNumberFormat="1" applyFont="1" applyFill="1" applyBorder="1" applyAlignment="1">
      <alignment horizontal="right" vertical="center"/>
    </xf>
    <xf numFmtId="1" fontId="2" fillId="0" borderId="1" xfId="0" applyNumberFormat="1" applyFont="1" applyBorder="1"/>
    <xf numFmtId="44" fontId="0" fillId="0" borderId="0" xfId="0" applyNumberFormat="1" applyAlignment="1">
      <alignment horizontal="center" vertical="center"/>
    </xf>
    <xf numFmtId="4" fontId="2" fillId="0" borderId="35" xfId="2" applyNumberFormat="1" applyFont="1" applyBorder="1"/>
    <xf numFmtId="4" fontId="2" fillId="0" borderId="60" xfId="2" applyNumberFormat="1" applyFont="1" applyBorder="1"/>
    <xf numFmtId="0" fontId="11" fillId="4" borderId="33" xfId="0" applyFont="1" applyFill="1" applyBorder="1"/>
    <xf numFmtId="0" fontId="11" fillId="4" borderId="42" xfId="0" applyFont="1" applyFill="1" applyBorder="1"/>
    <xf numFmtId="0" fontId="11" fillId="4" borderId="17" xfId="0" applyFont="1" applyFill="1" applyBorder="1"/>
    <xf numFmtId="4" fontId="8" fillId="0" borderId="33" xfId="0" applyNumberFormat="1" applyFont="1" applyBorder="1" applyAlignment="1">
      <alignment horizontal="left" vertical="center"/>
    </xf>
    <xf numFmtId="4" fontId="8" fillId="4" borderId="33" xfId="0" applyNumberFormat="1" applyFont="1" applyFill="1" applyBorder="1" applyAlignment="1">
      <alignment horizontal="left" vertical="center"/>
    </xf>
    <xf numFmtId="10" fontId="8" fillId="4" borderId="12" xfId="2" applyNumberFormat="1" applyFont="1" applyFill="1" applyBorder="1" applyAlignment="1">
      <alignment horizontal="right" vertical="center"/>
    </xf>
    <xf numFmtId="10" fontId="8" fillId="4" borderId="40" xfId="2" applyNumberFormat="1" applyFont="1" applyFill="1" applyBorder="1" applyAlignment="1">
      <alignment horizontal="right" vertical="center"/>
    </xf>
    <xf numFmtId="10" fontId="8" fillId="4" borderId="55" xfId="2" applyNumberFormat="1" applyFont="1" applyFill="1" applyBorder="1" applyAlignment="1">
      <alignment horizontal="right" vertical="center"/>
    </xf>
    <xf numFmtId="4" fontId="8" fillId="11" borderId="33" xfId="0" applyNumberFormat="1" applyFont="1" applyFill="1" applyBorder="1" applyAlignment="1">
      <alignment horizontal="left" vertical="center"/>
    </xf>
    <xf numFmtId="4" fontId="8" fillId="9" borderId="14" xfId="3" applyNumberFormat="1" applyFont="1" applyFill="1" applyBorder="1" applyAlignment="1">
      <alignment horizontal="right" vertical="center"/>
    </xf>
    <xf numFmtId="10" fontId="8" fillId="11" borderId="11" xfId="2" applyNumberFormat="1" applyFont="1" applyFill="1" applyBorder="1" applyAlignment="1">
      <alignment horizontal="right" vertical="center"/>
    </xf>
    <xf numFmtId="10" fontId="8" fillId="11" borderId="33" xfId="2" applyNumberFormat="1" applyFont="1" applyFill="1" applyBorder="1" applyAlignment="1">
      <alignment horizontal="right" vertical="center"/>
    </xf>
    <xf numFmtId="10" fontId="8" fillId="11" borderId="3" xfId="2" applyNumberFormat="1" applyFont="1" applyFill="1" applyBorder="1" applyAlignment="1">
      <alignment horizontal="right" vertical="center"/>
    </xf>
    <xf numFmtId="10" fontId="8" fillId="11" borderId="54" xfId="2" applyNumberFormat="1" applyFont="1" applyFill="1" applyBorder="1" applyAlignment="1">
      <alignment horizontal="right" vertical="center"/>
    </xf>
    <xf numFmtId="10" fontId="8" fillId="11" borderId="17" xfId="2" applyNumberFormat="1" applyFont="1" applyFill="1" applyBorder="1" applyAlignment="1">
      <alignment horizontal="right" vertical="center"/>
    </xf>
    <xf numFmtId="10" fontId="8" fillId="11" borderId="35" xfId="2" applyNumberFormat="1" applyFont="1" applyFill="1" applyBorder="1" applyAlignment="1">
      <alignment horizontal="right" vertical="center"/>
    </xf>
    <xf numFmtId="4" fontId="8" fillId="11" borderId="17" xfId="0" applyNumberFormat="1" applyFont="1" applyFill="1" applyBorder="1" applyAlignment="1">
      <alignment horizontal="left" vertical="center"/>
    </xf>
    <xf numFmtId="10" fontId="8" fillId="4" borderId="11" xfId="2" applyNumberFormat="1" applyFont="1" applyFill="1" applyBorder="1" applyAlignment="1">
      <alignment horizontal="right" vertical="center"/>
    </xf>
    <xf numFmtId="10" fontId="8" fillId="4" borderId="33" xfId="2" applyNumberFormat="1" applyFont="1" applyFill="1" applyBorder="1" applyAlignment="1">
      <alignment horizontal="right" vertical="center"/>
    </xf>
    <xf numFmtId="10" fontId="8" fillId="4" borderId="3" xfId="2" applyNumberFormat="1" applyFont="1" applyFill="1" applyBorder="1" applyAlignment="1">
      <alignment horizontal="right" vertical="center"/>
    </xf>
    <xf numFmtId="4" fontId="2" fillId="0" borderId="24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4" fontId="2" fillId="0" borderId="21" xfId="0" applyNumberFormat="1" applyFont="1" applyBorder="1" applyAlignment="1">
      <alignment horizontal="right"/>
    </xf>
    <xf numFmtId="10" fontId="2" fillId="0" borderId="42" xfId="2" applyNumberFormat="1" applyFont="1" applyBorder="1"/>
    <xf numFmtId="10" fontId="4" fillId="9" borderId="55" xfId="2" applyNumberFormat="1" applyFont="1" applyFill="1" applyBorder="1" applyAlignment="1">
      <alignment horizontal="right" vertical="center"/>
    </xf>
    <xf numFmtId="10" fontId="4" fillId="9" borderId="40" xfId="2" applyNumberFormat="1" applyFont="1" applyFill="1" applyBorder="1" applyAlignment="1">
      <alignment horizontal="right" vertical="center"/>
    </xf>
    <xf numFmtId="4" fontId="19" fillId="4" borderId="26" xfId="3" applyNumberFormat="1" applyFont="1" applyFill="1" applyBorder="1" applyAlignment="1">
      <alignment horizontal="right" vertical="center"/>
    </xf>
    <xf numFmtId="4" fontId="4" fillId="9" borderId="12" xfId="3" applyNumberFormat="1" applyFont="1" applyFill="1" applyBorder="1" applyAlignment="1">
      <alignment horizontal="right" vertical="center"/>
    </xf>
    <xf numFmtId="10" fontId="4" fillId="9" borderId="12" xfId="2" applyNumberFormat="1" applyFont="1" applyFill="1" applyBorder="1" applyAlignment="1">
      <alignment horizontal="right" vertical="center"/>
    </xf>
    <xf numFmtId="4" fontId="19" fillId="8" borderId="11" xfId="3" applyNumberFormat="1" applyFont="1" applyFill="1" applyBorder="1" applyAlignment="1">
      <alignment horizontal="right" vertical="center"/>
    </xf>
    <xf numFmtId="4" fontId="4" fillId="9" borderId="22" xfId="3" applyNumberFormat="1" applyFont="1" applyFill="1" applyBorder="1" applyAlignment="1">
      <alignment horizontal="right" vertical="center"/>
    </xf>
    <xf numFmtId="4" fontId="8" fillId="9" borderId="22" xfId="3" applyNumberFormat="1" applyFont="1" applyFill="1" applyBorder="1" applyAlignment="1">
      <alignment horizontal="right" vertical="center"/>
    </xf>
    <xf numFmtId="4" fontId="7" fillId="3" borderId="45" xfId="3" applyNumberFormat="1" applyFont="1" applyFill="1" applyBorder="1" applyAlignment="1">
      <alignment horizontal="right" vertical="center"/>
    </xf>
    <xf numFmtId="4" fontId="19" fillId="8" borderId="16" xfId="3" applyNumberFormat="1" applyFont="1" applyFill="1" applyBorder="1" applyAlignment="1">
      <alignment horizontal="right" vertical="center"/>
    </xf>
    <xf numFmtId="4" fontId="8" fillId="9" borderId="33" xfId="3" applyNumberFormat="1" applyFont="1" applyFill="1" applyBorder="1" applyAlignment="1">
      <alignment horizontal="right" vertical="center"/>
    </xf>
    <xf numFmtId="10" fontId="8" fillId="9" borderId="33" xfId="2" applyNumberFormat="1" applyFont="1" applyFill="1" applyBorder="1" applyAlignment="1">
      <alignment horizontal="right" vertical="center"/>
    </xf>
    <xf numFmtId="4" fontId="8" fillId="8" borderId="33" xfId="3" applyNumberFormat="1" applyFont="1" applyFill="1" applyBorder="1" applyAlignment="1">
      <alignment horizontal="right" vertical="center"/>
    </xf>
    <xf numFmtId="10" fontId="8" fillId="8" borderId="33" xfId="2" applyNumberFormat="1" applyFont="1" applyFill="1" applyBorder="1" applyAlignment="1">
      <alignment horizontal="right" vertical="center"/>
    </xf>
    <xf numFmtId="10" fontId="8" fillId="9" borderId="17" xfId="2" applyNumberFormat="1" applyFont="1" applyFill="1" applyBorder="1" applyAlignment="1">
      <alignment horizontal="right" vertical="center"/>
    </xf>
    <xf numFmtId="44" fontId="0" fillId="0" borderId="0" xfId="1" applyFont="1" applyFill="1" applyAlignment="1">
      <alignment horizontal="right" vertical="center"/>
    </xf>
    <xf numFmtId="4" fontId="8" fillId="0" borderId="5" xfId="3" applyNumberFormat="1" applyFont="1" applyFill="1" applyBorder="1" applyAlignment="1">
      <alignment horizontal="right" vertical="center"/>
    </xf>
    <xf numFmtId="4" fontId="8" fillId="0" borderId="42" xfId="3" applyNumberFormat="1" applyFont="1" applyFill="1" applyBorder="1" applyAlignment="1">
      <alignment horizontal="right" vertical="center"/>
    </xf>
    <xf numFmtId="4" fontId="8" fillId="0" borderId="45" xfId="3" applyNumberFormat="1" applyFont="1" applyFill="1" applyBorder="1" applyAlignment="1">
      <alignment horizontal="right" vertical="center"/>
    </xf>
    <xf numFmtId="4" fontId="8" fillId="0" borderId="33" xfId="3" applyNumberFormat="1" applyFont="1" applyFill="1" applyBorder="1" applyAlignment="1">
      <alignment horizontal="right" vertical="center"/>
    </xf>
    <xf numFmtId="4" fontId="20" fillId="0" borderId="0" xfId="0" applyNumberFormat="1" applyFont="1"/>
    <xf numFmtId="44" fontId="2" fillId="0" borderId="1" xfId="1" applyFont="1" applyBorder="1"/>
    <xf numFmtId="44" fontId="2" fillId="0" borderId="1" xfId="1" applyFont="1" applyBorder="1" applyAlignment="1">
      <alignment horizontal="right"/>
    </xf>
    <xf numFmtId="167" fontId="0" fillId="0" borderId="0" xfId="0" applyNumberFormat="1" applyAlignment="1">
      <alignment horizontal="center" vertical="center"/>
    </xf>
    <xf numFmtId="14" fontId="0" fillId="12" borderId="0" xfId="0" applyNumberFormat="1" applyFill="1" applyAlignment="1">
      <alignment horizontal="left" vertical="center"/>
    </xf>
    <xf numFmtId="0" fontId="5" fillId="5" borderId="43" xfId="0" applyFont="1" applyFill="1" applyBorder="1" applyAlignment="1">
      <alignment horizontal="left" vertical="center"/>
    </xf>
    <xf numFmtId="0" fontId="5" fillId="5" borderId="32" xfId="0" applyFont="1" applyFill="1" applyBorder="1" applyAlignment="1">
      <alignment horizontal="left" vertical="center"/>
    </xf>
    <xf numFmtId="164" fontId="4" fillId="0" borderId="32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5" fillId="5" borderId="46" xfId="0" applyFont="1" applyFill="1" applyBorder="1" applyAlignment="1">
      <alignment horizontal="left" vertical="center"/>
    </xf>
    <xf numFmtId="0" fontId="5" fillId="5" borderId="31" xfId="0" applyFont="1" applyFill="1" applyBorder="1" applyAlignment="1">
      <alignment horizontal="left" vertical="center"/>
    </xf>
    <xf numFmtId="164" fontId="4" fillId="0" borderId="31" xfId="0" applyNumberFormat="1" applyFont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right" vertical="center" wrapText="1"/>
    </xf>
    <xf numFmtId="0" fontId="5" fillId="5" borderId="38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left" vertical="center"/>
    </xf>
    <xf numFmtId="164" fontId="4" fillId="0" borderId="20" xfId="0" applyNumberFormat="1" applyFont="1" applyBorder="1" applyAlignment="1">
      <alignment horizontal="right" vertical="center" wrapText="1"/>
    </xf>
    <xf numFmtId="164" fontId="4" fillId="0" borderId="21" xfId="0" applyNumberFormat="1" applyFont="1" applyBorder="1" applyAlignment="1">
      <alignment horizontal="right" vertical="center" wrapText="1"/>
    </xf>
    <xf numFmtId="164" fontId="4" fillId="0" borderId="29" xfId="0" applyNumberFormat="1" applyFont="1" applyBorder="1" applyAlignment="1">
      <alignment horizontal="right" vertical="center" wrapText="1"/>
    </xf>
    <xf numFmtId="164" fontId="4" fillId="0" borderId="30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44" fontId="11" fillId="0" borderId="13" xfId="1" applyFont="1" applyBorder="1" applyAlignment="1">
      <alignment horizontal="center" vertical="center"/>
    </xf>
    <xf numFmtId="44" fontId="11" fillId="0" borderId="47" xfId="1" applyFont="1" applyBorder="1" applyAlignment="1">
      <alignment horizontal="center" vertical="center"/>
    </xf>
    <xf numFmtId="10" fontId="11" fillId="0" borderId="56" xfId="2" applyNumberFormat="1" applyFont="1" applyBorder="1" applyAlignment="1">
      <alignment horizontal="center" vertical="center" wrapText="1"/>
    </xf>
    <xf numFmtId="10" fontId="11" fillId="0" borderId="57" xfId="2" applyNumberFormat="1" applyFont="1" applyBorder="1" applyAlignment="1">
      <alignment horizontal="center" vertical="center" wrapText="1"/>
    </xf>
    <xf numFmtId="10" fontId="11" fillId="0" borderId="18" xfId="2" applyNumberFormat="1" applyFont="1" applyBorder="1" applyAlignment="1">
      <alignment horizontal="center" vertical="center" wrapText="1"/>
    </xf>
    <xf numFmtId="10" fontId="11" fillId="0" borderId="15" xfId="2" applyNumberFormat="1" applyFont="1" applyBorder="1" applyAlignment="1">
      <alignment horizontal="center" vertical="center" wrapText="1"/>
    </xf>
    <xf numFmtId="44" fontId="11" fillId="0" borderId="18" xfId="2" applyNumberFormat="1" applyFont="1" applyBorder="1" applyAlignment="1">
      <alignment horizontal="center" vertical="center" wrapText="1"/>
    </xf>
    <xf numFmtId="44" fontId="11" fillId="0" borderId="15" xfId="2" applyNumberFormat="1" applyFont="1" applyBorder="1" applyAlignment="1">
      <alignment horizontal="center" vertical="center" wrapText="1"/>
    </xf>
    <xf numFmtId="44" fontId="11" fillId="0" borderId="56" xfId="2" applyNumberFormat="1" applyFont="1" applyBorder="1" applyAlignment="1">
      <alignment horizontal="center" vertical="center" wrapText="1"/>
    </xf>
    <xf numFmtId="44" fontId="11" fillId="0" borderId="57" xfId="2" applyNumberFormat="1" applyFont="1" applyBorder="1" applyAlignment="1">
      <alignment horizontal="center" vertical="center" wrapText="1"/>
    </xf>
    <xf numFmtId="9" fontId="11" fillId="0" borderId="13" xfId="2" applyFont="1" applyBorder="1" applyAlignment="1">
      <alignment horizontal="center" vertical="center"/>
    </xf>
    <xf numFmtId="9" fontId="11" fillId="0" borderId="47" xfId="2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0" borderId="47" xfId="2" applyNumberFormat="1" applyFont="1" applyBorder="1" applyAlignment="1">
      <alignment horizontal="center" vertical="center"/>
    </xf>
    <xf numFmtId="4" fontId="11" fillId="0" borderId="13" xfId="2" applyNumberFormat="1" applyFont="1" applyBorder="1" applyAlignment="1">
      <alignment horizontal="center" vertical="center"/>
    </xf>
    <xf numFmtId="4" fontId="11" fillId="0" borderId="47" xfId="2" applyNumberFormat="1" applyFont="1" applyBorder="1" applyAlignment="1">
      <alignment horizontal="center" vertical="center"/>
    </xf>
    <xf numFmtId="10" fontId="11" fillId="0" borderId="13" xfId="2" applyNumberFormat="1" applyFont="1" applyBorder="1" applyAlignment="1">
      <alignment horizontal="center" vertical="center"/>
    </xf>
    <xf numFmtId="10" fontId="11" fillId="0" borderId="47" xfId="2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8">
    <dxf>
      <font>
        <color rgb="FFFF0000"/>
      </font>
    </dxf>
    <dxf>
      <font>
        <color rgb="FF00B05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B05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Mensuel 22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colors>
    <mruColors>
      <color rgb="FFFF6161"/>
      <color rgb="FFBAE18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DFIN\COBRANCA\ANDERSON\Dash%20DRE%20Cont&#225;b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locímetro"/>
      <sheetName val="Listas"/>
      <sheetName val="Tabela"/>
      <sheetName val="D1"/>
      <sheetName val="D2"/>
      <sheetName val="D3"/>
      <sheetName val="D4"/>
      <sheetName val="BD"/>
      <sheetName val="MT"/>
      <sheetName val="Planilha1"/>
    </sheetNames>
    <sheetDataSet>
      <sheetData sheetId="0">
        <row r="4">
          <cell r="A4" t="str">
            <v>Parte Visível</v>
          </cell>
        </row>
        <row r="20">
          <cell r="A20">
            <v>1</v>
          </cell>
          <cell r="B20">
            <v>1</v>
          </cell>
        </row>
        <row r="21">
          <cell r="B21">
            <v>2</v>
          </cell>
        </row>
        <row r="23">
          <cell r="A23">
            <v>1</v>
          </cell>
          <cell r="B23">
            <v>1</v>
          </cell>
        </row>
        <row r="24">
          <cell r="B24">
            <v>2</v>
          </cell>
        </row>
      </sheetData>
      <sheetData sheetId="1"/>
      <sheetData sheetId="2">
        <row r="40">
          <cell r="D40" t="str">
            <v>Jan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E3E6D"/>
      </a:accent1>
      <a:accent2>
        <a:srgbClr val="FFE9EA"/>
      </a:accent2>
      <a:accent3>
        <a:srgbClr val="193044"/>
      </a:accent3>
      <a:accent4>
        <a:srgbClr val="DF365F"/>
      </a:accent4>
      <a:accent5>
        <a:srgbClr val="DEE4E9"/>
      </a:accent5>
      <a:accent6>
        <a:srgbClr val="FE517B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5" sqref="A5"/>
    </sheetView>
  </sheetViews>
  <sheetFormatPr defaultColWidth="9.109375" defaultRowHeight="13.2" x14ac:dyDescent="0.25"/>
  <cols>
    <col min="1" max="1" width="11.44140625" style="3" bestFit="1" customWidth="1"/>
    <col min="2" max="2" width="13.33203125" style="3" bestFit="1" customWidth="1"/>
    <col min="3" max="3" width="18.6640625" style="3" bestFit="1" customWidth="1"/>
    <col min="4" max="16384" width="9.109375" style="3"/>
  </cols>
  <sheetData>
    <row r="1" spans="1:3" x14ac:dyDescent="0.25">
      <c r="A1" s="3" t="s">
        <v>709</v>
      </c>
      <c r="B1" s="3" t="s">
        <v>687</v>
      </c>
      <c r="C1" s="3" t="s">
        <v>705</v>
      </c>
    </row>
    <row r="3" spans="1:3" x14ac:dyDescent="0.25">
      <c r="A3" s="3" t="s">
        <v>0</v>
      </c>
      <c r="B3" s="3" t="s">
        <v>688</v>
      </c>
      <c r="C3" s="3" t="s">
        <v>692</v>
      </c>
    </row>
    <row r="4" spans="1:3" x14ac:dyDescent="0.25">
      <c r="A4" s="3" t="s">
        <v>207</v>
      </c>
      <c r="B4" s="3" t="s">
        <v>662</v>
      </c>
      <c r="C4" s="3" t="s">
        <v>1</v>
      </c>
    </row>
    <row r="5" spans="1:3" x14ac:dyDescent="0.25">
      <c r="A5" s="3" t="s">
        <v>748</v>
      </c>
      <c r="B5" s="3" t="s">
        <v>689</v>
      </c>
      <c r="C5" s="3" t="s">
        <v>143</v>
      </c>
    </row>
    <row r="6" spans="1:3" x14ac:dyDescent="0.25">
      <c r="B6" s="3" t="s">
        <v>690</v>
      </c>
      <c r="C6" s="3" t="s">
        <v>693</v>
      </c>
    </row>
    <row r="7" spans="1:3" x14ac:dyDescent="0.25">
      <c r="B7" s="3" t="s">
        <v>691</v>
      </c>
      <c r="C7" s="3" t="s">
        <v>694</v>
      </c>
    </row>
    <row r="8" spans="1:3" x14ac:dyDescent="0.25">
      <c r="C8" s="3" t="s">
        <v>47</v>
      </c>
    </row>
    <row r="9" spans="1:3" x14ac:dyDescent="0.25">
      <c r="C9" s="3" t="s">
        <v>696</v>
      </c>
    </row>
    <row r="10" spans="1:3" x14ac:dyDescent="0.25">
      <c r="C10" s="3" t="s">
        <v>697</v>
      </c>
    </row>
    <row r="11" spans="1:3" x14ac:dyDescent="0.25">
      <c r="C11" s="3" t="s">
        <v>700</v>
      </c>
    </row>
    <row r="12" spans="1:3" x14ac:dyDescent="0.25">
      <c r="C12" s="3" t="s">
        <v>695</v>
      </c>
    </row>
    <row r="13" spans="1:3" x14ac:dyDescent="0.25">
      <c r="C13" s="3" t="s">
        <v>698</v>
      </c>
    </row>
    <row r="14" spans="1:3" x14ac:dyDescent="0.25">
      <c r="C14" s="3" t="s">
        <v>701</v>
      </c>
    </row>
    <row r="15" spans="1:3" x14ac:dyDescent="0.25">
      <c r="C15" s="3" t="s">
        <v>699</v>
      </c>
    </row>
    <row r="16" spans="1:3" x14ac:dyDescent="0.25">
      <c r="C16" s="3" t="s">
        <v>43</v>
      </c>
    </row>
  </sheetData>
  <sortState xmlns:xlrd2="http://schemas.microsoft.com/office/spreadsheetml/2017/richdata2" ref="C3:C15">
    <sortCondition ref="C3:C1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221"/>
  <sheetViews>
    <sheetView workbookViewId="0">
      <selection activeCell="A1030" sqref="A1030"/>
    </sheetView>
  </sheetViews>
  <sheetFormatPr defaultColWidth="9.109375" defaultRowHeight="13.2" x14ac:dyDescent="0.25"/>
  <cols>
    <col min="1" max="1" width="11.44140625" style="11" bestFit="1" customWidth="1"/>
    <col min="2" max="2" width="10.109375" style="12" bestFit="1" customWidth="1"/>
    <col min="3" max="3" width="13.44140625" style="11" bestFit="1" customWidth="1"/>
    <col min="4" max="4" width="16.109375" style="11" bestFit="1" customWidth="1"/>
    <col min="5" max="5" width="29.44140625" style="13" customWidth="1"/>
    <col min="6" max="6" width="34.33203125" style="14" customWidth="1"/>
    <col min="7" max="7" width="23.5546875" style="14" customWidth="1"/>
    <col min="8" max="8" width="11.44140625" style="15" customWidth="1"/>
    <col min="9" max="9" width="9.33203125" style="11" customWidth="1"/>
    <col min="10" max="10" width="14.6640625" style="16" bestFit="1" customWidth="1"/>
    <col min="11" max="11" width="13.33203125" style="16" bestFit="1" customWidth="1"/>
    <col min="12" max="12" width="15.88671875" style="11" customWidth="1"/>
    <col min="13" max="13" width="15.88671875" style="17" bestFit="1" customWidth="1"/>
    <col min="14" max="14" width="9.109375" style="11"/>
    <col min="15" max="15" width="10.5546875" style="11" bestFit="1" customWidth="1"/>
    <col min="16" max="16" width="11.44140625" style="11" customWidth="1"/>
    <col min="17" max="20" width="9.109375" style="11"/>
    <col min="21" max="21" width="13.109375" style="11" bestFit="1" customWidth="1"/>
    <col min="22" max="16384" width="9.109375" style="11"/>
  </cols>
  <sheetData>
    <row r="1" spans="1:21" ht="15" thickBot="1" x14ac:dyDescent="0.3">
      <c r="A1" s="6" t="s">
        <v>3</v>
      </c>
      <c r="B1" s="6" t="s">
        <v>8</v>
      </c>
      <c r="C1" s="4" t="s">
        <v>682</v>
      </c>
      <c r="D1" s="4" t="s">
        <v>4</v>
      </c>
      <c r="E1" s="6" t="s">
        <v>686</v>
      </c>
      <c r="F1" s="4" t="s">
        <v>7</v>
      </c>
      <c r="G1" s="4" t="s">
        <v>704</v>
      </c>
      <c r="H1" s="2" t="s">
        <v>9</v>
      </c>
      <c r="I1" s="4" t="s">
        <v>631</v>
      </c>
      <c r="J1" s="5" t="s">
        <v>683</v>
      </c>
      <c r="K1" s="5" t="s">
        <v>703</v>
      </c>
      <c r="L1" s="4" t="s">
        <v>685</v>
      </c>
      <c r="M1" s="5" t="s">
        <v>637</v>
      </c>
      <c r="N1" s="4" t="s">
        <v>702</v>
      </c>
    </row>
    <row r="2" spans="1:21" ht="15" thickBot="1" x14ac:dyDescent="0.3">
      <c r="A2" s="11" t="s">
        <v>0</v>
      </c>
      <c r="B2" s="12">
        <v>45123</v>
      </c>
      <c r="C2" s="11" t="s">
        <v>688</v>
      </c>
      <c r="D2" s="11" t="s">
        <v>692</v>
      </c>
      <c r="E2" s="13" t="s">
        <v>730</v>
      </c>
      <c r="F2" s="14" t="s">
        <v>34</v>
      </c>
      <c r="G2" s="14" t="s">
        <v>211</v>
      </c>
      <c r="I2" s="11" t="b">
        <f>IF(AND(G2="MERCADO PAGO",A2="FATURAMENTO"),1,IF(AND(OR(G2="MERCADO PAGO",G2="pix mercado pago",G2= "débito automático mercado pago", G2= "boleto mercado pago"),A2="DESPESAS"),4,IF(AND(G2="SAFRA",A2="FATURAMENTO"),2,IF(AND(OR(G2="SAFRA",G2="PIX SAFRA", G2="DÉBITO AUTOMÁTICO SAFRA", G2= "BOLETO SAFRA", G2= "transferência safra"), A2="DESPESAS"),5,IF(AND(G2="espécie",A2="FATURAMENTO"),3,IF(AND(G2="espécie",A2="DESPESAS"),6))))))</f>
        <v>0</v>
      </c>
      <c r="K2" s="16">
        <v>1225.55</v>
      </c>
      <c r="M2" s="17">
        <f>IF(B2=0,"",J2-K2)</f>
        <v>-1225.55</v>
      </c>
      <c r="N2" s="11">
        <f>IF(B2=0, "", MONTH(B2))</f>
        <v>7</v>
      </c>
      <c r="S2" s="4" t="s">
        <v>684</v>
      </c>
    </row>
    <row r="3" spans="1:21" x14ac:dyDescent="0.25">
      <c r="A3" s="11" t="s">
        <v>0</v>
      </c>
      <c r="B3" s="12">
        <v>45123</v>
      </c>
      <c r="C3" s="11" t="s">
        <v>688</v>
      </c>
      <c r="D3" s="11" t="s">
        <v>692</v>
      </c>
      <c r="E3" s="13" t="s">
        <v>730</v>
      </c>
      <c r="F3" s="14" t="s">
        <v>34</v>
      </c>
      <c r="G3" s="14" t="s">
        <v>211</v>
      </c>
      <c r="I3" s="11" t="b">
        <f t="shared" ref="I3:I66" si="0">IF(AND(G3="MERCADO PAGO",A3="FATURAMENTO"),1,IF(AND(OR(G3="MERCADO PAGO",G3="pix mercado pago",G3= "débito automático mercado pago", G3= "boleto mercado pago"),A3="DESPESAS"),4,IF(AND(G3="SAFRA",A3="FATURAMENTO"),2,IF(AND(OR(G3="SAFRA",G3="PIX SAFRA", G3="DÉBITO AUTOMÁTICO SAFRA", G3= "BOLETO SAFRA", G3= "transferência safra"), A3="DESPESAS"),5,IF(AND(G3="espécie",A3="FATURAMENTO"),3,IF(AND(G3="espécie",A3="DESPESAS"),6))))))</f>
        <v>0</v>
      </c>
      <c r="K3" s="16">
        <v>1203.6400000000001</v>
      </c>
      <c r="M3" s="17">
        <f t="shared" ref="M3:M66" si="1">IF(B3=0, "",M2+ J3-K3)</f>
        <v>-2429.19</v>
      </c>
      <c r="N3" s="11">
        <f t="shared" ref="N3:N66" si="2">IF(B3=0, "", MONTH(B3))</f>
        <v>7</v>
      </c>
    </row>
    <row r="4" spans="1:21" x14ac:dyDescent="0.25">
      <c r="A4" s="11" t="s">
        <v>0</v>
      </c>
      <c r="B4" s="12">
        <v>45124</v>
      </c>
      <c r="C4" s="11" t="s">
        <v>688</v>
      </c>
      <c r="D4" s="11" t="s">
        <v>692</v>
      </c>
      <c r="E4" s="13" t="s">
        <v>730</v>
      </c>
      <c r="F4" s="14" t="s">
        <v>34</v>
      </c>
      <c r="G4" s="14" t="s">
        <v>203</v>
      </c>
      <c r="I4" s="11" t="b">
        <f t="shared" si="0"/>
        <v>0</v>
      </c>
      <c r="K4" s="16">
        <v>908.16</v>
      </c>
      <c r="M4" s="17">
        <f t="shared" si="1"/>
        <v>-3337.35</v>
      </c>
      <c r="N4" s="11">
        <f t="shared" si="2"/>
        <v>7</v>
      </c>
    </row>
    <row r="5" spans="1:21" x14ac:dyDescent="0.25">
      <c r="A5" s="11" t="s">
        <v>0</v>
      </c>
      <c r="B5" s="12">
        <v>45124</v>
      </c>
      <c r="C5" s="11" t="s">
        <v>688</v>
      </c>
      <c r="D5" s="11" t="s">
        <v>692</v>
      </c>
      <c r="E5" s="13" t="s">
        <v>725</v>
      </c>
      <c r="F5" s="14" t="s">
        <v>27</v>
      </c>
      <c r="G5" s="14" t="s">
        <v>706</v>
      </c>
      <c r="I5" s="11" t="b">
        <f t="shared" si="0"/>
        <v>0</v>
      </c>
      <c r="K5" s="16">
        <v>615.89</v>
      </c>
      <c r="M5" s="17">
        <f t="shared" si="1"/>
        <v>-3953.24</v>
      </c>
      <c r="N5" s="11">
        <f t="shared" si="2"/>
        <v>7</v>
      </c>
    </row>
    <row r="6" spans="1:21" x14ac:dyDescent="0.25">
      <c r="A6" s="11" t="s">
        <v>0</v>
      </c>
      <c r="B6" s="12">
        <v>45124</v>
      </c>
      <c r="C6" s="11" t="s">
        <v>688</v>
      </c>
      <c r="D6" s="11" t="s">
        <v>692</v>
      </c>
      <c r="E6" s="13" t="s">
        <v>725</v>
      </c>
      <c r="F6" s="14" t="s">
        <v>33</v>
      </c>
      <c r="G6" s="14" t="s">
        <v>706</v>
      </c>
      <c r="I6" s="11" t="b">
        <f t="shared" si="0"/>
        <v>0</v>
      </c>
      <c r="K6" s="16">
        <v>59.02</v>
      </c>
      <c r="M6" s="17">
        <f t="shared" si="1"/>
        <v>-4012.2599999999998</v>
      </c>
      <c r="N6" s="11">
        <f t="shared" si="2"/>
        <v>7</v>
      </c>
    </row>
    <row r="7" spans="1:21" x14ac:dyDescent="0.25">
      <c r="A7" s="11" t="s">
        <v>0</v>
      </c>
      <c r="B7" s="12">
        <v>45124</v>
      </c>
      <c r="C7" s="11" t="s">
        <v>688</v>
      </c>
      <c r="D7" s="11" t="s">
        <v>692</v>
      </c>
      <c r="E7" s="13" t="s">
        <v>725</v>
      </c>
      <c r="F7" s="14" t="s">
        <v>27</v>
      </c>
      <c r="G7" s="14" t="s">
        <v>706</v>
      </c>
      <c r="I7" s="11" t="b">
        <f t="shared" si="0"/>
        <v>0</v>
      </c>
      <c r="K7" s="16">
        <v>352.99</v>
      </c>
      <c r="M7" s="17">
        <f t="shared" si="1"/>
        <v>-4365.25</v>
      </c>
      <c r="N7" s="11">
        <f t="shared" si="2"/>
        <v>7</v>
      </c>
    </row>
    <row r="8" spans="1:21" ht="13.8" thickBot="1" x14ac:dyDescent="0.3">
      <c r="A8" s="11" t="s">
        <v>0</v>
      </c>
      <c r="B8" s="12">
        <v>45124</v>
      </c>
      <c r="C8" s="11" t="s">
        <v>688</v>
      </c>
      <c r="D8" s="11" t="s">
        <v>692</v>
      </c>
      <c r="E8" s="13" t="s">
        <v>725</v>
      </c>
      <c r="F8" s="14" t="s">
        <v>33</v>
      </c>
      <c r="G8" s="14" t="s">
        <v>706</v>
      </c>
      <c r="I8" s="11" t="b">
        <f t="shared" si="0"/>
        <v>0</v>
      </c>
      <c r="K8" s="16">
        <v>79.599999999999994</v>
      </c>
      <c r="M8" s="17">
        <f t="shared" si="1"/>
        <v>-4444.8500000000004</v>
      </c>
      <c r="N8" s="11">
        <f t="shared" si="2"/>
        <v>7</v>
      </c>
    </row>
    <row r="9" spans="1:21" ht="16.2" thickBot="1" x14ac:dyDescent="0.3">
      <c r="A9" s="11" t="s">
        <v>0</v>
      </c>
      <c r="B9" s="12">
        <v>45124</v>
      </c>
      <c r="C9" s="11" t="s">
        <v>688</v>
      </c>
      <c r="D9" s="11" t="s">
        <v>696</v>
      </c>
      <c r="E9" s="13" t="s">
        <v>225</v>
      </c>
      <c r="F9" s="14" t="s">
        <v>247</v>
      </c>
      <c r="G9" s="14" t="s">
        <v>707</v>
      </c>
      <c r="I9" s="11" t="b">
        <f t="shared" si="0"/>
        <v>0</v>
      </c>
      <c r="K9" s="16">
        <v>1000</v>
      </c>
      <c r="M9" s="17">
        <f t="shared" si="1"/>
        <v>-5444.85</v>
      </c>
      <c r="N9" s="11">
        <f t="shared" si="2"/>
        <v>7</v>
      </c>
      <c r="P9" s="247" t="s">
        <v>632</v>
      </c>
      <c r="Q9" s="248"/>
      <c r="R9" s="248"/>
      <c r="S9" s="249"/>
    </row>
    <row r="10" spans="1:21" ht="15.6" x14ac:dyDescent="0.25">
      <c r="A10" s="11" t="s">
        <v>0</v>
      </c>
      <c r="B10" s="12">
        <v>45124</v>
      </c>
      <c r="C10" s="11" t="s">
        <v>688</v>
      </c>
      <c r="D10" s="11" t="s">
        <v>692</v>
      </c>
      <c r="E10" s="13" t="s">
        <v>179</v>
      </c>
      <c r="F10" s="14" t="s">
        <v>28</v>
      </c>
      <c r="G10" s="14" t="s">
        <v>707</v>
      </c>
      <c r="I10" s="11" t="b">
        <f t="shared" si="0"/>
        <v>0</v>
      </c>
      <c r="K10" s="16">
        <v>520</v>
      </c>
      <c r="M10" s="17">
        <f t="shared" si="1"/>
        <v>-5964.85</v>
      </c>
      <c r="N10" s="11">
        <f t="shared" si="2"/>
        <v>7</v>
      </c>
      <c r="P10" s="250" t="s">
        <v>635</v>
      </c>
      <c r="Q10" s="251"/>
      <c r="R10" s="252">
        <f>SUMIF(I2:I20221,"1",J2:J20221)</f>
        <v>348149.56</v>
      </c>
      <c r="S10" s="253"/>
    </row>
    <row r="11" spans="1:21" ht="16.2" thickBot="1" x14ac:dyDescent="0.3">
      <c r="A11" s="11" t="s">
        <v>0</v>
      </c>
      <c r="B11" s="12">
        <v>45124</v>
      </c>
      <c r="C11" s="11" t="s">
        <v>688</v>
      </c>
      <c r="D11" s="11" t="s">
        <v>698</v>
      </c>
      <c r="E11" s="13" t="s">
        <v>248</v>
      </c>
      <c r="F11" s="14" t="s">
        <v>620</v>
      </c>
      <c r="G11" s="14" t="s">
        <v>707</v>
      </c>
      <c r="I11" s="11" t="b">
        <f t="shared" si="0"/>
        <v>0</v>
      </c>
      <c r="K11" s="16">
        <v>700</v>
      </c>
      <c r="M11" s="17">
        <f t="shared" si="1"/>
        <v>-6664.85</v>
      </c>
      <c r="N11" s="11">
        <f t="shared" si="2"/>
        <v>7</v>
      </c>
      <c r="P11" s="254" t="s">
        <v>636</v>
      </c>
      <c r="Q11" s="255"/>
      <c r="R11" s="256">
        <f>SUMIF(I2:I20221,"4",K2:K20221)</f>
        <v>124930.12000000001</v>
      </c>
      <c r="S11" s="257"/>
    </row>
    <row r="12" spans="1:21" ht="16.2" thickBot="1" x14ac:dyDescent="0.3">
      <c r="A12" s="11" t="s">
        <v>0</v>
      </c>
      <c r="B12" s="12">
        <v>45124</v>
      </c>
      <c r="C12" s="11" t="s">
        <v>688</v>
      </c>
      <c r="D12" s="11" t="s">
        <v>696</v>
      </c>
      <c r="E12" s="13" t="s">
        <v>225</v>
      </c>
      <c r="F12" s="14" t="s">
        <v>249</v>
      </c>
      <c r="G12" s="14" t="s">
        <v>707</v>
      </c>
      <c r="I12" s="11" t="b">
        <f t="shared" si="0"/>
        <v>0</v>
      </c>
      <c r="K12" s="16">
        <v>1320</v>
      </c>
      <c r="M12" s="17">
        <f t="shared" si="1"/>
        <v>-7984.85</v>
      </c>
      <c r="N12" s="11">
        <f t="shared" si="2"/>
        <v>7</v>
      </c>
      <c r="P12" s="243" t="s">
        <v>637</v>
      </c>
      <c r="Q12" s="244"/>
      <c r="R12" s="245">
        <f>R10-R11</f>
        <v>223219.44</v>
      </c>
      <c r="S12" s="246"/>
      <c r="U12" s="241"/>
    </row>
    <row r="13" spans="1:21" ht="16.2" thickBot="1" x14ac:dyDescent="0.3">
      <c r="A13" s="11" t="s">
        <v>0</v>
      </c>
      <c r="B13" s="12">
        <v>45124</v>
      </c>
      <c r="C13" s="11" t="s">
        <v>688</v>
      </c>
      <c r="D13" s="11" t="s">
        <v>692</v>
      </c>
      <c r="E13" s="13" t="s">
        <v>143</v>
      </c>
      <c r="F13" s="14" t="s">
        <v>31</v>
      </c>
      <c r="G13" s="14" t="s">
        <v>708</v>
      </c>
      <c r="I13" s="11" t="b">
        <f t="shared" si="0"/>
        <v>0</v>
      </c>
      <c r="K13" s="16">
        <v>1255.6300000000001</v>
      </c>
      <c r="M13" s="17">
        <f t="shared" si="1"/>
        <v>-9240.48</v>
      </c>
      <c r="N13" s="11">
        <f t="shared" si="2"/>
        <v>7</v>
      </c>
      <c r="P13" s="60"/>
      <c r="Q13" s="61"/>
      <c r="R13" s="61"/>
      <c r="S13" s="61"/>
    </row>
    <row r="14" spans="1:21" ht="16.2" thickBot="1" x14ac:dyDescent="0.3">
      <c r="A14" s="11" t="s">
        <v>0</v>
      </c>
      <c r="B14" s="12">
        <v>45124</v>
      </c>
      <c r="C14" s="11" t="s">
        <v>688</v>
      </c>
      <c r="D14" s="11" t="s">
        <v>692</v>
      </c>
      <c r="E14" s="13" t="s">
        <v>179</v>
      </c>
      <c r="F14" s="14" t="s">
        <v>250</v>
      </c>
      <c r="G14" s="14" t="s">
        <v>201</v>
      </c>
      <c r="I14" s="11" t="b">
        <f t="shared" si="0"/>
        <v>0</v>
      </c>
      <c r="K14" s="16">
        <v>930</v>
      </c>
      <c r="M14" s="17">
        <f t="shared" si="1"/>
        <v>-10170.48</v>
      </c>
      <c r="N14" s="11">
        <f t="shared" si="2"/>
        <v>7</v>
      </c>
      <c r="P14" s="247" t="s">
        <v>633</v>
      </c>
      <c r="Q14" s="248"/>
      <c r="R14" s="248"/>
      <c r="S14" s="249"/>
    </row>
    <row r="15" spans="1:21" ht="15.6" x14ac:dyDescent="0.25">
      <c r="A15" s="11" t="s">
        <v>0</v>
      </c>
      <c r="B15" s="12">
        <v>45124</v>
      </c>
      <c r="C15" s="11" t="s">
        <v>688</v>
      </c>
      <c r="D15" s="11" t="s">
        <v>47</v>
      </c>
      <c r="E15" s="14" t="s">
        <v>208</v>
      </c>
      <c r="F15" s="14" t="s">
        <v>208</v>
      </c>
      <c r="G15" s="14" t="s">
        <v>201</v>
      </c>
      <c r="I15" s="11" t="b">
        <f t="shared" si="0"/>
        <v>0</v>
      </c>
      <c r="K15" s="16">
        <v>263.5</v>
      </c>
      <c r="M15" s="17">
        <f t="shared" si="1"/>
        <v>-10433.98</v>
      </c>
      <c r="N15" s="11">
        <f t="shared" si="2"/>
        <v>7</v>
      </c>
      <c r="P15" s="250" t="s">
        <v>635</v>
      </c>
      <c r="Q15" s="251"/>
      <c r="R15" s="262">
        <f>SUMIF(I2:I20221,"2",J2:J20221)</f>
        <v>1018151.0200000003</v>
      </c>
      <c r="S15" s="263"/>
    </row>
    <row r="16" spans="1:21" ht="16.2" thickBot="1" x14ac:dyDescent="0.3">
      <c r="A16" s="11" t="s">
        <v>0</v>
      </c>
      <c r="B16" s="12">
        <v>45124</v>
      </c>
      <c r="C16" s="11" t="s">
        <v>688</v>
      </c>
      <c r="D16" s="11" t="s">
        <v>694</v>
      </c>
      <c r="E16" s="13" t="s">
        <v>182</v>
      </c>
      <c r="F16" s="14" t="s">
        <v>251</v>
      </c>
      <c r="G16" s="14" t="s">
        <v>199</v>
      </c>
      <c r="I16" s="11" t="b">
        <f t="shared" si="0"/>
        <v>0</v>
      </c>
      <c r="K16" s="16">
        <v>78.31</v>
      </c>
      <c r="M16" s="17">
        <f t="shared" si="1"/>
        <v>-10512.289999999999</v>
      </c>
      <c r="N16" s="11">
        <f t="shared" si="2"/>
        <v>7</v>
      </c>
      <c r="P16" s="258" t="s">
        <v>636</v>
      </c>
      <c r="Q16" s="259"/>
      <c r="R16" s="260">
        <f>SUMIF(I2:I20221,"5",K2:K20221)</f>
        <v>923893.93</v>
      </c>
      <c r="S16" s="261"/>
    </row>
    <row r="17" spans="1:19" ht="16.2" thickBot="1" x14ac:dyDescent="0.3">
      <c r="A17" s="11" t="s">
        <v>0</v>
      </c>
      <c r="B17" s="12">
        <v>45124</v>
      </c>
      <c r="C17" s="11" t="s">
        <v>688</v>
      </c>
      <c r="D17" s="11" t="s">
        <v>692</v>
      </c>
      <c r="E17" s="13" t="s">
        <v>725</v>
      </c>
      <c r="F17" s="14" t="s">
        <v>27</v>
      </c>
      <c r="G17" s="14" t="s">
        <v>213</v>
      </c>
      <c r="I17" s="11" t="b">
        <f t="shared" si="0"/>
        <v>0</v>
      </c>
      <c r="K17" s="16">
        <v>868.09</v>
      </c>
      <c r="M17" s="17">
        <f t="shared" si="1"/>
        <v>-11380.38</v>
      </c>
      <c r="N17" s="11">
        <f t="shared" si="2"/>
        <v>7</v>
      </c>
      <c r="P17" s="258" t="s">
        <v>637</v>
      </c>
      <c r="Q17" s="259"/>
      <c r="R17" s="260">
        <f>R15-R16</f>
        <v>94257.0900000002</v>
      </c>
      <c r="S17" s="261"/>
    </row>
    <row r="18" spans="1:19" ht="16.2" thickBot="1" x14ac:dyDescent="0.3">
      <c r="A18" s="11" t="s">
        <v>0</v>
      </c>
      <c r="B18" s="12">
        <v>45124</v>
      </c>
      <c r="C18" s="11" t="s">
        <v>688</v>
      </c>
      <c r="D18" s="11" t="s">
        <v>692</v>
      </c>
      <c r="E18" s="13" t="s">
        <v>725</v>
      </c>
      <c r="F18" s="14" t="s">
        <v>33</v>
      </c>
      <c r="G18" s="14" t="s">
        <v>213</v>
      </c>
      <c r="I18" s="11" t="b">
        <f t="shared" si="0"/>
        <v>0</v>
      </c>
      <c r="K18" s="16">
        <v>23.97</v>
      </c>
      <c r="M18" s="17">
        <f t="shared" si="1"/>
        <v>-11404.349999999999</v>
      </c>
      <c r="N18" s="11">
        <f t="shared" si="2"/>
        <v>7</v>
      </c>
      <c r="P18" s="60"/>
      <c r="Q18" s="61"/>
      <c r="R18" s="61"/>
      <c r="S18" s="61"/>
    </row>
    <row r="19" spans="1:19" ht="16.2" thickBot="1" x14ac:dyDescent="0.3">
      <c r="A19" s="11" t="s">
        <v>0</v>
      </c>
      <c r="B19" s="12">
        <v>45125</v>
      </c>
      <c r="C19" s="11" t="s">
        <v>688</v>
      </c>
      <c r="D19" s="11" t="s">
        <v>692</v>
      </c>
      <c r="E19" s="13" t="s">
        <v>724</v>
      </c>
      <c r="F19" s="14" t="s">
        <v>223</v>
      </c>
      <c r="G19" s="14" t="s">
        <v>214</v>
      </c>
      <c r="I19" s="11" t="b">
        <f t="shared" si="0"/>
        <v>0</v>
      </c>
      <c r="K19" s="16">
        <v>475.01</v>
      </c>
      <c r="M19" s="17">
        <f t="shared" si="1"/>
        <v>-11879.359999999999</v>
      </c>
      <c r="N19" s="11">
        <f t="shared" si="2"/>
        <v>7</v>
      </c>
      <c r="P19" s="247" t="s">
        <v>634</v>
      </c>
      <c r="Q19" s="248"/>
      <c r="R19" s="248"/>
      <c r="S19" s="249"/>
    </row>
    <row r="20" spans="1:19" ht="15.6" x14ac:dyDescent="0.25">
      <c r="A20" s="11" t="s">
        <v>0</v>
      </c>
      <c r="B20" s="12">
        <v>45125</v>
      </c>
      <c r="C20" s="11" t="s">
        <v>688</v>
      </c>
      <c r="D20" s="11" t="s">
        <v>692</v>
      </c>
      <c r="E20" s="13" t="s">
        <v>229</v>
      </c>
      <c r="F20" s="14" t="s">
        <v>116</v>
      </c>
      <c r="G20" s="14" t="s">
        <v>214</v>
      </c>
      <c r="I20" s="11" t="b">
        <f t="shared" si="0"/>
        <v>0</v>
      </c>
      <c r="K20" s="16">
        <v>586.76</v>
      </c>
      <c r="M20" s="17">
        <f t="shared" si="1"/>
        <v>-12466.119999999999</v>
      </c>
      <c r="N20" s="11">
        <f t="shared" si="2"/>
        <v>7</v>
      </c>
      <c r="P20" s="250" t="s">
        <v>635</v>
      </c>
      <c r="Q20" s="251"/>
      <c r="R20" s="252">
        <f>SUMIF(I2:I20221,"3",J2:J20221)</f>
        <v>191772.95</v>
      </c>
      <c r="S20" s="253"/>
    </row>
    <row r="21" spans="1:19" ht="16.2" thickBot="1" x14ac:dyDescent="0.3">
      <c r="A21" s="11" t="s">
        <v>0</v>
      </c>
      <c r="B21" s="12">
        <v>45125</v>
      </c>
      <c r="C21" s="11" t="s">
        <v>688</v>
      </c>
      <c r="D21" s="11" t="s">
        <v>720</v>
      </c>
      <c r="E21" s="13" t="s">
        <v>183</v>
      </c>
      <c r="F21" s="14" t="s">
        <v>223</v>
      </c>
      <c r="G21" s="14" t="s">
        <v>214</v>
      </c>
      <c r="I21" s="11" t="b">
        <f t="shared" si="0"/>
        <v>0</v>
      </c>
      <c r="K21" s="16">
        <v>9</v>
      </c>
      <c r="M21" s="17">
        <f t="shared" si="1"/>
        <v>-12475.119999999999</v>
      </c>
      <c r="N21" s="11">
        <f t="shared" si="2"/>
        <v>7</v>
      </c>
      <c r="P21" s="258" t="s">
        <v>636</v>
      </c>
      <c r="Q21" s="259"/>
      <c r="R21" s="260">
        <f>SUMIF(I2:I20221,"6",K2:K20221)</f>
        <v>49260.15</v>
      </c>
      <c r="S21" s="261"/>
    </row>
    <row r="22" spans="1:19" ht="16.2" thickBot="1" x14ac:dyDescent="0.3">
      <c r="A22" s="11" t="s">
        <v>0</v>
      </c>
      <c r="B22" s="12">
        <v>45125</v>
      </c>
      <c r="C22" s="11" t="s">
        <v>688</v>
      </c>
      <c r="D22" s="11" t="s">
        <v>699</v>
      </c>
      <c r="E22" s="13" t="s">
        <v>98</v>
      </c>
      <c r="F22" s="14" t="s">
        <v>252</v>
      </c>
      <c r="G22" s="14" t="s">
        <v>214</v>
      </c>
      <c r="I22" s="11" t="b">
        <f t="shared" si="0"/>
        <v>0</v>
      </c>
      <c r="K22" s="16">
        <v>282.31</v>
      </c>
      <c r="M22" s="17">
        <f t="shared" si="1"/>
        <v>-12757.429999999998</v>
      </c>
      <c r="N22" s="11">
        <f t="shared" si="2"/>
        <v>7</v>
      </c>
      <c r="P22" s="258" t="s">
        <v>637</v>
      </c>
      <c r="Q22" s="259"/>
      <c r="R22" s="260">
        <f>R20-R21</f>
        <v>142512.80000000002</v>
      </c>
      <c r="S22" s="261"/>
    </row>
    <row r="23" spans="1:19" x14ac:dyDescent="0.25">
      <c r="A23" s="11" t="s">
        <v>0</v>
      </c>
      <c r="B23" s="12">
        <v>45125</v>
      </c>
      <c r="C23" s="11" t="s">
        <v>688</v>
      </c>
      <c r="D23" s="11" t="s">
        <v>692</v>
      </c>
      <c r="E23" s="13" t="s">
        <v>725</v>
      </c>
      <c r="F23" s="14" t="s">
        <v>33</v>
      </c>
      <c r="G23" s="14" t="s">
        <v>201</v>
      </c>
      <c r="I23" s="11" t="b">
        <f t="shared" si="0"/>
        <v>0</v>
      </c>
      <c r="K23" s="16">
        <v>219.13</v>
      </c>
      <c r="M23" s="17">
        <f t="shared" si="1"/>
        <v>-12976.559999999998</v>
      </c>
      <c r="N23" s="11">
        <f t="shared" si="2"/>
        <v>7</v>
      </c>
    </row>
    <row r="24" spans="1:19" x14ac:dyDescent="0.25">
      <c r="A24" s="11" t="s">
        <v>0</v>
      </c>
      <c r="B24" s="12">
        <v>45125</v>
      </c>
      <c r="C24" s="11" t="s">
        <v>688</v>
      </c>
      <c r="D24" s="11" t="s">
        <v>692</v>
      </c>
      <c r="E24" s="13" t="s">
        <v>725</v>
      </c>
      <c r="F24" s="14" t="s">
        <v>27</v>
      </c>
      <c r="G24" s="14" t="s">
        <v>201</v>
      </c>
      <c r="I24" s="11" t="b">
        <f t="shared" si="0"/>
        <v>0</v>
      </c>
      <c r="K24" s="16">
        <v>769.52</v>
      </c>
      <c r="M24" s="17">
        <f t="shared" si="1"/>
        <v>-13746.079999999998</v>
      </c>
      <c r="N24" s="11">
        <f t="shared" si="2"/>
        <v>7</v>
      </c>
    </row>
    <row r="25" spans="1:19" x14ac:dyDescent="0.25">
      <c r="A25" s="11" t="s">
        <v>0</v>
      </c>
      <c r="B25" s="12">
        <v>45125</v>
      </c>
      <c r="C25" s="11" t="s">
        <v>688</v>
      </c>
      <c r="D25" s="11" t="s">
        <v>692</v>
      </c>
      <c r="E25" s="13" t="s">
        <v>725</v>
      </c>
      <c r="F25" s="14" t="s">
        <v>27</v>
      </c>
      <c r="G25" s="14" t="s">
        <v>201</v>
      </c>
      <c r="I25" s="11" t="b">
        <f t="shared" si="0"/>
        <v>0</v>
      </c>
      <c r="K25" s="16">
        <v>9.99</v>
      </c>
      <c r="M25" s="17">
        <f t="shared" si="1"/>
        <v>-13756.069999999998</v>
      </c>
      <c r="N25" s="11">
        <f t="shared" si="2"/>
        <v>7</v>
      </c>
    </row>
    <row r="26" spans="1:19" x14ac:dyDescent="0.25">
      <c r="A26" s="11" t="s">
        <v>0</v>
      </c>
      <c r="B26" s="12">
        <v>45125</v>
      </c>
      <c r="C26" s="11" t="s">
        <v>688</v>
      </c>
      <c r="D26" s="11" t="s">
        <v>692</v>
      </c>
      <c r="E26" s="13" t="s">
        <v>179</v>
      </c>
      <c r="F26" s="14" t="s">
        <v>378</v>
      </c>
      <c r="G26" s="14" t="s">
        <v>201</v>
      </c>
      <c r="I26" s="11" t="b">
        <f t="shared" si="0"/>
        <v>0</v>
      </c>
      <c r="K26" s="16">
        <v>570</v>
      </c>
      <c r="M26" s="17">
        <f t="shared" si="1"/>
        <v>-14326.069999999998</v>
      </c>
      <c r="N26" s="11">
        <f t="shared" si="2"/>
        <v>7</v>
      </c>
    </row>
    <row r="27" spans="1:19" x14ac:dyDescent="0.25">
      <c r="A27" s="11" t="s">
        <v>0</v>
      </c>
      <c r="B27" s="12">
        <v>45125</v>
      </c>
      <c r="C27" s="11" t="s">
        <v>688</v>
      </c>
      <c r="D27" s="11" t="s">
        <v>694</v>
      </c>
      <c r="E27" s="13" t="s">
        <v>182</v>
      </c>
      <c r="F27" s="14" t="s">
        <v>254</v>
      </c>
      <c r="G27" s="14" t="s">
        <v>199</v>
      </c>
      <c r="I27" s="11" t="b">
        <f t="shared" si="0"/>
        <v>0</v>
      </c>
      <c r="K27" s="16">
        <v>8.92</v>
      </c>
      <c r="M27" s="17">
        <f t="shared" si="1"/>
        <v>-14334.989999999998</v>
      </c>
      <c r="N27" s="11">
        <f t="shared" si="2"/>
        <v>7</v>
      </c>
    </row>
    <row r="28" spans="1:19" x14ac:dyDescent="0.25">
      <c r="A28" s="11" t="s">
        <v>0</v>
      </c>
      <c r="B28" s="12">
        <v>45126</v>
      </c>
      <c r="C28" s="11" t="s">
        <v>688</v>
      </c>
      <c r="D28" s="11" t="s">
        <v>692</v>
      </c>
      <c r="E28" s="13" t="s">
        <v>717</v>
      </c>
      <c r="F28" s="14" t="s">
        <v>76</v>
      </c>
      <c r="G28" s="14" t="s">
        <v>201</v>
      </c>
      <c r="I28" s="11" t="b">
        <f t="shared" si="0"/>
        <v>0</v>
      </c>
      <c r="K28" s="16">
        <v>2059.21</v>
      </c>
      <c r="M28" s="17">
        <f t="shared" si="1"/>
        <v>-16394.199999999997</v>
      </c>
      <c r="N28" s="11">
        <f t="shared" si="2"/>
        <v>7</v>
      </c>
    </row>
    <row r="29" spans="1:19" x14ac:dyDescent="0.25">
      <c r="A29" s="11" t="s">
        <v>0</v>
      </c>
      <c r="B29" s="12">
        <v>45126</v>
      </c>
      <c r="C29" s="11" t="s">
        <v>688</v>
      </c>
      <c r="D29" s="11" t="s">
        <v>692</v>
      </c>
      <c r="E29" s="13" t="s">
        <v>169</v>
      </c>
      <c r="F29" s="14" t="s">
        <v>50</v>
      </c>
      <c r="G29" s="14" t="s">
        <v>201</v>
      </c>
      <c r="I29" s="11" t="b">
        <f t="shared" si="0"/>
        <v>0</v>
      </c>
      <c r="K29" s="16">
        <v>2000</v>
      </c>
      <c r="M29" s="17">
        <f t="shared" si="1"/>
        <v>-18394.199999999997</v>
      </c>
      <c r="N29" s="11">
        <f t="shared" si="2"/>
        <v>7</v>
      </c>
    </row>
    <row r="30" spans="1:19" x14ac:dyDescent="0.25">
      <c r="A30" s="11" t="s">
        <v>0</v>
      </c>
      <c r="B30" s="12">
        <v>45126</v>
      </c>
      <c r="C30" s="11" t="s">
        <v>688</v>
      </c>
      <c r="D30" s="11" t="s">
        <v>694</v>
      </c>
      <c r="E30" s="13" t="s">
        <v>182</v>
      </c>
      <c r="F30" s="14" t="s">
        <v>255</v>
      </c>
      <c r="G30" s="14" t="s">
        <v>199</v>
      </c>
      <c r="I30" s="11" t="b">
        <f t="shared" si="0"/>
        <v>0</v>
      </c>
      <c r="K30" s="16">
        <v>78.83</v>
      </c>
      <c r="M30" s="17">
        <f t="shared" si="1"/>
        <v>-18473.03</v>
      </c>
      <c r="N30" s="11">
        <f t="shared" si="2"/>
        <v>7</v>
      </c>
    </row>
    <row r="31" spans="1:19" x14ac:dyDescent="0.25">
      <c r="A31" s="11" t="s">
        <v>0</v>
      </c>
      <c r="B31" s="12">
        <v>45126</v>
      </c>
      <c r="C31" s="11" t="s">
        <v>688</v>
      </c>
      <c r="D31" s="11" t="s">
        <v>692</v>
      </c>
      <c r="E31" s="13" t="s">
        <v>725</v>
      </c>
      <c r="F31" s="14" t="s">
        <v>27</v>
      </c>
      <c r="G31" s="14" t="s">
        <v>213</v>
      </c>
      <c r="I31" s="11" t="b">
        <f t="shared" si="0"/>
        <v>0</v>
      </c>
      <c r="K31" s="16">
        <v>569.94000000000005</v>
      </c>
      <c r="M31" s="17">
        <f t="shared" si="1"/>
        <v>-19042.969999999998</v>
      </c>
      <c r="N31" s="11">
        <f t="shared" si="2"/>
        <v>7</v>
      </c>
    </row>
    <row r="32" spans="1:19" x14ac:dyDescent="0.25">
      <c r="A32" s="11" t="s">
        <v>0</v>
      </c>
      <c r="B32" s="12">
        <v>45127</v>
      </c>
      <c r="C32" s="11" t="s">
        <v>688</v>
      </c>
      <c r="D32" s="11" t="s">
        <v>692</v>
      </c>
      <c r="E32" s="13" t="s">
        <v>143</v>
      </c>
      <c r="F32" s="14" t="s">
        <v>241</v>
      </c>
      <c r="G32" s="14" t="s">
        <v>214</v>
      </c>
      <c r="I32" s="11" t="b">
        <f t="shared" si="0"/>
        <v>0</v>
      </c>
      <c r="K32" s="16">
        <v>971.1</v>
      </c>
      <c r="M32" s="17">
        <f t="shared" si="1"/>
        <v>-20014.069999999996</v>
      </c>
      <c r="N32" s="11">
        <f t="shared" si="2"/>
        <v>7</v>
      </c>
    </row>
    <row r="33" spans="1:14" x14ac:dyDescent="0.25">
      <c r="A33" s="11" t="s">
        <v>0</v>
      </c>
      <c r="B33" s="12">
        <v>45127</v>
      </c>
      <c r="C33" s="11" t="s">
        <v>688</v>
      </c>
      <c r="D33" s="11" t="s">
        <v>692</v>
      </c>
      <c r="E33" s="13" t="s">
        <v>179</v>
      </c>
      <c r="F33" s="14" t="s">
        <v>378</v>
      </c>
      <c r="G33" s="14" t="s">
        <v>201</v>
      </c>
      <c r="I33" s="11" t="b">
        <f t="shared" si="0"/>
        <v>0</v>
      </c>
      <c r="K33" s="16">
        <v>900</v>
      </c>
      <c r="M33" s="17">
        <f t="shared" si="1"/>
        <v>-20914.069999999996</v>
      </c>
      <c r="N33" s="11">
        <f t="shared" si="2"/>
        <v>7</v>
      </c>
    </row>
    <row r="34" spans="1:14" x14ac:dyDescent="0.25">
      <c r="A34" s="11" t="s">
        <v>0</v>
      </c>
      <c r="B34" s="12">
        <v>45127</v>
      </c>
      <c r="C34" s="11" t="s">
        <v>688</v>
      </c>
      <c r="D34" s="11" t="s">
        <v>692</v>
      </c>
      <c r="E34" s="13" t="s">
        <v>143</v>
      </c>
      <c r="F34" s="14" t="s">
        <v>242</v>
      </c>
      <c r="G34" s="14" t="s">
        <v>201</v>
      </c>
      <c r="I34" s="11" t="b">
        <f t="shared" si="0"/>
        <v>0</v>
      </c>
      <c r="K34" s="16">
        <v>390</v>
      </c>
      <c r="M34" s="17">
        <f t="shared" si="1"/>
        <v>-21304.069999999996</v>
      </c>
      <c r="N34" s="11">
        <f t="shared" si="2"/>
        <v>7</v>
      </c>
    </row>
    <row r="35" spans="1:14" x14ac:dyDescent="0.25">
      <c r="A35" s="11" t="s">
        <v>0</v>
      </c>
      <c r="B35" s="12">
        <v>45127</v>
      </c>
      <c r="C35" s="11" t="s">
        <v>688</v>
      </c>
      <c r="D35" s="11" t="s">
        <v>692</v>
      </c>
      <c r="E35" s="13" t="s">
        <v>179</v>
      </c>
      <c r="F35" s="14" t="s">
        <v>378</v>
      </c>
      <c r="G35" s="14" t="s">
        <v>201</v>
      </c>
      <c r="I35" s="11" t="b">
        <f t="shared" si="0"/>
        <v>0</v>
      </c>
      <c r="K35" s="16">
        <v>255</v>
      </c>
      <c r="M35" s="17">
        <f t="shared" si="1"/>
        <v>-21559.069999999996</v>
      </c>
      <c r="N35" s="11">
        <f t="shared" si="2"/>
        <v>7</v>
      </c>
    </row>
    <row r="36" spans="1:14" x14ac:dyDescent="0.25">
      <c r="A36" s="11" t="s">
        <v>0</v>
      </c>
      <c r="B36" s="12">
        <v>45127</v>
      </c>
      <c r="C36" s="11" t="s">
        <v>688</v>
      </c>
      <c r="D36" s="11" t="s">
        <v>692</v>
      </c>
      <c r="E36" s="13" t="s">
        <v>730</v>
      </c>
      <c r="F36" s="14" t="s">
        <v>34</v>
      </c>
      <c r="G36" s="14" t="s">
        <v>211</v>
      </c>
      <c r="I36" s="11" t="b">
        <f t="shared" si="0"/>
        <v>0</v>
      </c>
      <c r="K36" s="16">
        <v>1924.26</v>
      </c>
      <c r="M36" s="17">
        <f t="shared" si="1"/>
        <v>-23483.329999999994</v>
      </c>
      <c r="N36" s="11">
        <f t="shared" si="2"/>
        <v>7</v>
      </c>
    </row>
    <row r="37" spans="1:14" x14ac:dyDescent="0.25">
      <c r="A37" s="11" t="s">
        <v>0</v>
      </c>
      <c r="B37" s="12">
        <v>45127</v>
      </c>
      <c r="C37" s="11" t="s">
        <v>688</v>
      </c>
      <c r="D37" s="11" t="s">
        <v>692</v>
      </c>
      <c r="E37" s="13" t="s">
        <v>725</v>
      </c>
      <c r="F37" s="14" t="s">
        <v>27</v>
      </c>
      <c r="G37" s="14" t="s">
        <v>217</v>
      </c>
      <c r="I37" s="11" t="b">
        <f t="shared" si="0"/>
        <v>0</v>
      </c>
      <c r="K37" s="16">
        <v>927.69</v>
      </c>
      <c r="M37" s="17">
        <f t="shared" si="1"/>
        <v>-24411.019999999993</v>
      </c>
      <c r="N37" s="11">
        <f t="shared" si="2"/>
        <v>7</v>
      </c>
    </row>
    <row r="38" spans="1:14" x14ac:dyDescent="0.25">
      <c r="A38" s="11" t="s">
        <v>0</v>
      </c>
      <c r="B38" s="12">
        <v>45127</v>
      </c>
      <c r="C38" s="11" t="s">
        <v>688</v>
      </c>
      <c r="D38" s="11" t="s">
        <v>692</v>
      </c>
      <c r="E38" s="13" t="s">
        <v>143</v>
      </c>
      <c r="F38" s="14" t="s">
        <v>256</v>
      </c>
      <c r="G38" s="14" t="s">
        <v>211</v>
      </c>
      <c r="I38" s="11" t="b">
        <f t="shared" si="0"/>
        <v>0</v>
      </c>
      <c r="K38" s="16">
        <v>4060.06</v>
      </c>
      <c r="M38" s="17">
        <f t="shared" si="1"/>
        <v>-28471.079999999994</v>
      </c>
      <c r="N38" s="11">
        <f t="shared" si="2"/>
        <v>7</v>
      </c>
    </row>
    <row r="39" spans="1:14" x14ac:dyDescent="0.25">
      <c r="A39" s="11" t="s">
        <v>0</v>
      </c>
      <c r="B39" s="12">
        <v>45127</v>
      </c>
      <c r="C39" s="11" t="s">
        <v>688</v>
      </c>
      <c r="D39" s="11" t="s">
        <v>692</v>
      </c>
      <c r="E39" s="13" t="s">
        <v>143</v>
      </c>
      <c r="F39" s="14" t="s">
        <v>256</v>
      </c>
      <c r="G39" s="14" t="s">
        <v>211</v>
      </c>
      <c r="I39" s="11" t="b">
        <f t="shared" si="0"/>
        <v>0</v>
      </c>
      <c r="K39" s="16">
        <v>439.1</v>
      </c>
      <c r="M39" s="17">
        <f t="shared" si="1"/>
        <v>-28910.179999999993</v>
      </c>
      <c r="N39" s="11">
        <f t="shared" si="2"/>
        <v>7</v>
      </c>
    </row>
    <row r="40" spans="1:14" x14ac:dyDescent="0.25">
      <c r="A40" s="11" t="s">
        <v>207</v>
      </c>
      <c r="B40" s="12">
        <v>45127</v>
      </c>
      <c r="C40" s="11" t="s">
        <v>688</v>
      </c>
      <c r="D40" s="11" t="s">
        <v>43</v>
      </c>
      <c r="E40" s="13" t="s">
        <v>43</v>
      </c>
      <c r="F40" s="14" t="s">
        <v>286</v>
      </c>
      <c r="I40" s="11" t="b">
        <f t="shared" si="0"/>
        <v>0</v>
      </c>
      <c r="J40" s="16">
        <v>5415.2</v>
      </c>
      <c r="M40" s="17">
        <f t="shared" si="1"/>
        <v>-23494.979999999992</v>
      </c>
      <c r="N40" s="11">
        <f t="shared" si="2"/>
        <v>7</v>
      </c>
    </row>
    <row r="41" spans="1:14" x14ac:dyDescent="0.25">
      <c r="A41" s="11" t="s">
        <v>207</v>
      </c>
      <c r="B41" s="12">
        <v>45127</v>
      </c>
      <c r="C41" s="11" t="s">
        <v>688</v>
      </c>
      <c r="D41" s="11" t="s">
        <v>43</v>
      </c>
      <c r="E41" s="13" t="s">
        <v>43</v>
      </c>
      <c r="F41" s="14" t="s">
        <v>287</v>
      </c>
      <c r="I41" s="11" t="b">
        <f t="shared" si="0"/>
        <v>0</v>
      </c>
      <c r="J41" s="16">
        <v>2742.25</v>
      </c>
      <c r="M41" s="17">
        <f t="shared" si="1"/>
        <v>-20752.729999999992</v>
      </c>
      <c r="N41" s="11">
        <f t="shared" si="2"/>
        <v>7</v>
      </c>
    </row>
    <row r="42" spans="1:14" x14ac:dyDescent="0.25">
      <c r="A42" s="11" t="s">
        <v>207</v>
      </c>
      <c r="B42" s="12">
        <v>45127</v>
      </c>
      <c r="C42" s="11" t="s">
        <v>688</v>
      </c>
      <c r="D42" s="11" t="s">
        <v>43</v>
      </c>
      <c r="E42" s="14" t="s">
        <v>288</v>
      </c>
      <c r="F42" s="14" t="s">
        <v>288</v>
      </c>
      <c r="G42" s="14" t="s">
        <v>173</v>
      </c>
      <c r="I42" s="11">
        <f t="shared" si="0"/>
        <v>3</v>
      </c>
      <c r="J42" s="16">
        <v>465</v>
      </c>
      <c r="M42" s="17">
        <f t="shared" si="1"/>
        <v>-20287.729999999992</v>
      </c>
      <c r="N42" s="11">
        <f t="shared" si="2"/>
        <v>7</v>
      </c>
    </row>
    <row r="43" spans="1:14" x14ac:dyDescent="0.25">
      <c r="A43" s="11" t="s">
        <v>0</v>
      </c>
      <c r="B43" s="12">
        <v>45128</v>
      </c>
      <c r="C43" s="11" t="s">
        <v>688</v>
      </c>
      <c r="D43" s="11" t="s">
        <v>701</v>
      </c>
      <c r="E43" s="13" t="s">
        <v>180</v>
      </c>
      <c r="F43" s="14" t="s">
        <v>37</v>
      </c>
      <c r="G43" s="14" t="s">
        <v>214</v>
      </c>
      <c r="I43" s="11" t="b">
        <f t="shared" si="0"/>
        <v>0</v>
      </c>
      <c r="K43" s="16">
        <v>95.25</v>
      </c>
      <c r="M43" s="17">
        <f t="shared" si="1"/>
        <v>-20382.979999999992</v>
      </c>
      <c r="N43" s="11">
        <f t="shared" si="2"/>
        <v>7</v>
      </c>
    </row>
    <row r="44" spans="1:14" x14ac:dyDescent="0.25">
      <c r="A44" s="11" t="s">
        <v>0</v>
      </c>
      <c r="B44" s="12">
        <v>45128</v>
      </c>
      <c r="C44" s="11" t="s">
        <v>688</v>
      </c>
      <c r="D44" s="11" t="s">
        <v>692</v>
      </c>
      <c r="E44" s="13" t="s">
        <v>725</v>
      </c>
      <c r="F44" s="14" t="s">
        <v>27</v>
      </c>
      <c r="G44" s="14" t="s">
        <v>214</v>
      </c>
      <c r="I44" s="11" t="b">
        <f t="shared" si="0"/>
        <v>0</v>
      </c>
      <c r="K44" s="16">
        <v>1553.35</v>
      </c>
      <c r="M44" s="17">
        <f t="shared" si="1"/>
        <v>-21936.329999999991</v>
      </c>
      <c r="N44" s="11">
        <f t="shared" si="2"/>
        <v>7</v>
      </c>
    </row>
    <row r="45" spans="1:14" x14ac:dyDescent="0.25">
      <c r="A45" s="11" t="s">
        <v>0</v>
      </c>
      <c r="B45" s="12">
        <v>45128</v>
      </c>
      <c r="C45" s="11" t="s">
        <v>688</v>
      </c>
      <c r="D45" s="11" t="s">
        <v>720</v>
      </c>
      <c r="E45" s="13" t="s">
        <v>183</v>
      </c>
      <c r="F45" s="14" t="s">
        <v>222</v>
      </c>
      <c r="G45" s="14" t="s">
        <v>201</v>
      </c>
      <c r="I45" s="11" t="b">
        <f t="shared" si="0"/>
        <v>0</v>
      </c>
      <c r="K45" s="16">
        <v>120</v>
      </c>
      <c r="M45" s="17">
        <f t="shared" si="1"/>
        <v>-22056.329999999991</v>
      </c>
      <c r="N45" s="11">
        <f t="shared" si="2"/>
        <v>7</v>
      </c>
    </row>
    <row r="46" spans="1:14" x14ac:dyDescent="0.25">
      <c r="A46" s="11" t="s">
        <v>0</v>
      </c>
      <c r="B46" s="12">
        <v>45128</v>
      </c>
      <c r="C46" s="11" t="s">
        <v>688</v>
      </c>
      <c r="D46" s="11" t="s">
        <v>720</v>
      </c>
      <c r="E46" s="13" t="s">
        <v>183</v>
      </c>
      <c r="F46" s="14" t="s">
        <v>222</v>
      </c>
      <c r="G46" s="14" t="s">
        <v>201</v>
      </c>
      <c r="I46" s="11" t="b">
        <f t="shared" si="0"/>
        <v>0</v>
      </c>
      <c r="K46" s="16">
        <v>67</v>
      </c>
      <c r="M46" s="17">
        <f t="shared" si="1"/>
        <v>-22123.329999999991</v>
      </c>
      <c r="N46" s="11">
        <f t="shared" si="2"/>
        <v>7</v>
      </c>
    </row>
    <row r="47" spans="1:14" x14ac:dyDescent="0.25">
      <c r="A47" s="11" t="s">
        <v>0</v>
      </c>
      <c r="B47" s="12">
        <v>45128</v>
      </c>
      <c r="C47" s="11" t="s">
        <v>688</v>
      </c>
      <c r="D47" s="11" t="s">
        <v>694</v>
      </c>
      <c r="E47" s="13" t="s">
        <v>182</v>
      </c>
      <c r="F47" s="14" t="s">
        <v>257</v>
      </c>
      <c r="G47" s="14" t="s">
        <v>199</v>
      </c>
      <c r="I47" s="11" t="b">
        <f t="shared" si="0"/>
        <v>0</v>
      </c>
      <c r="K47" s="16">
        <v>14.29</v>
      </c>
      <c r="M47" s="17">
        <f t="shared" si="1"/>
        <v>-22137.619999999992</v>
      </c>
      <c r="N47" s="11">
        <f t="shared" si="2"/>
        <v>7</v>
      </c>
    </row>
    <row r="48" spans="1:14" x14ac:dyDescent="0.25">
      <c r="A48" s="11" t="s">
        <v>207</v>
      </c>
      <c r="B48" s="12">
        <v>45128</v>
      </c>
      <c r="C48" s="11" t="s">
        <v>688</v>
      </c>
      <c r="D48" s="11" t="s">
        <v>43</v>
      </c>
      <c r="E48" s="13" t="s">
        <v>43</v>
      </c>
      <c r="F48" s="14" t="s">
        <v>286</v>
      </c>
      <c r="I48" s="11" t="b">
        <f t="shared" si="0"/>
        <v>0</v>
      </c>
      <c r="J48" s="16">
        <v>4692.8</v>
      </c>
      <c r="M48" s="17">
        <f t="shared" si="1"/>
        <v>-17444.819999999992</v>
      </c>
      <c r="N48" s="11">
        <f t="shared" si="2"/>
        <v>7</v>
      </c>
    </row>
    <row r="49" spans="1:14" x14ac:dyDescent="0.25">
      <c r="A49" s="11" t="s">
        <v>207</v>
      </c>
      <c r="B49" s="12">
        <v>45128</v>
      </c>
      <c r="C49" s="11" t="s">
        <v>688</v>
      </c>
      <c r="D49" s="11" t="s">
        <v>43</v>
      </c>
      <c r="E49" s="13" t="s">
        <v>43</v>
      </c>
      <c r="F49" s="14" t="s">
        <v>287</v>
      </c>
      <c r="I49" s="11" t="b">
        <f t="shared" si="0"/>
        <v>0</v>
      </c>
      <c r="J49" s="16">
        <v>4374.3500000000004</v>
      </c>
      <c r="M49" s="17">
        <f t="shared" si="1"/>
        <v>-13070.469999999992</v>
      </c>
      <c r="N49" s="11">
        <f t="shared" si="2"/>
        <v>7</v>
      </c>
    </row>
    <row r="50" spans="1:14" x14ac:dyDescent="0.25">
      <c r="A50" s="11" t="s">
        <v>207</v>
      </c>
      <c r="B50" s="12">
        <v>45128</v>
      </c>
      <c r="C50" s="11" t="s">
        <v>688</v>
      </c>
      <c r="D50" s="11" t="s">
        <v>43</v>
      </c>
      <c r="E50" s="14" t="s">
        <v>288</v>
      </c>
      <c r="F50" s="14" t="s">
        <v>288</v>
      </c>
      <c r="G50" s="14" t="s">
        <v>173</v>
      </c>
      <c r="I50" s="11">
        <f t="shared" si="0"/>
        <v>3</v>
      </c>
      <c r="J50" s="16">
        <v>1330</v>
      </c>
      <c r="M50" s="17">
        <f t="shared" si="1"/>
        <v>-11740.469999999992</v>
      </c>
      <c r="N50" s="11">
        <f t="shared" si="2"/>
        <v>7</v>
      </c>
    </row>
    <row r="51" spans="1:14" x14ac:dyDescent="0.25">
      <c r="A51" s="11" t="s">
        <v>0</v>
      </c>
      <c r="B51" s="12">
        <v>45129</v>
      </c>
      <c r="C51" s="11" t="s">
        <v>688</v>
      </c>
      <c r="D51" s="11" t="s">
        <v>701</v>
      </c>
      <c r="E51" s="13" t="s">
        <v>180</v>
      </c>
      <c r="F51" s="14" t="s">
        <v>37</v>
      </c>
      <c r="G51" s="14" t="s">
        <v>212</v>
      </c>
      <c r="I51" s="11" t="b">
        <f t="shared" si="0"/>
        <v>0</v>
      </c>
      <c r="K51" s="16">
        <v>273</v>
      </c>
      <c r="M51" s="17">
        <f t="shared" si="1"/>
        <v>-12013.469999999992</v>
      </c>
      <c r="N51" s="11">
        <f t="shared" si="2"/>
        <v>7</v>
      </c>
    </row>
    <row r="52" spans="1:14" x14ac:dyDescent="0.25">
      <c r="A52" s="11" t="s">
        <v>0</v>
      </c>
      <c r="B52" s="12">
        <v>45129</v>
      </c>
      <c r="C52" s="11" t="s">
        <v>688</v>
      </c>
      <c r="D52" s="11" t="s">
        <v>701</v>
      </c>
      <c r="E52" s="13" t="s">
        <v>180</v>
      </c>
      <c r="F52" s="14" t="s">
        <v>37</v>
      </c>
      <c r="G52" s="14" t="s">
        <v>212</v>
      </c>
      <c r="I52" s="11" t="b">
        <f t="shared" si="0"/>
        <v>0</v>
      </c>
      <c r="K52" s="16">
        <v>122</v>
      </c>
      <c r="M52" s="17">
        <f t="shared" si="1"/>
        <v>-12135.469999999992</v>
      </c>
      <c r="N52" s="11">
        <f t="shared" si="2"/>
        <v>7</v>
      </c>
    </row>
    <row r="53" spans="1:14" x14ac:dyDescent="0.25">
      <c r="A53" s="11" t="s">
        <v>0</v>
      </c>
      <c r="B53" s="12">
        <v>45129</v>
      </c>
      <c r="C53" s="11" t="s">
        <v>688</v>
      </c>
      <c r="D53" s="11" t="s">
        <v>692</v>
      </c>
      <c r="E53" s="13" t="s">
        <v>143</v>
      </c>
      <c r="F53" s="14" t="s">
        <v>258</v>
      </c>
      <c r="G53" s="14" t="s">
        <v>217</v>
      </c>
      <c r="I53" s="11" t="b">
        <f t="shared" si="0"/>
        <v>0</v>
      </c>
      <c r="K53" s="16">
        <v>3456</v>
      </c>
      <c r="M53" s="17">
        <f t="shared" si="1"/>
        <v>-15591.469999999992</v>
      </c>
      <c r="N53" s="11">
        <f t="shared" si="2"/>
        <v>7</v>
      </c>
    </row>
    <row r="54" spans="1:14" x14ac:dyDescent="0.25">
      <c r="A54" s="11" t="s">
        <v>0</v>
      </c>
      <c r="B54" s="12">
        <v>45129</v>
      </c>
      <c r="C54" s="11" t="s">
        <v>688</v>
      </c>
      <c r="D54" s="11" t="s">
        <v>692</v>
      </c>
      <c r="E54" s="13" t="s">
        <v>725</v>
      </c>
      <c r="F54" s="14" t="s">
        <v>27</v>
      </c>
      <c r="G54" s="14" t="s">
        <v>212</v>
      </c>
      <c r="I54" s="11" t="b">
        <f t="shared" si="0"/>
        <v>0</v>
      </c>
      <c r="K54" s="16">
        <v>245.58</v>
      </c>
      <c r="M54" s="17">
        <f t="shared" si="1"/>
        <v>-15837.049999999992</v>
      </c>
      <c r="N54" s="11">
        <f t="shared" si="2"/>
        <v>7</v>
      </c>
    </row>
    <row r="55" spans="1:14" x14ac:dyDescent="0.25">
      <c r="A55" s="11" t="s">
        <v>0</v>
      </c>
      <c r="B55" s="12">
        <v>45129</v>
      </c>
      <c r="C55" s="11" t="s">
        <v>688</v>
      </c>
      <c r="D55" s="11" t="s">
        <v>692</v>
      </c>
      <c r="E55" s="13" t="s">
        <v>725</v>
      </c>
      <c r="F55" s="14" t="s">
        <v>27</v>
      </c>
      <c r="G55" s="14" t="s">
        <v>212</v>
      </c>
      <c r="I55" s="11" t="b">
        <f t="shared" si="0"/>
        <v>0</v>
      </c>
      <c r="K55" s="16">
        <v>49</v>
      </c>
      <c r="M55" s="17">
        <f t="shared" si="1"/>
        <v>-15886.049999999992</v>
      </c>
      <c r="N55" s="11">
        <f t="shared" si="2"/>
        <v>7</v>
      </c>
    </row>
    <row r="56" spans="1:14" x14ac:dyDescent="0.25">
      <c r="A56" s="11" t="s">
        <v>0</v>
      </c>
      <c r="B56" s="12">
        <v>45129</v>
      </c>
      <c r="C56" s="11" t="s">
        <v>688</v>
      </c>
      <c r="D56" s="11" t="s">
        <v>692</v>
      </c>
      <c r="E56" s="13" t="s">
        <v>143</v>
      </c>
      <c r="F56" s="14" t="s">
        <v>241</v>
      </c>
      <c r="G56" s="14" t="s">
        <v>217</v>
      </c>
      <c r="I56" s="11" t="b">
        <f t="shared" si="0"/>
        <v>0</v>
      </c>
      <c r="K56" s="16">
        <v>478.4</v>
      </c>
      <c r="M56" s="17">
        <f t="shared" si="1"/>
        <v>-16364.449999999992</v>
      </c>
      <c r="N56" s="11">
        <f t="shared" si="2"/>
        <v>7</v>
      </c>
    </row>
    <row r="57" spans="1:14" x14ac:dyDescent="0.25">
      <c r="A57" s="11" t="s">
        <v>0</v>
      </c>
      <c r="B57" s="12">
        <v>45129</v>
      </c>
      <c r="C57" s="11" t="s">
        <v>688</v>
      </c>
      <c r="D57" s="11" t="s">
        <v>692</v>
      </c>
      <c r="E57" s="13" t="s">
        <v>725</v>
      </c>
      <c r="F57" s="14" t="s">
        <v>27</v>
      </c>
      <c r="G57" s="14" t="s">
        <v>217</v>
      </c>
      <c r="I57" s="11" t="b">
        <f t="shared" si="0"/>
        <v>0</v>
      </c>
      <c r="K57" s="16">
        <v>299.77</v>
      </c>
      <c r="M57" s="17">
        <f t="shared" si="1"/>
        <v>-16664.21999999999</v>
      </c>
      <c r="N57" s="11">
        <f t="shared" si="2"/>
        <v>7</v>
      </c>
    </row>
    <row r="58" spans="1:14" x14ac:dyDescent="0.25">
      <c r="A58" s="11" t="s">
        <v>207</v>
      </c>
      <c r="B58" s="12">
        <v>45129</v>
      </c>
      <c r="C58" s="11" t="s">
        <v>688</v>
      </c>
      <c r="D58" s="11" t="s">
        <v>43</v>
      </c>
      <c r="E58" s="13" t="s">
        <v>43</v>
      </c>
      <c r="F58" s="14" t="s">
        <v>286</v>
      </c>
      <c r="I58" s="11" t="b">
        <f t="shared" si="0"/>
        <v>0</v>
      </c>
      <c r="J58" s="16">
        <v>7943.95</v>
      </c>
      <c r="M58" s="17">
        <f t="shared" si="1"/>
        <v>-8720.2699999999895</v>
      </c>
      <c r="N58" s="11">
        <f t="shared" si="2"/>
        <v>7</v>
      </c>
    </row>
    <row r="59" spans="1:14" x14ac:dyDescent="0.25">
      <c r="A59" s="11" t="s">
        <v>207</v>
      </c>
      <c r="B59" s="12">
        <v>45129</v>
      </c>
      <c r="C59" s="11" t="s">
        <v>688</v>
      </c>
      <c r="D59" s="11" t="s">
        <v>43</v>
      </c>
      <c r="E59" s="13" t="s">
        <v>43</v>
      </c>
      <c r="F59" s="14" t="s">
        <v>287</v>
      </c>
      <c r="I59" s="11" t="b">
        <f t="shared" si="0"/>
        <v>0</v>
      </c>
      <c r="J59" s="16">
        <v>11007.6</v>
      </c>
      <c r="M59" s="17">
        <f t="shared" si="1"/>
        <v>2287.3300000000108</v>
      </c>
      <c r="N59" s="11">
        <f t="shared" si="2"/>
        <v>7</v>
      </c>
    </row>
    <row r="60" spans="1:14" x14ac:dyDescent="0.25">
      <c r="A60" s="11" t="s">
        <v>207</v>
      </c>
      <c r="B60" s="12">
        <v>45129</v>
      </c>
      <c r="C60" s="11" t="s">
        <v>688</v>
      </c>
      <c r="D60" s="11" t="s">
        <v>43</v>
      </c>
      <c r="E60" s="14" t="s">
        <v>288</v>
      </c>
      <c r="F60" s="14" t="s">
        <v>288</v>
      </c>
      <c r="G60" s="14" t="s">
        <v>173</v>
      </c>
      <c r="I60" s="11">
        <f t="shared" si="0"/>
        <v>3</v>
      </c>
      <c r="J60" s="16">
        <v>170</v>
      </c>
      <c r="M60" s="17">
        <f t="shared" si="1"/>
        <v>2457.3300000000108</v>
      </c>
      <c r="N60" s="11">
        <f t="shared" si="2"/>
        <v>7</v>
      </c>
    </row>
    <row r="61" spans="1:14" x14ac:dyDescent="0.25">
      <c r="A61" s="11" t="s">
        <v>0</v>
      </c>
      <c r="B61" s="12">
        <v>45130</v>
      </c>
      <c r="C61" s="11" t="s">
        <v>688</v>
      </c>
      <c r="D61" s="11" t="s">
        <v>692</v>
      </c>
      <c r="E61" s="13" t="s">
        <v>143</v>
      </c>
      <c r="F61" s="14" t="s">
        <v>241</v>
      </c>
      <c r="G61" s="14" t="s">
        <v>212</v>
      </c>
      <c r="I61" s="11" t="b">
        <f t="shared" si="0"/>
        <v>0</v>
      </c>
      <c r="K61" s="16">
        <v>87</v>
      </c>
      <c r="M61" s="17">
        <f t="shared" si="1"/>
        <v>2370.3300000000108</v>
      </c>
      <c r="N61" s="11">
        <f t="shared" si="2"/>
        <v>7</v>
      </c>
    </row>
    <row r="62" spans="1:14" x14ac:dyDescent="0.25">
      <c r="A62" s="11" t="s">
        <v>0</v>
      </c>
      <c r="B62" s="12">
        <v>45130</v>
      </c>
      <c r="C62" s="11" t="s">
        <v>688</v>
      </c>
      <c r="D62" s="11" t="s">
        <v>701</v>
      </c>
      <c r="E62" s="13" t="s">
        <v>180</v>
      </c>
      <c r="F62" s="14" t="s">
        <v>37</v>
      </c>
      <c r="G62" s="14" t="s">
        <v>217</v>
      </c>
      <c r="I62" s="11" t="b">
        <f t="shared" si="0"/>
        <v>0</v>
      </c>
      <c r="K62" s="16">
        <v>115.8</v>
      </c>
      <c r="M62" s="17">
        <f t="shared" si="1"/>
        <v>2254.5300000000107</v>
      </c>
      <c r="N62" s="11">
        <f t="shared" si="2"/>
        <v>7</v>
      </c>
    </row>
    <row r="63" spans="1:14" x14ac:dyDescent="0.25">
      <c r="A63" s="11" t="s">
        <v>0</v>
      </c>
      <c r="B63" s="12">
        <v>45130</v>
      </c>
      <c r="C63" s="11" t="s">
        <v>688</v>
      </c>
      <c r="D63" s="11" t="s">
        <v>692</v>
      </c>
      <c r="E63" s="13" t="s">
        <v>143</v>
      </c>
      <c r="F63" s="14" t="s">
        <v>241</v>
      </c>
      <c r="G63" s="14" t="s">
        <v>217</v>
      </c>
      <c r="I63" s="11" t="b">
        <f t="shared" si="0"/>
        <v>0</v>
      </c>
      <c r="K63" s="16">
        <v>50</v>
      </c>
      <c r="M63" s="17">
        <f t="shared" si="1"/>
        <v>2204.5300000000107</v>
      </c>
      <c r="N63" s="11">
        <f t="shared" si="2"/>
        <v>7</v>
      </c>
    </row>
    <row r="64" spans="1:14" x14ac:dyDescent="0.25">
      <c r="A64" s="11" t="s">
        <v>0</v>
      </c>
      <c r="B64" s="12">
        <v>45130</v>
      </c>
      <c r="C64" s="11" t="s">
        <v>688</v>
      </c>
      <c r="D64" s="11" t="s">
        <v>692</v>
      </c>
      <c r="E64" s="13" t="s">
        <v>143</v>
      </c>
      <c r="F64" s="14" t="s">
        <v>241</v>
      </c>
      <c r="G64" s="14" t="s">
        <v>217</v>
      </c>
      <c r="I64" s="11" t="b">
        <f t="shared" si="0"/>
        <v>0</v>
      </c>
      <c r="K64" s="16">
        <v>705</v>
      </c>
      <c r="M64" s="17">
        <f t="shared" si="1"/>
        <v>1499.5300000000107</v>
      </c>
      <c r="N64" s="11">
        <f t="shared" si="2"/>
        <v>7</v>
      </c>
    </row>
    <row r="65" spans="1:14" x14ac:dyDescent="0.25">
      <c r="A65" s="11" t="s">
        <v>0</v>
      </c>
      <c r="B65" s="12">
        <v>45130</v>
      </c>
      <c r="C65" s="11" t="s">
        <v>688</v>
      </c>
      <c r="D65" s="11" t="s">
        <v>692</v>
      </c>
      <c r="E65" s="13" t="s">
        <v>725</v>
      </c>
      <c r="F65" s="14" t="s">
        <v>27</v>
      </c>
      <c r="G65" s="14" t="s">
        <v>217</v>
      </c>
      <c r="I65" s="11" t="b">
        <f t="shared" si="0"/>
        <v>0</v>
      </c>
      <c r="K65" s="16">
        <v>868.76</v>
      </c>
      <c r="M65" s="17">
        <f t="shared" si="1"/>
        <v>630.77000000001067</v>
      </c>
      <c r="N65" s="11">
        <f t="shared" si="2"/>
        <v>7</v>
      </c>
    </row>
    <row r="66" spans="1:14" x14ac:dyDescent="0.25">
      <c r="A66" s="11" t="s">
        <v>0</v>
      </c>
      <c r="B66" s="12">
        <v>45130</v>
      </c>
      <c r="C66" s="11" t="s">
        <v>688</v>
      </c>
      <c r="D66" s="11" t="s">
        <v>699</v>
      </c>
      <c r="E66" s="13" t="s">
        <v>98</v>
      </c>
      <c r="F66" s="14" t="s">
        <v>206</v>
      </c>
      <c r="G66" s="14" t="s">
        <v>218</v>
      </c>
      <c r="I66" s="11" t="b">
        <f t="shared" si="0"/>
        <v>0</v>
      </c>
      <c r="K66" s="16">
        <v>130</v>
      </c>
      <c r="M66" s="17">
        <f t="shared" si="1"/>
        <v>500.77000000001067</v>
      </c>
      <c r="N66" s="11">
        <f t="shared" si="2"/>
        <v>7</v>
      </c>
    </row>
    <row r="67" spans="1:14" x14ac:dyDescent="0.25">
      <c r="A67" s="11" t="s">
        <v>207</v>
      </c>
      <c r="B67" s="12">
        <v>45130</v>
      </c>
      <c r="C67" s="11" t="s">
        <v>688</v>
      </c>
      <c r="D67" s="11" t="s">
        <v>43</v>
      </c>
      <c r="E67" s="13" t="s">
        <v>43</v>
      </c>
      <c r="F67" s="14" t="s">
        <v>286</v>
      </c>
      <c r="I67" s="11" t="b">
        <f t="shared" ref="I67:I130" si="3">IF(AND(G67="MERCADO PAGO",A67="FATURAMENTO"),1,IF(AND(OR(G67="MERCADO PAGO",G67="pix mercado pago",G67= "débito automático mercado pago", G67= "boleto mercado pago"),A67="DESPESAS"),4,IF(AND(G67="SAFRA",A67="FATURAMENTO"),2,IF(AND(OR(G67="SAFRA",G67="PIX SAFRA", G67="DÉBITO AUTOMÁTICO SAFRA", G67= "BOLETO SAFRA", G67= "transferência safra"), A67="DESPESAS"),5,IF(AND(G67="espécie",A67="FATURAMENTO"),3,IF(AND(G67="espécie",A67="DESPESAS"),6))))))</f>
        <v>0</v>
      </c>
      <c r="J67" s="16">
        <v>9926.18</v>
      </c>
      <c r="M67" s="17">
        <f t="shared" ref="M67:M130" si="4">IF(B67=0, "",M66+ J67-K67)</f>
        <v>10426.950000000012</v>
      </c>
      <c r="N67" s="11">
        <f t="shared" ref="N67:N130" si="5">IF(B67=0, "", MONTH(B67))</f>
        <v>7</v>
      </c>
    </row>
    <row r="68" spans="1:14" x14ac:dyDescent="0.25">
      <c r="A68" s="11" t="s">
        <v>207</v>
      </c>
      <c r="B68" s="12">
        <v>45130</v>
      </c>
      <c r="C68" s="11" t="s">
        <v>688</v>
      </c>
      <c r="D68" s="11" t="s">
        <v>43</v>
      </c>
      <c r="E68" s="13" t="s">
        <v>43</v>
      </c>
      <c r="F68" s="14" t="s">
        <v>287</v>
      </c>
      <c r="I68" s="11" t="b">
        <f t="shared" si="3"/>
        <v>0</v>
      </c>
      <c r="J68" s="16">
        <v>10437.450000000001</v>
      </c>
      <c r="M68" s="17">
        <f t="shared" si="4"/>
        <v>20864.400000000012</v>
      </c>
      <c r="N68" s="11">
        <f t="shared" si="5"/>
        <v>7</v>
      </c>
    </row>
    <row r="69" spans="1:14" x14ac:dyDescent="0.25">
      <c r="A69" s="11" t="s">
        <v>207</v>
      </c>
      <c r="B69" s="12">
        <v>45130</v>
      </c>
      <c r="C69" s="11" t="s">
        <v>688</v>
      </c>
      <c r="D69" s="11" t="s">
        <v>43</v>
      </c>
      <c r="E69" s="14" t="s">
        <v>288</v>
      </c>
      <c r="F69" s="14" t="s">
        <v>288</v>
      </c>
      <c r="G69" s="14" t="s">
        <v>173</v>
      </c>
      <c r="I69" s="11">
        <f t="shared" si="3"/>
        <v>3</v>
      </c>
      <c r="J69" s="16">
        <v>827</v>
      </c>
      <c r="M69" s="17">
        <f t="shared" si="4"/>
        <v>21691.400000000012</v>
      </c>
      <c r="N69" s="11">
        <f t="shared" si="5"/>
        <v>7</v>
      </c>
    </row>
    <row r="70" spans="1:14" x14ac:dyDescent="0.25">
      <c r="A70" s="11" t="s">
        <v>0</v>
      </c>
      <c r="B70" s="12">
        <v>45131</v>
      </c>
      <c r="C70" s="11" t="s">
        <v>688</v>
      </c>
      <c r="D70" s="11" t="s">
        <v>692</v>
      </c>
      <c r="E70" s="13" t="s">
        <v>143</v>
      </c>
      <c r="F70" s="14" t="s">
        <v>242</v>
      </c>
      <c r="G70" s="14" t="s">
        <v>201</v>
      </c>
      <c r="I70" s="11" t="b">
        <f t="shared" si="3"/>
        <v>0</v>
      </c>
      <c r="K70" s="16">
        <v>500</v>
      </c>
      <c r="M70" s="17">
        <f t="shared" si="4"/>
        <v>21191.400000000012</v>
      </c>
      <c r="N70" s="11">
        <f t="shared" si="5"/>
        <v>7</v>
      </c>
    </row>
    <row r="71" spans="1:14" x14ac:dyDescent="0.25">
      <c r="A71" s="11" t="s">
        <v>0</v>
      </c>
      <c r="B71" s="12">
        <v>45131</v>
      </c>
      <c r="C71" s="11" t="s">
        <v>688</v>
      </c>
      <c r="D71" s="11" t="s">
        <v>692</v>
      </c>
      <c r="E71" s="13" t="s">
        <v>179</v>
      </c>
      <c r="F71" s="14" t="s">
        <v>28</v>
      </c>
      <c r="G71" s="14" t="s">
        <v>201</v>
      </c>
      <c r="I71" s="11" t="b">
        <f t="shared" si="3"/>
        <v>0</v>
      </c>
      <c r="K71" s="16">
        <v>1475</v>
      </c>
      <c r="M71" s="17">
        <f t="shared" si="4"/>
        <v>19716.400000000012</v>
      </c>
      <c r="N71" s="11">
        <f t="shared" si="5"/>
        <v>7</v>
      </c>
    </row>
    <row r="72" spans="1:14" x14ac:dyDescent="0.25">
      <c r="A72" s="11" t="s">
        <v>0</v>
      </c>
      <c r="B72" s="12">
        <v>45131</v>
      </c>
      <c r="C72" s="11" t="s">
        <v>688</v>
      </c>
      <c r="D72" s="11" t="s">
        <v>692</v>
      </c>
      <c r="E72" s="13" t="s">
        <v>143</v>
      </c>
      <c r="F72" s="14" t="s">
        <v>242</v>
      </c>
      <c r="G72" s="14" t="s">
        <v>201</v>
      </c>
      <c r="I72" s="11" t="b">
        <f t="shared" si="3"/>
        <v>0</v>
      </c>
      <c r="K72" s="16">
        <v>1190</v>
      </c>
      <c r="M72" s="17">
        <f t="shared" si="4"/>
        <v>18526.400000000012</v>
      </c>
      <c r="N72" s="11">
        <f t="shared" si="5"/>
        <v>7</v>
      </c>
    </row>
    <row r="73" spans="1:14" x14ac:dyDescent="0.25">
      <c r="A73" s="11" t="s">
        <v>0</v>
      </c>
      <c r="B73" s="12">
        <v>45131</v>
      </c>
      <c r="C73" s="11" t="s">
        <v>688</v>
      </c>
      <c r="D73" s="11" t="s">
        <v>47</v>
      </c>
      <c r="E73" s="14" t="s">
        <v>208</v>
      </c>
      <c r="F73" s="14" t="s">
        <v>208</v>
      </c>
      <c r="G73" s="14" t="s">
        <v>201</v>
      </c>
      <c r="I73" s="11" t="b">
        <f t="shared" si="3"/>
        <v>0</v>
      </c>
      <c r="K73" s="16">
        <v>500</v>
      </c>
      <c r="M73" s="17">
        <f t="shared" si="4"/>
        <v>18026.400000000012</v>
      </c>
      <c r="N73" s="11">
        <f t="shared" si="5"/>
        <v>7</v>
      </c>
    </row>
    <row r="74" spans="1:14" x14ac:dyDescent="0.25">
      <c r="A74" s="11" t="s">
        <v>0</v>
      </c>
      <c r="B74" s="12">
        <v>45131</v>
      </c>
      <c r="C74" s="11" t="s">
        <v>688</v>
      </c>
      <c r="D74" s="11" t="s">
        <v>696</v>
      </c>
      <c r="E74" s="13" t="s">
        <v>225</v>
      </c>
      <c r="F74" s="14" t="s">
        <v>259</v>
      </c>
      <c r="G74" s="14" t="s">
        <v>201</v>
      </c>
      <c r="I74" s="11" t="b">
        <f t="shared" si="3"/>
        <v>0</v>
      </c>
      <c r="K74" s="16">
        <v>100</v>
      </c>
      <c r="M74" s="17">
        <f t="shared" si="4"/>
        <v>17926.400000000012</v>
      </c>
      <c r="N74" s="11">
        <f t="shared" si="5"/>
        <v>7</v>
      </c>
    </row>
    <row r="75" spans="1:14" x14ac:dyDescent="0.25">
      <c r="A75" s="11" t="s">
        <v>0</v>
      </c>
      <c r="B75" s="12">
        <v>45131</v>
      </c>
      <c r="C75" s="11" t="s">
        <v>688</v>
      </c>
      <c r="D75" s="11" t="s">
        <v>696</v>
      </c>
      <c r="E75" s="13" t="s">
        <v>225</v>
      </c>
      <c r="F75" s="14" t="s">
        <v>260</v>
      </c>
      <c r="G75" s="14" t="s">
        <v>201</v>
      </c>
      <c r="I75" s="11" t="b">
        <f t="shared" si="3"/>
        <v>0</v>
      </c>
      <c r="K75" s="16">
        <v>100</v>
      </c>
      <c r="M75" s="17">
        <f t="shared" si="4"/>
        <v>17826.400000000012</v>
      </c>
      <c r="N75" s="11">
        <f t="shared" si="5"/>
        <v>7</v>
      </c>
    </row>
    <row r="76" spans="1:14" x14ac:dyDescent="0.25">
      <c r="A76" s="11" t="s">
        <v>0</v>
      </c>
      <c r="B76" s="12">
        <v>45131</v>
      </c>
      <c r="C76" s="11" t="s">
        <v>688</v>
      </c>
      <c r="D76" s="11" t="s">
        <v>696</v>
      </c>
      <c r="E76" s="13" t="s">
        <v>225</v>
      </c>
      <c r="F76" s="14" t="s">
        <v>261</v>
      </c>
      <c r="G76" s="14" t="s">
        <v>201</v>
      </c>
      <c r="I76" s="11" t="b">
        <f t="shared" si="3"/>
        <v>0</v>
      </c>
      <c r="K76" s="16">
        <v>100</v>
      </c>
      <c r="M76" s="17">
        <f t="shared" si="4"/>
        <v>17726.400000000012</v>
      </c>
      <c r="N76" s="11">
        <f t="shared" si="5"/>
        <v>7</v>
      </c>
    </row>
    <row r="77" spans="1:14" x14ac:dyDescent="0.25">
      <c r="A77" s="11" t="s">
        <v>0</v>
      </c>
      <c r="B77" s="12">
        <v>45131</v>
      </c>
      <c r="C77" s="11" t="s">
        <v>688</v>
      </c>
      <c r="D77" s="11" t="s">
        <v>696</v>
      </c>
      <c r="E77" s="13" t="s">
        <v>225</v>
      </c>
      <c r="F77" s="14" t="s">
        <v>243</v>
      </c>
      <c r="G77" s="14" t="s">
        <v>201</v>
      </c>
      <c r="I77" s="11" t="b">
        <f t="shared" si="3"/>
        <v>0</v>
      </c>
      <c r="K77" s="16">
        <v>100</v>
      </c>
      <c r="M77" s="17">
        <f t="shared" si="4"/>
        <v>17626.400000000012</v>
      </c>
      <c r="N77" s="11">
        <f t="shared" si="5"/>
        <v>7</v>
      </c>
    </row>
    <row r="78" spans="1:14" x14ac:dyDescent="0.25">
      <c r="A78" s="11" t="s">
        <v>0</v>
      </c>
      <c r="B78" s="12">
        <v>45131</v>
      </c>
      <c r="C78" s="11" t="s">
        <v>688</v>
      </c>
      <c r="D78" s="11" t="s">
        <v>696</v>
      </c>
      <c r="E78" s="13" t="s">
        <v>225</v>
      </c>
      <c r="F78" s="14" t="s">
        <v>262</v>
      </c>
      <c r="G78" s="14" t="s">
        <v>201</v>
      </c>
      <c r="I78" s="11" t="b">
        <f t="shared" si="3"/>
        <v>0</v>
      </c>
      <c r="K78" s="16">
        <v>100</v>
      </c>
      <c r="M78" s="17">
        <f t="shared" si="4"/>
        <v>17526.400000000012</v>
      </c>
      <c r="N78" s="11">
        <f t="shared" si="5"/>
        <v>7</v>
      </c>
    </row>
    <row r="79" spans="1:14" x14ac:dyDescent="0.25">
      <c r="A79" s="11" t="s">
        <v>0</v>
      </c>
      <c r="B79" s="12">
        <v>45131</v>
      </c>
      <c r="C79" s="11" t="s">
        <v>688</v>
      </c>
      <c r="D79" s="11" t="s">
        <v>692</v>
      </c>
      <c r="E79" s="13" t="s">
        <v>169</v>
      </c>
      <c r="F79" s="14" t="s">
        <v>50</v>
      </c>
      <c r="G79" s="14" t="s">
        <v>201</v>
      </c>
      <c r="I79" s="11" t="b">
        <f t="shared" si="3"/>
        <v>0</v>
      </c>
      <c r="K79" s="16">
        <v>2820</v>
      </c>
      <c r="M79" s="17">
        <f t="shared" si="4"/>
        <v>14706.400000000012</v>
      </c>
      <c r="N79" s="11">
        <f t="shared" si="5"/>
        <v>7</v>
      </c>
    </row>
    <row r="80" spans="1:14" x14ac:dyDescent="0.25">
      <c r="A80" s="11" t="s">
        <v>0</v>
      </c>
      <c r="B80" s="12">
        <v>45131</v>
      </c>
      <c r="C80" s="11" t="s">
        <v>688</v>
      </c>
      <c r="D80" s="11" t="s">
        <v>692</v>
      </c>
      <c r="E80" s="13" t="s">
        <v>143</v>
      </c>
      <c r="F80" s="14" t="s">
        <v>31</v>
      </c>
      <c r="G80" s="14" t="s">
        <v>202</v>
      </c>
      <c r="I80" s="11" t="b">
        <f t="shared" si="3"/>
        <v>0</v>
      </c>
      <c r="K80" s="16">
        <v>1202.95</v>
      </c>
      <c r="M80" s="17">
        <f t="shared" si="4"/>
        <v>13503.450000000012</v>
      </c>
      <c r="N80" s="11">
        <f t="shared" si="5"/>
        <v>7</v>
      </c>
    </row>
    <row r="81" spans="1:14" x14ac:dyDescent="0.25">
      <c r="A81" s="11" t="s">
        <v>0</v>
      </c>
      <c r="B81" s="12">
        <v>45131</v>
      </c>
      <c r="C81" s="11" t="s">
        <v>688</v>
      </c>
      <c r="D81" s="11" t="s">
        <v>694</v>
      </c>
      <c r="E81" s="13" t="s">
        <v>718</v>
      </c>
      <c r="F81" s="14" t="s">
        <v>263</v>
      </c>
      <c r="G81" s="14" t="s">
        <v>219</v>
      </c>
      <c r="I81" s="11" t="b">
        <f t="shared" si="3"/>
        <v>0</v>
      </c>
      <c r="K81" s="16">
        <v>1461.79</v>
      </c>
      <c r="M81" s="17">
        <f t="shared" si="4"/>
        <v>12041.660000000011</v>
      </c>
      <c r="N81" s="11">
        <f t="shared" si="5"/>
        <v>7</v>
      </c>
    </row>
    <row r="82" spans="1:14" x14ac:dyDescent="0.25">
      <c r="A82" s="11" t="s">
        <v>0</v>
      </c>
      <c r="B82" s="12">
        <v>45131</v>
      </c>
      <c r="C82" s="11" t="s">
        <v>688</v>
      </c>
      <c r="D82" s="11" t="s">
        <v>692</v>
      </c>
      <c r="E82" s="13" t="s">
        <v>179</v>
      </c>
      <c r="F82" s="14" t="s">
        <v>378</v>
      </c>
      <c r="G82" s="14" t="s">
        <v>201</v>
      </c>
      <c r="I82" s="11" t="b">
        <f t="shared" si="3"/>
        <v>0</v>
      </c>
      <c r="K82" s="16">
        <v>608</v>
      </c>
      <c r="M82" s="17">
        <f t="shared" si="4"/>
        <v>11433.660000000011</v>
      </c>
      <c r="N82" s="11">
        <f t="shared" si="5"/>
        <v>7</v>
      </c>
    </row>
    <row r="83" spans="1:14" x14ac:dyDescent="0.25">
      <c r="A83" s="11" t="s">
        <v>0</v>
      </c>
      <c r="B83" s="12">
        <v>45131</v>
      </c>
      <c r="C83" s="11" t="s">
        <v>688</v>
      </c>
      <c r="D83" s="11" t="s">
        <v>694</v>
      </c>
      <c r="E83" s="13" t="s">
        <v>718</v>
      </c>
      <c r="F83" s="14" t="s">
        <v>263</v>
      </c>
      <c r="G83" s="14" t="s">
        <v>219</v>
      </c>
      <c r="I83" s="11" t="b">
        <f t="shared" si="3"/>
        <v>0</v>
      </c>
      <c r="K83" s="16">
        <v>1551.71</v>
      </c>
      <c r="M83" s="17">
        <f t="shared" si="4"/>
        <v>9881.9500000000116</v>
      </c>
      <c r="N83" s="11">
        <f t="shared" si="5"/>
        <v>7</v>
      </c>
    </row>
    <row r="84" spans="1:14" x14ac:dyDescent="0.25">
      <c r="A84" s="11" t="s">
        <v>0</v>
      </c>
      <c r="B84" s="12">
        <v>45131</v>
      </c>
      <c r="C84" s="11" t="s">
        <v>688</v>
      </c>
      <c r="D84" s="11" t="s">
        <v>692</v>
      </c>
      <c r="E84" s="13" t="s">
        <v>179</v>
      </c>
      <c r="F84" s="158" t="s">
        <v>764</v>
      </c>
      <c r="G84" s="14" t="s">
        <v>201</v>
      </c>
      <c r="I84" s="11" t="b">
        <f t="shared" si="3"/>
        <v>0</v>
      </c>
      <c r="K84" s="16">
        <v>591.39</v>
      </c>
      <c r="M84" s="17">
        <f t="shared" si="4"/>
        <v>9290.5600000000122</v>
      </c>
      <c r="N84" s="11">
        <f t="shared" si="5"/>
        <v>7</v>
      </c>
    </row>
    <row r="85" spans="1:14" x14ac:dyDescent="0.25">
      <c r="A85" s="11" t="s">
        <v>0</v>
      </c>
      <c r="B85" s="12">
        <v>45131</v>
      </c>
      <c r="C85" s="11" t="s">
        <v>688</v>
      </c>
      <c r="D85" s="11" t="s">
        <v>720</v>
      </c>
      <c r="E85" s="13" t="s">
        <v>183</v>
      </c>
      <c r="F85" s="14" t="s">
        <v>264</v>
      </c>
      <c r="G85" s="14" t="s">
        <v>201</v>
      </c>
      <c r="I85" s="11" t="b">
        <f t="shared" si="3"/>
        <v>0</v>
      </c>
      <c r="K85" s="16">
        <v>30</v>
      </c>
      <c r="M85" s="17">
        <f t="shared" si="4"/>
        <v>9260.5600000000122</v>
      </c>
      <c r="N85" s="11">
        <f t="shared" si="5"/>
        <v>7</v>
      </c>
    </row>
    <row r="86" spans="1:14" x14ac:dyDescent="0.25">
      <c r="A86" s="11" t="s">
        <v>0</v>
      </c>
      <c r="B86" s="12">
        <v>45131</v>
      </c>
      <c r="C86" s="11" t="s">
        <v>688</v>
      </c>
      <c r="D86" s="11" t="s">
        <v>694</v>
      </c>
      <c r="E86" s="13" t="s">
        <v>182</v>
      </c>
      <c r="F86" s="14" t="s">
        <v>257</v>
      </c>
      <c r="G86" s="14" t="s">
        <v>199</v>
      </c>
      <c r="I86" s="11" t="b">
        <f t="shared" si="3"/>
        <v>0</v>
      </c>
      <c r="K86" s="16">
        <v>17.14</v>
      </c>
      <c r="M86" s="17">
        <f t="shared" si="4"/>
        <v>9243.4200000000128</v>
      </c>
      <c r="N86" s="11">
        <f t="shared" si="5"/>
        <v>7</v>
      </c>
    </row>
    <row r="87" spans="1:14" x14ac:dyDescent="0.25">
      <c r="A87" s="11" t="s">
        <v>0</v>
      </c>
      <c r="B87" s="12">
        <v>45131</v>
      </c>
      <c r="C87" s="11" t="s">
        <v>688</v>
      </c>
      <c r="D87" s="11" t="s">
        <v>694</v>
      </c>
      <c r="E87" s="13" t="s">
        <v>182</v>
      </c>
      <c r="F87" s="14" t="s">
        <v>265</v>
      </c>
      <c r="G87" s="14" t="s">
        <v>199</v>
      </c>
      <c r="I87" s="11" t="b">
        <f t="shared" si="3"/>
        <v>0</v>
      </c>
      <c r="K87" s="16">
        <v>24.7</v>
      </c>
      <c r="M87" s="17">
        <f t="shared" si="4"/>
        <v>9218.7200000000121</v>
      </c>
      <c r="N87" s="11">
        <f t="shared" si="5"/>
        <v>7</v>
      </c>
    </row>
    <row r="88" spans="1:14" x14ac:dyDescent="0.25">
      <c r="A88" s="11" t="s">
        <v>0</v>
      </c>
      <c r="B88" s="12">
        <v>45131</v>
      </c>
      <c r="C88" s="11" t="s">
        <v>688</v>
      </c>
      <c r="D88" s="11" t="s">
        <v>692</v>
      </c>
      <c r="E88" s="13" t="s">
        <v>725</v>
      </c>
      <c r="F88" s="14" t="s">
        <v>27</v>
      </c>
      <c r="G88" s="14" t="s">
        <v>217</v>
      </c>
      <c r="I88" s="11" t="b">
        <f t="shared" si="3"/>
        <v>0</v>
      </c>
      <c r="K88" s="16">
        <v>1183.29</v>
      </c>
      <c r="M88" s="17">
        <f t="shared" si="4"/>
        <v>8035.4300000000121</v>
      </c>
      <c r="N88" s="11">
        <f t="shared" si="5"/>
        <v>7</v>
      </c>
    </row>
    <row r="89" spans="1:14" x14ac:dyDescent="0.25">
      <c r="A89" s="11" t="s">
        <v>0</v>
      </c>
      <c r="B89" s="12">
        <v>45131</v>
      </c>
      <c r="C89" s="11" t="s">
        <v>688</v>
      </c>
      <c r="D89" s="11" t="s">
        <v>692</v>
      </c>
      <c r="E89" s="13" t="s">
        <v>143</v>
      </c>
      <c r="F89" s="14" t="s">
        <v>266</v>
      </c>
      <c r="G89" s="14" t="s">
        <v>220</v>
      </c>
      <c r="I89" s="11" t="b">
        <f t="shared" si="3"/>
        <v>0</v>
      </c>
      <c r="K89" s="16">
        <v>3242.1</v>
      </c>
      <c r="M89" s="17">
        <f t="shared" si="4"/>
        <v>4793.3300000000127</v>
      </c>
      <c r="N89" s="11">
        <f t="shared" si="5"/>
        <v>7</v>
      </c>
    </row>
    <row r="90" spans="1:14" x14ac:dyDescent="0.25">
      <c r="A90" s="11" t="s">
        <v>0</v>
      </c>
      <c r="B90" s="12">
        <v>45131</v>
      </c>
      <c r="C90" s="11" t="s">
        <v>688</v>
      </c>
      <c r="D90" s="11" t="s">
        <v>698</v>
      </c>
      <c r="E90" s="13" t="s">
        <v>205</v>
      </c>
      <c r="F90" s="14" t="s">
        <v>205</v>
      </c>
      <c r="G90" s="14" t="s">
        <v>217</v>
      </c>
      <c r="I90" s="11" t="b">
        <f t="shared" si="3"/>
        <v>0</v>
      </c>
      <c r="K90" s="16">
        <v>478.4</v>
      </c>
      <c r="M90" s="17">
        <f t="shared" si="4"/>
        <v>4314.930000000013</v>
      </c>
      <c r="N90" s="11">
        <f t="shared" si="5"/>
        <v>7</v>
      </c>
    </row>
    <row r="91" spans="1:14" x14ac:dyDescent="0.25">
      <c r="A91" s="11" t="s">
        <v>207</v>
      </c>
      <c r="B91" s="12">
        <v>45131</v>
      </c>
      <c r="C91" s="11" t="s">
        <v>688</v>
      </c>
      <c r="D91" s="11" t="s">
        <v>43</v>
      </c>
      <c r="E91" s="13" t="s">
        <v>43</v>
      </c>
      <c r="F91" s="14" t="s">
        <v>286</v>
      </c>
      <c r="I91" s="11" t="b">
        <f t="shared" si="3"/>
        <v>0</v>
      </c>
      <c r="J91" s="16">
        <v>404.2</v>
      </c>
      <c r="M91" s="17">
        <f t="shared" si="4"/>
        <v>4719.1300000000128</v>
      </c>
      <c r="N91" s="11">
        <f t="shared" si="5"/>
        <v>7</v>
      </c>
    </row>
    <row r="92" spans="1:14" x14ac:dyDescent="0.25">
      <c r="A92" s="11" t="s">
        <v>207</v>
      </c>
      <c r="B92" s="12">
        <v>45131</v>
      </c>
      <c r="C92" s="11" t="s">
        <v>688</v>
      </c>
      <c r="D92" s="11" t="s">
        <v>43</v>
      </c>
      <c r="E92" s="13" t="s">
        <v>43</v>
      </c>
      <c r="F92" s="14" t="s">
        <v>287</v>
      </c>
      <c r="I92" s="11" t="b">
        <f t="shared" si="3"/>
        <v>0</v>
      </c>
      <c r="J92" s="16">
        <v>4057.95</v>
      </c>
      <c r="M92" s="17">
        <f t="shared" si="4"/>
        <v>8777.0800000000127</v>
      </c>
      <c r="N92" s="11">
        <f t="shared" si="5"/>
        <v>7</v>
      </c>
    </row>
    <row r="93" spans="1:14" x14ac:dyDescent="0.25">
      <c r="A93" s="11" t="s">
        <v>207</v>
      </c>
      <c r="B93" s="12">
        <v>45131</v>
      </c>
      <c r="C93" s="11" t="s">
        <v>688</v>
      </c>
      <c r="D93" s="11" t="s">
        <v>43</v>
      </c>
      <c r="E93" s="14" t="s">
        <v>288</v>
      </c>
      <c r="F93" s="14" t="s">
        <v>288</v>
      </c>
      <c r="G93" s="14" t="s">
        <v>173</v>
      </c>
      <c r="I93" s="11">
        <f t="shared" si="3"/>
        <v>3</v>
      </c>
      <c r="J93" s="16">
        <v>1247</v>
      </c>
      <c r="M93" s="17">
        <f t="shared" si="4"/>
        <v>10024.080000000013</v>
      </c>
      <c r="N93" s="11">
        <f t="shared" si="5"/>
        <v>7</v>
      </c>
    </row>
    <row r="94" spans="1:14" x14ac:dyDescent="0.25">
      <c r="A94" s="11" t="s">
        <v>0</v>
      </c>
      <c r="B94" s="12">
        <v>45132</v>
      </c>
      <c r="C94" s="11" t="s">
        <v>688</v>
      </c>
      <c r="D94" s="11" t="s">
        <v>692</v>
      </c>
      <c r="E94" s="13" t="s">
        <v>724</v>
      </c>
      <c r="F94" s="14" t="s">
        <v>223</v>
      </c>
      <c r="G94" s="14" t="s">
        <v>203</v>
      </c>
      <c r="I94" s="11" t="b">
        <f t="shared" si="3"/>
        <v>0</v>
      </c>
      <c r="K94" s="16">
        <v>2074.5</v>
      </c>
      <c r="M94" s="17">
        <f t="shared" si="4"/>
        <v>7949.5800000000127</v>
      </c>
      <c r="N94" s="11">
        <f t="shared" si="5"/>
        <v>7</v>
      </c>
    </row>
    <row r="95" spans="1:14" x14ac:dyDescent="0.25">
      <c r="A95" s="11" t="s">
        <v>0</v>
      </c>
      <c r="B95" s="12">
        <v>45132</v>
      </c>
      <c r="C95" s="11" t="s">
        <v>688</v>
      </c>
      <c r="D95" s="11" t="s">
        <v>692</v>
      </c>
      <c r="E95" s="62" t="s">
        <v>726</v>
      </c>
      <c r="F95" s="158" t="s">
        <v>765</v>
      </c>
      <c r="G95" s="14" t="s">
        <v>214</v>
      </c>
      <c r="I95" s="11" t="b">
        <f t="shared" si="3"/>
        <v>0</v>
      </c>
      <c r="K95" s="16">
        <v>230</v>
      </c>
      <c r="M95" s="17">
        <f t="shared" si="4"/>
        <v>7719.5800000000127</v>
      </c>
      <c r="N95" s="11">
        <f t="shared" si="5"/>
        <v>7</v>
      </c>
    </row>
    <row r="96" spans="1:14" x14ac:dyDescent="0.25">
      <c r="A96" s="11" t="s">
        <v>0</v>
      </c>
      <c r="B96" s="12">
        <v>45132</v>
      </c>
      <c r="C96" s="11" t="s">
        <v>688</v>
      </c>
      <c r="D96" s="11" t="s">
        <v>692</v>
      </c>
      <c r="E96" s="13" t="s">
        <v>229</v>
      </c>
      <c r="F96" s="14" t="s">
        <v>116</v>
      </c>
      <c r="G96" s="14" t="s">
        <v>214</v>
      </c>
      <c r="I96" s="11" t="b">
        <f t="shared" si="3"/>
        <v>0</v>
      </c>
      <c r="K96" s="16">
        <v>1285.26</v>
      </c>
      <c r="M96" s="17">
        <f t="shared" si="4"/>
        <v>6434.3200000000124</v>
      </c>
      <c r="N96" s="11">
        <f t="shared" si="5"/>
        <v>7</v>
      </c>
    </row>
    <row r="97" spans="1:14" x14ac:dyDescent="0.25">
      <c r="A97" s="11" t="s">
        <v>0</v>
      </c>
      <c r="B97" s="12">
        <v>45132</v>
      </c>
      <c r="C97" s="11" t="s">
        <v>688</v>
      </c>
      <c r="D97" s="11" t="s">
        <v>699</v>
      </c>
      <c r="E97" s="13" t="s">
        <v>98</v>
      </c>
      <c r="F97" s="14" t="s">
        <v>252</v>
      </c>
      <c r="G97" s="14" t="s">
        <v>214</v>
      </c>
      <c r="I97" s="11" t="b">
        <f t="shared" si="3"/>
        <v>0</v>
      </c>
      <c r="K97" s="16">
        <v>268.45</v>
      </c>
      <c r="M97" s="17">
        <f t="shared" si="4"/>
        <v>6165.8700000000126</v>
      </c>
      <c r="N97" s="11">
        <f t="shared" si="5"/>
        <v>7</v>
      </c>
    </row>
    <row r="98" spans="1:14" x14ac:dyDescent="0.25">
      <c r="A98" s="11" t="s">
        <v>0</v>
      </c>
      <c r="B98" s="12">
        <v>45132</v>
      </c>
      <c r="C98" s="11" t="s">
        <v>688</v>
      </c>
      <c r="D98" s="11" t="s">
        <v>692</v>
      </c>
      <c r="E98" s="13" t="s">
        <v>229</v>
      </c>
      <c r="F98" s="14" t="s">
        <v>116</v>
      </c>
      <c r="G98" s="14" t="s">
        <v>201</v>
      </c>
      <c r="I98" s="11" t="b">
        <f t="shared" si="3"/>
        <v>0</v>
      </c>
      <c r="K98" s="16">
        <v>1356.9</v>
      </c>
      <c r="M98" s="17">
        <f t="shared" si="4"/>
        <v>4808.9700000000121</v>
      </c>
      <c r="N98" s="11">
        <f t="shared" si="5"/>
        <v>7</v>
      </c>
    </row>
    <row r="99" spans="1:14" x14ac:dyDescent="0.25">
      <c r="A99" s="11" t="s">
        <v>0</v>
      </c>
      <c r="B99" s="12">
        <v>45132</v>
      </c>
      <c r="C99" s="11" t="s">
        <v>688</v>
      </c>
      <c r="D99" s="11" t="s">
        <v>692</v>
      </c>
      <c r="E99" s="13" t="s">
        <v>179</v>
      </c>
      <c r="F99" s="14" t="s">
        <v>250</v>
      </c>
      <c r="G99" s="14" t="s">
        <v>201</v>
      </c>
      <c r="I99" s="11" t="b">
        <f t="shared" si="3"/>
        <v>0</v>
      </c>
      <c r="K99" s="16">
        <v>600</v>
      </c>
      <c r="M99" s="17">
        <f t="shared" si="4"/>
        <v>4208.9700000000121</v>
      </c>
      <c r="N99" s="11">
        <f t="shared" si="5"/>
        <v>7</v>
      </c>
    </row>
    <row r="100" spans="1:14" x14ac:dyDescent="0.25">
      <c r="A100" s="11" t="s">
        <v>0</v>
      </c>
      <c r="B100" s="12">
        <v>45132</v>
      </c>
      <c r="C100" s="11" t="s">
        <v>688</v>
      </c>
      <c r="D100" s="11" t="s">
        <v>692</v>
      </c>
      <c r="E100" s="13" t="s">
        <v>267</v>
      </c>
      <c r="F100" s="14" t="s">
        <v>301</v>
      </c>
      <c r="G100" s="14" t="s">
        <v>201</v>
      </c>
      <c r="I100" s="11" t="b">
        <f t="shared" si="3"/>
        <v>0</v>
      </c>
      <c r="K100" s="16">
        <v>650</v>
      </c>
      <c r="M100" s="17">
        <f t="shared" si="4"/>
        <v>3558.9700000000121</v>
      </c>
      <c r="N100" s="11">
        <f t="shared" si="5"/>
        <v>7</v>
      </c>
    </row>
    <row r="101" spans="1:14" x14ac:dyDescent="0.25">
      <c r="A101" s="11" t="s">
        <v>0</v>
      </c>
      <c r="B101" s="12">
        <v>45132</v>
      </c>
      <c r="C101" s="11" t="s">
        <v>688</v>
      </c>
      <c r="D101" s="11" t="s">
        <v>720</v>
      </c>
      <c r="E101" s="13" t="s">
        <v>183</v>
      </c>
      <c r="F101" s="14" t="s">
        <v>301</v>
      </c>
      <c r="G101" s="14" t="s">
        <v>201</v>
      </c>
      <c r="I101" s="11" t="b">
        <f t="shared" si="3"/>
        <v>0</v>
      </c>
      <c r="K101" s="16">
        <v>30</v>
      </c>
      <c r="M101" s="17">
        <f t="shared" si="4"/>
        <v>3528.9700000000121</v>
      </c>
      <c r="N101" s="11">
        <f t="shared" si="5"/>
        <v>7</v>
      </c>
    </row>
    <row r="102" spans="1:14" x14ac:dyDescent="0.25">
      <c r="A102" s="11" t="s">
        <v>0</v>
      </c>
      <c r="B102" s="12">
        <v>45132</v>
      </c>
      <c r="C102" s="11" t="s">
        <v>688</v>
      </c>
      <c r="D102" s="11" t="s">
        <v>692</v>
      </c>
      <c r="E102" s="13" t="s">
        <v>717</v>
      </c>
      <c r="F102" s="14" t="s">
        <v>76</v>
      </c>
      <c r="G102" s="14" t="s">
        <v>201</v>
      </c>
      <c r="I102" s="11" t="b">
        <f t="shared" si="3"/>
        <v>0</v>
      </c>
      <c r="K102" s="16">
        <v>709.84</v>
      </c>
      <c r="M102" s="17">
        <f t="shared" si="4"/>
        <v>2819.1300000000119</v>
      </c>
      <c r="N102" s="11">
        <f t="shared" si="5"/>
        <v>7</v>
      </c>
    </row>
    <row r="103" spans="1:14" x14ac:dyDescent="0.25">
      <c r="A103" s="11" t="s">
        <v>0</v>
      </c>
      <c r="B103" s="12">
        <v>45132</v>
      </c>
      <c r="C103" s="11" t="s">
        <v>688</v>
      </c>
      <c r="D103" s="11" t="s">
        <v>694</v>
      </c>
      <c r="E103" s="13" t="s">
        <v>182</v>
      </c>
      <c r="F103" s="14" t="s">
        <v>268</v>
      </c>
      <c r="G103" s="14" t="s">
        <v>199</v>
      </c>
      <c r="I103" s="11" t="b">
        <f t="shared" si="3"/>
        <v>0</v>
      </c>
      <c r="K103" s="16">
        <v>95.84</v>
      </c>
      <c r="M103" s="17">
        <f t="shared" si="4"/>
        <v>2723.2900000000118</v>
      </c>
      <c r="N103" s="11">
        <f t="shared" si="5"/>
        <v>7</v>
      </c>
    </row>
    <row r="104" spans="1:14" x14ac:dyDescent="0.25">
      <c r="A104" s="11" t="s">
        <v>0</v>
      </c>
      <c r="B104" s="12">
        <v>45132</v>
      </c>
      <c r="C104" s="11" t="s">
        <v>688</v>
      </c>
      <c r="D104" s="11" t="s">
        <v>692</v>
      </c>
      <c r="E104" s="13" t="s">
        <v>726</v>
      </c>
      <c r="F104" s="14" t="s">
        <v>269</v>
      </c>
      <c r="G104" s="14" t="s">
        <v>217</v>
      </c>
      <c r="I104" s="11" t="b">
        <f t="shared" si="3"/>
        <v>0</v>
      </c>
      <c r="K104" s="16">
        <v>62.95</v>
      </c>
      <c r="M104" s="17">
        <f t="shared" si="4"/>
        <v>2660.340000000012</v>
      </c>
      <c r="N104" s="11">
        <f t="shared" si="5"/>
        <v>7</v>
      </c>
    </row>
    <row r="105" spans="1:14" x14ac:dyDescent="0.25">
      <c r="A105" s="11" t="s">
        <v>0</v>
      </c>
      <c r="B105" s="12">
        <v>45132</v>
      </c>
      <c r="C105" s="11" t="s">
        <v>688</v>
      </c>
      <c r="D105" s="11" t="s">
        <v>692</v>
      </c>
      <c r="E105" s="13" t="s">
        <v>725</v>
      </c>
      <c r="F105" s="14" t="s">
        <v>270</v>
      </c>
      <c r="G105" s="14" t="s">
        <v>217</v>
      </c>
      <c r="I105" s="11" t="b">
        <f t="shared" si="3"/>
        <v>0</v>
      </c>
      <c r="K105" s="16">
        <v>162.88999999999999</v>
      </c>
      <c r="M105" s="17">
        <f t="shared" si="4"/>
        <v>2497.4500000000121</v>
      </c>
      <c r="N105" s="11">
        <f t="shared" si="5"/>
        <v>7</v>
      </c>
    </row>
    <row r="106" spans="1:14" x14ac:dyDescent="0.25">
      <c r="A106" s="11" t="s">
        <v>0</v>
      </c>
      <c r="B106" s="12">
        <v>45132</v>
      </c>
      <c r="C106" s="11" t="s">
        <v>688</v>
      </c>
      <c r="D106" s="11" t="s">
        <v>701</v>
      </c>
      <c r="E106" s="13" t="s">
        <v>180</v>
      </c>
      <c r="F106" s="14" t="s">
        <v>37</v>
      </c>
      <c r="G106" s="14" t="s">
        <v>217</v>
      </c>
      <c r="I106" s="11" t="b">
        <f t="shared" si="3"/>
        <v>0</v>
      </c>
      <c r="K106" s="16">
        <v>21.25</v>
      </c>
      <c r="M106" s="17">
        <f t="shared" si="4"/>
        <v>2476.2000000000121</v>
      </c>
      <c r="N106" s="11">
        <f t="shared" si="5"/>
        <v>7</v>
      </c>
    </row>
    <row r="107" spans="1:14" x14ac:dyDescent="0.25">
      <c r="A107" s="11" t="s">
        <v>207</v>
      </c>
      <c r="B107" s="12">
        <v>45132</v>
      </c>
      <c r="C107" s="11" t="s">
        <v>688</v>
      </c>
      <c r="D107" s="11" t="s">
        <v>43</v>
      </c>
      <c r="E107" s="13" t="s">
        <v>43</v>
      </c>
      <c r="F107" s="14" t="s">
        <v>286</v>
      </c>
      <c r="I107" s="11" t="b">
        <f t="shared" si="3"/>
        <v>0</v>
      </c>
      <c r="J107" s="16">
        <v>2796.9</v>
      </c>
      <c r="M107" s="17">
        <f t="shared" si="4"/>
        <v>5273.1000000000122</v>
      </c>
      <c r="N107" s="11">
        <f t="shared" si="5"/>
        <v>7</v>
      </c>
    </row>
    <row r="108" spans="1:14" x14ac:dyDescent="0.25">
      <c r="A108" s="11" t="s">
        <v>207</v>
      </c>
      <c r="B108" s="12">
        <v>45132</v>
      </c>
      <c r="C108" s="11" t="s">
        <v>688</v>
      </c>
      <c r="D108" s="11" t="s">
        <v>43</v>
      </c>
      <c r="E108" s="13" t="s">
        <v>43</v>
      </c>
      <c r="F108" s="14" t="s">
        <v>287</v>
      </c>
      <c r="I108" s="11" t="b">
        <f t="shared" si="3"/>
        <v>0</v>
      </c>
      <c r="J108" s="16">
        <v>2648.9</v>
      </c>
      <c r="M108" s="17">
        <f t="shared" si="4"/>
        <v>7922.0000000000127</v>
      </c>
      <c r="N108" s="11">
        <f t="shared" si="5"/>
        <v>7</v>
      </c>
    </row>
    <row r="109" spans="1:14" x14ac:dyDescent="0.25">
      <c r="A109" s="11" t="s">
        <v>207</v>
      </c>
      <c r="B109" s="12">
        <v>45132</v>
      </c>
      <c r="C109" s="11" t="s">
        <v>688</v>
      </c>
      <c r="D109" s="11" t="s">
        <v>43</v>
      </c>
      <c r="E109" s="14" t="s">
        <v>288</v>
      </c>
      <c r="F109" s="14" t="s">
        <v>288</v>
      </c>
      <c r="G109" s="14" t="s">
        <v>173</v>
      </c>
      <c r="I109" s="11">
        <f t="shared" si="3"/>
        <v>3</v>
      </c>
      <c r="J109" s="16">
        <v>29</v>
      </c>
      <c r="M109" s="17">
        <f t="shared" si="4"/>
        <v>7951.0000000000127</v>
      </c>
      <c r="N109" s="11">
        <f t="shared" si="5"/>
        <v>7</v>
      </c>
    </row>
    <row r="110" spans="1:14" x14ac:dyDescent="0.25">
      <c r="A110" s="11" t="s">
        <v>0</v>
      </c>
      <c r="B110" s="12">
        <v>45133</v>
      </c>
      <c r="C110" s="11" t="s">
        <v>688</v>
      </c>
      <c r="D110" s="11" t="s">
        <v>692</v>
      </c>
      <c r="E110" s="13" t="s">
        <v>179</v>
      </c>
      <c r="F110" s="14" t="s">
        <v>378</v>
      </c>
      <c r="G110" s="14" t="s">
        <v>212</v>
      </c>
      <c r="I110" s="11" t="b">
        <f t="shared" si="3"/>
        <v>0</v>
      </c>
      <c r="K110" s="16">
        <v>20</v>
      </c>
      <c r="M110" s="17">
        <f t="shared" si="4"/>
        <v>7931.0000000000127</v>
      </c>
      <c r="N110" s="11">
        <f t="shared" si="5"/>
        <v>7</v>
      </c>
    </row>
    <row r="111" spans="1:14" x14ac:dyDescent="0.25">
      <c r="A111" s="11" t="s">
        <v>0</v>
      </c>
      <c r="B111" s="12">
        <v>45133</v>
      </c>
      <c r="C111" s="11" t="s">
        <v>688</v>
      </c>
      <c r="D111" s="11" t="s">
        <v>701</v>
      </c>
      <c r="E111" s="13" t="s">
        <v>180</v>
      </c>
      <c r="F111" s="14" t="s">
        <v>37</v>
      </c>
      <c r="G111" s="14" t="s">
        <v>214</v>
      </c>
      <c r="I111" s="11" t="b">
        <f t="shared" si="3"/>
        <v>0</v>
      </c>
      <c r="K111" s="16">
        <v>106.5</v>
      </c>
      <c r="M111" s="17">
        <f t="shared" si="4"/>
        <v>7824.5000000000127</v>
      </c>
      <c r="N111" s="11">
        <f t="shared" si="5"/>
        <v>7</v>
      </c>
    </row>
    <row r="112" spans="1:14" x14ac:dyDescent="0.25">
      <c r="A112" s="11" t="s">
        <v>0</v>
      </c>
      <c r="B112" s="12">
        <v>45133</v>
      </c>
      <c r="C112" s="11" t="s">
        <v>688</v>
      </c>
      <c r="D112" s="11" t="s">
        <v>692</v>
      </c>
      <c r="E112" s="13" t="s">
        <v>143</v>
      </c>
      <c r="F112" s="14" t="s">
        <v>241</v>
      </c>
      <c r="G112" s="14" t="s">
        <v>214</v>
      </c>
      <c r="I112" s="11" t="b">
        <f t="shared" si="3"/>
        <v>0</v>
      </c>
      <c r="K112" s="16">
        <v>70</v>
      </c>
      <c r="M112" s="17">
        <f t="shared" si="4"/>
        <v>7754.5000000000127</v>
      </c>
      <c r="N112" s="11">
        <f t="shared" si="5"/>
        <v>7</v>
      </c>
    </row>
    <row r="113" spans="1:14" x14ac:dyDescent="0.25">
      <c r="A113" s="11" t="s">
        <v>0</v>
      </c>
      <c r="B113" s="12">
        <v>45133</v>
      </c>
      <c r="C113" s="11" t="s">
        <v>688</v>
      </c>
      <c r="D113" s="11" t="s">
        <v>692</v>
      </c>
      <c r="E113" s="13" t="s">
        <v>492</v>
      </c>
      <c r="F113" s="14" t="s">
        <v>111</v>
      </c>
      <c r="G113" s="14" t="s">
        <v>201</v>
      </c>
      <c r="I113" s="11" t="b">
        <f t="shared" si="3"/>
        <v>0</v>
      </c>
      <c r="K113" s="16">
        <v>3445</v>
      </c>
      <c r="M113" s="17">
        <f t="shared" si="4"/>
        <v>4309.5000000000127</v>
      </c>
      <c r="N113" s="11">
        <f t="shared" si="5"/>
        <v>7</v>
      </c>
    </row>
    <row r="114" spans="1:14" x14ac:dyDescent="0.25">
      <c r="A114" s="11" t="s">
        <v>0</v>
      </c>
      <c r="B114" s="12">
        <v>45133</v>
      </c>
      <c r="C114" s="11" t="s">
        <v>688</v>
      </c>
      <c r="D114" s="11" t="s">
        <v>720</v>
      </c>
      <c r="E114" s="13" t="s">
        <v>183</v>
      </c>
      <c r="F114" s="14" t="s">
        <v>222</v>
      </c>
      <c r="G114" s="14" t="s">
        <v>201</v>
      </c>
      <c r="I114" s="11" t="b">
        <f t="shared" si="3"/>
        <v>0</v>
      </c>
      <c r="K114" s="16">
        <v>370</v>
      </c>
      <c r="M114" s="17">
        <f t="shared" si="4"/>
        <v>3939.5000000000127</v>
      </c>
      <c r="N114" s="11">
        <f t="shared" si="5"/>
        <v>7</v>
      </c>
    </row>
    <row r="115" spans="1:14" x14ac:dyDescent="0.25">
      <c r="A115" s="11" t="s">
        <v>0</v>
      </c>
      <c r="B115" s="12">
        <v>45133</v>
      </c>
      <c r="C115" s="11" t="s">
        <v>688</v>
      </c>
      <c r="D115" s="11" t="s">
        <v>694</v>
      </c>
      <c r="E115" s="13" t="s">
        <v>182</v>
      </c>
      <c r="F115" s="14" t="s">
        <v>271</v>
      </c>
      <c r="G115" s="14" t="s">
        <v>201</v>
      </c>
      <c r="I115" s="11" t="b">
        <f t="shared" si="3"/>
        <v>0</v>
      </c>
      <c r="K115" s="16">
        <v>47.15</v>
      </c>
      <c r="M115" s="17">
        <f t="shared" si="4"/>
        <v>3892.3500000000126</v>
      </c>
      <c r="N115" s="11">
        <f t="shared" si="5"/>
        <v>7</v>
      </c>
    </row>
    <row r="116" spans="1:14" x14ac:dyDescent="0.25">
      <c r="A116" s="11" t="s">
        <v>0</v>
      </c>
      <c r="B116" s="12">
        <v>45133</v>
      </c>
      <c r="C116" s="11" t="s">
        <v>688</v>
      </c>
      <c r="D116" s="11" t="s">
        <v>692</v>
      </c>
      <c r="E116" s="13" t="s">
        <v>725</v>
      </c>
      <c r="F116" s="14" t="s">
        <v>27</v>
      </c>
      <c r="G116" s="14" t="s">
        <v>199</v>
      </c>
      <c r="I116" s="11" t="b">
        <f t="shared" si="3"/>
        <v>0</v>
      </c>
      <c r="K116" s="16">
        <v>218.38</v>
      </c>
      <c r="M116" s="17">
        <f t="shared" si="4"/>
        <v>3673.9700000000125</v>
      </c>
      <c r="N116" s="11">
        <f t="shared" si="5"/>
        <v>7</v>
      </c>
    </row>
    <row r="117" spans="1:14" x14ac:dyDescent="0.25">
      <c r="A117" s="11" t="s">
        <v>207</v>
      </c>
      <c r="B117" s="12">
        <v>45133</v>
      </c>
      <c r="C117" s="11" t="s">
        <v>688</v>
      </c>
      <c r="D117" s="11" t="s">
        <v>43</v>
      </c>
      <c r="E117" s="13" t="s">
        <v>43</v>
      </c>
      <c r="F117" s="14" t="s">
        <v>286</v>
      </c>
      <c r="I117" s="11" t="b">
        <f t="shared" si="3"/>
        <v>0</v>
      </c>
      <c r="J117" s="16">
        <v>4714.7</v>
      </c>
      <c r="M117" s="17">
        <f t="shared" si="4"/>
        <v>8388.6700000000128</v>
      </c>
      <c r="N117" s="11">
        <f t="shared" si="5"/>
        <v>7</v>
      </c>
    </row>
    <row r="118" spans="1:14" x14ac:dyDescent="0.25">
      <c r="A118" s="11" t="s">
        <v>207</v>
      </c>
      <c r="B118" s="12">
        <v>45133</v>
      </c>
      <c r="C118" s="11" t="s">
        <v>688</v>
      </c>
      <c r="D118" s="11" t="s">
        <v>43</v>
      </c>
      <c r="E118" s="13" t="s">
        <v>43</v>
      </c>
      <c r="F118" s="14" t="s">
        <v>287</v>
      </c>
      <c r="I118" s="11" t="b">
        <f t="shared" si="3"/>
        <v>0</v>
      </c>
      <c r="J118" s="16">
        <v>2445.0500000000002</v>
      </c>
      <c r="M118" s="17">
        <f t="shared" si="4"/>
        <v>10833.720000000012</v>
      </c>
      <c r="N118" s="11">
        <f t="shared" si="5"/>
        <v>7</v>
      </c>
    </row>
    <row r="119" spans="1:14" x14ac:dyDescent="0.25">
      <c r="A119" s="11" t="s">
        <v>207</v>
      </c>
      <c r="B119" s="12">
        <v>45133</v>
      </c>
      <c r="C119" s="11" t="s">
        <v>688</v>
      </c>
      <c r="D119" s="11" t="s">
        <v>43</v>
      </c>
      <c r="E119" s="14" t="s">
        <v>288</v>
      </c>
      <c r="F119" s="14" t="s">
        <v>288</v>
      </c>
      <c r="G119" s="14" t="s">
        <v>173</v>
      </c>
      <c r="I119" s="11">
        <f t="shared" si="3"/>
        <v>3</v>
      </c>
      <c r="J119" s="16">
        <v>280</v>
      </c>
      <c r="M119" s="17">
        <f t="shared" si="4"/>
        <v>11113.720000000012</v>
      </c>
      <c r="N119" s="11">
        <f t="shared" si="5"/>
        <v>7</v>
      </c>
    </row>
    <row r="120" spans="1:14" x14ac:dyDescent="0.25">
      <c r="A120" s="11" t="s">
        <v>0</v>
      </c>
      <c r="B120" s="12">
        <v>45134</v>
      </c>
      <c r="C120" s="11" t="s">
        <v>688</v>
      </c>
      <c r="D120" s="11" t="s">
        <v>692</v>
      </c>
      <c r="E120" s="13" t="s">
        <v>143</v>
      </c>
      <c r="F120" s="14" t="s">
        <v>224</v>
      </c>
      <c r="G120" s="14" t="s">
        <v>213</v>
      </c>
      <c r="I120" s="11" t="b">
        <f t="shared" si="3"/>
        <v>0</v>
      </c>
      <c r="K120" s="16">
        <v>1171.96</v>
      </c>
      <c r="M120" s="17">
        <f t="shared" si="4"/>
        <v>9941.760000000013</v>
      </c>
      <c r="N120" s="11">
        <f t="shared" si="5"/>
        <v>7</v>
      </c>
    </row>
    <row r="121" spans="1:14" x14ac:dyDescent="0.25">
      <c r="A121" s="11" t="s">
        <v>0</v>
      </c>
      <c r="B121" s="12">
        <v>45134</v>
      </c>
      <c r="C121" s="11" t="s">
        <v>688</v>
      </c>
      <c r="D121" s="11" t="s">
        <v>699</v>
      </c>
      <c r="E121" s="13" t="s">
        <v>98</v>
      </c>
      <c r="F121" s="14" t="s">
        <v>272</v>
      </c>
      <c r="G121" s="14" t="s">
        <v>214</v>
      </c>
      <c r="I121" s="11" t="b">
        <f t="shared" si="3"/>
        <v>0</v>
      </c>
      <c r="K121" s="16">
        <v>100</v>
      </c>
      <c r="M121" s="17">
        <f t="shared" si="4"/>
        <v>9841.760000000013</v>
      </c>
      <c r="N121" s="11">
        <f t="shared" si="5"/>
        <v>7</v>
      </c>
    </row>
    <row r="122" spans="1:14" x14ac:dyDescent="0.25">
      <c r="A122" s="11" t="s">
        <v>0</v>
      </c>
      <c r="B122" s="12">
        <v>45134</v>
      </c>
      <c r="C122" s="11" t="s">
        <v>688</v>
      </c>
      <c r="D122" s="11" t="s">
        <v>692</v>
      </c>
      <c r="E122" s="13" t="s">
        <v>725</v>
      </c>
      <c r="F122" s="14" t="s">
        <v>33</v>
      </c>
      <c r="G122" s="14" t="s">
        <v>214</v>
      </c>
      <c r="I122" s="11" t="b">
        <f t="shared" si="3"/>
        <v>0</v>
      </c>
      <c r="K122" s="16">
        <v>90.21</v>
      </c>
      <c r="M122" s="17">
        <f t="shared" si="4"/>
        <v>9751.5500000000138</v>
      </c>
      <c r="N122" s="11">
        <f t="shared" si="5"/>
        <v>7</v>
      </c>
    </row>
    <row r="123" spans="1:14" x14ac:dyDescent="0.25">
      <c r="A123" s="11" t="s">
        <v>0</v>
      </c>
      <c r="B123" s="12">
        <v>45134</v>
      </c>
      <c r="C123" s="11" t="s">
        <v>688</v>
      </c>
      <c r="D123" s="11" t="s">
        <v>701</v>
      </c>
      <c r="E123" s="13" t="s">
        <v>180</v>
      </c>
      <c r="F123" s="14" t="s">
        <v>37</v>
      </c>
      <c r="G123" s="14" t="s">
        <v>214</v>
      </c>
      <c r="I123" s="11" t="b">
        <f t="shared" si="3"/>
        <v>0</v>
      </c>
      <c r="K123" s="16">
        <v>32</v>
      </c>
      <c r="M123" s="17">
        <f t="shared" si="4"/>
        <v>9719.5500000000138</v>
      </c>
      <c r="N123" s="11">
        <f t="shared" si="5"/>
        <v>7</v>
      </c>
    </row>
    <row r="124" spans="1:14" x14ac:dyDescent="0.25">
      <c r="A124" s="11" t="s">
        <v>0</v>
      </c>
      <c r="B124" s="12">
        <v>45134</v>
      </c>
      <c r="C124" s="11" t="s">
        <v>688</v>
      </c>
      <c r="D124" s="11" t="s">
        <v>692</v>
      </c>
      <c r="E124" s="13" t="s">
        <v>726</v>
      </c>
      <c r="F124" s="14" t="s">
        <v>91</v>
      </c>
      <c r="G124" s="14" t="s">
        <v>201</v>
      </c>
      <c r="I124" s="11" t="b">
        <f t="shared" si="3"/>
        <v>0</v>
      </c>
      <c r="K124" s="16">
        <v>2817.42</v>
      </c>
      <c r="M124" s="17">
        <f t="shared" si="4"/>
        <v>6902.1300000000138</v>
      </c>
      <c r="N124" s="11">
        <f t="shared" si="5"/>
        <v>7</v>
      </c>
    </row>
    <row r="125" spans="1:14" x14ac:dyDescent="0.25">
      <c r="A125" s="11" t="s">
        <v>0</v>
      </c>
      <c r="B125" s="12">
        <v>45134</v>
      </c>
      <c r="C125" s="11" t="s">
        <v>688</v>
      </c>
      <c r="D125" s="11" t="s">
        <v>692</v>
      </c>
      <c r="E125" s="13" t="s">
        <v>726</v>
      </c>
      <c r="F125" s="14" t="s">
        <v>91</v>
      </c>
      <c r="G125" s="14" t="s">
        <v>201</v>
      </c>
      <c r="I125" s="11" t="b">
        <f t="shared" si="3"/>
        <v>0</v>
      </c>
      <c r="K125" s="16">
        <v>2817.42</v>
      </c>
      <c r="M125" s="17">
        <f t="shared" si="4"/>
        <v>4084.7100000000137</v>
      </c>
      <c r="N125" s="11">
        <f t="shared" si="5"/>
        <v>7</v>
      </c>
    </row>
    <row r="126" spans="1:14" x14ac:dyDescent="0.25">
      <c r="A126" s="11" t="s">
        <v>0</v>
      </c>
      <c r="B126" s="12">
        <v>45134</v>
      </c>
      <c r="C126" s="11" t="s">
        <v>688</v>
      </c>
      <c r="D126" s="11" t="s">
        <v>692</v>
      </c>
      <c r="E126" s="13" t="s">
        <v>179</v>
      </c>
      <c r="F126" s="14" t="s">
        <v>378</v>
      </c>
      <c r="G126" s="14" t="s">
        <v>201</v>
      </c>
      <c r="I126" s="11" t="b">
        <f t="shared" si="3"/>
        <v>0</v>
      </c>
      <c r="K126" s="16">
        <v>1440</v>
      </c>
      <c r="M126" s="17">
        <f t="shared" si="4"/>
        <v>2644.7100000000137</v>
      </c>
      <c r="N126" s="11">
        <f t="shared" si="5"/>
        <v>7</v>
      </c>
    </row>
    <row r="127" spans="1:14" x14ac:dyDescent="0.25">
      <c r="A127" s="11" t="s">
        <v>0</v>
      </c>
      <c r="B127" s="12">
        <v>45134</v>
      </c>
      <c r="C127" s="11" t="s">
        <v>688</v>
      </c>
      <c r="D127" s="11" t="s">
        <v>47</v>
      </c>
      <c r="E127" s="13" t="s">
        <v>239</v>
      </c>
      <c r="F127" s="14" t="s">
        <v>69</v>
      </c>
      <c r="G127" s="14" t="s">
        <v>201</v>
      </c>
      <c r="I127" s="11" t="b">
        <f t="shared" si="3"/>
        <v>0</v>
      </c>
      <c r="K127" s="16">
        <v>100</v>
      </c>
      <c r="M127" s="17">
        <f t="shared" si="4"/>
        <v>2544.7100000000137</v>
      </c>
      <c r="N127" s="11">
        <f t="shared" si="5"/>
        <v>7</v>
      </c>
    </row>
    <row r="128" spans="1:14" x14ac:dyDescent="0.25">
      <c r="A128" s="11" t="s">
        <v>0</v>
      </c>
      <c r="B128" s="12">
        <v>45134</v>
      </c>
      <c r="C128" s="11" t="s">
        <v>688</v>
      </c>
      <c r="D128" s="11" t="s">
        <v>692</v>
      </c>
      <c r="E128" s="13" t="s">
        <v>179</v>
      </c>
      <c r="F128" s="14" t="s">
        <v>250</v>
      </c>
      <c r="G128" s="14" t="s">
        <v>201</v>
      </c>
      <c r="I128" s="11" t="b">
        <f t="shared" si="3"/>
        <v>0</v>
      </c>
      <c r="K128" s="16">
        <v>1200</v>
      </c>
      <c r="M128" s="17">
        <f t="shared" si="4"/>
        <v>1344.7100000000137</v>
      </c>
      <c r="N128" s="11">
        <f t="shared" si="5"/>
        <v>7</v>
      </c>
    </row>
    <row r="129" spans="1:14" x14ac:dyDescent="0.25">
      <c r="A129" s="11" t="s">
        <v>0</v>
      </c>
      <c r="B129" s="12">
        <v>45134</v>
      </c>
      <c r="C129" s="11" t="s">
        <v>688</v>
      </c>
      <c r="D129" s="11" t="s">
        <v>698</v>
      </c>
      <c r="E129" s="13" t="s">
        <v>239</v>
      </c>
      <c r="F129" s="14" t="s">
        <v>274</v>
      </c>
      <c r="G129" s="14" t="s">
        <v>201</v>
      </c>
      <c r="I129" s="11" t="b">
        <f t="shared" si="3"/>
        <v>0</v>
      </c>
      <c r="K129" s="16">
        <v>100</v>
      </c>
      <c r="M129" s="17">
        <f t="shared" si="4"/>
        <v>1244.7100000000137</v>
      </c>
      <c r="N129" s="11">
        <f t="shared" si="5"/>
        <v>7</v>
      </c>
    </row>
    <row r="130" spans="1:14" x14ac:dyDescent="0.25">
      <c r="A130" s="11" t="s">
        <v>0</v>
      </c>
      <c r="B130" s="12">
        <v>45134</v>
      </c>
      <c r="C130" s="11" t="s">
        <v>688</v>
      </c>
      <c r="D130" s="11" t="s">
        <v>692</v>
      </c>
      <c r="E130" s="13" t="s">
        <v>143</v>
      </c>
      <c r="F130" s="14" t="s">
        <v>31</v>
      </c>
      <c r="G130" s="14" t="s">
        <v>201</v>
      </c>
      <c r="I130" s="11" t="b">
        <f t="shared" si="3"/>
        <v>0</v>
      </c>
      <c r="K130" s="16">
        <v>1151.1099999999999</v>
      </c>
      <c r="M130" s="17">
        <f t="shared" si="4"/>
        <v>93.600000000013779</v>
      </c>
      <c r="N130" s="11">
        <f t="shared" si="5"/>
        <v>7</v>
      </c>
    </row>
    <row r="131" spans="1:14" x14ac:dyDescent="0.25">
      <c r="A131" s="11" t="s">
        <v>0</v>
      </c>
      <c r="B131" s="12">
        <v>45134</v>
      </c>
      <c r="C131" s="11" t="s">
        <v>688</v>
      </c>
      <c r="D131" s="11" t="s">
        <v>696</v>
      </c>
      <c r="E131" s="13" t="s">
        <v>225</v>
      </c>
      <c r="F131" s="14" t="s">
        <v>275</v>
      </c>
      <c r="G131" s="14" t="s">
        <v>201</v>
      </c>
      <c r="I131" s="11" t="b">
        <f t="shared" ref="I131:I194" si="6">IF(AND(G131="MERCADO PAGO",A131="FATURAMENTO"),1,IF(AND(OR(G131="MERCADO PAGO",G131="pix mercado pago",G131= "débito automático mercado pago", G131= "boleto mercado pago"),A131="DESPESAS"),4,IF(AND(G131="SAFRA",A131="FATURAMENTO"),2,IF(AND(OR(G131="SAFRA",G131="PIX SAFRA", G131="DÉBITO AUTOMÁTICO SAFRA", G131= "BOLETO SAFRA", G131= "transferência safra"), A131="DESPESAS"),5,IF(AND(G131="espécie",A131="FATURAMENTO"),3,IF(AND(G131="espécie",A131="DESPESAS"),6))))))</f>
        <v>0</v>
      </c>
      <c r="K131" s="16">
        <v>400</v>
      </c>
      <c r="M131" s="17">
        <f t="shared" ref="M131:M194" si="7">IF(B131=0, "",M130+ J131-K131)</f>
        <v>-306.39999999998622</v>
      </c>
      <c r="N131" s="11">
        <f t="shared" ref="N131:N194" si="8">IF(B131=0, "", MONTH(B131))</f>
        <v>7</v>
      </c>
    </row>
    <row r="132" spans="1:14" x14ac:dyDescent="0.25">
      <c r="A132" s="11" t="s">
        <v>0</v>
      </c>
      <c r="B132" s="12">
        <v>45134</v>
      </c>
      <c r="C132" s="11" t="s">
        <v>688</v>
      </c>
      <c r="D132" s="11" t="s">
        <v>692</v>
      </c>
      <c r="E132" s="13" t="s">
        <v>179</v>
      </c>
      <c r="F132" s="14" t="s">
        <v>378</v>
      </c>
      <c r="G132" s="14" t="s">
        <v>202</v>
      </c>
      <c r="I132" s="11" t="b">
        <f t="shared" si="6"/>
        <v>0</v>
      </c>
      <c r="K132" s="16">
        <v>900</v>
      </c>
      <c r="M132" s="17">
        <f t="shared" si="7"/>
        <v>-1206.3999999999862</v>
      </c>
      <c r="N132" s="11">
        <f t="shared" si="8"/>
        <v>7</v>
      </c>
    </row>
    <row r="133" spans="1:14" x14ac:dyDescent="0.25">
      <c r="A133" s="11" t="s">
        <v>0</v>
      </c>
      <c r="B133" s="12">
        <v>45134</v>
      </c>
      <c r="C133" s="11" t="s">
        <v>688</v>
      </c>
      <c r="D133" s="11" t="s">
        <v>694</v>
      </c>
      <c r="E133" s="13" t="s">
        <v>182</v>
      </c>
      <c r="F133" s="14" t="s">
        <v>276</v>
      </c>
      <c r="G133" s="14" t="s">
        <v>201</v>
      </c>
      <c r="I133" s="11" t="b">
        <f t="shared" si="6"/>
        <v>0</v>
      </c>
      <c r="K133" s="16">
        <v>23.66</v>
      </c>
      <c r="M133" s="17">
        <f t="shared" si="7"/>
        <v>-1230.0599999999863</v>
      </c>
      <c r="N133" s="11">
        <f t="shared" si="8"/>
        <v>7</v>
      </c>
    </row>
    <row r="134" spans="1:14" x14ac:dyDescent="0.25">
      <c r="A134" s="11" t="s">
        <v>0</v>
      </c>
      <c r="B134" s="12">
        <v>45134</v>
      </c>
      <c r="C134" s="11" t="s">
        <v>688</v>
      </c>
      <c r="D134" s="11" t="s">
        <v>694</v>
      </c>
      <c r="E134" s="13" t="s">
        <v>182</v>
      </c>
      <c r="F134" s="14" t="s">
        <v>277</v>
      </c>
      <c r="G134" s="14" t="s">
        <v>201</v>
      </c>
      <c r="I134" s="11" t="b">
        <f t="shared" si="6"/>
        <v>0</v>
      </c>
      <c r="K134" s="16">
        <v>76.569999999999993</v>
      </c>
      <c r="M134" s="17">
        <f t="shared" si="7"/>
        <v>-1306.6299999999862</v>
      </c>
      <c r="N134" s="11">
        <f t="shared" si="8"/>
        <v>7</v>
      </c>
    </row>
    <row r="135" spans="1:14" x14ac:dyDescent="0.25">
      <c r="A135" s="11" t="s">
        <v>207</v>
      </c>
      <c r="B135" s="12">
        <v>45134</v>
      </c>
      <c r="C135" s="11" t="s">
        <v>688</v>
      </c>
      <c r="D135" s="11" t="s">
        <v>43</v>
      </c>
      <c r="E135" s="13" t="s">
        <v>43</v>
      </c>
      <c r="F135" s="14" t="s">
        <v>286</v>
      </c>
      <c r="I135" s="11" t="b">
        <f t="shared" si="6"/>
        <v>0</v>
      </c>
      <c r="J135" s="16">
        <v>2950.85</v>
      </c>
      <c r="M135" s="17">
        <f t="shared" si="7"/>
        <v>1644.2200000000137</v>
      </c>
      <c r="N135" s="11">
        <f t="shared" si="8"/>
        <v>7</v>
      </c>
    </row>
    <row r="136" spans="1:14" x14ac:dyDescent="0.25">
      <c r="A136" s="11" t="s">
        <v>207</v>
      </c>
      <c r="B136" s="12">
        <v>45134</v>
      </c>
      <c r="C136" s="11" t="s">
        <v>688</v>
      </c>
      <c r="D136" s="11" t="s">
        <v>43</v>
      </c>
      <c r="E136" s="13" t="s">
        <v>43</v>
      </c>
      <c r="F136" s="14" t="s">
        <v>287</v>
      </c>
      <c r="I136" s="11" t="b">
        <f t="shared" si="6"/>
        <v>0</v>
      </c>
      <c r="J136" s="16">
        <v>2293.6999999999998</v>
      </c>
      <c r="M136" s="17">
        <f t="shared" si="7"/>
        <v>3937.9200000000137</v>
      </c>
      <c r="N136" s="11">
        <f t="shared" si="8"/>
        <v>7</v>
      </c>
    </row>
    <row r="137" spans="1:14" x14ac:dyDescent="0.25">
      <c r="A137" s="11" t="s">
        <v>207</v>
      </c>
      <c r="B137" s="12">
        <v>45134</v>
      </c>
      <c r="C137" s="11" t="s">
        <v>688</v>
      </c>
      <c r="D137" s="11" t="s">
        <v>43</v>
      </c>
      <c r="E137" s="14" t="s">
        <v>288</v>
      </c>
      <c r="F137" s="14" t="s">
        <v>288</v>
      </c>
      <c r="G137" s="14" t="s">
        <v>173</v>
      </c>
      <c r="I137" s="11">
        <f t="shared" si="6"/>
        <v>3</v>
      </c>
      <c r="J137" s="16">
        <v>720</v>
      </c>
      <c r="M137" s="17">
        <f t="shared" si="7"/>
        <v>4657.9200000000137</v>
      </c>
      <c r="N137" s="11">
        <f t="shared" si="8"/>
        <v>7</v>
      </c>
    </row>
    <row r="138" spans="1:14" x14ac:dyDescent="0.25">
      <c r="A138" s="11" t="s">
        <v>0</v>
      </c>
      <c r="B138" s="12">
        <v>45135</v>
      </c>
      <c r="C138" s="11" t="s">
        <v>688</v>
      </c>
      <c r="D138" s="11" t="s">
        <v>699</v>
      </c>
      <c r="E138" s="13" t="s">
        <v>98</v>
      </c>
      <c r="F138" s="14" t="s">
        <v>246</v>
      </c>
      <c r="G138" s="14" t="s">
        <v>199</v>
      </c>
      <c r="I138" s="11" t="b">
        <f t="shared" si="6"/>
        <v>0</v>
      </c>
      <c r="K138" s="16">
        <v>100</v>
      </c>
      <c r="M138" s="17">
        <f t="shared" si="7"/>
        <v>4557.9200000000137</v>
      </c>
      <c r="N138" s="11">
        <f t="shared" si="8"/>
        <v>7</v>
      </c>
    </row>
    <row r="139" spans="1:14" x14ac:dyDescent="0.25">
      <c r="A139" s="11" t="s">
        <v>0</v>
      </c>
      <c r="B139" s="12">
        <v>45135</v>
      </c>
      <c r="C139" s="11" t="s">
        <v>688</v>
      </c>
      <c r="D139" s="11" t="s">
        <v>701</v>
      </c>
      <c r="E139" s="13" t="s">
        <v>278</v>
      </c>
      <c r="F139" s="14" t="s">
        <v>244</v>
      </c>
      <c r="G139" s="14" t="s">
        <v>199</v>
      </c>
      <c r="I139" s="11" t="b">
        <f t="shared" si="6"/>
        <v>0</v>
      </c>
      <c r="K139" s="16">
        <v>52.5</v>
      </c>
      <c r="M139" s="17">
        <f t="shared" si="7"/>
        <v>4505.4200000000137</v>
      </c>
      <c r="N139" s="11">
        <f t="shared" si="8"/>
        <v>7</v>
      </c>
    </row>
    <row r="140" spans="1:14" x14ac:dyDescent="0.25">
      <c r="A140" s="11" t="s">
        <v>0</v>
      </c>
      <c r="B140" s="12">
        <v>45135</v>
      </c>
      <c r="C140" s="11" t="s">
        <v>688</v>
      </c>
      <c r="D140" s="11" t="s">
        <v>692</v>
      </c>
      <c r="E140" s="13" t="s">
        <v>179</v>
      </c>
      <c r="F140" s="14" t="s">
        <v>378</v>
      </c>
      <c r="G140" s="14" t="s">
        <v>214</v>
      </c>
      <c r="I140" s="11" t="b">
        <f t="shared" si="6"/>
        <v>0</v>
      </c>
      <c r="K140" s="16">
        <v>180</v>
      </c>
      <c r="M140" s="17">
        <f t="shared" si="7"/>
        <v>4325.4200000000137</v>
      </c>
      <c r="N140" s="11">
        <f t="shared" si="8"/>
        <v>7</v>
      </c>
    </row>
    <row r="141" spans="1:14" x14ac:dyDescent="0.25">
      <c r="A141" s="11" t="s">
        <v>0</v>
      </c>
      <c r="B141" s="12">
        <v>45135</v>
      </c>
      <c r="C141" s="11" t="s">
        <v>688</v>
      </c>
      <c r="D141" s="11" t="s">
        <v>692</v>
      </c>
      <c r="E141" s="13" t="s">
        <v>143</v>
      </c>
      <c r="F141" s="14" t="s">
        <v>36</v>
      </c>
      <c r="G141" s="14" t="s">
        <v>201</v>
      </c>
      <c r="I141" s="11" t="b">
        <f t="shared" si="6"/>
        <v>0</v>
      </c>
      <c r="K141" s="16">
        <v>2254.98</v>
      </c>
      <c r="M141" s="17">
        <f t="shared" si="7"/>
        <v>2070.4400000000137</v>
      </c>
      <c r="N141" s="11">
        <f t="shared" si="8"/>
        <v>7</v>
      </c>
    </row>
    <row r="142" spans="1:14" x14ac:dyDescent="0.25">
      <c r="A142" s="11" t="s">
        <v>0</v>
      </c>
      <c r="B142" s="12">
        <v>45135</v>
      </c>
      <c r="C142" s="11" t="s">
        <v>688</v>
      </c>
      <c r="D142" s="11" t="s">
        <v>692</v>
      </c>
      <c r="E142" s="13" t="s">
        <v>179</v>
      </c>
      <c r="F142" s="14" t="s">
        <v>28</v>
      </c>
      <c r="G142" s="14" t="s">
        <v>201</v>
      </c>
      <c r="I142" s="11" t="b">
        <f t="shared" si="6"/>
        <v>0</v>
      </c>
      <c r="K142" s="16">
        <v>2000</v>
      </c>
      <c r="M142" s="17">
        <f t="shared" si="7"/>
        <v>70.440000000013697</v>
      </c>
      <c r="N142" s="11">
        <f t="shared" si="8"/>
        <v>7</v>
      </c>
    </row>
    <row r="143" spans="1:14" x14ac:dyDescent="0.25">
      <c r="A143" s="11" t="s">
        <v>0</v>
      </c>
      <c r="B143" s="12">
        <v>45135</v>
      </c>
      <c r="C143" s="11" t="s">
        <v>688</v>
      </c>
      <c r="D143" s="11" t="s">
        <v>692</v>
      </c>
      <c r="E143" s="13" t="s">
        <v>725</v>
      </c>
      <c r="F143" s="14" t="s">
        <v>27</v>
      </c>
      <c r="G143" s="14" t="s">
        <v>201</v>
      </c>
      <c r="I143" s="11" t="b">
        <f t="shared" si="6"/>
        <v>0</v>
      </c>
      <c r="K143" s="16">
        <v>167.88</v>
      </c>
      <c r="M143" s="17">
        <f t="shared" si="7"/>
        <v>-97.439999999986298</v>
      </c>
      <c r="N143" s="11">
        <f t="shared" si="8"/>
        <v>7</v>
      </c>
    </row>
    <row r="144" spans="1:14" x14ac:dyDescent="0.25">
      <c r="A144" s="11" t="s">
        <v>0</v>
      </c>
      <c r="B144" s="12">
        <v>45135</v>
      </c>
      <c r="C144" s="11" t="s">
        <v>688</v>
      </c>
      <c r="D144" s="11" t="s">
        <v>692</v>
      </c>
      <c r="E144" s="13" t="s">
        <v>725</v>
      </c>
      <c r="F144" s="14" t="s">
        <v>27</v>
      </c>
      <c r="G144" s="14" t="s">
        <v>201</v>
      </c>
      <c r="I144" s="11" t="b">
        <f t="shared" si="6"/>
        <v>0</v>
      </c>
      <c r="K144" s="16">
        <v>411.25</v>
      </c>
      <c r="M144" s="17">
        <f t="shared" si="7"/>
        <v>-508.6899999999863</v>
      </c>
      <c r="N144" s="11">
        <f t="shared" si="8"/>
        <v>7</v>
      </c>
    </row>
    <row r="145" spans="1:14" x14ac:dyDescent="0.25">
      <c r="A145" s="11" t="s">
        <v>0</v>
      </c>
      <c r="B145" s="12">
        <v>45135</v>
      </c>
      <c r="C145" s="11" t="s">
        <v>688</v>
      </c>
      <c r="D145" s="11" t="s">
        <v>692</v>
      </c>
      <c r="E145" s="13" t="s">
        <v>143</v>
      </c>
      <c r="F145" s="14" t="s">
        <v>266</v>
      </c>
      <c r="G145" s="14" t="s">
        <v>217</v>
      </c>
      <c r="I145" s="11" t="b">
        <f t="shared" si="6"/>
        <v>0</v>
      </c>
      <c r="K145" s="16">
        <v>1374</v>
      </c>
      <c r="M145" s="17">
        <f t="shared" si="7"/>
        <v>-1882.6899999999864</v>
      </c>
      <c r="N145" s="11">
        <f t="shared" si="8"/>
        <v>7</v>
      </c>
    </row>
    <row r="146" spans="1:14" x14ac:dyDescent="0.25">
      <c r="A146" s="11" t="s">
        <v>207</v>
      </c>
      <c r="B146" s="12">
        <v>45135</v>
      </c>
      <c r="C146" s="11" t="s">
        <v>688</v>
      </c>
      <c r="D146" s="11" t="s">
        <v>43</v>
      </c>
      <c r="E146" s="13" t="s">
        <v>43</v>
      </c>
      <c r="F146" s="14" t="s">
        <v>286</v>
      </c>
      <c r="I146" s="11" t="b">
        <f t="shared" si="6"/>
        <v>0</v>
      </c>
      <c r="J146" s="16">
        <v>8007.18</v>
      </c>
      <c r="M146" s="17">
        <f t="shared" si="7"/>
        <v>6124.4900000000143</v>
      </c>
      <c r="N146" s="11">
        <f t="shared" si="8"/>
        <v>7</v>
      </c>
    </row>
    <row r="147" spans="1:14" x14ac:dyDescent="0.25">
      <c r="A147" s="11" t="s">
        <v>207</v>
      </c>
      <c r="B147" s="12">
        <v>45135</v>
      </c>
      <c r="C147" s="11" t="s">
        <v>688</v>
      </c>
      <c r="D147" s="11" t="s">
        <v>43</v>
      </c>
      <c r="E147" s="13" t="s">
        <v>43</v>
      </c>
      <c r="F147" s="14" t="s">
        <v>287</v>
      </c>
      <c r="I147" s="11" t="b">
        <f t="shared" si="6"/>
        <v>0</v>
      </c>
      <c r="J147" s="16">
        <v>7720</v>
      </c>
      <c r="M147" s="17">
        <f t="shared" si="7"/>
        <v>13844.490000000014</v>
      </c>
      <c r="N147" s="11">
        <f t="shared" si="8"/>
        <v>7</v>
      </c>
    </row>
    <row r="148" spans="1:14" x14ac:dyDescent="0.25">
      <c r="A148" s="11" t="s">
        <v>207</v>
      </c>
      <c r="B148" s="12">
        <v>45135</v>
      </c>
      <c r="C148" s="11" t="s">
        <v>688</v>
      </c>
      <c r="D148" s="11" t="s">
        <v>43</v>
      </c>
      <c r="E148" s="14" t="s">
        <v>288</v>
      </c>
      <c r="F148" s="14" t="s">
        <v>288</v>
      </c>
      <c r="G148" s="14" t="s">
        <v>173</v>
      </c>
      <c r="I148" s="11">
        <f t="shared" si="6"/>
        <v>3</v>
      </c>
      <c r="J148" s="16">
        <v>950</v>
      </c>
      <c r="M148" s="17">
        <f t="shared" si="7"/>
        <v>14794.490000000014</v>
      </c>
      <c r="N148" s="11">
        <f t="shared" si="8"/>
        <v>7</v>
      </c>
    </row>
    <row r="149" spans="1:14" x14ac:dyDescent="0.25">
      <c r="A149" s="11" t="s">
        <v>0</v>
      </c>
      <c r="B149" s="12">
        <v>45136</v>
      </c>
      <c r="C149" s="11" t="s">
        <v>688</v>
      </c>
      <c r="D149" s="11" t="s">
        <v>701</v>
      </c>
      <c r="E149" s="13" t="s">
        <v>193</v>
      </c>
      <c r="F149" s="14" t="s">
        <v>193</v>
      </c>
      <c r="G149" s="14" t="s">
        <v>217</v>
      </c>
      <c r="I149" s="11" t="b">
        <f t="shared" si="6"/>
        <v>0</v>
      </c>
      <c r="K149" s="16">
        <v>320</v>
      </c>
      <c r="M149" s="17">
        <f t="shared" si="7"/>
        <v>14474.490000000014</v>
      </c>
      <c r="N149" s="11">
        <f t="shared" si="8"/>
        <v>7</v>
      </c>
    </row>
    <row r="150" spans="1:14" x14ac:dyDescent="0.25">
      <c r="A150" s="11" t="s">
        <v>0</v>
      </c>
      <c r="B150" s="12">
        <v>45136</v>
      </c>
      <c r="C150" s="11" t="s">
        <v>688</v>
      </c>
      <c r="D150" s="11" t="s">
        <v>692</v>
      </c>
      <c r="E150" s="13" t="s">
        <v>730</v>
      </c>
      <c r="F150" s="14" t="s">
        <v>34</v>
      </c>
      <c r="G150" s="14" t="s">
        <v>220</v>
      </c>
      <c r="I150" s="11" t="b">
        <f t="shared" si="6"/>
        <v>0</v>
      </c>
      <c r="K150" s="16">
        <v>4511</v>
      </c>
      <c r="M150" s="17">
        <f t="shared" si="7"/>
        <v>9963.4900000000143</v>
      </c>
      <c r="N150" s="11">
        <f t="shared" si="8"/>
        <v>7</v>
      </c>
    </row>
    <row r="151" spans="1:14" x14ac:dyDescent="0.25">
      <c r="A151" s="11" t="s">
        <v>0</v>
      </c>
      <c r="B151" s="12">
        <v>45136</v>
      </c>
      <c r="C151" s="11" t="s">
        <v>688</v>
      </c>
      <c r="D151" s="11" t="s">
        <v>692</v>
      </c>
      <c r="E151" s="13" t="s">
        <v>725</v>
      </c>
      <c r="F151" s="14" t="s">
        <v>27</v>
      </c>
      <c r="G151" s="14" t="s">
        <v>203</v>
      </c>
      <c r="I151" s="11" t="b">
        <f t="shared" si="6"/>
        <v>0</v>
      </c>
      <c r="K151" s="16">
        <v>111.97</v>
      </c>
      <c r="M151" s="17">
        <f t="shared" si="7"/>
        <v>9851.520000000015</v>
      </c>
      <c r="N151" s="11">
        <f t="shared" si="8"/>
        <v>7</v>
      </c>
    </row>
    <row r="152" spans="1:14" x14ac:dyDescent="0.25">
      <c r="A152" s="11" t="s">
        <v>0</v>
      </c>
      <c r="B152" s="12">
        <v>45136</v>
      </c>
      <c r="C152" s="11" t="s">
        <v>688</v>
      </c>
      <c r="D152" s="11" t="s">
        <v>692</v>
      </c>
      <c r="E152" s="13" t="s">
        <v>725</v>
      </c>
      <c r="F152" s="14" t="s">
        <v>27</v>
      </c>
      <c r="G152" s="14" t="s">
        <v>203</v>
      </c>
      <c r="I152" s="11" t="b">
        <f t="shared" si="6"/>
        <v>0</v>
      </c>
      <c r="K152" s="16">
        <v>424.64</v>
      </c>
      <c r="M152" s="17">
        <f t="shared" si="7"/>
        <v>9426.8800000000156</v>
      </c>
      <c r="N152" s="11">
        <f t="shared" si="8"/>
        <v>7</v>
      </c>
    </row>
    <row r="153" spans="1:14" x14ac:dyDescent="0.25">
      <c r="A153" s="11" t="s">
        <v>0</v>
      </c>
      <c r="B153" s="12">
        <v>45136</v>
      </c>
      <c r="C153" s="11" t="s">
        <v>688</v>
      </c>
      <c r="D153" s="11" t="s">
        <v>692</v>
      </c>
      <c r="E153" s="13" t="s">
        <v>725</v>
      </c>
      <c r="F153" s="14" t="s">
        <v>27</v>
      </c>
      <c r="G153" s="14" t="s">
        <v>217</v>
      </c>
      <c r="I153" s="11" t="b">
        <f t="shared" si="6"/>
        <v>0</v>
      </c>
      <c r="K153" s="16">
        <v>793.27</v>
      </c>
      <c r="M153" s="17">
        <f t="shared" si="7"/>
        <v>8633.6100000000151</v>
      </c>
      <c r="N153" s="11">
        <f t="shared" si="8"/>
        <v>7</v>
      </c>
    </row>
    <row r="154" spans="1:14" x14ac:dyDescent="0.25">
      <c r="A154" s="11" t="s">
        <v>207</v>
      </c>
      <c r="B154" s="12">
        <v>45136</v>
      </c>
      <c r="C154" s="11" t="s">
        <v>688</v>
      </c>
      <c r="D154" s="11" t="s">
        <v>43</v>
      </c>
      <c r="E154" s="13" t="s">
        <v>43</v>
      </c>
      <c r="F154" s="14" t="s">
        <v>286</v>
      </c>
      <c r="I154" s="11" t="b">
        <f t="shared" si="6"/>
        <v>0</v>
      </c>
      <c r="J154" s="16">
        <v>11805.75</v>
      </c>
      <c r="M154" s="17">
        <f t="shared" si="7"/>
        <v>20439.360000000015</v>
      </c>
      <c r="N154" s="11">
        <f t="shared" si="8"/>
        <v>7</v>
      </c>
    </row>
    <row r="155" spans="1:14" x14ac:dyDescent="0.25">
      <c r="A155" s="11" t="s">
        <v>207</v>
      </c>
      <c r="B155" s="12">
        <v>45136</v>
      </c>
      <c r="C155" s="11" t="s">
        <v>688</v>
      </c>
      <c r="D155" s="11" t="s">
        <v>43</v>
      </c>
      <c r="E155" s="13" t="s">
        <v>43</v>
      </c>
      <c r="F155" s="14" t="s">
        <v>287</v>
      </c>
      <c r="I155" s="11" t="b">
        <f t="shared" si="6"/>
        <v>0</v>
      </c>
      <c r="J155" s="16">
        <v>6217.48</v>
      </c>
      <c r="M155" s="17">
        <f t="shared" si="7"/>
        <v>26656.840000000015</v>
      </c>
      <c r="N155" s="11">
        <f t="shared" si="8"/>
        <v>7</v>
      </c>
    </row>
    <row r="156" spans="1:14" x14ac:dyDescent="0.25">
      <c r="A156" s="11" t="s">
        <v>207</v>
      </c>
      <c r="B156" s="12">
        <v>45136</v>
      </c>
      <c r="C156" s="11" t="s">
        <v>688</v>
      </c>
      <c r="D156" s="11" t="s">
        <v>43</v>
      </c>
      <c r="E156" s="14" t="s">
        <v>288</v>
      </c>
      <c r="F156" s="14" t="s">
        <v>288</v>
      </c>
      <c r="G156" s="14" t="s">
        <v>173</v>
      </c>
      <c r="I156" s="11">
        <f t="shared" si="6"/>
        <v>3</v>
      </c>
      <c r="J156" s="16">
        <v>440</v>
      </c>
      <c r="M156" s="17">
        <f t="shared" si="7"/>
        <v>27096.840000000015</v>
      </c>
      <c r="N156" s="11">
        <f t="shared" si="8"/>
        <v>7</v>
      </c>
    </row>
    <row r="157" spans="1:14" x14ac:dyDescent="0.25">
      <c r="A157" s="11" t="s">
        <v>0</v>
      </c>
      <c r="B157" s="12">
        <v>45137</v>
      </c>
      <c r="C157" s="11" t="s">
        <v>688</v>
      </c>
      <c r="D157" s="11" t="s">
        <v>701</v>
      </c>
      <c r="E157" s="13" t="s">
        <v>180</v>
      </c>
      <c r="F157" s="14" t="s">
        <v>37</v>
      </c>
      <c r="G157" s="14" t="s">
        <v>220</v>
      </c>
      <c r="I157" s="11" t="b">
        <f t="shared" si="6"/>
        <v>0</v>
      </c>
      <c r="K157" s="16">
        <v>192.5</v>
      </c>
      <c r="M157" s="17">
        <f t="shared" si="7"/>
        <v>26904.340000000015</v>
      </c>
      <c r="N157" s="11">
        <f t="shared" si="8"/>
        <v>7</v>
      </c>
    </row>
    <row r="158" spans="1:14" x14ac:dyDescent="0.25">
      <c r="A158" s="11" t="s">
        <v>0</v>
      </c>
      <c r="B158" s="12">
        <v>45137</v>
      </c>
      <c r="C158" s="11" t="s">
        <v>688</v>
      </c>
      <c r="D158" s="11" t="s">
        <v>692</v>
      </c>
      <c r="E158" s="13" t="s">
        <v>725</v>
      </c>
      <c r="F158" s="14" t="s">
        <v>33</v>
      </c>
      <c r="G158" s="14" t="s">
        <v>215</v>
      </c>
      <c r="I158" s="11" t="b">
        <f t="shared" si="6"/>
        <v>0</v>
      </c>
      <c r="K158" s="16">
        <v>881.84</v>
      </c>
      <c r="M158" s="17">
        <f t="shared" si="7"/>
        <v>26022.500000000015</v>
      </c>
      <c r="N158" s="11">
        <f t="shared" si="8"/>
        <v>7</v>
      </c>
    </row>
    <row r="159" spans="1:14" x14ac:dyDescent="0.25">
      <c r="A159" s="11" t="s">
        <v>207</v>
      </c>
      <c r="B159" s="12">
        <v>45137</v>
      </c>
      <c r="C159" s="11" t="s">
        <v>688</v>
      </c>
      <c r="D159" s="11" t="s">
        <v>43</v>
      </c>
      <c r="E159" s="13" t="s">
        <v>43</v>
      </c>
      <c r="F159" s="14" t="s">
        <v>286</v>
      </c>
      <c r="I159" s="11" t="b">
        <f t="shared" si="6"/>
        <v>0</v>
      </c>
      <c r="J159" s="16">
        <v>11045.15</v>
      </c>
      <c r="M159" s="17">
        <f t="shared" si="7"/>
        <v>37067.650000000016</v>
      </c>
      <c r="N159" s="11">
        <f t="shared" si="8"/>
        <v>7</v>
      </c>
    </row>
    <row r="160" spans="1:14" x14ac:dyDescent="0.25">
      <c r="A160" s="11" t="s">
        <v>207</v>
      </c>
      <c r="B160" s="12">
        <v>45137</v>
      </c>
      <c r="C160" s="11" t="s">
        <v>688</v>
      </c>
      <c r="D160" s="11" t="s">
        <v>43</v>
      </c>
      <c r="E160" s="13" t="s">
        <v>43</v>
      </c>
      <c r="F160" s="14" t="s">
        <v>287</v>
      </c>
      <c r="I160" s="11" t="b">
        <f t="shared" si="6"/>
        <v>0</v>
      </c>
      <c r="J160" s="16">
        <v>6553.11</v>
      </c>
      <c r="M160" s="17">
        <f t="shared" si="7"/>
        <v>43620.760000000017</v>
      </c>
      <c r="N160" s="11">
        <f t="shared" si="8"/>
        <v>7</v>
      </c>
    </row>
    <row r="161" spans="1:14" x14ac:dyDescent="0.25">
      <c r="A161" s="11" t="s">
        <v>207</v>
      </c>
      <c r="B161" s="12">
        <v>45137</v>
      </c>
      <c r="C161" s="11" t="s">
        <v>688</v>
      </c>
      <c r="D161" s="11" t="s">
        <v>43</v>
      </c>
      <c r="E161" s="14" t="s">
        <v>288</v>
      </c>
      <c r="F161" s="14" t="s">
        <v>288</v>
      </c>
      <c r="G161" s="14" t="s">
        <v>173</v>
      </c>
      <c r="I161" s="11">
        <f t="shared" si="6"/>
        <v>3</v>
      </c>
      <c r="J161" s="16">
        <v>1680</v>
      </c>
      <c r="M161" s="17">
        <f t="shared" si="7"/>
        <v>45300.760000000017</v>
      </c>
      <c r="N161" s="11">
        <f t="shared" si="8"/>
        <v>7</v>
      </c>
    </row>
    <row r="162" spans="1:14" x14ac:dyDescent="0.25">
      <c r="A162" s="11" t="s">
        <v>0</v>
      </c>
      <c r="B162" s="12">
        <v>45138</v>
      </c>
      <c r="C162" s="11" t="s">
        <v>688</v>
      </c>
      <c r="D162" s="11" t="s">
        <v>699</v>
      </c>
      <c r="E162" s="13" t="s">
        <v>98</v>
      </c>
      <c r="F162" s="14" t="s">
        <v>246</v>
      </c>
      <c r="G162" s="14" t="s">
        <v>212</v>
      </c>
      <c r="I162" s="11" t="b">
        <f t="shared" si="6"/>
        <v>0</v>
      </c>
      <c r="K162" s="16">
        <v>100</v>
      </c>
      <c r="M162" s="17">
        <f t="shared" si="7"/>
        <v>45200.760000000017</v>
      </c>
      <c r="N162" s="11">
        <f t="shared" si="8"/>
        <v>7</v>
      </c>
    </row>
    <row r="163" spans="1:14" x14ac:dyDescent="0.25">
      <c r="A163" s="11" t="s">
        <v>0</v>
      </c>
      <c r="B163" s="12">
        <v>45138</v>
      </c>
      <c r="C163" s="11" t="s">
        <v>688</v>
      </c>
      <c r="D163" s="11" t="s">
        <v>692</v>
      </c>
      <c r="E163" s="13" t="s">
        <v>725</v>
      </c>
      <c r="F163" s="14" t="s">
        <v>33</v>
      </c>
      <c r="G163" s="14" t="s">
        <v>216</v>
      </c>
      <c r="I163" s="11" t="b">
        <f t="shared" si="6"/>
        <v>0</v>
      </c>
      <c r="K163" s="16">
        <v>11.9</v>
      </c>
      <c r="M163" s="17">
        <f t="shared" si="7"/>
        <v>45188.860000000015</v>
      </c>
      <c r="N163" s="11">
        <f t="shared" si="8"/>
        <v>7</v>
      </c>
    </row>
    <row r="164" spans="1:14" x14ac:dyDescent="0.25">
      <c r="A164" s="11" t="s">
        <v>0</v>
      </c>
      <c r="B164" s="12">
        <v>45138</v>
      </c>
      <c r="C164" s="11" t="s">
        <v>688</v>
      </c>
      <c r="D164" s="11" t="s">
        <v>699</v>
      </c>
      <c r="E164" s="13" t="s">
        <v>98</v>
      </c>
      <c r="F164" s="14" t="s">
        <v>576</v>
      </c>
      <c r="G164" s="14" t="s">
        <v>214</v>
      </c>
      <c r="I164" s="11" t="b">
        <f t="shared" si="6"/>
        <v>0</v>
      </c>
      <c r="K164" s="16">
        <v>250</v>
      </c>
      <c r="M164" s="17">
        <f t="shared" si="7"/>
        <v>44938.860000000015</v>
      </c>
      <c r="N164" s="11">
        <f t="shared" si="8"/>
        <v>7</v>
      </c>
    </row>
    <row r="165" spans="1:14" x14ac:dyDescent="0.25">
      <c r="A165" s="11" t="s">
        <v>0</v>
      </c>
      <c r="B165" s="12">
        <v>45138</v>
      </c>
      <c r="C165" s="11" t="s">
        <v>688</v>
      </c>
      <c r="D165" s="11" t="s">
        <v>695</v>
      </c>
      <c r="E165" s="13" t="s">
        <v>177</v>
      </c>
      <c r="F165" s="14" t="s">
        <v>221</v>
      </c>
      <c r="G165" s="14" t="s">
        <v>201</v>
      </c>
      <c r="I165" s="11" t="b">
        <f t="shared" si="6"/>
        <v>0</v>
      </c>
      <c r="K165" s="16">
        <v>437.9</v>
      </c>
      <c r="M165" s="17">
        <f t="shared" si="7"/>
        <v>44500.960000000014</v>
      </c>
      <c r="N165" s="11">
        <f t="shared" si="8"/>
        <v>7</v>
      </c>
    </row>
    <row r="166" spans="1:14" x14ac:dyDescent="0.25">
      <c r="A166" s="11" t="s">
        <v>0</v>
      </c>
      <c r="B166" s="12">
        <v>45138</v>
      </c>
      <c r="C166" s="11" t="s">
        <v>688</v>
      </c>
      <c r="D166" s="11" t="s">
        <v>692</v>
      </c>
      <c r="E166" s="13" t="s">
        <v>725</v>
      </c>
      <c r="F166" s="14" t="s">
        <v>33</v>
      </c>
      <c r="G166" s="14" t="s">
        <v>201</v>
      </c>
      <c r="I166" s="11" t="b">
        <f t="shared" si="6"/>
        <v>0</v>
      </c>
      <c r="K166" s="16">
        <v>1138.8800000000001</v>
      </c>
      <c r="M166" s="17">
        <f t="shared" si="7"/>
        <v>43362.080000000016</v>
      </c>
      <c r="N166" s="11">
        <f t="shared" si="8"/>
        <v>7</v>
      </c>
    </row>
    <row r="167" spans="1:14" x14ac:dyDescent="0.25">
      <c r="A167" s="11" t="s">
        <v>0</v>
      </c>
      <c r="B167" s="12">
        <v>45138</v>
      </c>
      <c r="C167" s="11" t="s">
        <v>688</v>
      </c>
      <c r="D167" s="11" t="s">
        <v>1</v>
      </c>
      <c r="E167" s="13" t="s">
        <v>273</v>
      </c>
      <c r="F167" s="14" t="s">
        <v>279</v>
      </c>
      <c r="G167" s="14" t="s">
        <v>201</v>
      </c>
      <c r="I167" s="11" t="b">
        <f t="shared" si="6"/>
        <v>0</v>
      </c>
      <c r="K167" s="16">
        <v>25000</v>
      </c>
      <c r="M167" s="17">
        <f t="shared" si="7"/>
        <v>18362.080000000016</v>
      </c>
      <c r="N167" s="11">
        <f t="shared" si="8"/>
        <v>7</v>
      </c>
    </row>
    <row r="168" spans="1:14" x14ac:dyDescent="0.25">
      <c r="A168" s="11" t="s">
        <v>0</v>
      </c>
      <c r="B168" s="12">
        <v>45138</v>
      </c>
      <c r="C168" s="11" t="s">
        <v>688</v>
      </c>
      <c r="D168" s="11" t="s">
        <v>696</v>
      </c>
      <c r="E168" s="13" t="s">
        <v>225</v>
      </c>
      <c r="F168" s="14" t="s">
        <v>253</v>
      </c>
      <c r="G168" s="14" t="s">
        <v>201</v>
      </c>
      <c r="I168" s="11" t="b">
        <f t="shared" si="6"/>
        <v>0</v>
      </c>
      <c r="K168" s="16">
        <v>1200</v>
      </c>
      <c r="M168" s="17">
        <f t="shared" si="7"/>
        <v>17162.080000000016</v>
      </c>
      <c r="N168" s="11">
        <f t="shared" si="8"/>
        <v>7</v>
      </c>
    </row>
    <row r="169" spans="1:14" x14ac:dyDescent="0.25">
      <c r="A169" s="11" t="s">
        <v>0</v>
      </c>
      <c r="B169" s="12">
        <v>45138</v>
      </c>
      <c r="C169" s="11" t="s">
        <v>688</v>
      </c>
      <c r="D169" s="11" t="s">
        <v>696</v>
      </c>
      <c r="E169" s="13" t="s">
        <v>225</v>
      </c>
      <c r="F169" s="14" t="s">
        <v>65</v>
      </c>
      <c r="G169" s="14" t="s">
        <v>201</v>
      </c>
      <c r="I169" s="11" t="b">
        <f t="shared" si="6"/>
        <v>0</v>
      </c>
      <c r="K169" s="16">
        <v>677</v>
      </c>
      <c r="M169" s="17">
        <f t="shared" si="7"/>
        <v>16485.080000000016</v>
      </c>
      <c r="N169" s="11">
        <f t="shared" si="8"/>
        <v>7</v>
      </c>
    </row>
    <row r="170" spans="1:14" x14ac:dyDescent="0.25">
      <c r="A170" s="11" t="s">
        <v>0</v>
      </c>
      <c r="B170" s="12">
        <v>45138</v>
      </c>
      <c r="C170" s="11" t="s">
        <v>688</v>
      </c>
      <c r="D170" s="11" t="s">
        <v>696</v>
      </c>
      <c r="E170" s="13" t="s">
        <v>225</v>
      </c>
      <c r="F170" s="14" t="s">
        <v>69</v>
      </c>
      <c r="G170" s="14" t="s">
        <v>201</v>
      </c>
      <c r="I170" s="11" t="b">
        <f t="shared" si="6"/>
        <v>0</v>
      </c>
      <c r="K170" s="16">
        <v>850</v>
      </c>
      <c r="M170" s="17">
        <f t="shared" si="7"/>
        <v>15635.080000000016</v>
      </c>
      <c r="N170" s="11">
        <f t="shared" si="8"/>
        <v>7</v>
      </c>
    </row>
    <row r="171" spans="1:14" x14ac:dyDescent="0.25">
      <c r="A171" s="11" t="s">
        <v>0</v>
      </c>
      <c r="B171" s="12">
        <v>45138</v>
      </c>
      <c r="C171" s="11" t="s">
        <v>688</v>
      </c>
      <c r="D171" s="11" t="s">
        <v>694</v>
      </c>
      <c r="E171" s="13" t="s">
        <v>182</v>
      </c>
      <c r="F171" s="14" t="s">
        <v>280</v>
      </c>
      <c r="G171" s="14" t="s">
        <v>200</v>
      </c>
      <c r="I171" s="11" t="b">
        <f t="shared" si="6"/>
        <v>0</v>
      </c>
      <c r="K171" s="16">
        <v>11.5</v>
      </c>
      <c r="M171" s="17">
        <f t="shared" si="7"/>
        <v>15623.580000000016</v>
      </c>
      <c r="N171" s="11">
        <f t="shared" si="8"/>
        <v>7</v>
      </c>
    </row>
    <row r="172" spans="1:14" x14ac:dyDescent="0.25">
      <c r="A172" s="11" t="s">
        <v>0</v>
      </c>
      <c r="B172" s="12">
        <v>45138</v>
      </c>
      <c r="C172" s="11" t="s">
        <v>688</v>
      </c>
      <c r="D172" s="11" t="s">
        <v>694</v>
      </c>
      <c r="E172" s="13" t="s">
        <v>182</v>
      </c>
      <c r="F172" s="14" t="s">
        <v>280</v>
      </c>
      <c r="G172" s="14" t="s">
        <v>200</v>
      </c>
      <c r="I172" s="11" t="b">
        <f t="shared" si="6"/>
        <v>0</v>
      </c>
      <c r="K172" s="16">
        <v>11.5</v>
      </c>
      <c r="M172" s="17">
        <f t="shared" si="7"/>
        <v>15612.080000000016</v>
      </c>
      <c r="N172" s="11">
        <f t="shared" si="8"/>
        <v>7</v>
      </c>
    </row>
    <row r="173" spans="1:14" x14ac:dyDescent="0.25">
      <c r="A173" s="11" t="s">
        <v>0</v>
      </c>
      <c r="B173" s="12">
        <v>45138</v>
      </c>
      <c r="C173" s="11" t="s">
        <v>688</v>
      </c>
      <c r="D173" s="11" t="s">
        <v>694</v>
      </c>
      <c r="E173" s="13" t="s">
        <v>182</v>
      </c>
      <c r="F173" s="14" t="s">
        <v>280</v>
      </c>
      <c r="G173" s="14" t="s">
        <v>200</v>
      </c>
      <c r="I173" s="11" t="b">
        <f t="shared" si="6"/>
        <v>0</v>
      </c>
      <c r="K173" s="16">
        <v>11.5</v>
      </c>
      <c r="M173" s="17">
        <f t="shared" si="7"/>
        <v>15600.580000000016</v>
      </c>
      <c r="N173" s="11">
        <f t="shared" si="8"/>
        <v>7</v>
      </c>
    </row>
    <row r="174" spans="1:14" x14ac:dyDescent="0.25">
      <c r="A174" s="11" t="s">
        <v>0</v>
      </c>
      <c r="B174" s="12">
        <v>45138</v>
      </c>
      <c r="C174" s="11" t="s">
        <v>688</v>
      </c>
      <c r="D174" s="11" t="s">
        <v>694</v>
      </c>
      <c r="E174" s="13" t="s">
        <v>182</v>
      </c>
      <c r="F174" s="14" t="s">
        <v>281</v>
      </c>
      <c r="G174" s="14" t="s">
        <v>199</v>
      </c>
      <c r="I174" s="11" t="b">
        <f t="shared" si="6"/>
        <v>0</v>
      </c>
      <c r="K174" s="16">
        <v>14.65</v>
      </c>
      <c r="M174" s="17">
        <f t="shared" si="7"/>
        <v>15585.930000000017</v>
      </c>
      <c r="N174" s="11">
        <f t="shared" si="8"/>
        <v>7</v>
      </c>
    </row>
    <row r="175" spans="1:14" x14ac:dyDescent="0.25">
      <c r="A175" s="11" t="s">
        <v>207</v>
      </c>
      <c r="B175" s="12">
        <v>45138</v>
      </c>
      <c r="C175" s="11" t="s">
        <v>688</v>
      </c>
      <c r="D175" s="11" t="s">
        <v>43</v>
      </c>
      <c r="E175" s="13" t="s">
        <v>43</v>
      </c>
      <c r="F175" s="14" t="s">
        <v>286</v>
      </c>
      <c r="I175" s="11" t="b">
        <f t="shared" si="6"/>
        <v>0</v>
      </c>
      <c r="J175" s="16">
        <v>3207.6</v>
      </c>
      <c r="M175" s="17">
        <f t="shared" si="7"/>
        <v>18793.530000000017</v>
      </c>
      <c r="N175" s="11">
        <f t="shared" si="8"/>
        <v>7</v>
      </c>
    </row>
    <row r="176" spans="1:14" x14ac:dyDescent="0.25">
      <c r="A176" s="11" t="s">
        <v>207</v>
      </c>
      <c r="B176" s="12">
        <v>45138</v>
      </c>
      <c r="C176" s="11" t="s">
        <v>688</v>
      </c>
      <c r="D176" s="11" t="s">
        <v>43</v>
      </c>
      <c r="E176" s="13" t="s">
        <v>43</v>
      </c>
      <c r="F176" s="14" t="s">
        <v>287</v>
      </c>
      <c r="I176" s="11" t="b">
        <f t="shared" si="6"/>
        <v>0</v>
      </c>
      <c r="J176" s="16">
        <v>614.1</v>
      </c>
      <c r="M176" s="17">
        <f t="shared" si="7"/>
        <v>19407.630000000016</v>
      </c>
      <c r="N176" s="11">
        <f t="shared" si="8"/>
        <v>7</v>
      </c>
    </row>
    <row r="177" spans="1:14" x14ac:dyDescent="0.25">
      <c r="A177" s="11" t="s">
        <v>207</v>
      </c>
      <c r="B177" s="12">
        <v>45138</v>
      </c>
      <c r="C177" s="11" t="s">
        <v>688</v>
      </c>
      <c r="D177" s="11" t="s">
        <v>43</v>
      </c>
      <c r="E177" s="14" t="s">
        <v>288</v>
      </c>
      <c r="F177" s="14" t="s">
        <v>288</v>
      </c>
      <c r="G177" s="14" t="s">
        <v>173</v>
      </c>
      <c r="I177" s="11">
        <f t="shared" si="6"/>
        <v>3</v>
      </c>
      <c r="J177" s="16">
        <v>244.9</v>
      </c>
      <c r="M177" s="17">
        <f t="shared" si="7"/>
        <v>19652.530000000017</v>
      </c>
      <c r="N177" s="11">
        <f t="shared" si="8"/>
        <v>7</v>
      </c>
    </row>
    <row r="178" spans="1:14" x14ac:dyDescent="0.25">
      <c r="A178" s="11" t="s">
        <v>0</v>
      </c>
      <c r="B178" s="12">
        <v>45139</v>
      </c>
      <c r="C178" s="11" t="s">
        <v>688</v>
      </c>
      <c r="D178" s="11" t="s">
        <v>696</v>
      </c>
      <c r="E178" s="13" t="s">
        <v>290</v>
      </c>
      <c r="F178" s="14" t="s">
        <v>289</v>
      </c>
      <c r="G178" s="14" t="s">
        <v>173</v>
      </c>
      <c r="I178" s="11">
        <f t="shared" si="6"/>
        <v>6</v>
      </c>
      <c r="K178" s="16">
        <v>1000</v>
      </c>
      <c r="M178" s="17">
        <f t="shared" si="7"/>
        <v>18652.530000000017</v>
      </c>
      <c r="N178" s="11">
        <f t="shared" si="8"/>
        <v>8</v>
      </c>
    </row>
    <row r="179" spans="1:14" x14ac:dyDescent="0.25">
      <c r="A179" s="11" t="s">
        <v>0</v>
      </c>
      <c r="B179" s="12">
        <v>45139</v>
      </c>
      <c r="C179" s="11" t="s">
        <v>688</v>
      </c>
      <c r="D179" s="11" t="s">
        <v>699</v>
      </c>
      <c r="E179" s="13" t="s">
        <v>297</v>
      </c>
      <c r="F179" s="14" t="s">
        <v>296</v>
      </c>
      <c r="G179" s="14" t="s">
        <v>371</v>
      </c>
      <c r="I179" s="11" t="b">
        <f t="shared" si="6"/>
        <v>0</v>
      </c>
      <c r="K179" s="16">
        <v>210</v>
      </c>
      <c r="M179" s="17">
        <f t="shared" si="7"/>
        <v>18442.530000000017</v>
      </c>
      <c r="N179" s="11">
        <f t="shared" si="8"/>
        <v>8</v>
      </c>
    </row>
    <row r="180" spans="1:14" x14ac:dyDescent="0.25">
      <c r="A180" s="11" t="s">
        <v>0</v>
      </c>
      <c r="B180" s="12">
        <v>45139</v>
      </c>
      <c r="C180" s="11" t="s">
        <v>688</v>
      </c>
      <c r="D180" s="11" t="s">
        <v>692</v>
      </c>
      <c r="E180" s="13" t="s">
        <v>725</v>
      </c>
      <c r="F180" s="14" t="s">
        <v>27</v>
      </c>
      <c r="G180" s="14" t="s">
        <v>371</v>
      </c>
      <c r="I180" s="11" t="b">
        <f t="shared" si="6"/>
        <v>0</v>
      </c>
      <c r="K180" s="16">
        <v>915.79</v>
      </c>
      <c r="M180" s="17">
        <f t="shared" si="7"/>
        <v>17526.740000000016</v>
      </c>
      <c r="N180" s="11">
        <f t="shared" si="8"/>
        <v>8</v>
      </c>
    </row>
    <row r="181" spans="1:14" x14ac:dyDescent="0.25">
      <c r="A181" s="11" t="s">
        <v>0</v>
      </c>
      <c r="B181" s="12">
        <v>45139</v>
      </c>
      <c r="C181" s="11" t="s">
        <v>688</v>
      </c>
      <c r="D181" s="11" t="s">
        <v>699</v>
      </c>
      <c r="E181" s="13" t="s">
        <v>299</v>
      </c>
      <c r="F181" s="14" t="s">
        <v>298</v>
      </c>
      <c r="G181" s="14" t="s">
        <v>371</v>
      </c>
      <c r="I181" s="11" t="b">
        <f t="shared" si="6"/>
        <v>0</v>
      </c>
      <c r="K181" s="16">
        <v>480</v>
      </c>
      <c r="M181" s="17">
        <f t="shared" si="7"/>
        <v>17046.740000000016</v>
      </c>
      <c r="N181" s="11">
        <f t="shared" si="8"/>
        <v>8</v>
      </c>
    </row>
    <row r="182" spans="1:14" x14ac:dyDescent="0.25">
      <c r="A182" s="11" t="s">
        <v>0</v>
      </c>
      <c r="B182" s="12">
        <v>45139</v>
      </c>
      <c r="C182" s="11" t="s">
        <v>688</v>
      </c>
      <c r="D182" s="11" t="s">
        <v>699</v>
      </c>
      <c r="E182" s="13" t="s">
        <v>98</v>
      </c>
      <c r="F182" s="14" t="s">
        <v>300</v>
      </c>
      <c r="G182" s="14" t="s">
        <v>371</v>
      </c>
      <c r="I182" s="11" t="b">
        <f t="shared" si="6"/>
        <v>0</v>
      </c>
      <c r="K182" s="16">
        <v>100</v>
      </c>
      <c r="M182" s="17">
        <f t="shared" si="7"/>
        <v>16946.740000000016</v>
      </c>
      <c r="N182" s="11">
        <f t="shared" si="8"/>
        <v>8</v>
      </c>
    </row>
    <row r="183" spans="1:14" x14ac:dyDescent="0.25">
      <c r="A183" s="11" t="s">
        <v>0</v>
      </c>
      <c r="B183" s="12">
        <v>45139</v>
      </c>
      <c r="C183" s="11" t="s">
        <v>688</v>
      </c>
      <c r="D183" s="11" t="s">
        <v>696</v>
      </c>
      <c r="E183" s="13" t="s">
        <v>290</v>
      </c>
      <c r="F183" s="14" t="s">
        <v>73</v>
      </c>
      <c r="G183" s="14" t="s">
        <v>174</v>
      </c>
      <c r="I183" s="11" t="b">
        <f t="shared" si="6"/>
        <v>0</v>
      </c>
      <c r="K183" s="16">
        <v>700</v>
      </c>
      <c r="M183" s="17">
        <f t="shared" si="7"/>
        <v>16246.740000000016</v>
      </c>
      <c r="N183" s="11">
        <f t="shared" si="8"/>
        <v>8</v>
      </c>
    </row>
    <row r="184" spans="1:14" x14ac:dyDescent="0.25">
      <c r="A184" s="11" t="s">
        <v>0</v>
      </c>
      <c r="B184" s="12">
        <v>45139</v>
      </c>
      <c r="C184" s="11" t="s">
        <v>688</v>
      </c>
      <c r="D184" s="11" t="s">
        <v>692</v>
      </c>
      <c r="E184" s="13" t="s">
        <v>267</v>
      </c>
      <c r="F184" s="14" t="s">
        <v>301</v>
      </c>
      <c r="G184" s="14" t="s">
        <v>174</v>
      </c>
      <c r="I184" s="11" t="b">
        <f t="shared" si="6"/>
        <v>0</v>
      </c>
      <c r="K184" s="16">
        <v>1070</v>
      </c>
      <c r="M184" s="17">
        <f t="shared" si="7"/>
        <v>15176.740000000016</v>
      </c>
      <c r="N184" s="11">
        <f t="shared" si="8"/>
        <v>8</v>
      </c>
    </row>
    <row r="185" spans="1:14" x14ac:dyDescent="0.25">
      <c r="A185" s="11" t="s">
        <v>0</v>
      </c>
      <c r="B185" s="12">
        <v>45139</v>
      </c>
      <c r="C185" s="11" t="s">
        <v>688</v>
      </c>
      <c r="D185" s="11" t="s">
        <v>692</v>
      </c>
      <c r="E185" s="13" t="s">
        <v>179</v>
      </c>
      <c r="F185" s="14" t="s">
        <v>28</v>
      </c>
      <c r="G185" s="14" t="s">
        <v>174</v>
      </c>
      <c r="I185" s="11" t="b">
        <f t="shared" si="6"/>
        <v>0</v>
      </c>
      <c r="K185" s="16">
        <v>2661</v>
      </c>
      <c r="M185" s="17">
        <f t="shared" si="7"/>
        <v>12515.740000000016</v>
      </c>
      <c r="N185" s="11">
        <f t="shared" si="8"/>
        <v>8</v>
      </c>
    </row>
    <row r="186" spans="1:14" x14ac:dyDescent="0.25">
      <c r="A186" s="11" t="s">
        <v>0</v>
      </c>
      <c r="B186" s="12">
        <v>45139</v>
      </c>
      <c r="C186" s="11" t="s">
        <v>688</v>
      </c>
      <c r="D186" s="11" t="s">
        <v>696</v>
      </c>
      <c r="E186" s="13" t="s">
        <v>290</v>
      </c>
      <c r="F186" s="14" t="s">
        <v>66</v>
      </c>
      <c r="G186" s="14" t="s">
        <v>174</v>
      </c>
      <c r="I186" s="11" t="b">
        <f t="shared" si="6"/>
        <v>0</v>
      </c>
      <c r="K186" s="16">
        <v>1290</v>
      </c>
      <c r="M186" s="17">
        <f t="shared" si="7"/>
        <v>11225.740000000016</v>
      </c>
      <c r="N186" s="11">
        <f t="shared" si="8"/>
        <v>8</v>
      </c>
    </row>
    <row r="187" spans="1:14" x14ac:dyDescent="0.25">
      <c r="A187" s="11" t="s">
        <v>0</v>
      </c>
      <c r="B187" s="12">
        <v>45139</v>
      </c>
      <c r="C187" s="11" t="s">
        <v>688</v>
      </c>
      <c r="D187" s="11" t="s">
        <v>696</v>
      </c>
      <c r="E187" s="13" t="s">
        <v>290</v>
      </c>
      <c r="F187" s="14" t="s">
        <v>260</v>
      </c>
      <c r="G187" s="14" t="s">
        <v>174</v>
      </c>
      <c r="I187" s="11" t="b">
        <f t="shared" si="6"/>
        <v>0</v>
      </c>
      <c r="K187" s="16">
        <v>750</v>
      </c>
      <c r="M187" s="17">
        <f t="shared" si="7"/>
        <v>10475.740000000016</v>
      </c>
      <c r="N187" s="11">
        <f t="shared" si="8"/>
        <v>8</v>
      </c>
    </row>
    <row r="188" spans="1:14" x14ac:dyDescent="0.25">
      <c r="A188" s="11" t="s">
        <v>0</v>
      </c>
      <c r="B188" s="12">
        <v>45139</v>
      </c>
      <c r="C188" s="11" t="s">
        <v>688</v>
      </c>
      <c r="D188" s="11" t="s">
        <v>696</v>
      </c>
      <c r="E188" s="13" t="s">
        <v>290</v>
      </c>
      <c r="F188" s="14" t="s">
        <v>69</v>
      </c>
      <c r="G188" s="14" t="s">
        <v>174</v>
      </c>
      <c r="I188" s="11" t="b">
        <f t="shared" si="6"/>
        <v>0</v>
      </c>
      <c r="K188" s="16">
        <v>890</v>
      </c>
      <c r="M188" s="17">
        <f t="shared" si="7"/>
        <v>9585.7400000000162</v>
      </c>
      <c r="N188" s="11">
        <f t="shared" si="8"/>
        <v>8</v>
      </c>
    </row>
    <row r="189" spans="1:14" x14ac:dyDescent="0.25">
      <c r="A189" s="11" t="s">
        <v>0</v>
      </c>
      <c r="B189" s="12">
        <v>45139</v>
      </c>
      <c r="C189" s="11" t="s">
        <v>688</v>
      </c>
      <c r="D189" s="11" t="s">
        <v>696</v>
      </c>
      <c r="E189" s="13" t="s">
        <v>290</v>
      </c>
      <c r="F189" s="14" t="s">
        <v>66</v>
      </c>
      <c r="G189" s="14" t="s">
        <v>174</v>
      </c>
      <c r="I189" s="11" t="b">
        <f t="shared" si="6"/>
        <v>0</v>
      </c>
      <c r="K189" s="16">
        <v>400</v>
      </c>
      <c r="M189" s="17">
        <f t="shared" si="7"/>
        <v>9185.7400000000162</v>
      </c>
      <c r="N189" s="11">
        <f t="shared" si="8"/>
        <v>8</v>
      </c>
    </row>
    <row r="190" spans="1:14" x14ac:dyDescent="0.25">
      <c r="A190" s="11" t="s">
        <v>0</v>
      </c>
      <c r="B190" s="12">
        <v>45139</v>
      </c>
      <c r="C190" s="11" t="s">
        <v>688</v>
      </c>
      <c r="D190" s="11" t="s">
        <v>694</v>
      </c>
      <c r="E190" s="13" t="s">
        <v>182</v>
      </c>
      <c r="F190" s="14" t="s">
        <v>281</v>
      </c>
      <c r="G190" s="14" t="s">
        <v>186</v>
      </c>
      <c r="I190" s="11" t="b">
        <f t="shared" si="6"/>
        <v>0</v>
      </c>
      <c r="K190" s="16">
        <v>18.79</v>
      </c>
      <c r="M190" s="17">
        <f t="shared" si="7"/>
        <v>9166.9500000000153</v>
      </c>
      <c r="N190" s="11">
        <f t="shared" si="8"/>
        <v>8</v>
      </c>
    </row>
    <row r="191" spans="1:14" x14ac:dyDescent="0.25">
      <c r="A191" s="11" t="s">
        <v>0</v>
      </c>
      <c r="B191" s="12">
        <v>45139</v>
      </c>
      <c r="C191" s="11" t="s">
        <v>688</v>
      </c>
      <c r="D191" s="11" t="s">
        <v>694</v>
      </c>
      <c r="E191" s="13" t="s">
        <v>182</v>
      </c>
      <c r="F191" s="14" t="s">
        <v>302</v>
      </c>
      <c r="G191" s="14" t="s">
        <v>186</v>
      </c>
      <c r="I191" s="11" t="b">
        <f t="shared" si="6"/>
        <v>0</v>
      </c>
      <c r="K191" s="16">
        <v>37.49</v>
      </c>
      <c r="M191" s="17">
        <f t="shared" si="7"/>
        <v>9129.4600000000155</v>
      </c>
      <c r="N191" s="11">
        <f t="shared" si="8"/>
        <v>8</v>
      </c>
    </row>
    <row r="192" spans="1:14" x14ac:dyDescent="0.25">
      <c r="A192" s="11" t="s">
        <v>0</v>
      </c>
      <c r="B192" s="12">
        <v>45139</v>
      </c>
      <c r="C192" s="11" t="s">
        <v>688</v>
      </c>
      <c r="D192" s="11" t="s">
        <v>694</v>
      </c>
      <c r="E192" s="13" t="s">
        <v>182</v>
      </c>
      <c r="F192" s="14" t="s">
        <v>303</v>
      </c>
      <c r="G192" s="14" t="s">
        <v>186</v>
      </c>
      <c r="I192" s="11" t="b">
        <f t="shared" si="6"/>
        <v>0</v>
      </c>
      <c r="K192" s="16">
        <v>135.83000000000001</v>
      </c>
      <c r="M192" s="17">
        <f t="shared" si="7"/>
        <v>8993.6300000000156</v>
      </c>
      <c r="N192" s="11">
        <f t="shared" si="8"/>
        <v>8</v>
      </c>
    </row>
    <row r="193" spans="1:14" x14ac:dyDescent="0.25">
      <c r="A193" s="11" t="s">
        <v>207</v>
      </c>
      <c r="B193" s="12">
        <v>45139</v>
      </c>
      <c r="C193" s="11" t="s">
        <v>688</v>
      </c>
      <c r="D193" s="11" t="s">
        <v>43</v>
      </c>
      <c r="E193" s="13" t="s">
        <v>349</v>
      </c>
      <c r="F193" s="14" t="s">
        <v>286</v>
      </c>
      <c r="I193" s="11" t="b">
        <f t="shared" si="6"/>
        <v>0</v>
      </c>
      <c r="J193" s="16">
        <v>3674.4</v>
      </c>
      <c r="M193" s="17">
        <f t="shared" si="7"/>
        <v>12668.030000000015</v>
      </c>
      <c r="N193" s="11">
        <f t="shared" si="8"/>
        <v>8</v>
      </c>
    </row>
    <row r="194" spans="1:14" x14ac:dyDescent="0.25">
      <c r="A194" s="11" t="s">
        <v>207</v>
      </c>
      <c r="B194" s="12">
        <v>45139</v>
      </c>
      <c r="C194" s="11" t="s">
        <v>688</v>
      </c>
      <c r="D194" s="11" t="s">
        <v>43</v>
      </c>
      <c r="E194" s="13" t="s">
        <v>43</v>
      </c>
      <c r="F194" s="14" t="s">
        <v>287</v>
      </c>
      <c r="I194" s="11" t="b">
        <f t="shared" si="6"/>
        <v>0</v>
      </c>
      <c r="J194" s="16">
        <v>1273.3499999999999</v>
      </c>
      <c r="M194" s="17">
        <f t="shared" si="7"/>
        <v>13941.380000000016</v>
      </c>
      <c r="N194" s="11">
        <f t="shared" si="8"/>
        <v>8</v>
      </c>
    </row>
    <row r="195" spans="1:14" x14ac:dyDescent="0.25">
      <c r="A195" s="11" t="s">
        <v>207</v>
      </c>
      <c r="B195" s="12">
        <v>45139</v>
      </c>
      <c r="C195" s="11" t="s">
        <v>688</v>
      </c>
      <c r="D195" s="11" t="s">
        <v>43</v>
      </c>
      <c r="E195" s="14" t="s">
        <v>288</v>
      </c>
      <c r="F195" s="14" t="s">
        <v>288</v>
      </c>
      <c r="G195" s="14" t="s">
        <v>173</v>
      </c>
      <c r="I195" s="11">
        <f t="shared" ref="I195:I258" si="9">IF(AND(G195="MERCADO PAGO",A195="FATURAMENTO"),1,IF(AND(OR(G195="MERCADO PAGO",G195="pix mercado pago",G195= "débito automático mercado pago", G195= "boleto mercado pago"),A195="DESPESAS"),4,IF(AND(G195="SAFRA",A195="FATURAMENTO"),2,IF(AND(OR(G195="SAFRA",G195="PIX SAFRA", G195="DÉBITO AUTOMÁTICO SAFRA", G195= "BOLETO SAFRA", G195= "transferência safra"), A195="DESPESAS"),5,IF(AND(G195="espécie",A195="FATURAMENTO"),3,IF(AND(G195="espécie",A195="DESPESAS"),6))))))</f>
        <v>3</v>
      </c>
      <c r="J195" s="16">
        <v>21.6</v>
      </c>
      <c r="M195" s="17">
        <f t="shared" ref="M195:M258" si="10">IF(B195=0, "",M194+ J195-K195)</f>
        <v>13962.980000000016</v>
      </c>
      <c r="N195" s="11">
        <f t="shared" ref="N195:N258" si="11">IF(B195=0, "", MONTH(B195))</f>
        <v>8</v>
      </c>
    </row>
    <row r="196" spans="1:14" x14ac:dyDescent="0.25">
      <c r="A196" s="11" t="s">
        <v>0</v>
      </c>
      <c r="B196" s="12">
        <v>45140</v>
      </c>
      <c r="C196" s="11" t="s">
        <v>688</v>
      </c>
      <c r="D196" s="11" t="s">
        <v>720</v>
      </c>
      <c r="E196" s="13" t="s">
        <v>183</v>
      </c>
      <c r="F196" s="14" t="s">
        <v>304</v>
      </c>
      <c r="G196" s="14" t="s">
        <v>173</v>
      </c>
      <c r="I196" s="11">
        <f t="shared" si="9"/>
        <v>6</v>
      </c>
      <c r="K196" s="16">
        <v>70</v>
      </c>
      <c r="M196" s="17">
        <f t="shared" si="10"/>
        <v>13892.980000000016</v>
      </c>
      <c r="N196" s="11">
        <f t="shared" si="11"/>
        <v>8</v>
      </c>
    </row>
    <row r="197" spans="1:14" x14ac:dyDescent="0.25">
      <c r="A197" s="11" t="s">
        <v>0</v>
      </c>
      <c r="B197" s="12">
        <v>45140</v>
      </c>
      <c r="C197" s="11" t="s">
        <v>688</v>
      </c>
      <c r="D197" s="11" t="s">
        <v>699</v>
      </c>
      <c r="E197" s="13" t="s">
        <v>306</v>
      </c>
      <c r="F197" s="14" t="s">
        <v>305</v>
      </c>
      <c r="G197" s="14" t="s">
        <v>371</v>
      </c>
      <c r="I197" s="11" t="b">
        <f t="shared" si="9"/>
        <v>0</v>
      </c>
      <c r="K197" s="16">
        <v>545</v>
      </c>
      <c r="M197" s="17">
        <f t="shared" si="10"/>
        <v>13347.980000000016</v>
      </c>
      <c r="N197" s="11">
        <f t="shared" si="11"/>
        <v>8</v>
      </c>
    </row>
    <row r="198" spans="1:14" x14ac:dyDescent="0.25">
      <c r="A198" s="11" t="s">
        <v>0</v>
      </c>
      <c r="B198" s="12">
        <v>45140</v>
      </c>
      <c r="C198" s="11" t="s">
        <v>688</v>
      </c>
      <c r="D198" s="11" t="s">
        <v>699</v>
      </c>
      <c r="E198" s="13" t="s">
        <v>98</v>
      </c>
      <c r="F198" s="14" t="s">
        <v>300</v>
      </c>
      <c r="G198" s="14" t="s">
        <v>371</v>
      </c>
      <c r="I198" s="11" t="b">
        <f t="shared" si="9"/>
        <v>0</v>
      </c>
      <c r="K198" s="16">
        <v>215.57</v>
      </c>
      <c r="M198" s="17">
        <f t="shared" si="10"/>
        <v>13132.410000000016</v>
      </c>
      <c r="N198" s="11">
        <f t="shared" si="11"/>
        <v>8</v>
      </c>
    </row>
    <row r="199" spans="1:14" x14ac:dyDescent="0.25">
      <c r="A199" s="11" t="s">
        <v>0</v>
      </c>
      <c r="B199" s="12">
        <v>45140</v>
      </c>
      <c r="C199" s="11" t="s">
        <v>688</v>
      </c>
      <c r="D199" s="11" t="s">
        <v>699</v>
      </c>
      <c r="E199" s="13" t="s">
        <v>98</v>
      </c>
      <c r="F199" s="14" t="s">
        <v>300</v>
      </c>
      <c r="G199" s="14" t="s">
        <v>371</v>
      </c>
      <c r="I199" s="11" t="b">
        <f t="shared" si="9"/>
        <v>0</v>
      </c>
      <c r="K199" s="16">
        <v>100</v>
      </c>
      <c r="M199" s="17">
        <f t="shared" si="10"/>
        <v>13032.410000000016</v>
      </c>
      <c r="N199" s="11">
        <f t="shared" si="11"/>
        <v>8</v>
      </c>
    </row>
    <row r="200" spans="1:14" x14ac:dyDescent="0.25">
      <c r="A200" s="11" t="s">
        <v>0</v>
      </c>
      <c r="B200" s="12">
        <v>45140</v>
      </c>
      <c r="C200" s="11" t="s">
        <v>688</v>
      </c>
      <c r="D200" s="11" t="s">
        <v>695</v>
      </c>
      <c r="E200" s="13" t="s">
        <v>177</v>
      </c>
      <c r="F200" s="14" t="s">
        <v>307</v>
      </c>
      <c r="G200" s="14" t="s">
        <v>198</v>
      </c>
      <c r="I200" s="11" t="b">
        <f t="shared" si="9"/>
        <v>0</v>
      </c>
      <c r="K200" s="16">
        <v>650</v>
      </c>
      <c r="M200" s="17">
        <f t="shared" si="10"/>
        <v>12382.410000000016</v>
      </c>
      <c r="N200" s="11">
        <f t="shared" si="11"/>
        <v>8</v>
      </c>
    </row>
    <row r="201" spans="1:14" x14ac:dyDescent="0.25">
      <c r="A201" s="11" t="s">
        <v>0</v>
      </c>
      <c r="B201" s="12">
        <v>45140</v>
      </c>
      <c r="C201" s="11" t="s">
        <v>688</v>
      </c>
      <c r="D201" s="11" t="s">
        <v>695</v>
      </c>
      <c r="E201" s="13" t="s">
        <v>177</v>
      </c>
      <c r="F201" s="14" t="s">
        <v>307</v>
      </c>
      <c r="G201" s="14" t="s">
        <v>174</v>
      </c>
      <c r="I201" s="11" t="b">
        <f t="shared" si="9"/>
        <v>0</v>
      </c>
      <c r="K201" s="16">
        <v>980</v>
      </c>
      <c r="M201" s="17">
        <f t="shared" si="10"/>
        <v>11402.410000000016</v>
      </c>
      <c r="N201" s="11">
        <f t="shared" si="11"/>
        <v>8</v>
      </c>
    </row>
    <row r="202" spans="1:14" x14ac:dyDescent="0.25">
      <c r="A202" s="11" t="s">
        <v>0</v>
      </c>
      <c r="B202" s="12">
        <v>45140</v>
      </c>
      <c r="C202" s="11" t="s">
        <v>688</v>
      </c>
      <c r="D202" s="11" t="s">
        <v>692</v>
      </c>
      <c r="E202" s="13" t="s">
        <v>726</v>
      </c>
      <c r="F202" s="14" t="s">
        <v>91</v>
      </c>
      <c r="G202" s="14" t="s">
        <v>404</v>
      </c>
      <c r="I202" s="11">
        <f t="shared" si="9"/>
        <v>5</v>
      </c>
      <c r="K202" s="16">
        <v>2574.08</v>
      </c>
      <c r="M202" s="17">
        <f t="shared" si="10"/>
        <v>8828.3300000000163</v>
      </c>
      <c r="N202" s="11">
        <f t="shared" si="11"/>
        <v>8</v>
      </c>
    </row>
    <row r="203" spans="1:14" x14ac:dyDescent="0.25">
      <c r="A203" s="11" t="s">
        <v>0</v>
      </c>
      <c r="B203" s="12">
        <v>45140</v>
      </c>
      <c r="C203" s="11" t="s">
        <v>688</v>
      </c>
      <c r="D203" s="11" t="s">
        <v>47</v>
      </c>
      <c r="E203" s="13" t="s">
        <v>309</v>
      </c>
      <c r="F203" s="14" t="s">
        <v>308</v>
      </c>
      <c r="G203" s="14" t="s">
        <v>174</v>
      </c>
      <c r="I203" s="11" t="b">
        <f t="shared" si="9"/>
        <v>0</v>
      </c>
      <c r="K203" s="16">
        <v>600</v>
      </c>
      <c r="M203" s="17">
        <f t="shared" si="10"/>
        <v>8228.3300000000163</v>
      </c>
      <c r="N203" s="11">
        <f t="shared" si="11"/>
        <v>8</v>
      </c>
    </row>
    <row r="204" spans="1:14" x14ac:dyDescent="0.25">
      <c r="A204" s="11" t="s">
        <v>0</v>
      </c>
      <c r="B204" s="12">
        <v>45140</v>
      </c>
      <c r="C204" s="11" t="s">
        <v>688</v>
      </c>
      <c r="D204" s="11" t="s">
        <v>694</v>
      </c>
      <c r="E204" s="13" t="s">
        <v>182</v>
      </c>
      <c r="F204" s="14" t="s">
        <v>310</v>
      </c>
      <c r="G204" s="14" t="s">
        <v>186</v>
      </c>
      <c r="I204" s="11" t="b">
        <f t="shared" si="9"/>
        <v>0</v>
      </c>
      <c r="K204" s="16">
        <v>41.12</v>
      </c>
      <c r="M204" s="17">
        <f t="shared" si="10"/>
        <v>8187.2100000000164</v>
      </c>
      <c r="N204" s="11">
        <f t="shared" si="11"/>
        <v>8</v>
      </c>
    </row>
    <row r="205" spans="1:14" x14ac:dyDescent="0.25">
      <c r="A205" s="11" t="s">
        <v>207</v>
      </c>
      <c r="B205" s="12">
        <v>45140</v>
      </c>
      <c r="C205" s="11" t="s">
        <v>688</v>
      </c>
      <c r="D205" s="11" t="s">
        <v>43</v>
      </c>
      <c r="E205" s="13" t="s">
        <v>43</v>
      </c>
      <c r="F205" s="14" t="s">
        <v>286</v>
      </c>
      <c r="I205" s="11" t="b">
        <f t="shared" si="9"/>
        <v>0</v>
      </c>
      <c r="J205" s="16">
        <v>3695.75</v>
      </c>
      <c r="M205" s="17">
        <f t="shared" si="10"/>
        <v>11882.960000000017</v>
      </c>
      <c r="N205" s="11">
        <f t="shared" si="11"/>
        <v>8</v>
      </c>
    </row>
    <row r="206" spans="1:14" x14ac:dyDescent="0.25">
      <c r="A206" s="11" t="s">
        <v>207</v>
      </c>
      <c r="B206" s="12">
        <v>45140</v>
      </c>
      <c r="C206" s="11" t="s">
        <v>688</v>
      </c>
      <c r="D206" s="11" t="s">
        <v>43</v>
      </c>
      <c r="E206" s="13" t="s">
        <v>43</v>
      </c>
      <c r="F206" s="14" t="s">
        <v>287</v>
      </c>
      <c r="I206" s="11" t="b">
        <f t="shared" si="9"/>
        <v>0</v>
      </c>
      <c r="J206" s="16">
        <v>1183.7</v>
      </c>
      <c r="M206" s="17">
        <f t="shared" si="10"/>
        <v>13066.660000000018</v>
      </c>
      <c r="N206" s="11">
        <f t="shared" si="11"/>
        <v>8</v>
      </c>
    </row>
    <row r="207" spans="1:14" x14ac:dyDescent="0.25">
      <c r="A207" s="11" t="s">
        <v>207</v>
      </c>
      <c r="B207" s="12">
        <v>45140</v>
      </c>
      <c r="C207" s="11" t="s">
        <v>688</v>
      </c>
      <c r="D207" s="11" t="s">
        <v>43</v>
      </c>
      <c r="E207" s="14" t="s">
        <v>288</v>
      </c>
      <c r="F207" s="14" t="s">
        <v>288</v>
      </c>
      <c r="G207" s="14" t="s">
        <v>173</v>
      </c>
      <c r="I207" s="11">
        <f t="shared" si="9"/>
        <v>3</v>
      </c>
      <c r="J207" s="16">
        <v>42</v>
      </c>
      <c r="M207" s="17">
        <f t="shared" si="10"/>
        <v>13108.660000000018</v>
      </c>
      <c r="N207" s="11">
        <f t="shared" si="11"/>
        <v>8</v>
      </c>
    </row>
    <row r="208" spans="1:14" x14ac:dyDescent="0.25">
      <c r="A208" s="11" t="s">
        <v>0</v>
      </c>
      <c r="B208" s="12">
        <v>45141</v>
      </c>
      <c r="C208" s="11" t="s">
        <v>688</v>
      </c>
      <c r="D208" s="11" t="s">
        <v>692</v>
      </c>
      <c r="E208" s="13" t="s">
        <v>143</v>
      </c>
      <c r="F208" s="14" t="s">
        <v>59</v>
      </c>
      <c r="G208" s="14" t="s">
        <v>203</v>
      </c>
      <c r="I208" s="11" t="b">
        <f t="shared" si="9"/>
        <v>0</v>
      </c>
      <c r="K208" s="16">
        <v>1076.8</v>
      </c>
      <c r="M208" s="17">
        <f t="shared" si="10"/>
        <v>12031.860000000019</v>
      </c>
      <c r="N208" s="11">
        <f t="shared" si="11"/>
        <v>8</v>
      </c>
    </row>
    <row r="209" spans="1:14" x14ac:dyDescent="0.25">
      <c r="A209" s="11" t="s">
        <v>0</v>
      </c>
      <c r="B209" s="12">
        <v>45141</v>
      </c>
      <c r="C209" s="11" t="s">
        <v>688</v>
      </c>
      <c r="D209" s="11" t="s">
        <v>720</v>
      </c>
      <c r="E209" s="13" t="s">
        <v>183</v>
      </c>
      <c r="F209" s="14" t="s">
        <v>222</v>
      </c>
      <c r="G209" s="14" t="s">
        <v>174</v>
      </c>
      <c r="I209" s="11" t="b">
        <f t="shared" si="9"/>
        <v>0</v>
      </c>
      <c r="K209" s="16">
        <v>70</v>
      </c>
      <c r="M209" s="17">
        <f t="shared" si="10"/>
        <v>11961.860000000019</v>
      </c>
      <c r="N209" s="11">
        <f t="shared" si="11"/>
        <v>8</v>
      </c>
    </row>
    <row r="210" spans="1:14" x14ac:dyDescent="0.25">
      <c r="A210" s="11" t="s">
        <v>0</v>
      </c>
      <c r="B210" s="12">
        <v>45141</v>
      </c>
      <c r="C210" s="11" t="s">
        <v>688</v>
      </c>
      <c r="D210" s="11" t="s">
        <v>692</v>
      </c>
      <c r="E210" s="13" t="s">
        <v>717</v>
      </c>
      <c r="F210" s="14" t="s">
        <v>76</v>
      </c>
      <c r="G210" s="14" t="s">
        <v>174</v>
      </c>
      <c r="I210" s="11" t="b">
        <f t="shared" si="9"/>
        <v>0</v>
      </c>
      <c r="K210" s="16">
        <v>149.74</v>
      </c>
      <c r="M210" s="17">
        <f t="shared" si="10"/>
        <v>11812.120000000019</v>
      </c>
      <c r="N210" s="11">
        <f t="shared" si="11"/>
        <v>8</v>
      </c>
    </row>
    <row r="211" spans="1:14" x14ac:dyDescent="0.25">
      <c r="A211" s="11" t="s">
        <v>0</v>
      </c>
      <c r="B211" s="12">
        <v>45141</v>
      </c>
      <c r="C211" s="11" t="s">
        <v>688</v>
      </c>
      <c r="D211" s="11" t="s">
        <v>720</v>
      </c>
      <c r="E211" s="13" t="s">
        <v>183</v>
      </c>
      <c r="F211" s="14" t="s">
        <v>366</v>
      </c>
      <c r="G211" s="14" t="s">
        <v>174</v>
      </c>
      <c r="H211" s="15">
        <v>58</v>
      </c>
      <c r="I211" s="11" t="b">
        <f t="shared" si="9"/>
        <v>0</v>
      </c>
      <c r="K211" s="16">
        <v>60</v>
      </c>
      <c r="M211" s="17">
        <f t="shared" si="10"/>
        <v>11752.120000000019</v>
      </c>
      <c r="N211" s="11">
        <f t="shared" si="11"/>
        <v>8</v>
      </c>
    </row>
    <row r="212" spans="1:14" x14ac:dyDescent="0.25">
      <c r="A212" s="11" t="s">
        <v>0</v>
      </c>
      <c r="B212" s="12">
        <v>45141</v>
      </c>
      <c r="C212" s="11" t="s">
        <v>688</v>
      </c>
      <c r="D212" s="11" t="s">
        <v>692</v>
      </c>
      <c r="E212" s="13" t="s">
        <v>467</v>
      </c>
      <c r="F212" s="14" t="s">
        <v>769</v>
      </c>
      <c r="G212" s="14" t="s">
        <v>202</v>
      </c>
      <c r="I212" s="11" t="b">
        <f t="shared" si="9"/>
        <v>0</v>
      </c>
      <c r="K212" s="16">
        <v>144.16999999999999</v>
      </c>
      <c r="M212" s="17">
        <f t="shared" si="10"/>
        <v>11607.950000000019</v>
      </c>
      <c r="N212" s="11">
        <f t="shared" si="11"/>
        <v>8</v>
      </c>
    </row>
    <row r="213" spans="1:14" x14ac:dyDescent="0.25">
      <c r="A213" s="11" t="s">
        <v>0</v>
      </c>
      <c r="B213" s="12">
        <v>45141</v>
      </c>
      <c r="C213" s="11" t="s">
        <v>688</v>
      </c>
      <c r="D213" s="11" t="s">
        <v>692</v>
      </c>
      <c r="E213" s="13" t="s">
        <v>467</v>
      </c>
      <c r="F213" s="14" t="s">
        <v>769</v>
      </c>
      <c r="G213" s="14" t="s">
        <v>202</v>
      </c>
      <c r="I213" s="11" t="b">
        <f t="shared" si="9"/>
        <v>0</v>
      </c>
      <c r="K213" s="16">
        <v>391.82</v>
      </c>
      <c r="M213" s="17">
        <f t="shared" si="10"/>
        <v>11216.130000000019</v>
      </c>
      <c r="N213" s="11">
        <f t="shared" si="11"/>
        <v>8</v>
      </c>
    </row>
    <row r="214" spans="1:14" x14ac:dyDescent="0.25">
      <c r="A214" s="11" t="s">
        <v>0</v>
      </c>
      <c r="B214" s="12">
        <v>45141</v>
      </c>
      <c r="C214" s="11" t="s">
        <v>688</v>
      </c>
      <c r="D214" s="11" t="s">
        <v>692</v>
      </c>
      <c r="E214" s="13" t="s">
        <v>725</v>
      </c>
      <c r="F214" s="14" t="s">
        <v>33</v>
      </c>
      <c r="G214" s="14" t="s">
        <v>371</v>
      </c>
      <c r="I214" s="11" t="b">
        <f t="shared" si="9"/>
        <v>0</v>
      </c>
      <c r="K214" s="16">
        <v>539.42999999999995</v>
      </c>
      <c r="M214" s="17">
        <f t="shared" si="10"/>
        <v>10676.700000000019</v>
      </c>
      <c r="N214" s="11">
        <f t="shared" si="11"/>
        <v>8</v>
      </c>
    </row>
    <row r="215" spans="1:14" x14ac:dyDescent="0.25">
      <c r="A215" s="11" t="s">
        <v>0</v>
      </c>
      <c r="B215" s="12">
        <v>45141</v>
      </c>
      <c r="C215" s="11" t="s">
        <v>688</v>
      </c>
      <c r="D215" s="11" t="s">
        <v>701</v>
      </c>
      <c r="E215" s="13" t="s">
        <v>312</v>
      </c>
      <c r="F215" s="14" t="s">
        <v>311</v>
      </c>
      <c r="G215" s="14" t="s">
        <v>371</v>
      </c>
      <c r="I215" s="11" t="b">
        <f t="shared" si="9"/>
        <v>0</v>
      </c>
      <c r="K215" s="16">
        <v>25</v>
      </c>
      <c r="M215" s="17">
        <f t="shared" si="10"/>
        <v>10651.700000000019</v>
      </c>
      <c r="N215" s="11">
        <f t="shared" si="11"/>
        <v>8</v>
      </c>
    </row>
    <row r="216" spans="1:14" ht="39.6" x14ac:dyDescent="0.25">
      <c r="A216" s="11" t="s">
        <v>0</v>
      </c>
      <c r="B216" s="12">
        <v>45141</v>
      </c>
      <c r="C216" s="11" t="s">
        <v>688</v>
      </c>
      <c r="D216" s="11" t="s">
        <v>692</v>
      </c>
      <c r="E216" s="13" t="s">
        <v>724</v>
      </c>
      <c r="F216" s="14" t="s">
        <v>119</v>
      </c>
      <c r="G216" s="14" t="s">
        <v>217</v>
      </c>
      <c r="H216" s="15" t="s">
        <v>501</v>
      </c>
      <c r="I216" s="11" t="b">
        <f t="shared" si="9"/>
        <v>0</v>
      </c>
      <c r="K216" s="16">
        <v>1086.27</v>
      </c>
      <c r="M216" s="17">
        <f t="shared" si="10"/>
        <v>9565.4300000000185</v>
      </c>
      <c r="N216" s="11">
        <f t="shared" si="11"/>
        <v>8</v>
      </c>
    </row>
    <row r="217" spans="1:14" x14ac:dyDescent="0.25">
      <c r="A217" s="11" t="s">
        <v>0</v>
      </c>
      <c r="B217" s="12">
        <v>45141</v>
      </c>
      <c r="C217" s="11" t="s">
        <v>688</v>
      </c>
      <c r="D217" s="11" t="s">
        <v>692</v>
      </c>
      <c r="E217" s="13" t="s">
        <v>730</v>
      </c>
      <c r="F217" s="14" t="s">
        <v>34</v>
      </c>
      <c r="G217" s="14" t="s">
        <v>217</v>
      </c>
      <c r="I217" s="11" t="b">
        <f t="shared" si="9"/>
        <v>0</v>
      </c>
      <c r="K217" s="16">
        <v>1100.8399999999999</v>
      </c>
      <c r="M217" s="17">
        <f t="shared" si="10"/>
        <v>8464.5900000000183</v>
      </c>
      <c r="N217" s="11">
        <f t="shared" si="11"/>
        <v>8</v>
      </c>
    </row>
    <row r="218" spans="1:14" x14ac:dyDescent="0.25">
      <c r="A218" s="11" t="s">
        <v>0</v>
      </c>
      <c r="B218" s="12">
        <v>45141</v>
      </c>
      <c r="C218" s="11" t="s">
        <v>688</v>
      </c>
      <c r="D218" s="11" t="s">
        <v>692</v>
      </c>
      <c r="E218" s="13" t="s">
        <v>726</v>
      </c>
      <c r="F218" s="14" t="s">
        <v>313</v>
      </c>
      <c r="G218" s="14" t="s">
        <v>217</v>
      </c>
      <c r="I218" s="11" t="b">
        <f t="shared" si="9"/>
        <v>0</v>
      </c>
      <c r="K218" s="16">
        <v>391.69</v>
      </c>
      <c r="M218" s="17">
        <f t="shared" si="10"/>
        <v>8072.9000000000187</v>
      </c>
      <c r="N218" s="11">
        <f t="shared" si="11"/>
        <v>8</v>
      </c>
    </row>
    <row r="219" spans="1:14" x14ac:dyDescent="0.25">
      <c r="A219" s="11" t="s">
        <v>0</v>
      </c>
      <c r="B219" s="12">
        <v>45141</v>
      </c>
      <c r="C219" s="11" t="s">
        <v>688</v>
      </c>
      <c r="D219" s="11" t="s">
        <v>692</v>
      </c>
      <c r="E219" s="13" t="s">
        <v>483</v>
      </c>
      <c r="F219" s="14" t="s">
        <v>269</v>
      </c>
      <c r="G219" s="14" t="s">
        <v>217</v>
      </c>
      <c r="I219" s="11" t="b">
        <f t="shared" si="9"/>
        <v>0</v>
      </c>
      <c r="K219" s="16">
        <v>324.91000000000003</v>
      </c>
      <c r="M219" s="17">
        <f t="shared" si="10"/>
        <v>7747.9900000000189</v>
      </c>
      <c r="N219" s="11">
        <f t="shared" si="11"/>
        <v>8</v>
      </c>
    </row>
    <row r="220" spans="1:14" x14ac:dyDescent="0.25">
      <c r="A220" s="11" t="s">
        <v>0</v>
      </c>
      <c r="B220" s="12">
        <v>45141</v>
      </c>
      <c r="C220" s="11" t="s">
        <v>688</v>
      </c>
      <c r="D220" s="11" t="s">
        <v>699</v>
      </c>
      <c r="E220" s="13" t="s">
        <v>98</v>
      </c>
      <c r="F220" s="14" t="s">
        <v>300</v>
      </c>
      <c r="G220" s="14" t="s">
        <v>291</v>
      </c>
      <c r="I220" s="11" t="b">
        <f t="shared" si="9"/>
        <v>0</v>
      </c>
      <c r="K220" s="16">
        <v>100</v>
      </c>
      <c r="M220" s="17">
        <f t="shared" si="10"/>
        <v>7647.9900000000189</v>
      </c>
      <c r="N220" s="11">
        <f t="shared" si="11"/>
        <v>8</v>
      </c>
    </row>
    <row r="221" spans="1:14" x14ac:dyDescent="0.25">
      <c r="A221" s="11" t="s">
        <v>207</v>
      </c>
      <c r="B221" s="12">
        <v>45141</v>
      </c>
      <c r="C221" s="11" t="s">
        <v>688</v>
      </c>
      <c r="D221" s="11" t="s">
        <v>43</v>
      </c>
      <c r="E221" s="13" t="s">
        <v>43</v>
      </c>
      <c r="F221" s="14" t="s">
        <v>286</v>
      </c>
      <c r="I221" s="11" t="b">
        <f t="shared" si="9"/>
        <v>0</v>
      </c>
      <c r="J221" s="16">
        <v>2351.5500000000002</v>
      </c>
      <c r="M221" s="17">
        <f t="shared" si="10"/>
        <v>9999.5400000000191</v>
      </c>
      <c r="N221" s="11">
        <f t="shared" si="11"/>
        <v>8</v>
      </c>
    </row>
    <row r="222" spans="1:14" x14ac:dyDescent="0.25">
      <c r="A222" s="11" t="s">
        <v>207</v>
      </c>
      <c r="B222" s="12">
        <v>45141</v>
      </c>
      <c r="C222" s="11" t="s">
        <v>688</v>
      </c>
      <c r="D222" s="11" t="s">
        <v>43</v>
      </c>
      <c r="E222" s="13" t="s">
        <v>43</v>
      </c>
      <c r="F222" s="14" t="s">
        <v>287</v>
      </c>
      <c r="I222" s="11" t="b">
        <f t="shared" si="9"/>
        <v>0</v>
      </c>
      <c r="J222" s="16">
        <v>710.1</v>
      </c>
      <c r="M222" s="17">
        <f t="shared" si="10"/>
        <v>10709.640000000019</v>
      </c>
      <c r="N222" s="11">
        <f t="shared" si="11"/>
        <v>8</v>
      </c>
    </row>
    <row r="223" spans="1:14" x14ac:dyDescent="0.25">
      <c r="A223" s="11" t="s">
        <v>207</v>
      </c>
      <c r="B223" s="12">
        <v>45141</v>
      </c>
      <c r="C223" s="11" t="s">
        <v>688</v>
      </c>
      <c r="D223" s="11" t="s">
        <v>43</v>
      </c>
      <c r="E223" s="14" t="s">
        <v>288</v>
      </c>
      <c r="F223" s="14" t="s">
        <v>288</v>
      </c>
      <c r="G223" s="14" t="s">
        <v>173</v>
      </c>
      <c r="I223" s="11">
        <f t="shared" si="9"/>
        <v>3</v>
      </c>
      <c r="J223" s="16">
        <v>830</v>
      </c>
      <c r="M223" s="17">
        <f t="shared" si="10"/>
        <v>11539.640000000019</v>
      </c>
      <c r="N223" s="11">
        <f t="shared" si="11"/>
        <v>8</v>
      </c>
    </row>
    <row r="224" spans="1:14" x14ac:dyDescent="0.25">
      <c r="A224" s="11" t="s">
        <v>0</v>
      </c>
      <c r="B224" s="12">
        <v>45142</v>
      </c>
      <c r="C224" s="11" t="s">
        <v>688</v>
      </c>
      <c r="D224" s="11" t="s">
        <v>692</v>
      </c>
      <c r="E224" s="13" t="s">
        <v>730</v>
      </c>
      <c r="F224" s="14" t="s">
        <v>34</v>
      </c>
      <c r="G224" s="14" t="s">
        <v>217</v>
      </c>
      <c r="I224" s="11" t="b">
        <f t="shared" si="9"/>
        <v>0</v>
      </c>
      <c r="K224" s="16">
        <v>2904.57</v>
      </c>
      <c r="M224" s="17">
        <f t="shared" si="10"/>
        <v>8635.0700000000197</v>
      </c>
      <c r="N224" s="11">
        <f t="shared" si="11"/>
        <v>8</v>
      </c>
    </row>
    <row r="225" spans="1:14" x14ac:dyDescent="0.25">
      <c r="A225" s="11" t="s">
        <v>0</v>
      </c>
      <c r="B225" s="12">
        <v>45142</v>
      </c>
      <c r="C225" s="11" t="s">
        <v>688</v>
      </c>
      <c r="D225" s="11" t="s">
        <v>692</v>
      </c>
      <c r="E225" s="13" t="s">
        <v>143</v>
      </c>
      <c r="F225" s="14" t="s">
        <v>36</v>
      </c>
      <c r="G225" s="14" t="s">
        <v>291</v>
      </c>
      <c r="I225" s="11" t="b">
        <f t="shared" si="9"/>
        <v>0</v>
      </c>
      <c r="K225" s="16">
        <v>2795.78</v>
      </c>
      <c r="M225" s="17">
        <f t="shared" si="10"/>
        <v>5839.2900000000191</v>
      </c>
      <c r="N225" s="11">
        <f t="shared" si="11"/>
        <v>8</v>
      </c>
    </row>
    <row r="226" spans="1:14" x14ac:dyDescent="0.25">
      <c r="A226" s="11" t="s">
        <v>0</v>
      </c>
      <c r="B226" s="12">
        <v>45142</v>
      </c>
      <c r="C226" s="11" t="s">
        <v>688</v>
      </c>
      <c r="D226" s="11" t="s">
        <v>699</v>
      </c>
      <c r="E226" s="13" t="s">
        <v>98</v>
      </c>
      <c r="F226" s="14" t="s">
        <v>300</v>
      </c>
      <c r="G226" s="14" t="s">
        <v>292</v>
      </c>
      <c r="I226" s="11" t="b">
        <f t="shared" si="9"/>
        <v>0</v>
      </c>
      <c r="K226" s="16">
        <v>100</v>
      </c>
      <c r="M226" s="17">
        <f t="shared" si="10"/>
        <v>5739.2900000000191</v>
      </c>
      <c r="N226" s="11">
        <f t="shared" si="11"/>
        <v>8</v>
      </c>
    </row>
    <row r="227" spans="1:14" x14ac:dyDescent="0.25">
      <c r="A227" s="11" t="s">
        <v>0</v>
      </c>
      <c r="B227" s="12">
        <v>45142</v>
      </c>
      <c r="C227" s="11" t="s">
        <v>688</v>
      </c>
      <c r="D227" s="11" t="s">
        <v>692</v>
      </c>
      <c r="E227" s="13" t="s">
        <v>725</v>
      </c>
      <c r="F227" s="14" t="s">
        <v>33</v>
      </c>
      <c r="G227" s="14" t="s">
        <v>292</v>
      </c>
      <c r="I227" s="11" t="b">
        <f t="shared" si="9"/>
        <v>0</v>
      </c>
      <c r="K227" s="16">
        <v>848.56</v>
      </c>
      <c r="M227" s="17">
        <f t="shared" si="10"/>
        <v>4890.7300000000196</v>
      </c>
      <c r="N227" s="11">
        <f t="shared" si="11"/>
        <v>8</v>
      </c>
    </row>
    <row r="228" spans="1:14" x14ac:dyDescent="0.25">
      <c r="A228" s="11" t="s">
        <v>207</v>
      </c>
      <c r="B228" s="12">
        <v>45142</v>
      </c>
      <c r="C228" s="11" t="s">
        <v>688</v>
      </c>
      <c r="D228" s="11" t="s">
        <v>43</v>
      </c>
      <c r="E228" s="13" t="s">
        <v>43</v>
      </c>
      <c r="F228" s="14" t="s">
        <v>286</v>
      </c>
      <c r="I228" s="11" t="b">
        <f t="shared" si="9"/>
        <v>0</v>
      </c>
      <c r="J228" s="16">
        <v>6244.95</v>
      </c>
      <c r="M228" s="17">
        <f t="shared" si="10"/>
        <v>11135.680000000018</v>
      </c>
      <c r="N228" s="11">
        <f t="shared" si="11"/>
        <v>8</v>
      </c>
    </row>
    <row r="229" spans="1:14" x14ac:dyDescent="0.25">
      <c r="A229" s="11" t="s">
        <v>207</v>
      </c>
      <c r="B229" s="12">
        <v>45142</v>
      </c>
      <c r="C229" s="11" t="s">
        <v>688</v>
      </c>
      <c r="D229" s="11" t="s">
        <v>43</v>
      </c>
      <c r="E229" s="13" t="s">
        <v>43</v>
      </c>
      <c r="F229" s="14" t="s">
        <v>287</v>
      </c>
      <c r="I229" s="11" t="b">
        <f t="shared" si="9"/>
        <v>0</v>
      </c>
      <c r="J229" s="16">
        <v>1594.85</v>
      </c>
      <c r="M229" s="17">
        <f t="shared" si="10"/>
        <v>12730.530000000019</v>
      </c>
      <c r="N229" s="11">
        <f t="shared" si="11"/>
        <v>8</v>
      </c>
    </row>
    <row r="230" spans="1:14" x14ac:dyDescent="0.25">
      <c r="A230" s="11" t="s">
        <v>207</v>
      </c>
      <c r="B230" s="12">
        <v>45142</v>
      </c>
      <c r="C230" s="11" t="s">
        <v>688</v>
      </c>
      <c r="D230" s="11" t="s">
        <v>43</v>
      </c>
      <c r="E230" s="14" t="s">
        <v>288</v>
      </c>
      <c r="F230" s="14" t="s">
        <v>288</v>
      </c>
      <c r="G230" s="14" t="s">
        <v>173</v>
      </c>
      <c r="I230" s="11">
        <f t="shared" si="9"/>
        <v>3</v>
      </c>
      <c r="J230" s="16">
        <v>200</v>
      </c>
      <c r="M230" s="17">
        <f t="shared" si="10"/>
        <v>12930.530000000019</v>
      </c>
      <c r="N230" s="11">
        <f t="shared" si="11"/>
        <v>8</v>
      </c>
    </row>
    <row r="231" spans="1:14" x14ac:dyDescent="0.25">
      <c r="A231" s="11" t="s">
        <v>0</v>
      </c>
      <c r="B231" s="12">
        <v>45143</v>
      </c>
      <c r="C231" s="11" t="s">
        <v>688</v>
      </c>
      <c r="D231" s="11" t="s">
        <v>696</v>
      </c>
      <c r="E231" s="13" t="s">
        <v>290</v>
      </c>
      <c r="F231" s="14" t="s">
        <v>70</v>
      </c>
      <c r="G231" s="14" t="s">
        <v>203</v>
      </c>
      <c r="I231" s="11" t="b">
        <f t="shared" si="9"/>
        <v>0</v>
      </c>
      <c r="K231" s="16">
        <v>3200</v>
      </c>
      <c r="M231" s="17">
        <f t="shared" si="10"/>
        <v>9730.5300000000188</v>
      </c>
      <c r="N231" s="11">
        <f t="shared" si="11"/>
        <v>8</v>
      </c>
    </row>
    <row r="232" spans="1:14" x14ac:dyDescent="0.25">
      <c r="A232" s="11" t="s">
        <v>0</v>
      </c>
      <c r="B232" s="12">
        <v>45143</v>
      </c>
      <c r="C232" s="11" t="s">
        <v>688</v>
      </c>
      <c r="D232" s="11" t="s">
        <v>696</v>
      </c>
      <c r="E232" s="13" t="s">
        <v>290</v>
      </c>
      <c r="F232" s="14" t="s">
        <v>63</v>
      </c>
      <c r="G232" s="14" t="s">
        <v>220</v>
      </c>
      <c r="I232" s="11" t="b">
        <f t="shared" si="9"/>
        <v>0</v>
      </c>
      <c r="K232" s="16">
        <v>700</v>
      </c>
      <c r="M232" s="17">
        <f t="shared" si="10"/>
        <v>9030.5300000000188</v>
      </c>
      <c r="N232" s="11">
        <f t="shared" si="11"/>
        <v>8</v>
      </c>
    </row>
    <row r="233" spans="1:14" x14ac:dyDescent="0.25">
      <c r="A233" s="11" t="s">
        <v>0</v>
      </c>
      <c r="B233" s="12">
        <v>45143</v>
      </c>
      <c r="C233" s="11" t="s">
        <v>688</v>
      </c>
      <c r="D233" s="11" t="s">
        <v>720</v>
      </c>
      <c r="E233" s="13" t="s">
        <v>183</v>
      </c>
      <c r="F233" s="14" t="s">
        <v>304</v>
      </c>
      <c r="G233" s="14" t="s">
        <v>220</v>
      </c>
      <c r="I233" s="11" t="b">
        <f t="shared" si="9"/>
        <v>0</v>
      </c>
      <c r="K233" s="16">
        <v>400</v>
      </c>
      <c r="M233" s="17">
        <f t="shared" si="10"/>
        <v>8630.5300000000188</v>
      </c>
      <c r="N233" s="11">
        <f t="shared" si="11"/>
        <v>8</v>
      </c>
    </row>
    <row r="234" spans="1:14" x14ac:dyDescent="0.25">
      <c r="A234" s="11" t="s">
        <v>0</v>
      </c>
      <c r="B234" s="12">
        <v>45143</v>
      </c>
      <c r="C234" s="11" t="s">
        <v>688</v>
      </c>
      <c r="D234" s="11" t="s">
        <v>692</v>
      </c>
      <c r="E234" s="13" t="s">
        <v>143</v>
      </c>
      <c r="F234" s="14" t="s">
        <v>314</v>
      </c>
      <c r="G234" s="14" t="s">
        <v>173</v>
      </c>
      <c r="I234" s="11">
        <f t="shared" si="9"/>
        <v>6</v>
      </c>
      <c r="K234" s="16">
        <v>994</v>
      </c>
      <c r="M234" s="17">
        <f t="shared" si="10"/>
        <v>7636.5300000000188</v>
      </c>
      <c r="N234" s="11">
        <f t="shared" si="11"/>
        <v>8</v>
      </c>
    </row>
    <row r="235" spans="1:14" x14ac:dyDescent="0.25">
      <c r="A235" s="11" t="s">
        <v>0</v>
      </c>
      <c r="B235" s="12">
        <v>45143</v>
      </c>
      <c r="C235" s="11" t="s">
        <v>688</v>
      </c>
      <c r="D235" s="11" t="s">
        <v>692</v>
      </c>
      <c r="E235" s="13" t="s">
        <v>143</v>
      </c>
      <c r="F235" s="14" t="s">
        <v>59</v>
      </c>
      <c r="G235" s="14" t="s">
        <v>173</v>
      </c>
      <c r="I235" s="11">
        <f t="shared" si="9"/>
        <v>6</v>
      </c>
      <c r="K235" s="16">
        <v>496</v>
      </c>
      <c r="M235" s="17">
        <f t="shared" si="10"/>
        <v>7140.5300000000188</v>
      </c>
      <c r="N235" s="11">
        <f t="shared" si="11"/>
        <v>8</v>
      </c>
    </row>
    <row r="236" spans="1:14" x14ac:dyDescent="0.25">
      <c r="A236" s="11" t="s">
        <v>0</v>
      </c>
      <c r="B236" s="12">
        <v>45143</v>
      </c>
      <c r="C236" s="11" t="s">
        <v>688</v>
      </c>
      <c r="D236" s="11" t="s">
        <v>698</v>
      </c>
      <c r="E236" s="13" t="s">
        <v>205</v>
      </c>
      <c r="F236" s="14" t="s">
        <v>315</v>
      </c>
      <c r="G236" s="14" t="s">
        <v>173</v>
      </c>
      <c r="I236" s="11">
        <f t="shared" si="9"/>
        <v>6</v>
      </c>
      <c r="K236" s="16">
        <v>300</v>
      </c>
      <c r="M236" s="17">
        <f t="shared" si="10"/>
        <v>6840.5300000000188</v>
      </c>
      <c r="N236" s="11">
        <f t="shared" si="11"/>
        <v>8</v>
      </c>
    </row>
    <row r="237" spans="1:14" x14ac:dyDescent="0.25">
      <c r="A237" s="11" t="s">
        <v>0</v>
      </c>
      <c r="B237" s="12">
        <v>45143</v>
      </c>
      <c r="C237" s="11" t="s">
        <v>688</v>
      </c>
      <c r="D237" s="11" t="s">
        <v>699</v>
      </c>
      <c r="E237" s="13" t="s">
        <v>98</v>
      </c>
      <c r="F237" s="14" t="s">
        <v>300</v>
      </c>
      <c r="G237" s="14" t="s">
        <v>292</v>
      </c>
      <c r="I237" s="11" t="b">
        <f t="shared" si="9"/>
        <v>0</v>
      </c>
      <c r="K237" s="16">
        <v>100</v>
      </c>
      <c r="M237" s="17">
        <f t="shared" si="10"/>
        <v>6740.5300000000188</v>
      </c>
      <c r="N237" s="11">
        <f t="shared" si="11"/>
        <v>8</v>
      </c>
    </row>
    <row r="238" spans="1:14" x14ac:dyDescent="0.25">
      <c r="A238" s="11" t="s">
        <v>207</v>
      </c>
      <c r="B238" s="12">
        <v>45143</v>
      </c>
      <c r="C238" s="11" t="s">
        <v>688</v>
      </c>
      <c r="D238" s="11" t="s">
        <v>43</v>
      </c>
      <c r="E238" s="13" t="s">
        <v>43</v>
      </c>
      <c r="F238" s="14" t="s">
        <v>286</v>
      </c>
      <c r="I238" s="11" t="b">
        <f t="shared" si="9"/>
        <v>0</v>
      </c>
      <c r="J238" s="16">
        <v>15213.9</v>
      </c>
      <c r="M238" s="17">
        <f t="shared" si="10"/>
        <v>21954.430000000018</v>
      </c>
      <c r="N238" s="11">
        <f t="shared" si="11"/>
        <v>8</v>
      </c>
    </row>
    <row r="239" spans="1:14" x14ac:dyDescent="0.25">
      <c r="A239" s="11" t="s">
        <v>207</v>
      </c>
      <c r="B239" s="12">
        <v>45143</v>
      </c>
      <c r="C239" s="11" t="s">
        <v>688</v>
      </c>
      <c r="D239" s="11" t="s">
        <v>43</v>
      </c>
      <c r="E239" s="13" t="s">
        <v>43</v>
      </c>
      <c r="F239" s="14" t="s">
        <v>287</v>
      </c>
      <c r="I239" s="11" t="b">
        <f t="shared" si="9"/>
        <v>0</v>
      </c>
      <c r="J239" s="16">
        <v>7548.55</v>
      </c>
      <c r="M239" s="17">
        <f t="shared" si="10"/>
        <v>29502.980000000018</v>
      </c>
      <c r="N239" s="11">
        <f t="shared" si="11"/>
        <v>8</v>
      </c>
    </row>
    <row r="240" spans="1:14" x14ac:dyDescent="0.25">
      <c r="A240" s="11" t="s">
        <v>207</v>
      </c>
      <c r="B240" s="12">
        <v>45143</v>
      </c>
      <c r="C240" s="11" t="s">
        <v>688</v>
      </c>
      <c r="D240" s="11" t="s">
        <v>43</v>
      </c>
      <c r="E240" s="14" t="s">
        <v>288</v>
      </c>
      <c r="F240" s="14" t="s">
        <v>288</v>
      </c>
      <c r="G240" s="14" t="s">
        <v>173</v>
      </c>
      <c r="I240" s="11">
        <f t="shared" si="9"/>
        <v>3</v>
      </c>
      <c r="J240" s="16">
        <v>750.5</v>
      </c>
      <c r="M240" s="17">
        <f t="shared" si="10"/>
        <v>30253.480000000018</v>
      </c>
      <c r="N240" s="11">
        <f t="shared" si="11"/>
        <v>8</v>
      </c>
    </row>
    <row r="241" spans="1:14" x14ac:dyDescent="0.25">
      <c r="A241" s="11" t="s">
        <v>0</v>
      </c>
      <c r="B241" s="12">
        <v>45144</v>
      </c>
      <c r="C241" s="11" t="s">
        <v>688</v>
      </c>
      <c r="D241" s="11" t="s">
        <v>692</v>
      </c>
      <c r="E241" s="13" t="s">
        <v>725</v>
      </c>
      <c r="F241" s="14" t="s">
        <v>33</v>
      </c>
      <c r="G241" s="14" t="s">
        <v>217</v>
      </c>
      <c r="I241" s="11" t="b">
        <f t="shared" si="9"/>
        <v>0</v>
      </c>
      <c r="K241" s="16">
        <v>1618.96</v>
      </c>
      <c r="M241" s="17">
        <f t="shared" si="10"/>
        <v>28634.520000000019</v>
      </c>
      <c r="N241" s="11">
        <f t="shared" si="11"/>
        <v>8</v>
      </c>
    </row>
    <row r="242" spans="1:14" x14ac:dyDescent="0.25">
      <c r="A242" s="11" t="s">
        <v>207</v>
      </c>
      <c r="B242" s="12">
        <v>45144</v>
      </c>
      <c r="C242" s="11" t="s">
        <v>688</v>
      </c>
      <c r="D242" s="11" t="s">
        <v>43</v>
      </c>
      <c r="E242" s="13" t="s">
        <v>43</v>
      </c>
      <c r="F242" s="14" t="s">
        <v>286</v>
      </c>
      <c r="I242" s="11" t="b">
        <f t="shared" si="9"/>
        <v>0</v>
      </c>
      <c r="J242" s="16">
        <v>12762.26</v>
      </c>
      <c r="M242" s="17">
        <f t="shared" si="10"/>
        <v>41396.780000000021</v>
      </c>
      <c r="N242" s="11">
        <f t="shared" si="11"/>
        <v>8</v>
      </c>
    </row>
    <row r="243" spans="1:14" x14ac:dyDescent="0.25">
      <c r="A243" s="11" t="s">
        <v>207</v>
      </c>
      <c r="B243" s="12">
        <v>45144</v>
      </c>
      <c r="C243" s="11" t="s">
        <v>688</v>
      </c>
      <c r="D243" s="11" t="s">
        <v>43</v>
      </c>
      <c r="E243" s="13" t="s">
        <v>43</v>
      </c>
      <c r="F243" s="14" t="s">
        <v>287</v>
      </c>
      <c r="I243" s="11" t="b">
        <f t="shared" si="9"/>
        <v>0</v>
      </c>
      <c r="J243" s="16">
        <v>7516.57</v>
      </c>
      <c r="M243" s="17">
        <f t="shared" si="10"/>
        <v>48913.35000000002</v>
      </c>
      <c r="N243" s="11">
        <f t="shared" si="11"/>
        <v>8</v>
      </c>
    </row>
    <row r="244" spans="1:14" x14ac:dyDescent="0.25">
      <c r="A244" s="11" t="s">
        <v>207</v>
      </c>
      <c r="B244" s="12">
        <v>45144</v>
      </c>
      <c r="C244" s="11" t="s">
        <v>688</v>
      </c>
      <c r="D244" s="11" t="s">
        <v>43</v>
      </c>
      <c r="E244" s="14" t="s">
        <v>288</v>
      </c>
      <c r="F244" s="14" t="s">
        <v>288</v>
      </c>
      <c r="G244" s="14" t="s">
        <v>173</v>
      </c>
      <c r="I244" s="11">
        <f t="shared" si="9"/>
        <v>3</v>
      </c>
      <c r="J244" s="16">
        <v>1520</v>
      </c>
      <c r="M244" s="17">
        <f t="shared" si="10"/>
        <v>50433.35000000002</v>
      </c>
      <c r="N244" s="11">
        <f t="shared" si="11"/>
        <v>8</v>
      </c>
    </row>
    <row r="245" spans="1:14" x14ac:dyDescent="0.25">
      <c r="A245" s="11" t="s">
        <v>0</v>
      </c>
      <c r="B245" s="12">
        <v>45145</v>
      </c>
      <c r="C245" s="11" t="s">
        <v>688</v>
      </c>
      <c r="D245" s="11" t="s">
        <v>692</v>
      </c>
      <c r="E245" s="13" t="s">
        <v>725</v>
      </c>
      <c r="F245" s="14" t="s">
        <v>33</v>
      </c>
      <c r="G245" s="14" t="s">
        <v>292</v>
      </c>
      <c r="I245" s="11" t="b">
        <f t="shared" si="9"/>
        <v>0</v>
      </c>
      <c r="K245" s="16">
        <v>1044.71</v>
      </c>
      <c r="M245" s="17">
        <f t="shared" si="10"/>
        <v>49388.640000000021</v>
      </c>
      <c r="N245" s="11">
        <f t="shared" si="11"/>
        <v>8</v>
      </c>
    </row>
    <row r="246" spans="1:14" x14ac:dyDescent="0.25">
      <c r="A246" s="11" t="s">
        <v>0</v>
      </c>
      <c r="B246" s="12">
        <v>45145</v>
      </c>
      <c r="C246" s="11" t="s">
        <v>688</v>
      </c>
      <c r="D246" s="11" t="s">
        <v>692</v>
      </c>
      <c r="E246" s="13" t="s">
        <v>725</v>
      </c>
      <c r="F246" s="14" t="s">
        <v>27</v>
      </c>
      <c r="G246" s="14" t="s">
        <v>292</v>
      </c>
      <c r="I246" s="11" t="b">
        <f t="shared" si="9"/>
        <v>0</v>
      </c>
      <c r="K246" s="16">
        <v>148.5</v>
      </c>
      <c r="M246" s="17">
        <f t="shared" si="10"/>
        <v>49240.140000000021</v>
      </c>
      <c r="N246" s="11">
        <f t="shared" si="11"/>
        <v>8</v>
      </c>
    </row>
    <row r="247" spans="1:14" x14ac:dyDescent="0.25">
      <c r="A247" s="11" t="s">
        <v>0</v>
      </c>
      <c r="B247" s="12">
        <v>45145</v>
      </c>
      <c r="C247" s="11" t="s">
        <v>688</v>
      </c>
      <c r="D247" s="11" t="s">
        <v>699</v>
      </c>
      <c r="E247" s="13" t="s">
        <v>98</v>
      </c>
      <c r="F247" s="14" t="s">
        <v>300</v>
      </c>
      <c r="G247" s="14" t="s">
        <v>292</v>
      </c>
      <c r="I247" s="11" t="b">
        <f t="shared" si="9"/>
        <v>0</v>
      </c>
      <c r="K247" s="16">
        <v>286.02</v>
      </c>
      <c r="M247" s="17">
        <f t="shared" si="10"/>
        <v>48954.120000000024</v>
      </c>
      <c r="N247" s="11">
        <f t="shared" si="11"/>
        <v>8</v>
      </c>
    </row>
    <row r="248" spans="1:14" x14ac:dyDescent="0.25">
      <c r="A248" s="11" t="s">
        <v>0</v>
      </c>
      <c r="B248" s="12">
        <v>45146</v>
      </c>
      <c r="C248" s="11" t="s">
        <v>688</v>
      </c>
      <c r="D248" s="11" t="s">
        <v>692</v>
      </c>
      <c r="E248" s="13" t="s">
        <v>725</v>
      </c>
      <c r="F248" s="14" t="s">
        <v>27</v>
      </c>
      <c r="G248" s="14" t="s">
        <v>292</v>
      </c>
      <c r="I248" s="11" t="b">
        <f t="shared" si="9"/>
        <v>0</v>
      </c>
      <c r="K248" s="16">
        <v>2635.2</v>
      </c>
      <c r="M248" s="17">
        <f t="shared" si="10"/>
        <v>46318.920000000027</v>
      </c>
      <c r="N248" s="11">
        <f t="shared" si="11"/>
        <v>8</v>
      </c>
    </row>
    <row r="249" spans="1:14" x14ac:dyDescent="0.25">
      <c r="A249" s="11" t="s">
        <v>0</v>
      </c>
      <c r="B249" s="12">
        <v>45146</v>
      </c>
      <c r="C249" s="11" t="s">
        <v>688</v>
      </c>
      <c r="D249" s="11" t="s">
        <v>692</v>
      </c>
      <c r="E249" s="13" t="s">
        <v>725</v>
      </c>
      <c r="F249" s="14" t="s">
        <v>27</v>
      </c>
      <c r="G249" s="14" t="s">
        <v>292</v>
      </c>
      <c r="I249" s="11" t="b">
        <f t="shared" si="9"/>
        <v>0</v>
      </c>
      <c r="K249" s="16">
        <v>537.86</v>
      </c>
      <c r="M249" s="17">
        <f t="shared" si="10"/>
        <v>45781.060000000027</v>
      </c>
      <c r="N249" s="11">
        <f t="shared" si="11"/>
        <v>8</v>
      </c>
    </row>
    <row r="250" spans="1:14" x14ac:dyDescent="0.25">
      <c r="A250" s="11" t="s">
        <v>207</v>
      </c>
      <c r="B250" s="12">
        <v>45146</v>
      </c>
      <c r="C250" s="11" t="s">
        <v>688</v>
      </c>
      <c r="D250" s="11" t="s">
        <v>43</v>
      </c>
      <c r="E250" s="13" t="s">
        <v>43</v>
      </c>
      <c r="F250" s="14" t="s">
        <v>286</v>
      </c>
      <c r="I250" s="11" t="b">
        <f t="shared" si="9"/>
        <v>0</v>
      </c>
      <c r="J250" s="16">
        <v>934.4</v>
      </c>
      <c r="M250" s="17">
        <f t="shared" si="10"/>
        <v>46715.460000000028</v>
      </c>
      <c r="N250" s="11">
        <f t="shared" si="11"/>
        <v>8</v>
      </c>
    </row>
    <row r="251" spans="1:14" x14ac:dyDescent="0.25">
      <c r="A251" s="11" t="s">
        <v>207</v>
      </c>
      <c r="B251" s="12">
        <v>45146</v>
      </c>
      <c r="C251" s="11" t="s">
        <v>688</v>
      </c>
      <c r="D251" s="11" t="s">
        <v>43</v>
      </c>
      <c r="E251" s="13" t="s">
        <v>43</v>
      </c>
      <c r="F251" s="14" t="s">
        <v>287</v>
      </c>
      <c r="I251" s="11" t="b">
        <f t="shared" si="9"/>
        <v>0</v>
      </c>
      <c r="J251" s="16">
        <v>4643.3999999999996</v>
      </c>
      <c r="M251" s="17">
        <f t="shared" si="10"/>
        <v>51358.86000000003</v>
      </c>
      <c r="N251" s="11">
        <f t="shared" si="11"/>
        <v>8</v>
      </c>
    </row>
    <row r="252" spans="1:14" x14ac:dyDescent="0.25">
      <c r="A252" s="11" t="s">
        <v>207</v>
      </c>
      <c r="B252" s="12">
        <v>45146</v>
      </c>
      <c r="C252" s="11" t="s">
        <v>688</v>
      </c>
      <c r="D252" s="11" t="s">
        <v>43</v>
      </c>
      <c r="E252" s="14" t="s">
        <v>288</v>
      </c>
      <c r="F252" s="14" t="s">
        <v>288</v>
      </c>
      <c r="G252" s="14" t="s">
        <v>173</v>
      </c>
      <c r="I252" s="11">
        <f t="shared" si="9"/>
        <v>3</v>
      </c>
      <c r="J252" s="16">
        <v>920</v>
      </c>
      <c r="M252" s="17">
        <f t="shared" si="10"/>
        <v>52278.86000000003</v>
      </c>
      <c r="N252" s="11">
        <f t="shared" si="11"/>
        <v>8</v>
      </c>
    </row>
    <row r="253" spans="1:14" x14ac:dyDescent="0.25">
      <c r="A253" s="11" t="s">
        <v>0</v>
      </c>
      <c r="B253" s="12">
        <v>45147</v>
      </c>
      <c r="C253" s="11" t="s">
        <v>688</v>
      </c>
      <c r="D253" s="11" t="s">
        <v>692</v>
      </c>
      <c r="E253" s="13" t="s">
        <v>724</v>
      </c>
      <c r="F253" s="14" t="s">
        <v>119</v>
      </c>
      <c r="G253" s="14" t="s">
        <v>292</v>
      </c>
      <c r="H253" s="15">
        <v>1255214</v>
      </c>
      <c r="I253" s="11" t="b">
        <f t="shared" si="9"/>
        <v>0</v>
      </c>
      <c r="K253" s="16">
        <v>1395.34</v>
      </c>
      <c r="M253" s="17">
        <f t="shared" si="10"/>
        <v>50883.520000000033</v>
      </c>
      <c r="N253" s="11">
        <f t="shared" si="11"/>
        <v>8</v>
      </c>
    </row>
    <row r="254" spans="1:14" x14ac:dyDescent="0.25">
      <c r="A254" s="11" t="s">
        <v>0</v>
      </c>
      <c r="B254" s="12">
        <v>45147</v>
      </c>
      <c r="C254" s="11" t="s">
        <v>688</v>
      </c>
      <c r="D254" s="11" t="s">
        <v>699</v>
      </c>
      <c r="E254" s="13" t="s">
        <v>98</v>
      </c>
      <c r="F254" s="14" t="s">
        <v>300</v>
      </c>
      <c r="G254" s="14" t="s">
        <v>292</v>
      </c>
      <c r="I254" s="11" t="b">
        <f t="shared" si="9"/>
        <v>0</v>
      </c>
      <c r="K254" s="16">
        <v>244</v>
      </c>
      <c r="M254" s="17">
        <f t="shared" si="10"/>
        <v>50639.520000000033</v>
      </c>
      <c r="N254" s="11">
        <f t="shared" si="11"/>
        <v>8</v>
      </c>
    </row>
    <row r="255" spans="1:14" x14ac:dyDescent="0.25">
      <c r="A255" s="11" t="s">
        <v>207</v>
      </c>
      <c r="B255" s="12">
        <v>45147</v>
      </c>
      <c r="C255" s="11" t="s">
        <v>688</v>
      </c>
      <c r="D255" s="11" t="s">
        <v>43</v>
      </c>
      <c r="E255" s="13" t="s">
        <v>43</v>
      </c>
      <c r="F255" s="14" t="s">
        <v>286</v>
      </c>
      <c r="I255" s="11" t="b">
        <f t="shared" si="9"/>
        <v>0</v>
      </c>
      <c r="J255" s="16">
        <v>1905.85</v>
      </c>
      <c r="M255" s="17">
        <f t="shared" si="10"/>
        <v>52545.370000000032</v>
      </c>
      <c r="N255" s="11">
        <f t="shared" si="11"/>
        <v>8</v>
      </c>
    </row>
    <row r="256" spans="1:14" x14ac:dyDescent="0.25">
      <c r="A256" s="11" t="s">
        <v>207</v>
      </c>
      <c r="B256" s="12">
        <v>45147</v>
      </c>
      <c r="C256" s="11" t="s">
        <v>688</v>
      </c>
      <c r="D256" s="11" t="s">
        <v>43</v>
      </c>
      <c r="E256" s="13" t="s">
        <v>43</v>
      </c>
      <c r="F256" s="14" t="s">
        <v>287</v>
      </c>
      <c r="I256" s="11" t="b">
        <f t="shared" si="9"/>
        <v>0</v>
      </c>
      <c r="J256" s="16">
        <v>2019.3</v>
      </c>
      <c r="M256" s="17">
        <f t="shared" si="10"/>
        <v>54564.670000000035</v>
      </c>
      <c r="N256" s="11">
        <f t="shared" si="11"/>
        <v>8</v>
      </c>
    </row>
    <row r="257" spans="1:14" x14ac:dyDescent="0.25">
      <c r="A257" s="11" t="s">
        <v>207</v>
      </c>
      <c r="B257" s="12">
        <v>45147</v>
      </c>
      <c r="C257" s="11" t="s">
        <v>688</v>
      </c>
      <c r="D257" s="11" t="s">
        <v>43</v>
      </c>
      <c r="E257" s="14" t="s">
        <v>288</v>
      </c>
      <c r="F257" s="14" t="s">
        <v>288</v>
      </c>
      <c r="G257" s="14" t="s">
        <v>173</v>
      </c>
      <c r="I257" s="11">
        <f t="shared" si="9"/>
        <v>3</v>
      </c>
      <c r="J257" s="16">
        <v>970</v>
      </c>
      <c r="M257" s="17">
        <f t="shared" si="10"/>
        <v>55534.670000000035</v>
      </c>
      <c r="N257" s="11">
        <f t="shared" si="11"/>
        <v>8</v>
      </c>
    </row>
    <row r="258" spans="1:14" x14ac:dyDescent="0.25">
      <c r="A258" s="11" t="s">
        <v>0</v>
      </c>
      <c r="B258" s="12">
        <v>45148</v>
      </c>
      <c r="C258" s="11" t="s">
        <v>688</v>
      </c>
      <c r="D258" s="11" t="s">
        <v>692</v>
      </c>
      <c r="E258" s="13" t="s">
        <v>179</v>
      </c>
      <c r="F258" s="14" t="s">
        <v>378</v>
      </c>
      <c r="G258" s="14" t="s">
        <v>173</v>
      </c>
      <c r="I258" s="11">
        <f t="shared" si="9"/>
        <v>6</v>
      </c>
      <c r="K258" s="16">
        <v>250</v>
      </c>
      <c r="M258" s="17">
        <f t="shared" si="10"/>
        <v>55284.670000000035</v>
      </c>
      <c r="N258" s="11">
        <f t="shared" si="11"/>
        <v>8</v>
      </c>
    </row>
    <row r="259" spans="1:14" x14ac:dyDescent="0.25">
      <c r="A259" s="11" t="s">
        <v>0</v>
      </c>
      <c r="B259" s="12">
        <v>45148</v>
      </c>
      <c r="C259" s="11" t="s">
        <v>688</v>
      </c>
      <c r="D259" s="11" t="s">
        <v>692</v>
      </c>
      <c r="E259" s="13" t="s">
        <v>179</v>
      </c>
      <c r="F259" s="14" t="s">
        <v>28</v>
      </c>
      <c r="G259" s="14" t="s">
        <v>293</v>
      </c>
      <c r="I259" s="11" t="b">
        <f t="shared" ref="I259:I322" si="12">IF(AND(G259="MERCADO PAGO",A259="FATURAMENTO"),1,IF(AND(OR(G259="MERCADO PAGO",G259="pix mercado pago",G259= "débito automático mercado pago", G259= "boleto mercado pago"),A259="DESPESAS"),4,IF(AND(G259="SAFRA",A259="FATURAMENTO"),2,IF(AND(OR(G259="SAFRA",G259="PIX SAFRA", G259="DÉBITO AUTOMÁTICO SAFRA", G259= "BOLETO SAFRA", G259= "transferência safra"), A259="DESPESAS"),5,IF(AND(G259="espécie",A259="FATURAMENTO"),3,IF(AND(G259="espécie",A259="DESPESAS"),6))))))</f>
        <v>0</v>
      </c>
      <c r="K259" s="16">
        <v>4208</v>
      </c>
      <c r="M259" s="17">
        <f t="shared" ref="M259:M322" si="13">IF(B259=0, "",M258+ J259-K259)</f>
        <v>51076.670000000035</v>
      </c>
      <c r="N259" s="11">
        <f t="shared" ref="N259:N322" si="14">IF(B259=0, "", MONTH(B259))</f>
        <v>8</v>
      </c>
    </row>
    <row r="260" spans="1:14" x14ac:dyDescent="0.25">
      <c r="A260" s="11" t="s">
        <v>0</v>
      </c>
      <c r="B260" s="12">
        <v>45148</v>
      </c>
      <c r="C260" s="11" t="s">
        <v>688</v>
      </c>
      <c r="D260" s="11" t="s">
        <v>692</v>
      </c>
      <c r="E260" s="13" t="s">
        <v>179</v>
      </c>
      <c r="F260" s="14" t="s">
        <v>378</v>
      </c>
      <c r="G260" s="14" t="s">
        <v>173</v>
      </c>
      <c r="I260" s="11">
        <f t="shared" si="12"/>
        <v>6</v>
      </c>
      <c r="K260" s="16">
        <v>250</v>
      </c>
      <c r="M260" s="17">
        <f t="shared" si="13"/>
        <v>50826.670000000035</v>
      </c>
      <c r="N260" s="11">
        <f t="shared" si="14"/>
        <v>8</v>
      </c>
    </row>
    <row r="261" spans="1:14" x14ac:dyDescent="0.25">
      <c r="A261" s="11" t="s">
        <v>0</v>
      </c>
      <c r="B261" s="12">
        <v>45148</v>
      </c>
      <c r="C261" s="11" t="s">
        <v>688</v>
      </c>
      <c r="D261" s="11" t="s">
        <v>692</v>
      </c>
      <c r="E261" s="13" t="s">
        <v>179</v>
      </c>
      <c r="F261" s="14" t="s">
        <v>378</v>
      </c>
      <c r="G261" s="14" t="s">
        <v>293</v>
      </c>
      <c r="I261" s="11" t="b">
        <f t="shared" si="12"/>
        <v>0</v>
      </c>
      <c r="K261" s="16">
        <v>395</v>
      </c>
      <c r="M261" s="17">
        <f t="shared" si="13"/>
        <v>50431.670000000035</v>
      </c>
      <c r="N261" s="11">
        <f t="shared" si="14"/>
        <v>8</v>
      </c>
    </row>
    <row r="262" spans="1:14" x14ac:dyDescent="0.25">
      <c r="A262" s="11" t="s">
        <v>0</v>
      </c>
      <c r="B262" s="12">
        <v>45148</v>
      </c>
      <c r="C262" s="11" t="s">
        <v>688</v>
      </c>
      <c r="D262" s="11" t="s">
        <v>698</v>
      </c>
      <c r="E262" s="13" t="s">
        <v>205</v>
      </c>
      <c r="F262" s="14" t="s">
        <v>205</v>
      </c>
      <c r="G262" s="14" t="s">
        <v>173</v>
      </c>
      <c r="I262" s="11">
        <f t="shared" si="12"/>
        <v>6</v>
      </c>
      <c r="K262" s="16">
        <v>200</v>
      </c>
      <c r="M262" s="17">
        <f t="shared" si="13"/>
        <v>50231.670000000035</v>
      </c>
      <c r="N262" s="11">
        <f t="shared" si="14"/>
        <v>8</v>
      </c>
    </row>
    <row r="263" spans="1:14" x14ac:dyDescent="0.25">
      <c r="A263" s="11" t="s">
        <v>0</v>
      </c>
      <c r="B263" s="12">
        <v>45148</v>
      </c>
      <c r="C263" s="11" t="s">
        <v>688</v>
      </c>
      <c r="D263" s="11" t="s">
        <v>696</v>
      </c>
      <c r="E263" s="13" t="s">
        <v>290</v>
      </c>
      <c r="F263" s="14" t="s">
        <v>61</v>
      </c>
      <c r="G263" s="14" t="s">
        <v>293</v>
      </c>
      <c r="I263" s="11" t="b">
        <f t="shared" si="12"/>
        <v>0</v>
      </c>
      <c r="K263" s="16">
        <v>400</v>
      </c>
      <c r="M263" s="17">
        <f t="shared" si="13"/>
        <v>49831.670000000035</v>
      </c>
      <c r="N263" s="11">
        <f t="shared" si="14"/>
        <v>8</v>
      </c>
    </row>
    <row r="264" spans="1:14" x14ac:dyDescent="0.25">
      <c r="A264" s="11" t="s">
        <v>0</v>
      </c>
      <c r="B264" s="12">
        <v>45148</v>
      </c>
      <c r="C264" s="11" t="s">
        <v>688</v>
      </c>
      <c r="D264" s="11" t="s">
        <v>699</v>
      </c>
      <c r="E264" s="13" t="s">
        <v>98</v>
      </c>
      <c r="F264" s="14" t="s">
        <v>300</v>
      </c>
      <c r="G264" s="14" t="s">
        <v>293</v>
      </c>
      <c r="I264" s="11" t="b">
        <f t="shared" si="12"/>
        <v>0</v>
      </c>
      <c r="K264" s="16">
        <v>100</v>
      </c>
      <c r="M264" s="17">
        <f t="shared" si="13"/>
        <v>49731.670000000035</v>
      </c>
      <c r="N264" s="11">
        <f t="shared" si="14"/>
        <v>8</v>
      </c>
    </row>
    <row r="265" spans="1:14" x14ac:dyDescent="0.25">
      <c r="A265" s="11" t="s">
        <v>0</v>
      </c>
      <c r="B265" s="12">
        <v>45148</v>
      </c>
      <c r="C265" s="11" t="s">
        <v>688</v>
      </c>
      <c r="D265" s="11" t="s">
        <v>699</v>
      </c>
      <c r="E265" s="13" t="s">
        <v>98</v>
      </c>
      <c r="F265" s="14" t="s">
        <v>252</v>
      </c>
      <c r="G265" s="14" t="s">
        <v>292</v>
      </c>
      <c r="I265" s="11" t="b">
        <f t="shared" si="12"/>
        <v>0</v>
      </c>
      <c r="K265" s="16">
        <v>275.89999999999998</v>
      </c>
      <c r="M265" s="17">
        <f t="shared" si="13"/>
        <v>49455.770000000033</v>
      </c>
      <c r="N265" s="11">
        <f t="shared" si="14"/>
        <v>8</v>
      </c>
    </row>
    <row r="266" spans="1:14" x14ac:dyDescent="0.25">
      <c r="A266" s="11" t="s">
        <v>0</v>
      </c>
      <c r="B266" s="12">
        <v>45148</v>
      </c>
      <c r="C266" s="11" t="s">
        <v>688</v>
      </c>
      <c r="D266" s="11" t="s">
        <v>701</v>
      </c>
      <c r="E266" s="13" t="s">
        <v>180</v>
      </c>
      <c r="F266" s="14" t="s">
        <v>37</v>
      </c>
      <c r="G266" s="14" t="s">
        <v>292</v>
      </c>
      <c r="I266" s="11" t="b">
        <f t="shared" si="12"/>
        <v>0</v>
      </c>
      <c r="K266" s="16">
        <v>307</v>
      </c>
      <c r="M266" s="17">
        <f t="shared" si="13"/>
        <v>49148.770000000033</v>
      </c>
      <c r="N266" s="11">
        <f t="shared" si="14"/>
        <v>8</v>
      </c>
    </row>
    <row r="267" spans="1:14" x14ac:dyDescent="0.25">
      <c r="A267" s="11" t="s">
        <v>207</v>
      </c>
      <c r="B267" s="12">
        <v>45148</v>
      </c>
      <c r="C267" s="11" t="s">
        <v>688</v>
      </c>
      <c r="D267" s="11" t="s">
        <v>43</v>
      </c>
      <c r="E267" s="13" t="s">
        <v>43</v>
      </c>
      <c r="F267" s="14" t="s">
        <v>286</v>
      </c>
      <c r="I267" s="11" t="b">
        <f t="shared" si="12"/>
        <v>0</v>
      </c>
      <c r="J267" s="16">
        <v>3714.98</v>
      </c>
      <c r="M267" s="17">
        <f t="shared" si="13"/>
        <v>52863.750000000036</v>
      </c>
      <c r="N267" s="11">
        <f t="shared" si="14"/>
        <v>8</v>
      </c>
    </row>
    <row r="268" spans="1:14" x14ac:dyDescent="0.25">
      <c r="A268" s="11" t="s">
        <v>207</v>
      </c>
      <c r="B268" s="12">
        <v>45148</v>
      </c>
      <c r="C268" s="11" t="s">
        <v>688</v>
      </c>
      <c r="D268" s="11" t="s">
        <v>43</v>
      </c>
      <c r="E268" s="13" t="s">
        <v>43</v>
      </c>
      <c r="F268" s="14" t="s">
        <v>287</v>
      </c>
      <c r="I268" s="11" t="b">
        <f t="shared" si="12"/>
        <v>0</v>
      </c>
      <c r="J268" s="16">
        <v>1388.9</v>
      </c>
      <c r="M268" s="17">
        <f t="shared" si="13"/>
        <v>54252.650000000038</v>
      </c>
      <c r="N268" s="11">
        <f t="shared" si="14"/>
        <v>8</v>
      </c>
    </row>
    <row r="269" spans="1:14" x14ac:dyDescent="0.25">
      <c r="A269" s="11" t="s">
        <v>0</v>
      </c>
      <c r="B269" s="12">
        <v>45149</v>
      </c>
      <c r="C269" s="11" t="s">
        <v>688</v>
      </c>
      <c r="D269" s="11" t="s">
        <v>692</v>
      </c>
      <c r="E269" s="13" t="s">
        <v>179</v>
      </c>
      <c r="F269" s="14" t="s">
        <v>51</v>
      </c>
      <c r="G269" s="14" t="s">
        <v>293</v>
      </c>
      <c r="I269" s="11" t="b">
        <f t="shared" si="12"/>
        <v>0</v>
      </c>
      <c r="K269" s="16">
        <v>1714</v>
      </c>
      <c r="M269" s="17">
        <f t="shared" si="13"/>
        <v>52538.650000000038</v>
      </c>
      <c r="N269" s="11">
        <f t="shared" si="14"/>
        <v>8</v>
      </c>
    </row>
    <row r="270" spans="1:14" x14ac:dyDescent="0.25">
      <c r="A270" s="11" t="s">
        <v>0</v>
      </c>
      <c r="B270" s="12">
        <v>45149</v>
      </c>
      <c r="C270" s="11" t="s">
        <v>688</v>
      </c>
      <c r="D270" s="11" t="s">
        <v>692</v>
      </c>
      <c r="E270" s="13" t="s">
        <v>725</v>
      </c>
      <c r="F270" s="14" t="s">
        <v>27</v>
      </c>
      <c r="G270" s="14" t="s">
        <v>293</v>
      </c>
      <c r="I270" s="11" t="b">
        <f t="shared" si="12"/>
        <v>0</v>
      </c>
      <c r="K270" s="16">
        <v>660.28</v>
      </c>
      <c r="M270" s="17">
        <f t="shared" si="13"/>
        <v>51878.370000000039</v>
      </c>
      <c r="N270" s="11">
        <f t="shared" si="14"/>
        <v>8</v>
      </c>
    </row>
    <row r="271" spans="1:14" x14ac:dyDescent="0.25">
      <c r="A271" s="11" t="s">
        <v>0</v>
      </c>
      <c r="B271" s="12">
        <v>45149</v>
      </c>
      <c r="C271" s="11" t="s">
        <v>688</v>
      </c>
      <c r="D271" s="11" t="s">
        <v>692</v>
      </c>
      <c r="E271" s="13" t="s">
        <v>730</v>
      </c>
      <c r="F271" s="14" t="s">
        <v>34</v>
      </c>
      <c r="G271" s="14" t="s">
        <v>293</v>
      </c>
      <c r="I271" s="11" t="b">
        <f t="shared" si="12"/>
        <v>0</v>
      </c>
      <c r="K271" s="16">
        <v>1018.62</v>
      </c>
      <c r="M271" s="17">
        <f t="shared" si="13"/>
        <v>50859.750000000036</v>
      </c>
      <c r="N271" s="11">
        <f t="shared" si="14"/>
        <v>8</v>
      </c>
    </row>
    <row r="272" spans="1:14" x14ac:dyDescent="0.25">
      <c r="A272" s="11" t="s">
        <v>0</v>
      </c>
      <c r="B272" s="12">
        <v>45149</v>
      </c>
      <c r="C272" s="11" t="s">
        <v>688</v>
      </c>
      <c r="D272" s="11" t="s">
        <v>692</v>
      </c>
      <c r="E272" s="13" t="s">
        <v>726</v>
      </c>
      <c r="F272" s="14" t="s">
        <v>240</v>
      </c>
      <c r="G272" s="14" t="s">
        <v>293</v>
      </c>
      <c r="I272" s="11" t="b">
        <f t="shared" si="12"/>
        <v>0</v>
      </c>
      <c r="K272" s="16">
        <v>1026.3399999999999</v>
      </c>
      <c r="M272" s="17">
        <f t="shared" si="13"/>
        <v>49833.41000000004</v>
      </c>
      <c r="N272" s="11">
        <f t="shared" si="14"/>
        <v>8</v>
      </c>
    </row>
    <row r="273" spans="1:14" x14ac:dyDescent="0.25">
      <c r="A273" s="11" t="s">
        <v>0</v>
      </c>
      <c r="B273" s="12">
        <v>45149</v>
      </c>
      <c r="C273" s="11" t="s">
        <v>688</v>
      </c>
      <c r="D273" s="11" t="s">
        <v>699</v>
      </c>
      <c r="E273" s="13" t="s">
        <v>98</v>
      </c>
      <c r="F273" s="14" t="s">
        <v>206</v>
      </c>
      <c r="G273" s="14" t="s">
        <v>294</v>
      </c>
      <c r="I273" s="11" t="b">
        <f t="shared" si="12"/>
        <v>0</v>
      </c>
      <c r="K273" s="16">
        <v>224.29</v>
      </c>
      <c r="M273" s="17">
        <f t="shared" si="13"/>
        <v>49609.120000000039</v>
      </c>
      <c r="N273" s="11">
        <f t="shared" si="14"/>
        <v>8</v>
      </c>
    </row>
    <row r="274" spans="1:14" x14ac:dyDescent="0.25">
      <c r="A274" s="11" t="s">
        <v>207</v>
      </c>
      <c r="B274" s="12">
        <v>45149</v>
      </c>
      <c r="C274" s="11" t="s">
        <v>688</v>
      </c>
      <c r="D274" s="11" t="s">
        <v>43</v>
      </c>
      <c r="E274" s="13" t="s">
        <v>43</v>
      </c>
      <c r="F274" s="14" t="s">
        <v>286</v>
      </c>
      <c r="I274" s="11" t="b">
        <f t="shared" si="12"/>
        <v>0</v>
      </c>
      <c r="J274" s="16">
        <v>3951.05</v>
      </c>
      <c r="M274" s="17">
        <f t="shared" si="13"/>
        <v>53560.170000000042</v>
      </c>
      <c r="N274" s="11">
        <f t="shared" si="14"/>
        <v>8</v>
      </c>
    </row>
    <row r="275" spans="1:14" x14ac:dyDescent="0.25">
      <c r="A275" s="11" t="s">
        <v>207</v>
      </c>
      <c r="B275" s="12">
        <v>45149</v>
      </c>
      <c r="C275" s="11" t="s">
        <v>688</v>
      </c>
      <c r="D275" s="11" t="s">
        <v>43</v>
      </c>
      <c r="E275" s="13" t="s">
        <v>43</v>
      </c>
      <c r="F275" s="14" t="s">
        <v>287</v>
      </c>
      <c r="I275" s="11" t="b">
        <f t="shared" si="12"/>
        <v>0</v>
      </c>
      <c r="J275" s="16">
        <v>2113.0500000000002</v>
      </c>
      <c r="M275" s="17">
        <f t="shared" si="13"/>
        <v>55673.220000000045</v>
      </c>
      <c r="N275" s="11">
        <f t="shared" si="14"/>
        <v>8</v>
      </c>
    </row>
    <row r="276" spans="1:14" x14ac:dyDescent="0.25">
      <c r="A276" s="11" t="s">
        <v>207</v>
      </c>
      <c r="B276" s="12">
        <v>45149</v>
      </c>
      <c r="C276" s="11" t="s">
        <v>688</v>
      </c>
      <c r="D276" s="11" t="s">
        <v>43</v>
      </c>
      <c r="E276" s="14" t="s">
        <v>288</v>
      </c>
      <c r="F276" s="14" t="s">
        <v>288</v>
      </c>
      <c r="G276" s="14" t="s">
        <v>173</v>
      </c>
      <c r="I276" s="11">
        <f t="shared" si="12"/>
        <v>3</v>
      </c>
      <c r="J276" s="16">
        <v>430</v>
      </c>
      <c r="M276" s="17">
        <f t="shared" si="13"/>
        <v>56103.220000000045</v>
      </c>
      <c r="N276" s="11">
        <f t="shared" si="14"/>
        <v>8</v>
      </c>
    </row>
    <row r="277" spans="1:14" x14ac:dyDescent="0.25">
      <c r="A277" s="11" t="s">
        <v>0</v>
      </c>
      <c r="B277" s="12">
        <v>45150</v>
      </c>
      <c r="C277" s="11" t="s">
        <v>688</v>
      </c>
      <c r="D277" s="11" t="s">
        <v>692</v>
      </c>
      <c r="E277" s="13" t="s">
        <v>108</v>
      </c>
      <c r="F277" s="14" t="s">
        <v>318</v>
      </c>
      <c r="G277" s="14" t="s">
        <v>293</v>
      </c>
      <c r="I277" s="11" t="b">
        <f t="shared" si="12"/>
        <v>0</v>
      </c>
      <c r="K277" s="16">
        <v>390</v>
      </c>
      <c r="M277" s="17">
        <f t="shared" si="13"/>
        <v>55713.220000000045</v>
      </c>
      <c r="N277" s="11">
        <f t="shared" si="14"/>
        <v>8</v>
      </c>
    </row>
    <row r="278" spans="1:14" x14ac:dyDescent="0.25">
      <c r="A278" s="11" t="s">
        <v>0</v>
      </c>
      <c r="B278" s="12">
        <v>45150</v>
      </c>
      <c r="C278" s="11" t="s">
        <v>688</v>
      </c>
      <c r="D278" s="11" t="s">
        <v>692</v>
      </c>
      <c r="E278" s="13" t="s">
        <v>108</v>
      </c>
      <c r="F278" s="14" t="s">
        <v>319</v>
      </c>
      <c r="G278" s="14" t="s">
        <v>293</v>
      </c>
      <c r="I278" s="11" t="b">
        <f t="shared" si="12"/>
        <v>0</v>
      </c>
      <c r="K278" s="16">
        <v>210</v>
      </c>
      <c r="M278" s="17">
        <f t="shared" si="13"/>
        <v>55503.220000000045</v>
      </c>
      <c r="N278" s="11">
        <f t="shared" si="14"/>
        <v>8</v>
      </c>
    </row>
    <row r="279" spans="1:14" x14ac:dyDescent="0.25">
      <c r="A279" s="11" t="s">
        <v>0</v>
      </c>
      <c r="B279" s="12">
        <v>45150</v>
      </c>
      <c r="C279" s="11" t="s">
        <v>688</v>
      </c>
      <c r="D279" s="11" t="s">
        <v>698</v>
      </c>
      <c r="E279" s="13" t="s">
        <v>315</v>
      </c>
      <c r="F279" s="14" t="s">
        <v>320</v>
      </c>
      <c r="G279" s="14" t="s">
        <v>293</v>
      </c>
      <c r="I279" s="11" t="b">
        <f t="shared" si="12"/>
        <v>0</v>
      </c>
      <c r="K279" s="16">
        <v>900</v>
      </c>
      <c r="M279" s="17">
        <f t="shared" si="13"/>
        <v>54603.220000000045</v>
      </c>
      <c r="N279" s="11">
        <f t="shared" si="14"/>
        <v>8</v>
      </c>
    </row>
    <row r="280" spans="1:14" x14ac:dyDescent="0.25">
      <c r="A280" s="11" t="s">
        <v>0</v>
      </c>
      <c r="B280" s="12">
        <v>45150</v>
      </c>
      <c r="C280" s="11" t="s">
        <v>688</v>
      </c>
      <c r="D280" s="11" t="s">
        <v>699</v>
      </c>
      <c r="E280" s="13" t="s">
        <v>98</v>
      </c>
      <c r="F280" s="14" t="s">
        <v>576</v>
      </c>
      <c r="G280" s="14" t="s">
        <v>293</v>
      </c>
      <c r="I280" s="11" t="b">
        <f t="shared" si="12"/>
        <v>0</v>
      </c>
      <c r="K280" s="16">
        <v>100</v>
      </c>
      <c r="M280" s="17">
        <f t="shared" si="13"/>
        <v>54503.220000000045</v>
      </c>
      <c r="N280" s="11">
        <f t="shared" si="14"/>
        <v>8</v>
      </c>
    </row>
    <row r="281" spans="1:14" x14ac:dyDescent="0.25">
      <c r="A281" s="11" t="s">
        <v>0</v>
      </c>
      <c r="B281" s="12">
        <v>45150</v>
      </c>
      <c r="C281" s="11" t="s">
        <v>688</v>
      </c>
      <c r="D281" s="11" t="s">
        <v>701</v>
      </c>
      <c r="E281" s="13" t="s">
        <v>180</v>
      </c>
      <c r="F281" s="14" t="s">
        <v>37</v>
      </c>
      <c r="G281" s="14" t="s">
        <v>293</v>
      </c>
      <c r="I281" s="11" t="b">
        <f t="shared" si="12"/>
        <v>0</v>
      </c>
      <c r="K281" s="16">
        <v>40.700000000000003</v>
      </c>
      <c r="M281" s="17">
        <f t="shared" si="13"/>
        <v>54462.520000000048</v>
      </c>
      <c r="N281" s="11">
        <f t="shared" si="14"/>
        <v>8</v>
      </c>
    </row>
    <row r="282" spans="1:14" x14ac:dyDescent="0.25">
      <c r="A282" s="11" t="s">
        <v>0</v>
      </c>
      <c r="B282" s="12">
        <v>45150</v>
      </c>
      <c r="C282" s="11" t="s">
        <v>688</v>
      </c>
      <c r="D282" s="11" t="s">
        <v>692</v>
      </c>
      <c r="E282" s="13" t="s">
        <v>143</v>
      </c>
      <c r="F282" s="14" t="s">
        <v>241</v>
      </c>
      <c r="G282" s="14" t="s">
        <v>293</v>
      </c>
      <c r="I282" s="11" t="b">
        <f t="shared" si="12"/>
        <v>0</v>
      </c>
      <c r="K282" s="16">
        <v>95.76</v>
      </c>
      <c r="M282" s="17">
        <f t="shared" si="13"/>
        <v>54366.760000000046</v>
      </c>
      <c r="N282" s="11">
        <f t="shared" si="14"/>
        <v>8</v>
      </c>
    </row>
    <row r="283" spans="1:14" x14ac:dyDescent="0.25">
      <c r="A283" s="11" t="s">
        <v>0</v>
      </c>
      <c r="B283" s="12">
        <v>45150</v>
      </c>
      <c r="C283" s="11" t="s">
        <v>688</v>
      </c>
      <c r="D283" s="11" t="s">
        <v>699</v>
      </c>
      <c r="E283" s="13" t="s">
        <v>322</v>
      </c>
      <c r="F283" s="14" t="s">
        <v>321</v>
      </c>
      <c r="G283" s="14" t="s">
        <v>293</v>
      </c>
      <c r="I283" s="11" t="b">
        <f t="shared" si="12"/>
        <v>0</v>
      </c>
      <c r="K283" s="16">
        <v>630.98</v>
      </c>
      <c r="M283" s="17">
        <f t="shared" si="13"/>
        <v>53735.780000000042</v>
      </c>
      <c r="N283" s="11">
        <f t="shared" si="14"/>
        <v>8</v>
      </c>
    </row>
    <row r="284" spans="1:14" x14ac:dyDescent="0.25">
      <c r="A284" s="11" t="s">
        <v>207</v>
      </c>
      <c r="B284" s="12">
        <v>45150</v>
      </c>
      <c r="C284" s="11" t="s">
        <v>688</v>
      </c>
      <c r="D284" s="11" t="s">
        <v>43</v>
      </c>
      <c r="E284" s="13" t="s">
        <v>43</v>
      </c>
      <c r="F284" s="14" t="s">
        <v>286</v>
      </c>
      <c r="I284" s="11" t="b">
        <f t="shared" si="12"/>
        <v>0</v>
      </c>
      <c r="J284" s="16">
        <v>4805</v>
      </c>
      <c r="M284" s="17">
        <f t="shared" si="13"/>
        <v>58540.780000000042</v>
      </c>
      <c r="N284" s="11">
        <f t="shared" si="14"/>
        <v>8</v>
      </c>
    </row>
    <row r="285" spans="1:14" x14ac:dyDescent="0.25">
      <c r="A285" s="11" t="s">
        <v>207</v>
      </c>
      <c r="B285" s="12">
        <v>45150</v>
      </c>
      <c r="C285" s="11" t="s">
        <v>688</v>
      </c>
      <c r="D285" s="11" t="s">
        <v>43</v>
      </c>
      <c r="E285" s="13" t="s">
        <v>43</v>
      </c>
      <c r="F285" s="14" t="s">
        <v>287</v>
      </c>
      <c r="I285" s="11" t="b">
        <f t="shared" si="12"/>
        <v>0</v>
      </c>
      <c r="J285" s="16">
        <v>10309.6</v>
      </c>
      <c r="M285" s="17">
        <f t="shared" si="13"/>
        <v>68850.380000000048</v>
      </c>
      <c r="N285" s="11">
        <f t="shared" si="14"/>
        <v>8</v>
      </c>
    </row>
    <row r="286" spans="1:14" x14ac:dyDescent="0.25">
      <c r="A286" s="11" t="s">
        <v>207</v>
      </c>
      <c r="B286" s="12">
        <v>45150</v>
      </c>
      <c r="C286" s="11" t="s">
        <v>688</v>
      </c>
      <c r="D286" s="11" t="s">
        <v>43</v>
      </c>
      <c r="E286" s="14" t="s">
        <v>288</v>
      </c>
      <c r="F286" s="14" t="s">
        <v>288</v>
      </c>
      <c r="G286" s="14" t="s">
        <v>173</v>
      </c>
      <c r="I286" s="11">
        <f t="shared" si="12"/>
        <v>3</v>
      </c>
      <c r="J286" s="16">
        <v>10</v>
      </c>
      <c r="M286" s="17">
        <f t="shared" si="13"/>
        <v>68860.380000000048</v>
      </c>
      <c r="N286" s="11">
        <f t="shared" si="14"/>
        <v>8</v>
      </c>
    </row>
    <row r="287" spans="1:14" x14ac:dyDescent="0.25">
      <c r="A287" s="11" t="s">
        <v>0</v>
      </c>
      <c r="B287" s="12">
        <v>45151</v>
      </c>
      <c r="C287" s="11" t="s">
        <v>688</v>
      </c>
      <c r="D287" s="11" t="s">
        <v>692</v>
      </c>
      <c r="E287" s="13" t="s">
        <v>483</v>
      </c>
      <c r="F287" s="14" t="s">
        <v>269</v>
      </c>
      <c r="G287" s="14" t="s">
        <v>293</v>
      </c>
      <c r="I287" s="11" t="b">
        <f t="shared" si="12"/>
        <v>0</v>
      </c>
      <c r="K287" s="16">
        <v>309</v>
      </c>
      <c r="M287" s="17">
        <f t="shared" si="13"/>
        <v>68551.380000000048</v>
      </c>
      <c r="N287" s="11">
        <f t="shared" si="14"/>
        <v>8</v>
      </c>
    </row>
    <row r="288" spans="1:14" x14ac:dyDescent="0.25">
      <c r="A288" s="11" t="s">
        <v>0</v>
      </c>
      <c r="B288" s="12">
        <v>45151</v>
      </c>
      <c r="C288" s="11" t="s">
        <v>688</v>
      </c>
      <c r="D288" s="11" t="s">
        <v>699</v>
      </c>
      <c r="E288" s="13" t="s">
        <v>98</v>
      </c>
      <c r="F288" s="14" t="s">
        <v>206</v>
      </c>
      <c r="G288" s="14" t="s">
        <v>293</v>
      </c>
      <c r="I288" s="11" t="b">
        <f t="shared" si="12"/>
        <v>0</v>
      </c>
      <c r="K288" s="16">
        <v>200</v>
      </c>
      <c r="M288" s="17">
        <f t="shared" si="13"/>
        <v>68351.380000000048</v>
      </c>
      <c r="N288" s="11">
        <f t="shared" si="14"/>
        <v>8</v>
      </c>
    </row>
    <row r="289" spans="1:14" x14ac:dyDescent="0.25">
      <c r="A289" s="11" t="s">
        <v>207</v>
      </c>
      <c r="B289" s="12">
        <v>45151</v>
      </c>
      <c r="C289" s="11" t="s">
        <v>688</v>
      </c>
      <c r="D289" s="11" t="s">
        <v>43</v>
      </c>
      <c r="E289" s="13" t="s">
        <v>43</v>
      </c>
      <c r="F289" s="14" t="s">
        <v>286</v>
      </c>
      <c r="I289" s="11" t="b">
        <f t="shared" si="12"/>
        <v>0</v>
      </c>
      <c r="J289" s="16">
        <v>9973.83</v>
      </c>
      <c r="M289" s="17">
        <f t="shared" si="13"/>
        <v>78325.21000000005</v>
      </c>
      <c r="N289" s="11">
        <f t="shared" si="14"/>
        <v>8</v>
      </c>
    </row>
    <row r="290" spans="1:14" x14ac:dyDescent="0.25">
      <c r="A290" s="11" t="s">
        <v>207</v>
      </c>
      <c r="B290" s="12">
        <v>45151</v>
      </c>
      <c r="C290" s="11" t="s">
        <v>688</v>
      </c>
      <c r="D290" s="11" t="s">
        <v>43</v>
      </c>
      <c r="E290" s="13" t="s">
        <v>43</v>
      </c>
      <c r="F290" s="14" t="s">
        <v>287</v>
      </c>
      <c r="I290" s="11" t="b">
        <f t="shared" si="12"/>
        <v>0</v>
      </c>
      <c r="J290" s="16">
        <v>9742.15</v>
      </c>
      <c r="M290" s="17">
        <f t="shared" si="13"/>
        <v>88067.360000000044</v>
      </c>
      <c r="N290" s="11">
        <f t="shared" si="14"/>
        <v>8</v>
      </c>
    </row>
    <row r="291" spans="1:14" x14ac:dyDescent="0.25">
      <c r="A291" s="11" t="s">
        <v>207</v>
      </c>
      <c r="B291" s="12">
        <v>45151</v>
      </c>
      <c r="C291" s="11" t="s">
        <v>688</v>
      </c>
      <c r="D291" s="11" t="s">
        <v>43</v>
      </c>
      <c r="E291" s="14" t="s">
        <v>288</v>
      </c>
      <c r="F291" s="14" t="s">
        <v>288</v>
      </c>
      <c r="G291" s="14" t="s">
        <v>173</v>
      </c>
      <c r="I291" s="11">
        <f t="shared" si="12"/>
        <v>3</v>
      </c>
      <c r="J291" s="16">
        <v>22</v>
      </c>
      <c r="M291" s="17">
        <f t="shared" si="13"/>
        <v>88089.360000000044</v>
      </c>
      <c r="N291" s="11">
        <f t="shared" si="14"/>
        <v>8</v>
      </c>
    </row>
    <row r="292" spans="1:14" x14ac:dyDescent="0.25">
      <c r="A292" s="11" t="s">
        <v>0</v>
      </c>
      <c r="B292" s="12">
        <v>45152</v>
      </c>
      <c r="C292" s="11" t="s">
        <v>688</v>
      </c>
      <c r="D292" s="11" t="s">
        <v>698</v>
      </c>
      <c r="E292" s="13" t="s">
        <v>324</v>
      </c>
      <c r="F292" s="14" t="s">
        <v>323</v>
      </c>
      <c r="G292" s="14" t="s">
        <v>293</v>
      </c>
      <c r="I292" s="11" t="b">
        <f t="shared" si="12"/>
        <v>0</v>
      </c>
      <c r="K292" s="16">
        <v>200</v>
      </c>
      <c r="M292" s="17">
        <f t="shared" si="13"/>
        <v>87889.360000000044</v>
      </c>
      <c r="N292" s="11">
        <f t="shared" si="14"/>
        <v>8</v>
      </c>
    </row>
    <row r="293" spans="1:14" x14ac:dyDescent="0.25">
      <c r="A293" s="11" t="s">
        <v>0</v>
      </c>
      <c r="B293" s="12">
        <v>45152</v>
      </c>
      <c r="C293" s="11" t="s">
        <v>688</v>
      </c>
      <c r="D293" s="11" t="s">
        <v>692</v>
      </c>
      <c r="E293" s="13" t="s">
        <v>467</v>
      </c>
      <c r="F293" s="14" t="s">
        <v>325</v>
      </c>
      <c r="G293" s="14" t="s">
        <v>295</v>
      </c>
      <c r="I293" s="11" t="b">
        <f t="shared" si="12"/>
        <v>0</v>
      </c>
      <c r="K293" s="16">
        <v>1110.92</v>
      </c>
      <c r="M293" s="17">
        <f t="shared" si="13"/>
        <v>86778.440000000046</v>
      </c>
      <c r="N293" s="11">
        <f t="shared" si="14"/>
        <v>8</v>
      </c>
    </row>
    <row r="294" spans="1:14" x14ac:dyDescent="0.25">
      <c r="A294" s="11" t="s">
        <v>0</v>
      </c>
      <c r="B294" s="12">
        <v>45152</v>
      </c>
      <c r="C294" s="11" t="s">
        <v>688</v>
      </c>
      <c r="D294" s="11" t="s">
        <v>692</v>
      </c>
      <c r="E294" s="13" t="s">
        <v>467</v>
      </c>
      <c r="F294" s="14" t="s">
        <v>325</v>
      </c>
      <c r="G294" s="14" t="s">
        <v>295</v>
      </c>
      <c r="I294" s="11" t="b">
        <f t="shared" si="12"/>
        <v>0</v>
      </c>
      <c r="K294" s="16">
        <v>1845.78</v>
      </c>
      <c r="M294" s="17">
        <f t="shared" si="13"/>
        <v>84932.660000000047</v>
      </c>
      <c r="N294" s="11">
        <f t="shared" si="14"/>
        <v>8</v>
      </c>
    </row>
    <row r="295" spans="1:14" x14ac:dyDescent="0.25">
      <c r="A295" s="11" t="s">
        <v>0</v>
      </c>
      <c r="B295" s="12">
        <v>45152</v>
      </c>
      <c r="C295" s="11" t="s">
        <v>688</v>
      </c>
      <c r="D295" s="11" t="s">
        <v>692</v>
      </c>
      <c r="E295" s="13" t="s">
        <v>267</v>
      </c>
      <c r="F295" s="14" t="s">
        <v>301</v>
      </c>
      <c r="G295" s="14" t="s">
        <v>293</v>
      </c>
      <c r="I295" s="11" t="b">
        <f t="shared" si="12"/>
        <v>0</v>
      </c>
      <c r="K295" s="16">
        <v>910</v>
      </c>
      <c r="M295" s="17">
        <f t="shared" si="13"/>
        <v>84022.660000000047</v>
      </c>
      <c r="N295" s="11">
        <f t="shared" si="14"/>
        <v>8</v>
      </c>
    </row>
    <row r="296" spans="1:14" x14ac:dyDescent="0.25">
      <c r="A296" s="11" t="s">
        <v>0</v>
      </c>
      <c r="B296" s="12">
        <v>45152</v>
      </c>
      <c r="C296" s="11" t="s">
        <v>688</v>
      </c>
      <c r="D296" s="11" t="s">
        <v>692</v>
      </c>
      <c r="E296" s="13" t="s">
        <v>717</v>
      </c>
      <c r="F296" s="14" t="s">
        <v>76</v>
      </c>
      <c r="G296" s="14" t="s">
        <v>293</v>
      </c>
      <c r="I296" s="11" t="b">
        <f t="shared" si="12"/>
        <v>0</v>
      </c>
      <c r="K296" s="16">
        <v>647.69000000000005</v>
      </c>
      <c r="M296" s="17">
        <f t="shared" si="13"/>
        <v>83374.970000000045</v>
      </c>
      <c r="N296" s="11">
        <f t="shared" si="14"/>
        <v>8</v>
      </c>
    </row>
    <row r="297" spans="1:14" x14ac:dyDescent="0.25">
      <c r="A297" s="11" t="s">
        <v>0</v>
      </c>
      <c r="B297" s="12">
        <v>45152</v>
      </c>
      <c r="C297" s="11" t="s">
        <v>688</v>
      </c>
      <c r="D297" s="11" t="s">
        <v>692</v>
      </c>
      <c r="E297" s="13" t="s">
        <v>179</v>
      </c>
      <c r="F297" s="14" t="s">
        <v>378</v>
      </c>
      <c r="G297" s="14" t="s">
        <v>293</v>
      </c>
      <c r="I297" s="11" t="b">
        <f t="shared" si="12"/>
        <v>0</v>
      </c>
      <c r="K297" s="16">
        <v>147</v>
      </c>
      <c r="M297" s="17">
        <f t="shared" si="13"/>
        <v>83227.970000000045</v>
      </c>
      <c r="N297" s="11">
        <f t="shared" si="14"/>
        <v>8</v>
      </c>
    </row>
    <row r="298" spans="1:14" x14ac:dyDescent="0.25">
      <c r="A298" s="11" t="s">
        <v>0</v>
      </c>
      <c r="B298" s="12">
        <v>45152</v>
      </c>
      <c r="C298" s="11" t="s">
        <v>688</v>
      </c>
      <c r="D298" s="11" t="s">
        <v>692</v>
      </c>
      <c r="E298" s="13" t="s">
        <v>143</v>
      </c>
      <c r="F298" s="14" t="s">
        <v>59</v>
      </c>
      <c r="G298" s="14" t="s">
        <v>293</v>
      </c>
      <c r="I298" s="11" t="b">
        <f t="shared" si="12"/>
        <v>0</v>
      </c>
      <c r="K298" s="16">
        <v>30.18</v>
      </c>
      <c r="M298" s="17">
        <f t="shared" si="13"/>
        <v>83197.790000000052</v>
      </c>
      <c r="N298" s="11">
        <f t="shared" si="14"/>
        <v>8</v>
      </c>
    </row>
    <row r="299" spans="1:14" x14ac:dyDescent="0.25">
      <c r="A299" s="11" t="s">
        <v>0</v>
      </c>
      <c r="B299" s="12">
        <v>45152</v>
      </c>
      <c r="C299" s="11" t="s">
        <v>688</v>
      </c>
      <c r="D299" s="11" t="s">
        <v>696</v>
      </c>
      <c r="E299" s="13" t="s">
        <v>290</v>
      </c>
      <c r="F299" s="14" t="s">
        <v>61</v>
      </c>
      <c r="G299" s="14" t="s">
        <v>293</v>
      </c>
      <c r="I299" s="11" t="b">
        <f t="shared" si="12"/>
        <v>0</v>
      </c>
      <c r="K299" s="16">
        <v>100</v>
      </c>
      <c r="M299" s="17">
        <f t="shared" si="13"/>
        <v>83097.790000000052</v>
      </c>
      <c r="N299" s="11">
        <f t="shared" si="14"/>
        <v>8</v>
      </c>
    </row>
    <row r="300" spans="1:14" x14ac:dyDescent="0.25">
      <c r="A300" s="11" t="s">
        <v>0</v>
      </c>
      <c r="B300" s="12">
        <v>45152</v>
      </c>
      <c r="C300" s="11" t="s">
        <v>688</v>
      </c>
      <c r="D300" s="11" t="s">
        <v>692</v>
      </c>
      <c r="E300" s="13" t="s">
        <v>725</v>
      </c>
      <c r="F300" s="14" t="s">
        <v>33</v>
      </c>
      <c r="G300" s="14" t="s">
        <v>293</v>
      </c>
      <c r="I300" s="11" t="b">
        <f t="shared" si="12"/>
        <v>0</v>
      </c>
      <c r="K300" s="16">
        <v>506.26</v>
      </c>
      <c r="M300" s="17">
        <f t="shared" si="13"/>
        <v>82591.530000000057</v>
      </c>
      <c r="N300" s="11">
        <f t="shared" si="14"/>
        <v>8</v>
      </c>
    </row>
    <row r="301" spans="1:14" x14ac:dyDescent="0.25">
      <c r="A301" s="11" t="s">
        <v>0</v>
      </c>
      <c r="B301" s="12">
        <v>45152</v>
      </c>
      <c r="C301" s="11" t="s">
        <v>688</v>
      </c>
      <c r="D301" s="11" t="s">
        <v>692</v>
      </c>
      <c r="E301" s="13" t="s">
        <v>725</v>
      </c>
      <c r="F301" s="14" t="s">
        <v>33</v>
      </c>
      <c r="G301" s="14" t="s">
        <v>293</v>
      </c>
      <c r="I301" s="11" t="b">
        <f t="shared" si="12"/>
        <v>0</v>
      </c>
      <c r="K301" s="16">
        <v>208.83</v>
      </c>
      <c r="M301" s="17">
        <f t="shared" si="13"/>
        <v>82382.700000000055</v>
      </c>
      <c r="N301" s="11">
        <f t="shared" si="14"/>
        <v>8</v>
      </c>
    </row>
    <row r="302" spans="1:14" x14ac:dyDescent="0.25">
      <c r="A302" s="11" t="s">
        <v>0</v>
      </c>
      <c r="B302" s="12">
        <v>45153</v>
      </c>
      <c r="C302" s="11" t="s">
        <v>688</v>
      </c>
      <c r="D302" s="11" t="s">
        <v>692</v>
      </c>
      <c r="E302" s="13" t="s">
        <v>725</v>
      </c>
      <c r="F302" s="14" t="s">
        <v>27</v>
      </c>
      <c r="G302" s="14" t="s">
        <v>293</v>
      </c>
      <c r="I302" s="11" t="b">
        <f t="shared" si="12"/>
        <v>0</v>
      </c>
      <c r="K302" s="16">
        <v>746.72</v>
      </c>
      <c r="M302" s="17">
        <f t="shared" si="13"/>
        <v>81635.980000000054</v>
      </c>
      <c r="N302" s="11">
        <f t="shared" si="14"/>
        <v>8</v>
      </c>
    </row>
    <row r="303" spans="1:14" x14ac:dyDescent="0.25">
      <c r="A303" s="11" t="s">
        <v>0</v>
      </c>
      <c r="B303" s="12">
        <v>45153</v>
      </c>
      <c r="C303" s="11" t="s">
        <v>688</v>
      </c>
      <c r="D303" s="11" t="s">
        <v>692</v>
      </c>
      <c r="E303" s="13" t="s">
        <v>143</v>
      </c>
      <c r="F303" s="14" t="s">
        <v>241</v>
      </c>
      <c r="G303" s="14" t="s">
        <v>173</v>
      </c>
      <c r="I303" s="11">
        <f t="shared" si="12"/>
        <v>6</v>
      </c>
      <c r="K303" s="16">
        <v>255</v>
      </c>
      <c r="M303" s="17">
        <f t="shared" si="13"/>
        <v>81380.980000000054</v>
      </c>
      <c r="N303" s="11">
        <f t="shared" si="14"/>
        <v>8</v>
      </c>
    </row>
    <row r="304" spans="1:14" x14ac:dyDescent="0.25">
      <c r="A304" s="11" t="s">
        <v>0</v>
      </c>
      <c r="B304" s="12">
        <v>45153</v>
      </c>
      <c r="C304" s="11" t="s">
        <v>688</v>
      </c>
      <c r="D304" s="11" t="s">
        <v>701</v>
      </c>
      <c r="E304" s="13" t="s">
        <v>193</v>
      </c>
      <c r="F304" s="14" t="s">
        <v>244</v>
      </c>
      <c r="G304" s="14" t="s">
        <v>173</v>
      </c>
      <c r="I304" s="11">
        <f t="shared" si="12"/>
        <v>6</v>
      </c>
      <c r="K304" s="16">
        <v>187.15</v>
      </c>
      <c r="M304" s="17">
        <f t="shared" si="13"/>
        <v>81193.83000000006</v>
      </c>
      <c r="N304" s="11">
        <f t="shared" si="14"/>
        <v>8</v>
      </c>
    </row>
    <row r="305" spans="1:14" x14ac:dyDescent="0.25">
      <c r="A305" s="11" t="s">
        <v>0</v>
      </c>
      <c r="B305" s="12">
        <v>45153</v>
      </c>
      <c r="C305" s="11" t="s">
        <v>688</v>
      </c>
      <c r="D305" s="11" t="s">
        <v>696</v>
      </c>
      <c r="E305" s="13" t="s">
        <v>225</v>
      </c>
      <c r="F305" s="14" t="s">
        <v>326</v>
      </c>
      <c r="G305" s="14" t="s">
        <v>293</v>
      </c>
      <c r="I305" s="11" t="b">
        <f t="shared" si="12"/>
        <v>0</v>
      </c>
      <c r="K305" s="16">
        <v>750</v>
      </c>
      <c r="M305" s="17">
        <f t="shared" si="13"/>
        <v>80443.83000000006</v>
      </c>
      <c r="N305" s="11">
        <f t="shared" si="14"/>
        <v>8</v>
      </c>
    </row>
    <row r="306" spans="1:14" x14ac:dyDescent="0.25">
      <c r="A306" s="11" t="s">
        <v>0</v>
      </c>
      <c r="B306" s="12">
        <v>45154</v>
      </c>
      <c r="C306" s="11" t="s">
        <v>688</v>
      </c>
      <c r="D306" s="11" t="s">
        <v>692</v>
      </c>
      <c r="E306" s="13" t="s">
        <v>179</v>
      </c>
      <c r="F306" s="14" t="s">
        <v>51</v>
      </c>
      <c r="G306" s="14" t="s">
        <v>293</v>
      </c>
      <c r="I306" s="11" t="b">
        <f t="shared" si="12"/>
        <v>0</v>
      </c>
      <c r="K306" s="16">
        <v>1440</v>
      </c>
      <c r="M306" s="17">
        <f t="shared" si="13"/>
        <v>79003.83000000006</v>
      </c>
      <c r="N306" s="11">
        <f t="shared" si="14"/>
        <v>8</v>
      </c>
    </row>
    <row r="307" spans="1:14" x14ac:dyDescent="0.25">
      <c r="A307" s="11" t="s">
        <v>0</v>
      </c>
      <c r="B307" s="12">
        <v>45154</v>
      </c>
      <c r="C307" s="11" t="s">
        <v>688</v>
      </c>
      <c r="D307" s="11" t="s">
        <v>696</v>
      </c>
      <c r="E307" s="13" t="s">
        <v>290</v>
      </c>
      <c r="F307" s="14" t="s">
        <v>289</v>
      </c>
      <c r="G307" s="14" t="s">
        <v>173</v>
      </c>
      <c r="I307" s="11">
        <f t="shared" si="12"/>
        <v>6</v>
      </c>
      <c r="K307" s="16">
        <v>800</v>
      </c>
      <c r="M307" s="17">
        <f t="shared" si="13"/>
        <v>78203.83000000006</v>
      </c>
      <c r="N307" s="11">
        <f t="shared" si="14"/>
        <v>8</v>
      </c>
    </row>
    <row r="308" spans="1:14" x14ac:dyDescent="0.25">
      <c r="A308" s="11" t="s">
        <v>0</v>
      </c>
      <c r="B308" s="12">
        <v>45154</v>
      </c>
      <c r="C308" s="11" t="s">
        <v>688</v>
      </c>
      <c r="D308" s="11" t="s">
        <v>47</v>
      </c>
      <c r="E308" s="13" t="s">
        <v>328</v>
      </c>
      <c r="F308" s="14" t="s">
        <v>327</v>
      </c>
      <c r="G308" s="14" t="s">
        <v>293</v>
      </c>
      <c r="I308" s="11" t="b">
        <f t="shared" si="12"/>
        <v>0</v>
      </c>
      <c r="K308" s="16">
        <v>400</v>
      </c>
      <c r="M308" s="17">
        <f t="shared" si="13"/>
        <v>77803.83000000006</v>
      </c>
      <c r="N308" s="11">
        <f t="shared" si="14"/>
        <v>8</v>
      </c>
    </row>
    <row r="309" spans="1:14" x14ac:dyDescent="0.25">
      <c r="A309" s="11" t="s">
        <v>0</v>
      </c>
      <c r="B309" s="12">
        <v>45154</v>
      </c>
      <c r="C309" s="11" t="s">
        <v>688</v>
      </c>
      <c r="D309" s="11" t="s">
        <v>699</v>
      </c>
      <c r="E309" s="13" t="s">
        <v>98</v>
      </c>
      <c r="F309" s="14" t="s">
        <v>300</v>
      </c>
      <c r="G309" s="14" t="s">
        <v>293</v>
      </c>
      <c r="I309" s="11" t="b">
        <f t="shared" si="12"/>
        <v>0</v>
      </c>
      <c r="K309" s="16">
        <v>100</v>
      </c>
      <c r="M309" s="17">
        <f t="shared" si="13"/>
        <v>77703.83000000006</v>
      </c>
      <c r="N309" s="11">
        <f t="shared" si="14"/>
        <v>8</v>
      </c>
    </row>
    <row r="310" spans="1:14" x14ac:dyDescent="0.25">
      <c r="A310" s="11" t="s">
        <v>0</v>
      </c>
      <c r="B310" s="12">
        <v>45154</v>
      </c>
      <c r="C310" s="11" t="s">
        <v>688</v>
      </c>
      <c r="D310" s="11" t="s">
        <v>692</v>
      </c>
      <c r="E310" s="13" t="s">
        <v>725</v>
      </c>
      <c r="F310" s="14" t="s">
        <v>27</v>
      </c>
      <c r="G310" s="14" t="s">
        <v>293</v>
      </c>
      <c r="I310" s="11" t="b">
        <f t="shared" si="12"/>
        <v>0</v>
      </c>
      <c r="K310" s="16">
        <v>2779.2</v>
      </c>
      <c r="M310" s="17">
        <f t="shared" si="13"/>
        <v>74924.630000000063</v>
      </c>
      <c r="N310" s="11">
        <f t="shared" si="14"/>
        <v>8</v>
      </c>
    </row>
    <row r="311" spans="1:14" x14ac:dyDescent="0.25">
      <c r="A311" s="11" t="s">
        <v>0</v>
      </c>
      <c r="B311" s="12">
        <v>45154</v>
      </c>
      <c r="C311" s="11" t="s">
        <v>688</v>
      </c>
      <c r="D311" s="11" t="s">
        <v>696</v>
      </c>
      <c r="E311" s="13" t="s">
        <v>290</v>
      </c>
      <c r="F311" s="14" t="s">
        <v>259</v>
      </c>
      <c r="G311" s="14" t="s">
        <v>293</v>
      </c>
      <c r="I311" s="11" t="b">
        <f t="shared" si="12"/>
        <v>0</v>
      </c>
      <c r="K311" s="16">
        <v>1000</v>
      </c>
      <c r="M311" s="17">
        <f t="shared" si="13"/>
        <v>73924.630000000063</v>
      </c>
      <c r="N311" s="11">
        <f t="shared" si="14"/>
        <v>8</v>
      </c>
    </row>
    <row r="312" spans="1:14" x14ac:dyDescent="0.25">
      <c r="A312" s="11" t="s">
        <v>0</v>
      </c>
      <c r="B312" s="12">
        <v>45154</v>
      </c>
      <c r="C312" s="11" t="s">
        <v>688</v>
      </c>
      <c r="D312" s="11" t="s">
        <v>696</v>
      </c>
      <c r="E312" s="13" t="s">
        <v>290</v>
      </c>
      <c r="F312" s="14" t="s">
        <v>140</v>
      </c>
      <c r="G312" s="14" t="s">
        <v>293</v>
      </c>
      <c r="I312" s="11" t="b">
        <f t="shared" si="12"/>
        <v>0</v>
      </c>
      <c r="K312" s="16">
        <v>1250</v>
      </c>
      <c r="M312" s="17">
        <f t="shared" si="13"/>
        <v>72674.630000000063</v>
      </c>
      <c r="N312" s="11">
        <f t="shared" si="14"/>
        <v>8</v>
      </c>
    </row>
    <row r="313" spans="1:14" x14ac:dyDescent="0.25">
      <c r="A313" s="11" t="s">
        <v>0</v>
      </c>
      <c r="B313" s="12">
        <v>45154</v>
      </c>
      <c r="C313" s="11" t="s">
        <v>688</v>
      </c>
      <c r="D313" s="11" t="s">
        <v>696</v>
      </c>
      <c r="E313" s="13" t="s">
        <v>290</v>
      </c>
      <c r="F313" s="14" t="s">
        <v>329</v>
      </c>
      <c r="G313" s="14" t="s">
        <v>293</v>
      </c>
      <c r="I313" s="11" t="b">
        <f t="shared" si="12"/>
        <v>0</v>
      </c>
      <c r="K313" s="16">
        <v>660</v>
      </c>
      <c r="M313" s="17">
        <f t="shared" si="13"/>
        <v>72014.630000000063</v>
      </c>
      <c r="N313" s="11">
        <f t="shared" si="14"/>
        <v>8</v>
      </c>
    </row>
    <row r="314" spans="1:14" x14ac:dyDescent="0.25">
      <c r="A314" s="11" t="s">
        <v>0</v>
      </c>
      <c r="B314" s="12">
        <v>45154</v>
      </c>
      <c r="C314" s="11" t="s">
        <v>688</v>
      </c>
      <c r="D314" s="11" t="s">
        <v>696</v>
      </c>
      <c r="E314" s="13" t="s">
        <v>290</v>
      </c>
      <c r="F314" s="14" t="s">
        <v>330</v>
      </c>
      <c r="G314" s="14" t="s">
        <v>293</v>
      </c>
      <c r="I314" s="11" t="b">
        <f t="shared" si="12"/>
        <v>0</v>
      </c>
      <c r="K314" s="16">
        <v>660</v>
      </c>
      <c r="M314" s="17">
        <f t="shared" si="13"/>
        <v>71354.630000000063</v>
      </c>
      <c r="N314" s="11">
        <f t="shared" si="14"/>
        <v>8</v>
      </c>
    </row>
    <row r="315" spans="1:14" x14ac:dyDescent="0.25">
      <c r="A315" s="11" t="s">
        <v>0</v>
      </c>
      <c r="B315" s="12">
        <v>45154</v>
      </c>
      <c r="C315" s="11" t="s">
        <v>688</v>
      </c>
      <c r="D315" s="11" t="s">
        <v>696</v>
      </c>
      <c r="E315" s="13" t="s">
        <v>290</v>
      </c>
      <c r="F315" s="14" t="s">
        <v>331</v>
      </c>
      <c r="G315" s="14" t="s">
        <v>293</v>
      </c>
      <c r="I315" s="11" t="b">
        <f t="shared" si="12"/>
        <v>0</v>
      </c>
      <c r="K315" s="16">
        <v>660</v>
      </c>
      <c r="M315" s="17">
        <f t="shared" si="13"/>
        <v>70694.630000000063</v>
      </c>
      <c r="N315" s="11">
        <f t="shared" si="14"/>
        <v>8</v>
      </c>
    </row>
    <row r="316" spans="1:14" x14ac:dyDescent="0.25">
      <c r="A316" s="11" t="s">
        <v>0</v>
      </c>
      <c r="B316" s="12">
        <v>45154</v>
      </c>
      <c r="C316" s="11" t="s">
        <v>688</v>
      </c>
      <c r="D316" s="11" t="s">
        <v>696</v>
      </c>
      <c r="E316" s="13" t="s">
        <v>290</v>
      </c>
      <c r="F316" s="14" t="s">
        <v>331</v>
      </c>
      <c r="G316" s="14" t="s">
        <v>293</v>
      </c>
      <c r="I316" s="11" t="b">
        <f t="shared" si="12"/>
        <v>0</v>
      </c>
      <c r="K316" s="16">
        <v>310</v>
      </c>
      <c r="M316" s="17">
        <f t="shared" si="13"/>
        <v>70384.630000000063</v>
      </c>
      <c r="N316" s="11">
        <f t="shared" si="14"/>
        <v>8</v>
      </c>
    </row>
    <row r="317" spans="1:14" x14ac:dyDescent="0.25">
      <c r="A317" s="11" t="s">
        <v>0</v>
      </c>
      <c r="B317" s="12">
        <v>45154</v>
      </c>
      <c r="C317" s="11" t="s">
        <v>688</v>
      </c>
      <c r="D317" s="11" t="s">
        <v>696</v>
      </c>
      <c r="E317" s="13" t="s">
        <v>290</v>
      </c>
      <c r="F317" s="14" t="s">
        <v>332</v>
      </c>
      <c r="G317" s="14" t="s">
        <v>293</v>
      </c>
      <c r="I317" s="11" t="b">
        <f t="shared" si="12"/>
        <v>0</v>
      </c>
      <c r="K317" s="16">
        <v>1000</v>
      </c>
      <c r="M317" s="17">
        <f t="shared" si="13"/>
        <v>69384.630000000063</v>
      </c>
      <c r="N317" s="11">
        <f t="shared" si="14"/>
        <v>8</v>
      </c>
    </row>
    <row r="318" spans="1:14" x14ac:dyDescent="0.25">
      <c r="A318" s="11" t="s">
        <v>0</v>
      </c>
      <c r="B318" s="12">
        <v>45154</v>
      </c>
      <c r="C318" s="11" t="s">
        <v>688</v>
      </c>
      <c r="D318" s="11" t="s">
        <v>696</v>
      </c>
      <c r="E318" s="13" t="s">
        <v>290</v>
      </c>
      <c r="F318" s="14" t="s">
        <v>333</v>
      </c>
      <c r="G318" s="14" t="s">
        <v>293</v>
      </c>
      <c r="I318" s="11" t="b">
        <f t="shared" si="12"/>
        <v>0</v>
      </c>
      <c r="K318" s="16">
        <v>1150</v>
      </c>
      <c r="M318" s="17">
        <f t="shared" si="13"/>
        <v>68234.630000000063</v>
      </c>
      <c r="N318" s="11">
        <f t="shared" si="14"/>
        <v>8</v>
      </c>
    </row>
    <row r="319" spans="1:14" x14ac:dyDescent="0.25">
      <c r="A319" s="11" t="s">
        <v>0</v>
      </c>
      <c r="B319" s="12">
        <v>45154</v>
      </c>
      <c r="C319" s="11" t="s">
        <v>688</v>
      </c>
      <c r="D319" s="11" t="s">
        <v>696</v>
      </c>
      <c r="E319" s="13" t="s">
        <v>290</v>
      </c>
      <c r="F319" s="14" t="s">
        <v>334</v>
      </c>
      <c r="G319" s="14" t="s">
        <v>293</v>
      </c>
      <c r="I319" s="11" t="b">
        <f t="shared" si="12"/>
        <v>0</v>
      </c>
      <c r="K319" s="16">
        <v>467</v>
      </c>
      <c r="M319" s="17">
        <f t="shared" si="13"/>
        <v>67767.630000000063</v>
      </c>
      <c r="N319" s="11">
        <f t="shared" si="14"/>
        <v>8</v>
      </c>
    </row>
    <row r="320" spans="1:14" x14ac:dyDescent="0.25">
      <c r="A320" s="11" t="s">
        <v>0</v>
      </c>
      <c r="B320" s="12">
        <v>45154</v>
      </c>
      <c r="C320" s="11" t="s">
        <v>688</v>
      </c>
      <c r="D320" s="11" t="s">
        <v>692</v>
      </c>
      <c r="E320" s="13" t="s">
        <v>725</v>
      </c>
      <c r="F320" s="14" t="s">
        <v>27</v>
      </c>
      <c r="G320" s="14" t="s">
        <v>293</v>
      </c>
      <c r="I320" s="11" t="b">
        <f t="shared" si="12"/>
        <v>0</v>
      </c>
      <c r="K320" s="16">
        <v>416.21</v>
      </c>
      <c r="M320" s="17">
        <f t="shared" si="13"/>
        <v>67351.420000000056</v>
      </c>
      <c r="N320" s="11">
        <f t="shared" si="14"/>
        <v>8</v>
      </c>
    </row>
    <row r="321" spans="1:14" x14ac:dyDescent="0.25">
      <c r="A321" s="11" t="s">
        <v>0</v>
      </c>
      <c r="B321" s="12">
        <v>45154</v>
      </c>
      <c r="C321" s="11" t="s">
        <v>688</v>
      </c>
      <c r="D321" s="11" t="s">
        <v>701</v>
      </c>
      <c r="E321" s="13" t="s">
        <v>180</v>
      </c>
      <c r="F321" s="14" t="s">
        <v>37</v>
      </c>
      <c r="G321" s="14" t="s">
        <v>293</v>
      </c>
      <c r="I321" s="11" t="b">
        <f t="shared" si="12"/>
        <v>0</v>
      </c>
      <c r="K321" s="16">
        <v>342.8</v>
      </c>
      <c r="M321" s="17">
        <f t="shared" si="13"/>
        <v>67008.620000000054</v>
      </c>
      <c r="N321" s="11">
        <f t="shared" si="14"/>
        <v>8</v>
      </c>
    </row>
    <row r="322" spans="1:14" x14ac:dyDescent="0.25">
      <c r="A322" s="11" t="s">
        <v>0</v>
      </c>
      <c r="B322" s="12">
        <v>45154</v>
      </c>
      <c r="C322" s="11" t="s">
        <v>688</v>
      </c>
      <c r="D322" s="11" t="s">
        <v>692</v>
      </c>
      <c r="E322" s="13" t="s">
        <v>725</v>
      </c>
      <c r="F322" s="14" t="s">
        <v>33</v>
      </c>
      <c r="G322" s="14" t="s">
        <v>293</v>
      </c>
      <c r="I322" s="11" t="b">
        <f t="shared" si="12"/>
        <v>0</v>
      </c>
      <c r="K322" s="16">
        <v>781.52</v>
      </c>
      <c r="M322" s="17">
        <f t="shared" si="13"/>
        <v>66227.100000000049</v>
      </c>
      <c r="N322" s="11">
        <f t="shared" si="14"/>
        <v>8</v>
      </c>
    </row>
    <row r="323" spans="1:14" x14ac:dyDescent="0.25">
      <c r="A323" s="11" t="s">
        <v>207</v>
      </c>
      <c r="B323" s="12">
        <v>45154</v>
      </c>
      <c r="C323" s="11" t="s">
        <v>688</v>
      </c>
      <c r="D323" s="11" t="s">
        <v>43</v>
      </c>
      <c r="E323" s="13" t="s">
        <v>43</v>
      </c>
      <c r="F323" s="14" t="s">
        <v>286</v>
      </c>
      <c r="I323" s="11" t="b">
        <f t="shared" ref="I323:I386" si="15">IF(AND(G323="MERCADO PAGO",A323="FATURAMENTO"),1,IF(AND(OR(G323="MERCADO PAGO",G323="pix mercado pago",G323= "débito automático mercado pago", G323= "boleto mercado pago"),A323="DESPESAS"),4,IF(AND(G323="SAFRA",A323="FATURAMENTO"),2,IF(AND(OR(G323="SAFRA",G323="PIX SAFRA", G323="DÉBITO AUTOMÁTICO SAFRA", G323= "BOLETO SAFRA", G323= "transferência safra"), A323="DESPESAS"),5,IF(AND(G323="espécie",A323="FATURAMENTO"),3,IF(AND(G323="espécie",A323="DESPESAS"),6))))))</f>
        <v>0</v>
      </c>
      <c r="J323" s="16">
        <v>6076.55</v>
      </c>
      <c r="M323" s="17">
        <f t="shared" ref="M323:M386" si="16">IF(B323=0, "",M322+ J323-K323)</f>
        <v>72303.650000000052</v>
      </c>
      <c r="N323" s="11">
        <f t="shared" ref="N323:N386" si="17">IF(B323=0, "", MONTH(B323))</f>
        <v>8</v>
      </c>
    </row>
    <row r="324" spans="1:14" x14ac:dyDescent="0.25">
      <c r="A324" s="11" t="s">
        <v>207</v>
      </c>
      <c r="B324" s="12">
        <v>45154</v>
      </c>
      <c r="C324" s="11" t="s">
        <v>688</v>
      </c>
      <c r="D324" s="11" t="s">
        <v>43</v>
      </c>
      <c r="E324" s="13" t="s">
        <v>43</v>
      </c>
      <c r="F324" s="14" t="s">
        <v>287</v>
      </c>
      <c r="I324" s="11" t="b">
        <f t="shared" si="15"/>
        <v>0</v>
      </c>
      <c r="J324" s="16">
        <v>2242.85</v>
      </c>
      <c r="M324" s="17">
        <f t="shared" si="16"/>
        <v>74546.500000000058</v>
      </c>
      <c r="N324" s="11">
        <f t="shared" si="17"/>
        <v>8</v>
      </c>
    </row>
    <row r="325" spans="1:14" x14ac:dyDescent="0.25">
      <c r="A325" s="11" t="s">
        <v>207</v>
      </c>
      <c r="B325" s="12">
        <v>45154</v>
      </c>
      <c r="C325" s="11" t="s">
        <v>688</v>
      </c>
      <c r="D325" s="11" t="s">
        <v>43</v>
      </c>
      <c r="E325" s="14" t="s">
        <v>288</v>
      </c>
      <c r="F325" s="14" t="s">
        <v>288</v>
      </c>
      <c r="G325" s="14" t="s">
        <v>173</v>
      </c>
      <c r="I325" s="11">
        <f t="shared" si="15"/>
        <v>3</v>
      </c>
      <c r="J325" s="16">
        <v>482</v>
      </c>
      <c r="M325" s="17">
        <f t="shared" si="16"/>
        <v>75028.500000000058</v>
      </c>
      <c r="N325" s="11">
        <f t="shared" si="17"/>
        <v>8</v>
      </c>
    </row>
    <row r="326" spans="1:14" x14ac:dyDescent="0.25">
      <c r="A326" s="11" t="s">
        <v>0</v>
      </c>
      <c r="B326" s="12">
        <v>45155</v>
      </c>
      <c r="C326" s="11" t="s">
        <v>688</v>
      </c>
      <c r="D326" s="11" t="s">
        <v>692</v>
      </c>
      <c r="E326" s="13" t="s">
        <v>179</v>
      </c>
      <c r="F326" s="14" t="s">
        <v>28</v>
      </c>
      <c r="G326" s="14" t="s">
        <v>293</v>
      </c>
      <c r="I326" s="11" t="b">
        <f t="shared" si="15"/>
        <v>0</v>
      </c>
      <c r="K326" s="16">
        <v>2000</v>
      </c>
      <c r="M326" s="17">
        <f t="shared" si="16"/>
        <v>73028.500000000058</v>
      </c>
      <c r="N326" s="11">
        <f t="shared" si="17"/>
        <v>8</v>
      </c>
    </row>
    <row r="327" spans="1:14" x14ac:dyDescent="0.25">
      <c r="A327" s="11" t="s">
        <v>0</v>
      </c>
      <c r="B327" s="12">
        <v>45155</v>
      </c>
      <c r="C327" s="11" t="s">
        <v>688</v>
      </c>
      <c r="D327" s="11" t="s">
        <v>47</v>
      </c>
      <c r="E327" s="13" t="s">
        <v>309</v>
      </c>
      <c r="F327" s="14" t="s">
        <v>308</v>
      </c>
      <c r="G327" s="14" t="s">
        <v>293</v>
      </c>
      <c r="I327" s="11" t="b">
        <f t="shared" si="15"/>
        <v>0</v>
      </c>
      <c r="K327" s="16">
        <v>300</v>
      </c>
      <c r="M327" s="17">
        <f t="shared" si="16"/>
        <v>72728.500000000058</v>
      </c>
      <c r="N327" s="11">
        <f t="shared" si="17"/>
        <v>8</v>
      </c>
    </row>
    <row r="328" spans="1:14" x14ac:dyDescent="0.25">
      <c r="A328" s="11" t="s">
        <v>0</v>
      </c>
      <c r="B328" s="12">
        <v>45155</v>
      </c>
      <c r="C328" s="11" t="s">
        <v>688</v>
      </c>
      <c r="D328" s="11" t="s">
        <v>699</v>
      </c>
      <c r="E328" s="13" t="s">
        <v>322</v>
      </c>
      <c r="F328" s="14" t="s">
        <v>321</v>
      </c>
      <c r="G328" s="14" t="s">
        <v>293</v>
      </c>
      <c r="I328" s="11" t="b">
        <f t="shared" si="15"/>
        <v>0</v>
      </c>
      <c r="K328" s="16">
        <v>1150</v>
      </c>
      <c r="M328" s="17">
        <f t="shared" si="16"/>
        <v>71578.500000000058</v>
      </c>
      <c r="N328" s="11">
        <f t="shared" si="17"/>
        <v>8</v>
      </c>
    </row>
    <row r="329" spans="1:14" x14ac:dyDescent="0.25">
      <c r="A329" s="11" t="s">
        <v>0</v>
      </c>
      <c r="B329" s="12">
        <v>45155</v>
      </c>
      <c r="C329" s="11" t="s">
        <v>688</v>
      </c>
      <c r="D329" s="11" t="s">
        <v>696</v>
      </c>
      <c r="E329" s="13" t="s">
        <v>336</v>
      </c>
      <c r="F329" s="14" t="s">
        <v>73</v>
      </c>
      <c r="G329" s="14" t="s">
        <v>293</v>
      </c>
      <c r="I329" s="11" t="b">
        <f t="shared" si="15"/>
        <v>0</v>
      </c>
      <c r="K329" s="16">
        <v>240</v>
      </c>
      <c r="M329" s="17">
        <f t="shared" si="16"/>
        <v>71338.500000000058</v>
      </c>
      <c r="N329" s="11">
        <f t="shared" si="17"/>
        <v>8</v>
      </c>
    </row>
    <row r="330" spans="1:14" x14ac:dyDescent="0.25">
      <c r="A330" s="11" t="s">
        <v>0</v>
      </c>
      <c r="B330" s="12">
        <v>45155</v>
      </c>
      <c r="C330" s="11" t="s">
        <v>688</v>
      </c>
      <c r="D330" s="11" t="s">
        <v>696</v>
      </c>
      <c r="E330" s="13" t="s">
        <v>335</v>
      </c>
      <c r="F330" s="14" t="s">
        <v>68</v>
      </c>
      <c r="G330" s="14" t="s">
        <v>293</v>
      </c>
      <c r="I330" s="11" t="b">
        <f t="shared" si="15"/>
        <v>0</v>
      </c>
      <c r="K330" s="16">
        <v>1500</v>
      </c>
      <c r="M330" s="17">
        <f t="shared" si="16"/>
        <v>69838.500000000058</v>
      </c>
      <c r="N330" s="11">
        <f t="shared" si="17"/>
        <v>8</v>
      </c>
    </row>
    <row r="331" spans="1:14" x14ac:dyDescent="0.25">
      <c r="A331" s="11" t="s">
        <v>0</v>
      </c>
      <c r="B331" s="12">
        <v>45155</v>
      </c>
      <c r="C331" s="11" t="s">
        <v>688</v>
      </c>
      <c r="D331" s="11" t="s">
        <v>692</v>
      </c>
      <c r="E331" s="13" t="s">
        <v>169</v>
      </c>
      <c r="F331" s="14" t="s">
        <v>50</v>
      </c>
      <c r="G331" s="14" t="s">
        <v>293</v>
      </c>
      <c r="I331" s="11" t="b">
        <f t="shared" si="15"/>
        <v>0</v>
      </c>
      <c r="K331" s="16">
        <v>1950</v>
      </c>
      <c r="M331" s="17">
        <f t="shared" si="16"/>
        <v>67888.500000000058</v>
      </c>
      <c r="N331" s="11">
        <f t="shared" si="17"/>
        <v>8</v>
      </c>
    </row>
    <row r="332" spans="1:14" x14ac:dyDescent="0.25">
      <c r="A332" s="11" t="s">
        <v>0</v>
      </c>
      <c r="B332" s="12">
        <v>45155</v>
      </c>
      <c r="C332" s="11" t="s">
        <v>688</v>
      </c>
      <c r="D332" s="11" t="s">
        <v>698</v>
      </c>
      <c r="E332" s="13" t="s">
        <v>338</v>
      </c>
      <c r="F332" s="14" t="s">
        <v>337</v>
      </c>
      <c r="G332" s="14" t="s">
        <v>293</v>
      </c>
      <c r="I332" s="11" t="b">
        <f t="shared" si="15"/>
        <v>0</v>
      </c>
      <c r="K332" s="16">
        <v>100</v>
      </c>
      <c r="M332" s="17">
        <f t="shared" si="16"/>
        <v>67788.500000000058</v>
      </c>
      <c r="N332" s="11">
        <f t="shared" si="17"/>
        <v>8</v>
      </c>
    </row>
    <row r="333" spans="1:14" x14ac:dyDescent="0.25">
      <c r="A333" s="11" t="s">
        <v>207</v>
      </c>
      <c r="B333" s="12">
        <v>45155</v>
      </c>
      <c r="C333" s="11" t="s">
        <v>688</v>
      </c>
      <c r="D333" s="11" t="s">
        <v>43</v>
      </c>
      <c r="E333" s="13" t="s">
        <v>43</v>
      </c>
      <c r="F333" s="14" t="s">
        <v>286</v>
      </c>
      <c r="I333" s="11" t="b">
        <f t="shared" si="15"/>
        <v>0</v>
      </c>
      <c r="J333" s="16">
        <v>5200.37</v>
      </c>
      <c r="M333" s="17">
        <f t="shared" si="16"/>
        <v>72988.870000000054</v>
      </c>
      <c r="N333" s="11">
        <f t="shared" si="17"/>
        <v>8</v>
      </c>
    </row>
    <row r="334" spans="1:14" x14ac:dyDescent="0.25">
      <c r="A334" s="11" t="s">
        <v>207</v>
      </c>
      <c r="B334" s="12">
        <v>45155</v>
      </c>
      <c r="C334" s="11" t="s">
        <v>688</v>
      </c>
      <c r="D334" s="11" t="s">
        <v>43</v>
      </c>
      <c r="E334" s="13" t="s">
        <v>43</v>
      </c>
      <c r="F334" s="14" t="s">
        <v>287</v>
      </c>
      <c r="I334" s="11" t="b">
        <f t="shared" si="15"/>
        <v>0</v>
      </c>
      <c r="J334" s="16">
        <v>2266.1999999999998</v>
      </c>
      <c r="M334" s="17">
        <f t="shared" si="16"/>
        <v>75255.070000000051</v>
      </c>
      <c r="N334" s="11">
        <f t="shared" si="17"/>
        <v>8</v>
      </c>
    </row>
    <row r="335" spans="1:14" x14ac:dyDescent="0.25">
      <c r="A335" s="11" t="s">
        <v>207</v>
      </c>
      <c r="B335" s="12">
        <v>45155</v>
      </c>
      <c r="C335" s="11" t="s">
        <v>688</v>
      </c>
      <c r="D335" s="11" t="s">
        <v>43</v>
      </c>
      <c r="E335" s="14" t="s">
        <v>288</v>
      </c>
      <c r="F335" s="14" t="s">
        <v>288</v>
      </c>
      <c r="G335" s="14" t="s">
        <v>173</v>
      </c>
      <c r="I335" s="11">
        <f t="shared" si="15"/>
        <v>3</v>
      </c>
      <c r="J335" s="16">
        <v>210</v>
      </c>
      <c r="M335" s="17">
        <f t="shared" si="16"/>
        <v>75465.070000000051</v>
      </c>
      <c r="N335" s="11">
        <f t="shared" si="17"/>
        <v>8</v>
      </c>
    </row>
    <row r="336" spans="1:14" x14ac:dyDescent="0.25">
      <c r="A336" s="11" t="s">
        <v>0</v>
      </c>
      <c r="B336" s="12">
        <v>45156</v>
      </c>
      <c r="C336" s="11" t="s">
        <v>688</v>
      </c>
      <c r="D336" s="11" t="s">
        <v>700</v>
      </c>
      <c r="E336" s="13" t="s">
        <v>340</v>
      </c>
      <c r="F336" s="14" t="s">
        <v>339</v>
      </c>
      <c r="G336" s="14" t="s">
        <v>293</v>
      </c>
      <c r="I336" s="11" t="b">
        <f t="shared" si="15"/>
        <v>0</v>
      </c>
      <c r="K336" s="16">
        <v>110</v>
      </c>
      <c r="M336" s="17">
        <f t="shared" si="16"/>
        <v>75355.070000000051</v>
      </c>
      <c r="N336" s="11">
        <f t="shared" si="17"/>
        <v>8</v>
      </c>
    </row>
    <row r="337" spans="1:14" x14ac:dyDescent="0.25">
      <c r="A337" s="11" t="s">
        <v>0</v>
      </c>
      <c r="B337" s="12">
        <v>45156</v>
      </c>
      <c r="C337" s="11" t="s">
        <v>688</v>
      </c>
      <c r="D337" s="11" t="s">
        <v>692</v>
      </c>
      <c r="E337" s="13" t="s">
        <v>229</v>
      </c>
      <c r="F337" s="14" t="s">
        <v>116</v>
      </c>
      <c r="G337" s="14" t="s">
        <v>293</v>
      </c>
      <c r="I337" s="11" t="b">
        <f t="shared" si="15"/>
        <v>0</v>
      </c>
      <c r="K337" s="16">
        <v>1934.75</v>
      </c>
      <c r="M337" s="17">
        <f t="shared" si="16"/>
        <v>73420.320000000051</v>
      </c>
      <c r="N337" s="11">
        <f t="shared" si="17"/>
        <v>8</v>
      </c>
    </row>
    <row r="338" spans="1:14" x14ac:dyDescent="0.25">
      <c r="A338" s="11" t="s">
        <v>0</v>
      </c>
      <c r="B338" s="12">
        <v>45156</v>
      </c>
      <c r="C338" s="11" t="s">
        <v>688</v>
      </c>
      <c r="D338" s="11" t="s">
        <v>692</v>
      </c>
      <c r="E338" s="13" t="s">
        <v>143</v>
      </c>
      <c r="F338" s="14" t="s">
        <v>224</v>
      </c>
      <c r="G338" s="14" t="s">
        <v>293</v>
      </c>
      <c r="I338" s="11" t="b">
        <f t="shared" si="15"/>
        <v>0</v>
      </c>
      <c r="K338" s="16">
        <v>844</v>
      </c>
      <c r="M338" s="17">
        <f t="shared" si="16"/>
        <v>72576.320000000051</v>
      </c>
      <c r="N338" s="11">
        <f t="shared" si="17"/>
        <v>8</v>
      </c>
    </row>
    <row r="339" spans="1:14" x14ac:dyDescent="0.25">
      <c r="A339" s="11" t="s">
        <v>0</v>
      </c>
      <c r="B339" s="12">
        <v>45156</v>
      </c>
      <c r="C339" s="11" t="s">
        <v>688</v>
      </c>
      <c r="D339" s="11" t="s">
        <v>692</v>
      </c>
      <c r="E339" s="13" t="s">
        <v>179</v>
      </c>
      <c r="F339" s="14" t="s">
        <v>28</v>
      </c>
      <c r="G339" s="14" t="s">
        <v>293</v>
      </c>
      <c r="I339" s="11" t="b">
        <f t="shared" si="15"/>
        <v>0</v>
      </c>
      <c r="K339" s="16">
        <v>374</v>
      </c>
      <c r="M339" s="17">
        <f t="shared" si="16"/>
        <v>72202.320000000051</v>
      </c>
      <c r="N339" s="11">
        <f t="shared" si="17"/>
        <v>8</v>
      </c>
    </row>
    <row r="340" spans="1:14" x14ac:dyDescent="0.25">
      <c r="A340" s="11" t="s">
        <v>0</v>
      </c>
      <c r="B340" s="12">
        <v>45156</v>
      </c>
      <c r="C340" s="11" t="s">
        <v>688</v>
      </c>
      <c r="D340" s="11" t="s">
        <v>692</v>
      </c>
      <c r="E340" s="13" t="s">
        <v>725</v>
      </c>
      <c r="F340" s="14" t="s">
        <v>27</v>
      </c>
      <c r="G340" s="14" t="s">
        <v>293</v>
      </c>
      <c r="I340" s="11" t="b">
        <f t="shared" si="15"/>
        <v>0</v>
      </c>
      <c r="K340" s="16">
        <v>1528.46</v>
      </c>
      <c r="M340" s="17">
        <f t="shared" si="16"/>
        <v>70673.860000000044</v>
      </c>
      <c r="N340" s="11">
        <f t="shared" si="17"/>
        <v>8</v>
      </c>
    </row>
    <row r="341" spans="1:14" x14ac:dyDescent="0.25">
      <c r="A341" s="11" t="s">
        <v>0</v>
      </c>
      <c r="B341" s="12">
        <v>45156</v>
      </c>
      <c r="C341" s="11" t="s">
        <v>688</v>
      </c>
      <c r="D341" s="11" t="s">
        <v>692</v>
      </c>
      <c r="E341" s="13" t="s">
        <v>724</v>
      </c>
      <c r="F341" s="14" t="s">
        <v>119</v>
      </c>
      <c r="G341" s="14" t="s">
        <v>293</v>
      </c>
      <c r="H341" s="15">
        <v>1258472</v>
      </c>
      <c r="I341" s="11" t="b">
        <f t="shared" si="15"/>
        <v>0</v>
      </c>
      <c r="K341" s="16">
        <v>1898.67</v>
      </c>
      <c r="M341" s="17">
        <f t="shared" si="16"/>
        <v>68775.190000000046</v>
      </c>
      <c r="N341" s="11">
        <f t="shared" si="17"/>
        <v>8</v>
      </c>
    </row>
    <row r="342" spans="1:14" x14ac:dyDescent="0.25">
      <c r="A342" s="11" t="s">
        <v>0</v>
      </c>
      <c r="B342" s="12">
        <v>45156</v>
      </c>
      <c r="C342" s="11" t="s">
        <v>688</v>
      </c>
      <c r="D342" s="11" t="s">
        <v>699</v>
      </c>
      <c r="E342" s="13" t="s">
        <v>98</v>
      </c>
      <c r="F342" s="14" t="s">
        <v>300</v>
      </c>
      <c r="G342" s="14" t="s">
        <v>217</v>
      </c>
      <c r="I342" s="11" t="b">
        <f t="shared" si="15"/>
        <v>0</v>
      </c>
      <c r="K342" s="16">
        <v>180.03</v>
      </c>
      <c r="M342" s="17">
        <f t="shared" si="16"/>
        <v>68595.160000000047</v>
      </c>
      <c r="N342" s="11">
        <f t="shared" si="17"/>
        <v>8</v>
      </c>
    </row>
    <row r="343" spans="1:14" x14ac:dyDescent="0.25">
      <c r="A343" s="11" t="s">
        <v>0</v>
      </c>
      <c r="B343" s="12">
        <v>45156</v>
      </c>
      <c r="C343" s="11" t="s">
        <v>688</v>
      </c>
      <c r="D343" s="11" t="s">
        <v>692</v>
      </c>
      <c r="E343" s="13" t="s">
        <v>143</v>
      </c>
      <c r="F343" s="14" t="s">
        <v>341</v>
      </c>
      <c r="G343" s="14" t="s">
        <v>293</v>
      </c>
      <c r="I343" s="11" t="b">
        <f t="shared" si="15"/>
        <v>0</v>
      </c>
      <c r="K343" s="16">
        <v>236</v>
      </c>
      <c r="M343" s="17">
        <f t="shared" si="16"/>
        <v>68359.160000000047</v>
      </c>
      <c r="N343" s="11">
        <f t="shared" si="17"/>
        <v>8</v>
      </c>
    </row>
    <row r="344" spans="1:14" x14ac:dyDescent="0.25">
      <c r="A344" s="11" t="s">
        <v>0</v>
      </c>
      <c r="B344" s="12">
        <v>45156</v>
      </c>
      <c r="C344" s="11" t="s">
        <v>688</v>
      </c>
      <c r="D344" s="11" t="s">
        <v>701</v>
      </c>
      <c r="E344" s="13" t="s">
        <v>193</v>
      </c>
      <c r="F344" s="14" t="s">
        <v>244</v>
      </c>
      <c r="G344" s="14" t="s">
        <v>292</v>
      </c>
      <c r="I344" s="11" t="b">
        <f t="shared" si="15"/>
        <v>0</v>
      </c>
      <c r="K344" s="16">
        <v>327.26</v>
      </c>
      <c r="M344" s="17">
        <f t="shared" si="16"/>
        <v>68031.900000000052</v>
      </c>
      <c r="N344" s="11">
        <f t="shared" si="17"/>
        <v>8</v>
      </c>
    </row>
    <row r="345" spans="1:14" x14ac:dyDescent="0.25">
      <c r="A345" s="11" t="s">
        <v>0</v>
      </c>
      <c r="B345" s="12">
        <v>45156</v>
      </c>
      <c r="C345" s="11" t="s">
        <v>688</v>
      </c>
      <c r="D345" s="11" t="s">
        <v>699</v>
      </c>
      <c r="E345" s="13" t="s">
        <v>98</v>
      </c>
      <c r="F345" s="14" t="s">
        <v>300</v>
      </c>
      <c r="G345" s="14" t="s">
        <v>292</v>
      </c>
      <c r="I345" s="11" t="b">
        <f t="shared" si="15"/>
        <v>0</v>
      </c>
      <c r="K345" s="16">
        <v>316.45</v>
      </c>
      <c r="M345" s="17">
        <f t="shared" si="16"/>
        <v>67715.450000000055</v>
      </c>
      <c r="N345" s="11">
        <f t="shared" si="17"/>
        <v>8</v>
      </c>
    </row>
    <row r="346" spans="1:14" x14ac:dyDescent="0.25">
      <c r="A346" s="11" t="s">
        <v>207</v>
      </c>
      <c r="B346" s="12">
        <v>45156</v>
      </c>
      <c r="C346" s="11" t="s">
        <v>688</v>
      </c>
      <c r="D346" s="11" t="s">
        <v>43</v>
      </c>
      <c r="E346" s="13" t="s">
        <v>43</v>
      </c>
      <c r="F346" s="14" t="s">
        <v>286</v>
      </c>
      <c r="I346" s="11" t="b">
        <f t="shared" si="15"/>
        <v>0</v>
      </c>
      <c r="J346" s="16">
        <v>3815.9</v>
      </c>
      <c r="M346" s="17">
        <f t="shared" si="16"/>
        <v>71531.350000000049</v>
      </c>
      <c r="N346" s="11">
        <f t="shared" si="17"/>
        <v>8</v>
      </c>
    </row>
    <row r="347" spans="1:14" x14ac:dyDescent="0.25">
      <c r="A347" s="11" t="s">
        <v>207</v>
      </c>
      <c r="B347" s="12">
        <v>45156</v>
      </c>
      <c r="C347" s="11" t="s">
        <v>688</v>
      </c>
      <c r="D347" s="11" t="s">
        <v>43</v>
      </c>
      <c r="E347" s="13" t="s">
        <v>43</v>
      </c>
      <c r="F347" s="14" t="s">
        <v>287</v>
      </c>
      <c r="I347" s="11" t="b">
        <f t="shared" si="15"/>
        <v>0</v>
      </c>
      <c r="J347" s="16">
        <v>4281.1000000000004</v>
      </c>
      <c r="M347" s="17">
        <f t="shared" si="16"/>
        <v>75812.450000000055</v>
      </c>
      <c r="N347" s="11">
        <f t="shared" si="17"/>
        <v>8</v>
      </c>
    </row>
    <row r="348" spans="1:14" x14ac:dyDescent="0.25">
      <c r="A348" s="11" t="s">
        <v>207</v>
      </c>
      <c r="B348" s="12">
        <v>45156</v>
      </c>
      <c r="C348" s="11" t="s">
        <v>688</v>
      </c>
      <c r="D348" s="11" t="s">
        <v>43</v>
      </c>
      <c r="E348" s="14" t="s">
        <v>288</v>
      </c>
      <c r="F348" s="14" t="s">
        <v>288</v>
      </c>
      <c r="G348" s="14" t="s">
        <v>173</v>
      </c>
      <c r="I348" s="11">
        <f t="shared" si="15"/>
        <v>3</v>
      </c>
      <c r="J348" s="16">
        <v>290</v>
      </c>
      <c r="M348" s="17">
        <f t="shared" si="16"/>
        <v>76102.450000000055</v>
      </c>
      <c r="N348" s="11">
        <f t="shared" si="17"/>
        <v>8</v>
      </c>
    </row>
    <row r="349" spans="1:14" x14ac:dyDescent="0.25">
      <c r="A349" s="11" t="s">
        <v>0</v>
      </c>
      <c r="B349" s="12">
        <v>45157</v>
      </c>
      <c r="C349" s="11" t="s">
        <v>688</v>
      </c>
      <c r="D349" s="11" t="s">
        <v>692</v>
      </c>
      <c r="E349" s="13" t="s">
        <v>179</v>
      </c>
      <c r="F349" s="14" t="s">
        <v>378</v>
      </c>
      <c r="G349" s="14" t="s">
        <v>293</v>
      </c>
      <c r="I349" s="11" t="b">
        <f t="shared" si="15"/>
        <v>0</v>
      </c>
      <c r="K349" s="16">
        <v>666</v>
      </c>
      <c r="M349" s="17">
        <f t="shared" si="16"/>
        <v>75436.450000000055</v>
      </c>
      <c r="N349" s="11">
        <f t="shared" si="17"/>
        <v>8</v>
      </c>
    </row>
    <row r="350" spans="1:14" x14ac:dyDescent="0.25">
      <c r="A350" s="11" t="s">
        <v>0</v>
      </c>
      <c r="B350" s="12">
        <v>45157</v>
      </c>
      <c r="C350" s="11" t="s">
        <v>688</v>
      </c>
      <c r="D350" s="11" t="s">
        <v>692</v>
      </c>
      <c r="E350" s="13" t="s">
        <v>108</v>
      </c>
      <c r="F350" s="14" t="s">
        <v>319</v>
      </c>
      <c r="G350" s="14" t="s">
        <v>293</v>
      </c>
      <c r="I350" s="11" t="b">
        <f t="shared" si="15"/>
        <v>0</v>
      </c>
      <c r="K350" s="16">
        <v>420</v>
      </c>
      <c r="M350" s="17">
        <f t="shared" si="16"/>
        <v>75016.450000000055</v>
      </c>
      <c r="N350" s="11">
        <f t="shared" si="17"/>
        <v>8</v>
      </c>
    </row>
    <row r="351" spans="1:14" x14ac:dyDescent="0.25">
      <c r="A351" s="11" t="s">
        <v>0</v>
      </c>
      <c r="B351" s="12">
        <v>45157</v>
      </c>
      <c r="C351" s="11" t="s">
        <v>688</v>
      </c>
      <c r="D351" s="11" t="s">
        <v>692</v>
      </c>
      <c r="E351" s="13" t="s">
        <v>725</v>
      </c>
      <c r="F351" s="14" t="s">
        <v>27</v>
      </c>
      <c r="G351" s="14" t="s">
        <v>293</v>
      </c>
      <c r="I351" s="11" t="b">
        <f t="shared" si="15"/>
        <v>0</v>
      </c>
      <c r="K351" s="16">
        <v>293.20999999999998</v>
      </c>
      <c r="M351" s="17">
        <f t="shared" si="16"/>
        <v>74723.240000000049</v>
      </c>
      <c r="N351" s="11">
        <f t="shared" si="17"/>
        <v>8</v>
      </c>
    </row>
    <row r="352" spans="1:14" x14ac:dyDescent="0.25">
      <c r="A352" s="11" t="s">
        <v>0</v>
      </c>
      <c r="B352" s="12">
        <v>45157</v>
      </c>
      <c r="C352" s="11" t="s">
        <v>688</v>
      </c>
      <c r="D352" s="11" t="s">
        <v>700</v>
      </c>
      <c r="E352" s="13" t="s">
        <v>342</v>
      </c>
      <c r="F352" s="14" t="s">
        <v>339</v>
      </c>
      <c r="G352" s="14" t="s">
        <v>293</v>
      </c>
      <c r="I352" s="11" t="b">
        <f t="shared" si="15"/>
        <v>0</v>
      </c>
      <c r="K352" s="16">
        <v>150</v>
      </c>
      <c r="M352" s="17">
        <f t="shared" si="16"/>
        <v>74573.240000000049</v>
      </c>
      <c r="N352" s="11">
        <f t="shared" si="17"/>
        <v>8</v>
      </c>
    </row>
    <row r="353" spans="1:14" x14ac:dyDescent="0.25">
      <c r="A353" s="11" t="s">
        <v>207</v>
      </c>
      <c r="B353" s="12">
        <v>45157</v>
      </c>
      <c r="C353" s="11" t="s">
        <v>688</v>
      </c>
      <c r="D353" s="11" t="s">
        <v>43</v>
      </c>
      <c r="E353" s="13" t="s">
        <v>43</v>
      </c>
      <c r="F353" s="14" t="s">
        <v>286</v>
      </c>
      <c r="I353" s="11" t="b">
        <f t="shared" si="15"/>
        <v>0</v>
      </c>
      <c r="J353" s="16">
        <v>8933.5</v>
      </c>
      <c r="M353" s="17">
        <f t="shared" si="16"/>
        <v>83506.740000000049</v>
      </c>
      <c r="N353" s="11">
        <f t="shared" si="17"/>
        <v>8</v>
      </c>
    </row>
    <row r="354" spans="1:14" x14ac:dyDescent="0.25">
      <c r="A354" s="11" t="s">
        <v>207</v>
      </c>
      <c r="B354" s="12">
        <v>45157</v>
      </c>
      <c r="C354" s="11" t="s">
        <v>688</v>
      </c>
      <c r="D354" s="11" t="s">
        <v>43</v>
      </c>
      <c r="E354" s="13" t="s">
        <v>43</v>
      </c>
      <c r="F354" s="14" t="s">
        <v>287</v>
      </c>
      <c r="I354" s="11" t="b">
        <f t="shared" si="15"/>
        <v>0</v>
      </c>
      <c r="J354" s="16">
        <v>4580.1499999999996</v>
      </c>
      <c r="M354" s="17">
        <f t="shared" si="16"/>
        <v>88086.890000000043</v>
      </c>
      <c r="N354" s="11">
        <f t="shared" si="17"/>
        <v>8</v>
      </c>
    </row>
    <row r="355" spans="1:14" x14ac:dyDescent="0.25">
      <c r="A355" s="11" t="s">
        <v>207</v>
      </c>
      <c r="B355" s="12">
        <v>45157</v>
      </c>
      <c r="C355" s="11" t="s">
        <v>688</v>
      </c>
      <c r="D355" s="11" t="s">
        <v>43</v>
      </c>
      <c r="E355" s="14" t="s">
        <v>288</v>
      </c>
      <c r="F355" s="14" t="s">
        <v>288</v>
      </c>
      <c r="G355" s="14" t="s">
        <v>173</v>
      </c>
      <c r="I355" s="11">
        <f t="shared" si="15"/>
        <v>3</v>
      </c>
      <c r="J355" s="16">
        <v>27</v>
      </c>
      <c r="M355" s="17">
        <f t="shared" si="16"/>
        <v>88113.890000000043</v>
      </c>
      <c r="N355" s="11">
        <f t="shared" si="17"/>
        <v>8</v>
      </c>
    </row>
    <row r="356" spans="1:14" x14ac:dyDescent="0.25">
      <c r="A356" s="11" t="s">
        <v>0</v>
      </c>
      <c r="B356" s="12">
        <v>45158</v>
      </c>
      <c r="C356" s="11" t="s">
        <v>688</v>
      </c>
      <c r="D356" s="11" t="s">
        <v>699</v>
      </c>
      <c r="E356" s="13" t="s">
        <v>98</v>
      </c>
      <c r="F356" s="14" t="s">
        <v>576</v>
      </c>
      <c r="G356" s="14" t="s">
        <v>293</v>
      </c>
      <c r="I356" s="11" t="b">
        <f t="shared" si="15"/>
        <v>0</v>
      </c>
      <c r="K356" s="16">
        <v>200</v>
      </c>
      <c r="M356" s="17">
        <f t="shared" si="16"/>
        <v>87913.890000000043</v>
      </c>
      <c r="N356" s="11">
        <f t="shared" si="17"/>
        <v>8</v>
      </c>
    </row>
    <row r="357" spans="1:14" x14ac:dyDescent="0.25">
      <c r="A357" s="11" t="s">
        <v>207</v>
      </c>
      <c r="B357" s="12">
        <v>45158</v>
      </c>
      <c r="C357" s="11" t="s">
        <v>688</v>
      </c>
      <c r="D357" s="11" t="s">
        <v>43</v>
      </c>
      <c r="E357" s="13" t="s">
        <v>43</v>
      </c>
      <c r="F357" s="14" t="s">
        <v>286</v>
      </c>
      <c r="I357" s="11" t="b">
        <f t="shared" si="15"/>
        <v>0</v>
      </c>
      <c r="J357" s="16">
        <v>7050.45</v>
      </c>
      <c r="M357" s="17">
        <f t="shared" si="16"/>
        <v>94964.34000000004</v>
      </c>
      <c r="N357" s="11">
        <f t="shared" si="17"/>
        <v>8</v>
      </c>
    </row>
    <row r="358" spans="1:14" x14ac:dyDescent="0.25">
      <c r="A358" s="11" t="s">
        <v>207</v>
      </c>
      <c r="B358" s="12">
        <v>45158</v>
      </c>
      <c r="C358" s="11" t="s">
        <v>688</v>
      </c>
      <c r="D358" s="11" t="s">
        <v>43</v>
      </c>
      <c r="E358" s="13" t="s">
        <v>43</v>
      </c>
      <c r="F358" s="14" t="s">
        <v>287</v>
      </c>
      <c r="I358" s="11" t="b">
        <f t="shared" si="15"/>
        <v>0</v>
      </c>
      <c r="J358" s="16">
        <v>5632.45</v>
      </c>
      <c r="M358" s="17">
        <f t="shared" si="16"/>
        <v>100596.79000000004</v>
      </c>
      <c r="N358" s="11">
        <f t="shared" si="17"/>
        <v>8</v>
      </c>
    </row>
    <row r="359" spans="1:14" x14ac:dyDescent="0.25">
      <c r="A359" s="11" t="s">
        <v>207</v>
      </c>
      <c r="B359" s="12">
        <v>45158</v>
      </c>
      <c r="C359" s="11" t="s">
        <v>688</v>
      </c>
      <c r="D359" s="11" t="s">
        <v>43</v>
      </c>
      <c r="E359" s="14" t="s">
        <v>288</v>
      </c>
      <c r="F359" s="14" t="s">
        <v>288</v>
      </c>
      <c r="G359" s="14" t="s">
        <v>173</v>
      </c>
      <c r="I359" s="11">
        <f t="shared" si="15"/>
        <v>3</v>
      </c>
      <c r="J359" s="16">
        <v>3240</v>
      </c>
      <c r="M359" s="17">
        <f t="shared" si="16"/>
        <v>103836.79000000004</v>
      </c>
      <c r="N359" s="11">
        <f t="shared" si="17"/>
        <v>8</v>
      </c>
    </row>
    <row r="360" spans="1:14" x14ac:dyDescent="0.25">
      <c r="A360" s="11" t="s">
        <v>0</v>
      </c>
      <c r="B360" s="12">
        <v>45159</v>
      </c>
      <c r="C360" s="11" t="s">
        <v>688</v>
      </c>
      <c r="D360" s="11" t="s">
        <v>692</v>
      </c>
      <c r="E360" s="13" t="s">
        <v>725</v>
      </c>
      <c r="F360" s="14" t="s">
        <v>27</v>
      </c>
      <c r="G360" s="14" t="s">
        <v>293</v>
      </c>
      <c r="I360" s="11" t="b">
        <f t="shared" si="15"/>
        <v>0</v>
      </c>
      <c r="K360" s="16">
        <v>471.77</v>
      </c>
      <c r="M360" s="17">
        <f t="shared" si="16"/>
        <v>103365.02000000003</v>
      </c>
      <c r="N360" s="11">
        <f t="shared" si="17"/>
        <v>8</v>
      </c>
    </row>
    <row r="361" spans="1:14" x14ac:dyDescent="0.25">
      <c r="A361" s="11" t="s">
        <v>0</v>
      </c>
      <c r="B361" s="12">
        <v>45159</v>
      </c>
      <c r="C361" s="11" t="s">
        <v>688</v>
      </c>
      <c r="D361" s="11" t="s">
        <v>692</v>
      </c>
      <c r="E361" s="13" t="s">
        <v>483</v>
      </c>
      <c r="F361" s="14" t="s">
        <v>269</v>
      </c>
      <c r="G361" s="14" t="s">
        <v>293</v>
      </c>
      <c r="I361" s="11" t="b">
        <f t="shared" si="15"/>
        <v>0</v>
      </c>
      <c r="K361" s="16">
        <v>224.7</v>
      </c>
      <c r="M361" s="17">
        <f t="shared" si="16"/>
        <v>103140.32000000004</v>
      </c>
      <c r="N361" s="11">
        <f t="shared" si="17"/>
        <v>8</v>
      </c>
    </row>
    <row r="362" spans="1:14" x14ac:dyDescent="0.25">
      <c r="A362" s="11" t="s">
        <v>0</v>
      </c>
      <c r="B362" s="12">
        <v>45159</v>
      </c>
      <c r="C362" s="11" t="s">
        <v>688</v>
      </c>
      <c r="D362" s="11" t="s">
        <v>699</v>
      </c>
      <c r="E362" s="13" t="s">
        <v>98</v>
      </c>
      <c r="F362" s="14" t="s">
        <v>343</v>
      </c>
      <c r="G362" s="14" t="s">
        <v>294</v>
      </c>
      <c r="I362" s="11" t="b">
        <f t="shared" si="15"/>
        <v>0</v>
      </c>
      <c r="K362" s="16">
        <v>303.83999999999997</v>
      </c>
      <c r="M362" s="17">
        <f t="shared" si="16"/>
        <v>102836.48000000004</v>
      </c>
      <c r="N362" s="11">
        <f t="shared" si="17"/>
        <v>8</v>
      </c>
    </row>
    <row r="363" spans="1:14" x14ac:dyDescent="0.25">
      <c r="A363" s="11" t="s">
        <v>0</v>
      </c>
      <c r="B363" s="12">
        <v>45159</v>
      </c>
      <c r="C363" s="11" t="s">
        <v>688</v>
      </c>
      <c r="D363" s="11" t="s">
        <v>692</v>
      </c>
      <c r="E363" s="13" t="s">
        <v>483</v>
      </c>
      <c r="F363" s="14" t="s">
        <v>269</v>
      </c>
      <c r="G363" s="14" t="s">
        <v>293</v>
      </c>
      <c r="I363" s="11" t="b">
        <f t="shared" si="15"/>
        <v>0</v>
      </c>
      <c r="K363" s="16">
        <v>391.67</v>
      </c>
      <c r="M363" s="17">
        <f t="shared" si="16"/>
        <v>102444.81000000004</v>
      </c>
      <c r="N363" s="11">
        <f t="shared" si="17"/>
        <v>8</v>
      </c>
    </row>
    <row r="364" spans="1:14" x14ac:dyDescent="0.25">
      <c r="A364" s="11" t="s">
        <v>0</v>
      </c>
      <c r="B364" s="12">
        <v>45159</v>
      </c>
      <c r="C364" s="11" t="s">
        <v>688</v>
      </c>
      <c r="D364" s="11" t="s">
        <v>694</v>
      </c>
      <c r="E364" s="13" t="s">
        <v>718</v>
      </c>
      <c r="F364" s="14" t="s">
        <v>263</v>
      </c>
      <c r="G364" s="14" t="s">
        <v>293</v>
      </c>
      <c r="I364" s="11" t="b">
        <f t="shared" si="15"/>
        <v>0</v>
      </c>
      <c r="K364" s="16">
        <v>1470.36</v>
      </c>
      <c r="M364" s="17">
        <f t="shared" si="16"/>
        <v>100974.45000000004</v>
      </c>
      <c r="N364" s="11">
        <f t="shared" si="17"/>
        <v>8</v>
      </c>
    </row>
    <row r="365" spans="1:14" x14ac:dyDescent="0.25">
      <c r="A365" s="11" t="s">
        <v>0</v>
      </c>
      <c r="B365" s="12">
        <v>45159</v>
      </c>
      <c r="C365" s="11" t="s">
        <v>688</v>
      </c>
      <c r="D365" s="11" t="s">
        <v>697</v>
      </c>
      <c r="E365" s="13" t="s">
        <v>345</v>
      </c>
      <c r="F365" s="14" t="s">
        <v>344</v>
      </c>
      <c r="G365" s="14" t="s">
        <v>293</v>
      </c>
      <c r="I365" s="11" t="b">
        <f t="shared" si="15"/>
        <v>0</v>
      </c>
      <c r="K365" s="16">
        <v>11605.95</v>
      </c>
      <c r="M365" s="17">
        <f t="shared" si="16"/>
        <v>89368.500000000044</v>
      </c>
      <c r="N365" s="11">
        <f t="shared" si="17"/>
        <v>8</v>
      </c>
    </row>
    <row r="366" spans="1:14" x14ac:dyDescent="0.25">
      <c r="A366" s="11" t="s">
        <v>207</v>
      </c>
      <c r="B366" s="12">
        <v>45159</v>
      </c>
      <c r="C366" s="11" t="s">
        <v>688</v>
      </c>
      <c r="D366" s="11" t="s">
        <v>43</v>
      </c>
      <c r="E366" s="13" t="s">
        <v>43</v>
      </c>
      <c r="F366" s="14" t="s">
        <v>286</v>
      </c>
      <c r="I366" s="11" t="b">
        <f t="shared" si="15"/>
        <v>0</v>
      </c>
      <c r="J366" s="16">
        <v>1241.8499999999999</v>
      </c>
      <c r="M366" s="17">
        <f t="shared" si="16"/>
        <v>90610.350000000049</v>
      </c>
      <c r="N366" s="11">
        <f t="shared" si="17"/>
        <v>8</v>
      </c>
    </row>
    <row r="367" spans="1:14" x14ac:dyDescent="0.25">
      <c r="A367" s="11" t="s">
        <v>207</v>
      </c>
      <c r="B367" s="12">
        <v>45159</v>
      </c>
      <c r="C367" s="11" t="s">
        <v>688</v>
      </c>
      <c r="D367" s="11" t="s">
        <v>43</v>
      </c>
      <c r="E367" s="13" t="s">
        <v>43</v>
      </c>
      <c r="F367" s="14" t="s">
        <v>287</v>
      </c>
      <c r="I367" s="11" t="b">
        <f t="shared" si="15"/>
        <v>0</v>
      </c>
      <c r="J367" s="16">
        <v>3327.5</v>
      </c>
      <c r="M367" s="17">
        <f t="shared" si="16"/>
        <v>93937.850000000049</v>
      </c>
      <c r="N367" s="11">
        <f t="shared" si="17"/>
        <v>8</v>
      </c>
    </row>
    <row r="368" spans="1:14" x14ac:dyDescent="0.25">
      <c r="A368" s="11" t="s">
        <v>207</v>
      </c>
      <c r="B368" s="12">
        <v>45159</v>
      </c>
      <c r="C368" s="11" t="s">
        <v>688</v>
      </c>
      <c r="D368" s="11" t="s">
        <v>43</v>
      </c>
      <c r="E368" s="14" t="s">
        <v>288</v>
      </c>
      <c r="F368" s="14" t="s">
        <v>288</v>
      </c>
      <c r="G368" s="14" t="s">
        <v>173</v>
      </c>
      <c r="I368" s="11">
        <f t="shared" si="15"/>
        <v>3</v>
      </c>
      <c r="J368" s="16">
        <v>1510</v>
      </c>
      <c r="M368" s="17">
        <f t="shared" si="16"/>
        <v>95447.850000000049</v>
      </c>
      <c r="N368" s="11">
        <f t="shared" si="17"/>
        <v>8</v>
      </c>
    </row>
    <row r="369" spans="1:14" x14ac:dyDescent="0.25">
      <c r="A369" s="11" t="s">
        <v>0</v>
      </c>
      <c r="B369" s="12">
        <v>45160</v>
      </c>
      <c r="C369" s="11" t="s">
        <v>688</v>
      </c>
      <c r="D369" s="11" t="s">
        <v>692</v>
      </c>
      <c r="E369" s="13" t="s">
        <v>179</v>
      </c>
      <c r="F369" s="14" t="s">
        <v>378</v>
      </c>
      <c r="G369" s="14" t="s">
        <v>293</v>
      </c>
      <c r="I369" s="11" t="b">
        <f t="shared" si="15"/>
        <v>0</v>
      </c>
      <c r="K369" s="16">
        <v>1329</v>
      </c>
      <c r="M369" s="17">
        <f t="shared" si="16"/>
        <v>94118.850000000049</v>
      </c>
      <c r="N369" s="11">
        <f t="shared" si="17"/>
        <v>8</v>
      </c>
    </row>
    <row r="370" spans="1:14" x14ac:dyDescent="0.25">
      <c r="A370" s="11" t="s">
        <v>0</v>
      </c>
      <c r="B370" s="12">
        <v>45160</v>
      </c>
      <c r="C370" s="11" t="s">
        <v>688</v>
      </c>
      <c r="D370" s="11" t="s">
        <v>720</v>
      </c>
      <c r="E370" s="13" t="s">
        <v>183</v>
      </c>
      <c r="F370" s="14" t="s">
        <v>304</v>
      </c>
      <c r="G370" s="14" t="s">
        <v>293</v>
      </c>
      <c r="I370" s="11" t="b">
        <f t="shared" si="15"/>
        <v>0</v>
      </c>
      <c r="K370" s="16">
        <v>450</v>
      </c>
      <c r="M370" s="17">
        <f t="shared" si="16"/>
        <v>93668.850000000049</v>
      </c>
      <c r="N370" s="11">
        <f t="shared" si="17"/>
        <v>8</v>
      </c>
    </row>
    <row r="371" spans="1:14" x14ac:dyDescent="0.25">
      <c r="A371" s="11" t="s">
        <v>0</v>
      </c>
      <c r="B371" s="12">
        <v>45160</v>
      </c>
      <c r="C371" s="11" t="s">
        <v>688</v>
      </c>
      <c r="D371" s="11" t="s">
        <v>692</v>
      </c>
      <c r="E371" s="13" t="s">
        <v>179</v>
      </c>
      <c r="F371" s="14" t="s">
        <v>28</v>
      </c>
      <c r="G371" s="14" t="s">
        <v>293</v>
      </c>
      <c r="I371" s="11" t="b">
        <f t="shared" si="15"/>
        <v>0</v>
      </c>
      <c r="K371" s="16">
        <v>580</v>
      </c>
      <c r="M371" s="17">
        <f t="shared" si="16"/>
        <v>93088.850000000049</v>
      </c>
      <c r="N371" s="11">
        <f t="shared" si="17"/>
        <v>8</v>
      </c>
    </row>
    <row r="372" spans="1:14" x14ac:dyDescent="0.25">
      <c r="A372" s="11" t="s">
        <v>0</v>
      </c>
      <c r="B372" s="12">
        <v>45160</v>
      </c>
      <c r="C372" s="11" t="s">
        <v>688</v>
      </c>
      <c r="D372" s="11" t="s">
        <v>692</v>
      </c>
      <c r="E372" s="13" t="s">
        <v>725</v>
      </c>
      <c r="F372" s="14" t="s">
        <v>27</v>
      </c>
      <c r="G372" s="14" t="s">
        <v>293</v>
      </c>
      <c r="I372" s="11" t="b">
        <f t="shared" si="15"/>
        <v>0</v>
      </c>
      <c r="K372" s="16">
        <v>1102.1400000000001</v>
      </c>
      <c r="M372" s="17">
        <f t="shared" si="16"/>
        <v>91986.71000000005</v>
      </c>
      <c r="N372" s="11">
        <f t="shared" si="17"/>
        <v>8</v>
      </c>
    </row>
    <row r="373" spans="1:14" x14ac:dyDescent="0.25">
      <c r="A373" s="11" t="s">
        <v>0</v>
      </c>
      <c r="B373" s="12">
        <v>45160</v>
      </c>
      <c r="C373" s="11" t="s">
        <v>688</v>
      </c>
      <c r="D373" s="11" t="s">
        <v>692</v>
      </c>
      <c r="E373" s="13" t="s">
        <v>143</v>
      </c>
      <c r="F373" s="14" t="s">
        <v>346</v>
      </c>
      <c r="G373" s="14" t="s">
        <v>293</v>
      </c>
      <c r="I373" s="11" t="b">
        <f t="shared" si="15"/>
        <v>0</v>
      </c>
      <c r="K373" s="16">
        <v>347.21</v>
      </c>
      <c r="M373" s="17">
        <f t="shared" si="16"/>
        <v>91639.500000000044</v>
      </c>
      <c r="N373" s="11">
        <f t="shared" si="17"/>
        <v>8</v>
      </c>
    </row>
    <row r="374" spans="1:14" x14ac:dyDescent="0.25">
      <c r="A374" s="11" t="s">
        <v>0</v>
      </c>
      <c r="B374" s="12">
        <v>45160</v>
      </c>
      <c r="C374" s="11" t="s">
        <v>688</v>
      </c>
      <c r="D374" s="11" t="s">
        <v>692</v>
      </c>
      <c r="E374" s="13" t="s">
        <v>492</v>
      </c>
      <c r="F374" s="14" t="s">
        <v>111</v>
      </c>
      <c r="G374" s="14" t="s">
        <v>293</v>
      </c>
      <c r="I374" s="11" t="b">
        <f t="shared" si="15"/>
        <v>0</v>
      </c>
      <c r="K374" s="16">
        <v>4611</v>
      </c>
      <c r="M374" s="17">
        <f t="shared" si="16"/>
        <v>87028.500000000044</v>
      </c>
      <c r="N374" s="11">
        <f t="shared" si="17"/>
        <v>8</v>
      </c>
    </row>
    <row r="375" spans="1:14" x14ac:dyDescent="0.25">
      <c r="A375" s="11" t="s">
        <v>0</v>
      </c>
      <c r="B375" s="12">
        <v>45160</v>
      </c>
      <c r="C375" s="11" t="s">
        <v>688</v>
      </c>
      <c r="D375" s="11" t="s">
        <v>692</v>
      </c>
      <c r="E375" s="13" t="s">
        <v>717</v>
      </c>
      <c r="F375" s="14" t="s">
        <v>76</v>
      </c>
      <c r="G375" s="14" t="s">
        <v>293</v>
      </c>
      <c r="I375" s="11" t="b">
        <f t="shared" si="15"/>
        <v>0</v>
      </c>
      <c r="K375" s="16">
        <v>726.26</v>
      </c>
      <c r="M375" s="17">
        <f t="shared" si="16"/>
        <v>86302.240000000049</v>
      </c>
      <c r="N375" s="11">
        <f t="shared" si="17"/>
        <v>8</v>
      </c>
    </row>
    <row r="376" spans="1:14" x14ac:dyDescent="0.25">
      <c r="A376" s="11" t="s">
        <v>207</v>
      </c>
      <c r="B376" s="12">
        <v>45160</v>
      </c>
      <c r="C376" s="11" t="s">
        <v>688</v>
      </c>
      <c r="D376" s="11" t="s">
        <v>43</v>
      </c>
      <c r="E376" s="14" t="s">
        <v>288</v>
      </c>
      <c r="F376" s="14" t="s">
        <v>288</v>
      </c>
      <c r="G376" s="14" t="s">
        <v>173</v>
      </c>
      <c r="I376" s="11">
        <f t="shared" si="15"/>
        <v>3</v>
      </c>
      <c r="J376" s="16">
        <v>265</v>
      </c>
      <c r="M376" s="17">
        <f t="shared" si="16"/>
        <v>86567.240000000049</v>
      </c>
      <c r="N376" s="11">
        <f t="shared" si="17"/>
        <v>8</v>
      </c>
    </row>
    <row r="377" spans="1:14" x14ac:dyDescent="0.25">
      <c r="A377" s="11" t="s">
        <v>207</v>
      </c>
      <c r="B377" s="12">
        <v>45160</v>
      </c>
      <c r="C377" s="11" t="s">
        <v>688</v>
      </c>
      <c r="D377" s="11" t="s">
        <v>43</v>
      </c>
      <c r="E377" s="13" t="s">
        <v>43</v>
      </c>
      <c r="F377" s="14" t="s">
        <v>350</v>
      </c>
      <c r="G377" s="14" t="s">
        <v>400</v>
      </c>
      <c r="I377" s="11">
        <f t="shared" si="15"/>
        <v>2</v>
      </c>
      <c r="J377" s="16">
        <v>4485.3500000000004</v>
      </c>
      <c r="M377" s="17">
        <f t="shared" si="16"/>
        <v>91052.590000000055</v>
      </c>
      <c r="N377" s="11">
        <f t="shared" si="17"/>
        <v>8</v>
      </c>
    </row>
    <row r="378" spans="1:14" x14ac:dyDescent="0.25">
      <c r="A378" s="11" t="s">
        <v>207</v>
      </c>
      <c r="B378" s="12">
        <v>45160</v>
      </c>
      <c r="C378" s="11" t="s">
        <v>688</v>
      </c>
      <c r="D378" s="11" t="s">
        <v>43</v>
      </c>
      <c r="E378" s="13" t="s">
        <v>11</v>
      </c>
      <c r="F378" s="14" t="s">
        <v>10</v>
      </c>
      <c r="G378" s="14" t="s">
        <v>400</v>
      </c>
      <c r="I378" s="11">
        <f t="shared" si="15"/>
        <v>2</v>
      </c>
      <c r="J378" s="16">
        <v>431.75</v>
      </c>
      <c r="M378" s="17">
        <f t="shared" si="16"/>
        <v>91484.340000000055</v>
      </c>
      <c r="N378" s="11">
        <f t="shared" si="17"/>
        <v>8</v>
      </c>
    </row>
    <row r="379" spans="1:14" x14ac:dyDescent="0.25">
      <c r="A379" s="11" t="s">
        <v>0</v>
      </c>
      <c r="B379" s="12">
        <v>45160</v>
      </c>
      <c r="C379" s="11" t="s">
        <v>688</v>
      </c>
      <c r="D379" s="11" t="s">
        <v>694</v>
      </c>
      <c r="E379" s="13" t="s">
        <v>182</v>
      </c>
      <c r="F379" s="14" t="s">
        <v>12</v>
      </c>
      <c r="G379" s="14" t="s">
        <v>186</v>
      </c>
      <c r="I379" s="11" t="b">
        <f t="shared" si="15"/>
        <v>0</v>
      </c>
      <c r="K379" s="16">
        <v>2.95</v>
      </c>
      <c r="M379" s="17">
        <f t="shared" si="16"/>
        <v>91481.390000000058</v>
      </c>
      <c r="N379" s="11">
        <f t="shared" si="17"/>
        <v>8</v>
      </c>
    </row>
    <row r="380" spans="1:14" x14ac:dyDescent="0.25">
      <c r="A380" s="11" t="s">
        <v>0</v>
      </c>
      <c r="B380" s="12">
        <v>45161</v>
      </c>
      <c r="C380" s="11" t="s">
        <v>688</v>
      </c>
      <c r="D380" s="11" t="s">
        <v>692</v>
      </c>
      <c r="E380" s="13" t="s">
        <v>179</v>
      </c>
      <c r="F380" s="14" t="s">
        <v>28</v>
      </c>
      <c r="G380" s="14" t="s">
        <v>293</v>
      </c>
      <c r="I380" s="11" t="b">
        <f t="shared" si="15"/>
        <v>0</v>
      </c>
      <c r="K380" s="16">
        <v>2750</v>
      </c>
      <c r="M380" s="17">
        <f t="shared" si="16"/>
        <v>88731.390000000058</v>
      </c>
      <c r="N380" s="11">
        <f t="shared" si="17"/>
        <v>8</v>
      </c>
    </row>
    <row r="381" spans="1:14" x14ac:dyDescent="0.25">
      <c r="A381" s="11" t="s">
        <v>0</v>
      </c>
      <c r="B381" s="12">
        <v>45161</v>
      </c>
      <c r="C381" s="11" t="s">
        <v>688</v>
      </c>
      <c r="D381" s="11" t="s">
        <v>692</v>
      </c>
      <c r="E381" s="13" t="s">
        <v>143</v>
      </c>
      <c r="F381" s="14" t="s">
        <v>31</v>
      </c>
      <c r="G381" s="14" t="s">
        <v>293</v>
      </c>
      <c r="I381" s="11" t="b">
        <f t="shared" si="15"/>
        <v>0</v>
      </c>
      <c r="K381" s="16">
        <v>986.58</v>
      </c>
      <c r="M381" s="17">
        <f t="shared" si="16"/>
        <v>87744.810000000056</v>
      </c>
      <c r="N381" s="11">
        <f t="shared" si="17"/>
        <v>8</v>
      </c>
    </row>
    <row r="382" spans="1:14" x14ac:dyDescent="0.25">
      <c r="A382" s="11" t="s">
        <v>207</v>
      </c>
      <c r="B382" s="12">
        <v>45161</v>
      </c>
      <c r="C382" s="11" t="s">
        <v>688</v>
      </c>
      <c r="D382" s="11" t="s">
        <v>43</v>
      </c>
      <c r="E382" s="13" t="s">
        <v>14</v>
      </c>
      <c r="F382" s="14" t="s">
        <v>13</v>
      </c>
      <c r="G382" s="14" t="s">
        <v>400</v>
      </c>
      <c r="I382" s="11">
        <f t="shared" si="15"/>
        <v>2</v>
      </c>
      <c r="J382" s="16">
        <v>158.43</v>
      </c>
      <c r="M382" s="17">
        <f t="shared" si="16"/>
        <v>87903.240000000049</v>
      </c>
      <c r="N382" s="11">
        <f t="shared" si="17"/>
        <v>8</v>
      </c>
    </row>
    <row r="383" spans="1:14" x14ac:dyDescent="0.25">
      <c r="A383" s="11" t="s">
        <v>207</v>
      </c>
      <c r="B383" s="12">
        <v>45161</v>
      </c>
      <c r="C383" s="11" t="s">
        <v>688</v>
      </c>
      <c r="D383" s="11" t="s">
        <v>43</v>
      </c>
      <c r="E383" s="13" t="s">
        <v>14</v>
      </c>
      <c r="F383" s="14" t="s">
        <v>13</v>
      </c>
      <c r="G383" s="14" t="s">
        <v>400</v>
      </c>
      <c r="I383" s="11">
        <f t="shared" si="15"/>
        <v>2</v>
      </c>
      <c r="J383" s="16">
        <v>692.46</v>
      </c>
      <c r="M383" s="17">
        <f t="shared" si="16"/>
        <v>88595.700000000055</v>
      </c>
      <c r="N383" s="11">
        <f t="shared" si="17"/>
        <v>8</v>
      </c>
    </row>
    <row r="384" spans="1:14" x14ac:dyDescent="0.25">
      <c r="A384" s="11" t="s">
        <v>207</v>
      </c>
      <c r="B384" s="12">
        <v>45161</v>
      </c>
      <c r="C384" s="11" t="s">
        <v>688</v>
      </c>
      <c r="D384" s="11" t="s">
        <v>43</v>
      </c>
      <c r="E384" s="13" t="s">
        <v>16</v>
      </c>
      <c r="F384" s="14" t="s">
        <v>15</v>
      </c>
      <c r="G384" s="14" t="s">
        <v>400</v>
      </c>
      <c r="I384" s="11">
        <f t="shared" si="15"/>
        <v>2</v>
      </c>
      <c r="J384" s="16">
        <v>1778.14</v>
      </c>
      <c r="M384" s="17">
        <f t="shared" si="16"/>
        <v>90373.840000000055</v>
      </c>
      <c r="N384" s="11">
        <f t="shared" si="17"/>
        <v>8</v>
      </c>
    </row>
    <row r="385" spans="1:14" x14ac:dyDescent="0.25">
      <c r="A385" s="11" t="s">
        <v>207</v>
      </c>
      <c r="B385" s="12">
        <v>45161</v>
      </c>
      <c r="C385" s="11" t="s">
        <v>688</v>
      </c>
      <c r="D385" s="11" t="s">
        <v>43</v>
      </c>
      <c r="E385" s="13" t="s">
        <v>16</v>
      </c>
      <c r="F385" s="14" t="s">
        <v>17</v>
      </c>
      <c r="G385" s="14" t="s">
        <v>400</v>
      </c>
      <c r="I385" s="11">
        <f t="shared" si="15"/>
        <v>2</v>
      </c>
      <c r="J385" s="16">
        <v>1274.5</v>
      </c>
      <c r="M385" s="17">
        <f t="shared" si="16"/>
        <v>91648.340000000055</v>
      </c>
      <c r="N385" s="11">
        <f t="shared" si="17"/>
        <v>8</v>
      </c>
    </row>
    <row r="386" spans="1:14" x14ac:dyDescent="0.25">
      <c r="A386" s="11" t="s">
        <v>207</v>
      </c>
      <c r="B386" s="12">
        <v>45161</v>
      </c>
      <c r="C386" s="11" t="s">
        <v>688</v>
      </c>
      <c r="D386" s="11" t="s">
        <v>43</v>
      </c>
      <c r="E386" s="13" t="s">
        <v>16</v>
      </c>
      <c r="F386" s="14" t="s">
        <v>18</v>
      </c>
      <c r="G386" s="14" t="s">
        <v>400</v>
      </c>
      <c r="I386" s="11">
        <f t="shared" si="15"/>
        <v>2</v>
      </c>
      <c r="J386" s="16">
        <v>25.19</v>
      </c>
      <c r="M386" s="17">
        <f t="shared" si="16"/>
        <v>91673.530000000057</v>
      </c>
      <c r="N386" s="11">
        <f t="shared" si="17"/>
        <v>8</v>
      </c>
    </row>
    <row r="387" spans="1:14" x14ac:dyDescent="0.25">
      <c r="A387" s="11" t="s">
        <v>207</v>
      </c>
      <c r="B387" s="12">
        <v>45161</v>
      </c>
      <c r="C387" s="11" t="s">
        <v>688</v>
      </c>
      <c r="D387" s="11" t="s">
        <v>43</v>
      </c>
      <c r="E387" s="13" t="s">
        <v>11</v>
      </c>
      <c r="F387" s="14" t="s">
        <v>19</v>
      </c>
      <c r="G387" s="14" t="s">
        <v>400</v>
      </c>
      <c r="I387" s="11">
        <f t="shared" ref="I387:I450" si="18">IF(AND(G387="MERCADO PAGO",A387="FATURAMENTO"),1,IF(AND(OR(G387="MERCADO PAGO",G387="pix mercado pago",G387= "débito automático mercado pago", G387= "boleto mercado pago"),A387="DESPESAS"),4,IF(AND(G387="SAFRA",A387="FATURAMENTO"),2,IF(AND(OR(G387="SAFRA",G387="PIX SAFRA", G387="DÉBITO AUTOMÁTICO SAFRA", G387= "BOLETO SAFRA", G387= "transferência safra"), A387="DESPESAS"),5,IF(AND(G387="espécie",A387="FATURAMENTO"),3,IF(AND(G387="espécie",A387="DESPESAS"),6))))))</f>
        <v>2</v>
      </c>
      <c r="J387" s="16">
        <v>536.1</v>
      </c>
      <c r="M387" s="17">
        <f t="shared" ref="M387:M450" si="19">IF(B387=0, "",M386+ J387-K387)</f>
        <v>92209.630000000063</v>
      </c>
      <c r="N387" s="11">
        <f t="shared" ref="N387:N450" si="20">IF(B387=0, "", MONTH(B387))</f>
        <v>8</v>
      </c>
    </row>
    <row r="388" spans="1:14" x14ac:dyDescent="0.25">
      <c r="A388" s="11" t="s">
        <v>207</v>
      </c>
      <c r="B388" s="12">
        <v>45161</v>
      </c>
      <c r="C388" s="11" t="s">
        <v>688</v>
      </c>
      <c r="D388" s="11" t="s">
        <v>43</v>
      </c>
      <c r="E388" s="14" t="s">
        <v>288</v>
      </c>
      <c r="F388" s="14" t="s">
        <v>288</v>
      </c>
      <c r="G388" s="14" t="s">
        <v>173</v>
      </c>
      <c r="I388" s="11">
        <f t="shared" si="18"/>
        <v>3</v>
      </c>
      <c r="J388" s="16">
        <v>240</v>
      </c>
      <c r="M388" s="17">
        <f t="shared" si="19"/>
        <v>92449.630000000063</v>
      </c>
      <c r="N388" s="11">
        <f t="shared" si="20"/>
        <v>8</v>
      </c>
    </row>
    <row r="389" spans="1:14" x14ac:dyDescent="0.25">
      <c r="A389" s="11" t="s">
        <v>0</v>
      </c>
      <c r="B389" s="12">
        <v>45161</v>
      </c>
      <c r="C389" s="11" t="s">
        <v>688</v>
      </c>
      <c r="D389" s="11" t="s">
        <v>692</v>
      </c>
      <c r="E389" s="13" t="s">
        <v>179</v>
      </c>
      <c r="F389" s="14" t="s">
        <v>378</v>
      </c>
      <c r="G389" s="14" t="s">
        <v>174</v>
      </c>
      <c r="H389" s="15">
        <v>1</v>
      </c>
      <c r="I389" s="11" t="b">
        <f t="shared" si="18"/>
        <v>0</v>
      </c>
      <c r="K389" s="16">
        <v>1600</v>
      </c>
      <c r="M389" s="17">
        <f t="shared" si="19"/>
        <v>90849.630000000063</v>
      </c>
      <c r="N389" s="11">
        <f t="shared" si="20"/>
        <v>8</v>
      </c>
    </row>
    <row r="390" spans="1:14" x14ac:dyDescent="0.25">
      <c r="A390" s="11" t="s">
        <v>0</v>
      </c>
      <c r="B390" s="12">
        <v>45161</v>
      </c>
      <c r="C390" s="11" t="s">
        <v>688</v>
      </c>
      <c r="D390" s="11" t="s">
        <v>692</v>
      </c>
      <c r="E390" s="13" t="s">
        <v>724</v>
      </c>
      <c r="F390" s="14" t="s">
        <v>119</v>
      </c>
      <c r="G390" s="14" t="s">
        <v>404</v>
      </c>
      <c r="H390" s="15">
        <v>1260033</v>
      </c>
      <c r="I390" s="11">
        <f t="shared" si="18"/>
        <v>5</v>
      </c>
      <c r="K390" s="16">
        <v>2360.33</v>
      </c>
      <c r="M390" s="17">
        <f t="shared" si="19"/>
        <v>88489.300000000061</v>
      </c>
      <c r="N390" s="11">
        <f t="shared" si="20"/>
        <v>8</v>
      </c>
    </row>
    <row r="391" spans="1:14" x14ac:dyDescent="0.25">
      <c r="A391" s="11" t="s">
        <v>0</v>
      </c>
      <c r="B391" s="12">
        <v>45161</v>
      </c>
      <c r="C391" s="11" t="s">
        <v>688</v>
      </c>
      <c r="D391" s="11" t="s">
        <v>701</v>
      </c>
      <c r="E391" s="13" t="s">
        <v>42</v>
      </c>
      <c r="F391" s="14" t="s">
        <v>21</v>
      </c>
      <c r="G391" s="14" t="s">
        <v>174</v>
      </c>
      <c r="H391" s="15">
        <v>65</v>
      </c>
      <c r="I391" s="11" t="b">
        <f t="shared" si="18"/>
        <v>0</v>
      </c>
      <c r="K391" s="16">
        <v>284.89999999999998</v>
      </c>
      <c r="M391" s="17">
        <f t="shared" si="19"/>
        <v>88204.400000000067</v>
      </c>
      <c r="N391" s="11">
        <f t="shared" si="20"/>
        <v>8</v>
      </c>
    </row>
    <row r="392" spans="1:14" x14ac:dyDescent="0.25">
      <c r="A392" s="11" t="s">
        <v>0</v>
      </c>
      <c r="B392" s="12">
        <v>45161</v>
      </c>
      <c r="C392" s="11" t="s">
        <v>688</v>
      </c>
      <c r="D392" s="11" t="s">
        <v>701</v>
      </c>
      <c r="E392" s="13" t="s">
        <v>42</v>
      </c>
      <c r="F392" s="14" t="s">
        <v>676</v>
      </c>
      <c r="G392" s="14" t="s">
        <v>404</v>
      </c>
      <c r="H392" s="15" t="s">
        <v>22</v>
      </c>
      <c r="I392" s="11">
        <f t="shared" si="18"/>
        <v>5</v>
      </c>
      <c r="K392" s="16">
        <v>423.7</v>
      </c>
      <c r="M392" s="17">
        <f t="shared" si="19"/>
        <v>87780.70000000007</v>
      </c>
      <c r="N392" s="11">
        <f t="shared" si="20"/>
        <v>8</v>
      </c>
    </row>
    <row r="393" spans="1:14" x14ac:dyDescent="0.25">
      <c r="A393" s="11" t="s">
        <v>0</v>
      </c>
      <c r="B393" s="12">
        <v>45161</v>
      </c>
      <c r="C393" s="11" t="s">
        <v>688</v>
      </c>
      <c r="D393" s="11" t="s">
        <v>694</v>
      </c>
      <c r="E393" s="13" t="s">
        <v>182</v>
      </c>
      <c r="F393" s="14" t="s">
        <v>12</v>
      </c>
      <c r="G393" s="14" t="s">
        <v>186</v>
      </c>
      <c r="I393" s="11" t="b">
        <f t="shared" si="18"/>
        <v>0</v>
      </c>
      <c r="K393" s="16">
        <v>3.67</v>
      </c>
      <c r="M393" s="17">
        <f t="shared" si="19"/>
        <v>87777.030000000072</v>
      </c>
      <c r="N393" s="11">
        <f t="shared" si="20"/>
        <v>8</v>
      </c>
    </row>
    <row r="394" spans="1:14" x14ac:dyDescent="0.25">
      <c r="A394" s="11" t="s">
        <v>0</v>
      </c>
      <c r="B394" s="12">
        <v>45161</v>
      </c>
      <c r="C394" s="11" t="s">
        <v>688</v>
      </c>
      <c r="D394" s="11" t="s">
        <v>694</v>
      </c>
      <c r="E394" s="13" t="s">
        <v>182</v>
      </c>
      <c r="F394" s="14" t="s">
        <v>23</v>
      </c>
      <c r="G394" s="14" t="s">
        <v>186</v>
      </c>
      <c r="I394" s="11" t="b">
        <f t="shared" si="18"/>
        <v>0</v>
      </c>
      <c r="K394" s="16">
        <v>3.81</v>
      </c>
      <c r="M394" s="17">
        <f t="shared" si="19"/>
        <v>87773.220000000074</v>
      </c>
      <c r="N394" s="11">
        <f t="shared" si="20"/>
        <v>8</v>
      </c>
    </row>
    <row r="395" spans="1:14" x14ac:dyDescent="0.25">
      <c r="A395" s="11" t="s">
        <v>0</v>
      </c>
      <c r="B395" s="12">
        <v>45162</v>
      </c>
      <c r="C395" s="11" t="s">
        <v>688</v>
      </c>
      <c r="D395" s="11" t="s">
        <v>700</v>
      </c>
      <c r="E395" s="13" t="s">
        <v>317</v>
      </c>
      <c r="F395" s="14" t="s">
        <v>316</v>
      </c>
      <c r="G395" s="14" t="s">
        <v>291</v>
      </c>
      <c r="I395" s="11" t="b">
        <f t="shared" si="18"/>
        <v>0</v>
      </c>
      <c r="K395" s="16">
        <v>4000</v>
      </c>
      <c r="M395" s="17">
        <f t="shared" si="19"/>
        <v>83773.220000000074</v>
      </c>
      <c r="N395" s="11">
        <f t="shared" si="20"/>
        <v>8</v>
      </c>
    </row>
    <row r="396" spans="1:14" x14ac:dyDescent="0.25">
      <c r="A396" s="11" t="s">
        <v>0</v>
      </c>
      <c r="B396" s="12">
        <v>45162</v>
      </c>
      <c r="C396" s="11" t="s">
        <v>688</v>
      </c>
      <c r="D396" s="11" t="s">
        <v>701</v>
      </c>
      <c r="E396" s="13" t="s">
        <v>347</v>
      </c>
      <c r="F396" s="14" t="s">
        <v>245</v>
      </c>
      <c r="G396" s="14" t="s">
        <v>215</v>
      </c>
      <c r="I396" s="11" t="b">
        <f t="shared" si="18"/>
        <v>0</v>
      </c>
      <c r="K396" s="16">
        <v>10000</v>
      </c>
      <c r="M396" s="17">
        <f t="shared" si="19"/>
        <v>73773.220000000074</v>
      </c>
      <c r="N396" s="11">
        <f t="shared" si="20"/>
        <v>8</v>
      </c>
    </row>
    <row r="397" spans="1:14" x14ac:dyDescent="0.25">
      <c r="A397" s="11" t="s">
        <v>0</v>
      </c>
      <c r="B397" s="12">
        <v>45162</v>
      </c>
      <c r="C397" s="11" t="s">
        <v>688</v>
      </c>
      <c r="D397" s="11" t="s">
        <v>700</v>
      </c>
      <c r="E397" s="13" t="s">
        <v>348</v>
      </c>
      <c r="F397" s="14" t="s">
        <v>205</v>
      </c>
      <c r="G397" s="14" t="s">
        <v>215</v>
      </c>
      <c r="I397" s="11" t="b">
        <f t="shared" si="18"/>
        <v>0</v>
      </c>
      <c r="K397" s="16">
        <v>139</v>
      </c>
      <c r="M397" s="17">
        <f t="shared" si="19"/>
        <v>73634.220000000074</v>
      </c>
      <c r="N397" s="11">
        <f t="shared" si="20"/>
        <v>8</v>
      </c>
    </row>
    <row r="398" spans="1:14" x14ac:dyDescent="0.25">
      <c r="A398" s="11" t="s">
        <v>207</v>
      </c>
      <c r="B398" s="12">
        <v>45162</v>
      </c>
      <c r="C398" s="11" t="s">
        <v>688</v>
      </c>
      <c r="D398" s="11" t="s">
        <v>43</v>
      </c>
      <c r="E398" s="13" t="s">
        <v>14</v>
      </c>
      <c r="F398" s="14" t="s">
        <v>13</v>
      </c>
      <c r="G398" s="14" t="s">
        <v>400</v>
      </c>
      <c r="I398" s="11">
        <f t="shared" si="18"/>
        <v>2</v>
      </c>
      <c r="J398" s="16">
        <v>409.56</v>
      </c>
      <c r="M398" s="17">
        <f t="shared" si="19"/>
        <v>74043.780000000072</v>
      </c>
      <c r="N398" s="11">
        <f t="shared" si="20"/>
        <v>8</v>
      </c>
    </row>
    <row r="399" spans="1:14" x14ac:dyDescent="0.25">
      <c r="A399" s="11" t="s">
        <v>207</v>
      </c>
      <c r="B399" s="12">
        <v>45162</v>
      </c>
      <c r="C399" s="11" t="s">
        <v>688</v>
      </c>
      <c r="D399" s="11" t="s">
        <v>43</v>
      </c>
      <c r="E399" s="13" t="s">
        <v>14</v>
      </c>
      <c r="F399" s="14" t="s">
        <v>13</v>
      </c>
      <c r="G399" s="14" t="s">
        <v>400</v>
      </c>
      <c r="I399" s="11">
        <f t="shared" si="18"/>
        <v>2</v>
      </c>
      <c r="J399" s="16">
        <v>564.57000000000005</v>
      </c>
      <c r="M399" s="17">
        <f t="shared" si="19"/>
        <v>74608.350000000079</v>
      </c>
      <c r="N399" s="11">
        <f t="shared" si="20"/>
        <v>8</v>
      </c>
    </row>
    <row r="400" spans="1:14" x14ac:dyDescent="0.25">
      <c r="A400" s="11" t="s">
        <v>207</v>
      </c>
      <c r="B400" s="12">
        <v>45162</v>
      </c>
      <c r="C400" s="11" t="s">
        <v>688</v>
      </c>
      <c r="D400" s="11" t="s">
        <v>43</v>
      </c>
      <c r="E400" s="13" t="s">
        <v>14</v>
      </c>
      <c r="F400" s="14" t="s">
        <v>13</v>
      </c>
      <c r="G400" s="14" t="s">
        <v>400</v>
      </c>
      <c r="I400" s="11">
        <f t="shared" si="18"/>
        <v>2</v>
      </c>
      <c r="J400" s="16">
        <v>207.86</v>
      </c>
      <c r="M400" s="17">
        <f t="shared" si="19"/>
        <v>74816.210000000079</v>
      </c>
      <c r="N400" s="11">
        <f t="shared" si="20"/>
        <v>8</v>
      </c>
    </row>
    <row r="401" spans="1:14" x14ac:dyDescent="0.25">
      <c r="A401" s="11" t="s">
        <v>207</v>
      </c>
      <c r="B401" s="12">
        <v>45162</v>
      </c>
      <c r="C401" s="11" t="s">
        <v>688</v>
      </c>
      <c r="D401" s="11" t="s">
        <v>43</v>
      </c>
      <c r="E401" s="13" t="s">
        <v>14</v>
      </c>
      <c r="F401" s="14" t="s">
        <v>13</v>
      </c>
      <c r="G401" s="14" t="s">
        <v>400</v>
      </c>
      <c r="I401" s="11">
        <f t="shared" si="18"/>
        <v>2</v>
      </c>
      <c r="J401" s="16">
        <v>335.94</v>
      </c>
      <c r="M401" s="17">
        <f t="shared" si="19"/>
        <v>75152.150000000081</v>
      </c>
      <c r="N401" s="11">
        <f t="shared" si="20"/>
        <v>8</v>
      </c>
    </row>
    <row r="402" spans="1:14" x14ac:dyDescent="0.25">
      <c r="A402" s="11" t="s">
        <v>207</v>
      </c>
      <c r="B402" s="12">
        <v>45162</v>
      </c>
      <c r="C402" s="11" t="s">
        <v>688</v>
      </c>
      <c r="D402" s="11" t="s">
        <v>43</v>
      </c>
      <c r="E402" s="13" t="s">
        <v>14</v>
      </c>
      <c r="F402" s="14" t="s">
        <v>13</v>
      </c>
      <c r="G402" s="14" t="s">
        <v>400</v>
      </c>
      <c r="I402" s="11">
        <f t="shared" si="18"/>
        <v>2</v>
      </c>
      <c r="J402" s="16">
        <v>12.87</v>
      </c>
      <c r="M402" s="17">
        <f t="shared" si="19"/>
        <v>75165.020000000077</v>
      </c>
      <c r="N402" s="11">
        <f t="shared" si="20"/>
        <v>8</v>
      </c>
    </row>
    <row r="403" spans="1:14" x14ac:dyDescent="0.25">
      <c r="A403" s="11" t="s">
        <v>207</v>
      </c>
      <c r="B403" s="12">
        <v>45162</v>
      </c>
      <c r="C403" s="11" t="s">
        <v>688</v>
      </c>
      <c r="D403" s="11" t="s">
        <v>43</v>
      </c>
      <c r="E403" s="13" t="s">
        <v>16</v>
      </c>
      <c r="F403" s="14" t="s">
        <v>15</v>
      </c>
      <c r="G403" s="14" t="s">
        <v>400</v>
      </c>
      <c r="I403" s="11">
        <f t="shared" si="18"/>
        <v>2</v>
      </c>
      <c r="J403" s="16">
        <v>4754.33</v>
      </c>
      <c r="M403" s="17">
        <f t="shared" si="19"/>
        <v>79919.350000000079</v>
      </c>
      <c r="N403" s="11">
        <f t="shared" si="20"/>
        <v>8</v>
      </c>
    </row>
    <row r="404" spans="1:14" x14ac:dyDescent="0.25">
      <c r="A404" s="11" t="s">
        <v>207</v>
      </c>
      <c r="B404" s="12">
        <v>45162</v>
      </c>
      <c r="C404" s="11" t="s">
        <v>688</v>
      </c>
      <c r="D404" s="11" t="s">
        <v>43</v>
      </c>
      <c r="E404" s="13" t="s">
        <v>16</v>
      </c>
      <c r="F404" s="14" t="s">
        <v>17</v>
      </c>
      <c r="G404" s="14" t="s">
        <v>400</v>
      </c>
      <c r="I404" s="11">
        <f t="shared" si="18"/>
        <v>2</v>
      </c>
      <c r="J404" s="16">
        <v>1947.08</v>
      </c>
      <c r="M404" s="17">
        <f t="shared" si="19"/>
        <v>81866.43000000008</v>
      </c>
      <c r="N404" s="11">
        <f t="shared" si="20"/>
        <v>8</v>
      </c>
    </row>
    <row r="405" spans="1:14" x14ac:dyDescent="0.25">
      <c r="A405" s="11" t="s">
        <v>207</v>
      </c>
      <c r="B405" s="12">
        <v>45162</v>
      </c>
      <c r="C405" s="11" t="s">
        <v>688</v>
      </c>
      <c r="D405" s="11" t="s">
        <v>43</v>
      </c>
      <c r="E405" s="13" t="s">
        <v>16</v>
      </c>
      <c r="F405" s="14" t="s">
        <v>24</v>
      </c>
      <c r="G405" s="14" t="s">
        <v>400</v>
      </c>
      <c r="I405" s="11">
        <f t="shared" si="18"/>
        <v>2</v>
      </c>
      <c r="J405" s="16">
        <v>115.36</v>
      </c>
      <c r="M405" s="17">
        <f t="shared" si="19"/>
        <v>81981.790000000081</v>
      </c>
      <c r="N405" s="11">
        <f t="shared" si="20"/>
        <v>8</v>
      </c>
    </row>
    <row r="406" spans="1:14" x14ac:dyDescent="0.25">
      <c r="A406" s="11" t="s">
        <v>207</v>
      </c>
      <c r="B406" s="12">
        <v>45162</v>
      </c>
      <c r="C406" s="11" t="s">
        <v>688</v>
      </c>
      <c r="D406" s="11" t="s">
        <v>43</v>
      </c>
      <c r="E406" s="13" t="s">
        <v>16</v>
      </c>
      <c r="F406" s="14" t="s">
        <v>18</v>
      </c>
      <c r="G406" s="14" t="s">
        <v>400</v>
      </c>
      <c r="I406" s="11">
        <f t="shared" si="18"/>
        <v>2</v>
      </c>
      <c r="J406" s="16">
        <v>1211.24</v>
      </c>
      <c r="M406" s="17">
        <f t="shared" si="19"/>
        <v>83193.030000000086</v>
      </c>
      <c r="N406" s="11">
        <f t="shared" si="20"/>
        <v>8</v>
      </c>
    </row>
    <row r="407" spans="1:14" x14ac:dyDescent="0.25">
      <c r="A407" s="11" t="s">
        <v>207</v>
      </c>
      <c r="B407" s="12">
        <v>45162</v>
      </c>
      <c r="C407" s="11" t="s">
        <v>688</v>
      </c>
      <c r="D407" s="11" t="s">
        <v>43</v>
      </c>
      <c r="E407" s="13" t="s">
        <v>11</v>
      </c>
      <c r="F407" s="14" t="s">
        <v>25</v>
      </c>
      <c r="G407" s="14" t="s">
        <v>400</v>
      </c>
      <c r="I407" s="11">
        <f t="shared" si="18"/>
        <v>2</v>
      </c>
      <c r="J407" s="16">
        <v>201.25</v>
      </c>
      <c r="M407" s="17">
        <f t="shared" si="19"/>
        <v>83394.280000000086</v>
      </c>
      <c r="N407" s="11">
        <f t="shared" si="20"/>
        <v>8</v>
      </c>
    </row>
    <row r="408" spans="1:14" x14ac:dyDescent="0.25">
      <c r="A408" s="11" t="s">
        <v>207</v>
      </c>
      <c r="B408" s="12">
        <v>45162</v>
      </c>
      <c r="C408" s="11" t="s">
        <v>688</v>
      </c>
      <c r="D408" s="11" t="s">
        <v>43</v>
      </c>
      <c r="E408" s="13" t="s">
        <v>43</v>
      </c>
      <c r="F408" s="14" t="s">
        <v>350</v>
      </c>
      <c r="G408" s="14" t="s">
        <v>428</v>
      </c>
      <c r="I408" s="11">
        <f t="shared" si="18"/>
        <v>1</v>
      </c>
      <c r="J408" s="16">
        <v>877.15</v>
      </c>
      <c r="M408" s="17">
        <f t="shared" si="19"/>
        <v>84271.43000000008</v>
      </c>
      <c r="N408" s="11">
        <f t="shared" si="20"/>
        <v>8</v>
      </c>
    </row>
    <row r="409" spans="1:14" ht="39.6" x14ac:dyDescent="0.25">
      <c r="A409" s="11" t="s">
        <v>0</v>
      </c>
      <c r="B409" s="12">
        <v>45162</v>
      </c>
      <c r="C409" s="11" t="s">
        <v>688</v>
      </c>
      <c r="D409" s="11" t="s">
        <v>696</v>
      </c>
      <c r="E409" s="13" t="s">
        <v>26</v>
      </c>
      <c r="F409" s="14" t="s">
        <v>35</v>
      </c>
      <c r="G409" s="14" t="s">
        <v>174</v>
      </c>
      <c r="H409" s="15" t="s">
        <v>41</v>
      </c>
      <c r="I409" s="11" t="b">
        <f t="shared" si="18"/>
        <v>0</v>
      </c>
      <c r="K409" s="16">
        <v>1457.85</v>
      </c>
      <c r="M409" s="17">
        <f t="shared" si="19"/>
        <v>82813.580000000075</v>
      </c>
      <c r="N409" s="11">
        <f t="shared" si="20"/>
        <v>8</v>
      </c>
    </row>
    <row r="410" spans="1:14" x14ac:dyDescent="0.25">
      <c r="A410" s="11" t="s">
        <v>0</v>
      </c>
      <c r="B410" s="12">
        <v>45162</v>
      </c>
      <c r="C410" s="11" t="s">
        <v>688</v>
      </c>
      <c r="D410" s="11" t="s">
        <v>692</v>
      </c>
      <c r="E410" s="13" t="s">
        <v>725</v>
      </c>
      <c r="F410" s="14" t="s">
        <v>27</v>
      </c>
      <c r="G410" s="14" t="s">
        <v>404</v>
      </c>
      <c r="H410" s="15">
        <v>13013</v>
      </c>
      <c r="I410" s="11">
        <f t="shared" si="18"/>
        <v>5</v>
      </c>
      <c r="K410" s="16">
        <v>1045.45</v>
      </c>
      <c r="M410" s="17">
        <f t="shared" si="19"/>
        <v>81768.130000000077</v>
      </c>
      <c r="N410" s="11">
        <f t="shared" si="20"/>
        <v>8</v>
      </c>
    </row>
    <row r="411" spans="1:14" x14ac:dyDescent="0.25">
      <c r="A411" s="11" t="s">
        <v>0</v>
      </c>
      <c r="B411" s="12">
        <v>45162</v>
      </c>
      <c r="C411" s="11" t="s">
        <v>688</v>
      </c>
      <c r="D411" s="11" t="s">
        <v>692</v>
      </c>
      <c r="E411" s="13" t="s">
        <v>179</v>
      </c>
      <c r="F411" s="14" t="s">
        <v>28</v>
      </c>
      <c r="G411" s="14" t="s">
        <v>404</v>
      </c>
      <c r="H411" s="15" t="s">
        <v>20</v>
      </c>
      <c r="I411" s="11">
        <f t="shared" si="18"/>
        <v>5</v>
      </c>
      <c r="K411" s="16">
        <v>460</v>
      </c>
      <c r="M411" s="17">
        <f t="shared" si="19"/>
        <v>81308.130000000077</v>
      </c>
      <c r="N411" s="11">
        <f t="shared" si="20"/>
        <v>8</v>
      </c>
    </row>
    <row r="412" spans="1:14" x14ac:dyDescent="0.25">
      <c r="A412" s="11" t="s">
        <v>0</v>
      </c>
      <c r="B412" s="12">
        <v>45162</v>
      </c>
      <c r="C412" s="11" t="s">
        <v>688</v>
      </c>
      <c r="D412" s="11" t="s">
        <v>692</v>
      </c>
      <c r="E412" s="13" t="s">
        <v>143</v>
      </c>
      <c r="F412" s="14" t="s">
        <v>29</v>
      </c>
      <c r="G412" s="14" t="s">
        <v>174</v>
      </c>
      <c r="H412" s="15">
        <v>328507</v>
      </c>
      <c r="I412" s="11" t="b">
        <f t="shared" si="18"/>
        <v>0</v>
      </c>
      <c r="K412" s="16">
        <v>1411.4</v>
      </c>
      <c r="M412" s="17">
        <f t="shared" si="19"/>
        <v>79896.730000000083</v>
      </c>
      <c r="N412" s="11">
        <f t="shared" si="20"/>
        <v>8</v>
      </c>
    </row>
    <row r="413" spans="1:14" x14ac:dyDescent="0.25">
      <c r="A413" s="11" t="s">
        <v>0</v>
      </c>
      <c r="B413" s="12">
        <v>45162</v>
      </c>
      <c r="C413" s="11" t="s">
        <v>688</v>
      </c>
      <c r="D413" s="11" t="s">
        <v>701</v>
      </c>
      <c r="E413" s="13" t="s">
        <v>30</v>
      </c>
      <c r="F413" s="14" t="s">
        <v>676</v>
      </c>
      <c r="G413" s="14" t="s">
        <v>404</v>
      </c>
      <c r="H413" s="15">
        <v>2</v>
      </c>
      <c r="I413" s="11">
        <f t="shared" si="18"/>
        <v>5</v>
      </c>
      <c r="K413" s="16">
        <v>630.70000000000005</v>
      </c>
      <c r="M413" s="17">
        <f t="shared" si="19"/>
        <v>79266.030000000086</v>
      </c>
      <c r="N413" s="11">
        <f t="shared" si="20"/>
        <v>8</v>
      </c>
    </row>
    <row r="414" spans="1:14" x14ac:dyDescent="0.25">
      <c r="A414" s="11" t="s">
        <v>0</v>
      </c>
      <c r="B414" s="12">
        <v>45162</v>
      </c>
      <c r="C414" s="11" t="s">
        <v>688</v>
      </c>
      <c r="D414" s="11" t="s">
        <v>692</v>
      </c>
      <c r="E414" s="13" t="s">
        <v>143</v>
      </c>
      <c r="F414" s="14" t="s">
        <v>31</v>
      </c>
      <c r="G414" s="14" t="s">
        <v>120</v>
      </c>
      <c r="I414" s="11" t="b">
        <f t="shared" si="18"/>
        <v>0</v>
      </c>
      <c r="K414" s="16">
        <v>1119.06</v>
      </c>
      <c r="M414" s="17">
        <f t="shared" si="19"/>
        <v>78146.970000000088</v>
      </c>
      <c r="N414" s="11">
        <f t="shared" si="20"/>
        <v>8</v>
      </c>
    </row>
    <row r="415" spans="1:14" x14ac:dyDescent="0.25">
      <c r="A415" s="11" t="s">
        <v>0</v>
      </c>
      <c r="B415" s="12">
        <v>45162</v>
      </c>
      <c r="C415" s="11" t="s">
        <v>688</v>
      </c>
      <c r="D415" s="11" t="s">
        <v>694</v>
      </c>
      <c r="E415" s="13" t="s">
        <v>182</v>
      </c>
      <c r="F415" s="14" t="s">
        <v>12</v>
      </c>
      <c r="G415" s="14" t="s">
        <v>186</v>
      </c>
      <c r="I415" s="11" t="b">
        <f t="shared" si="18"/>
        <v>0</v>
      </c>
      <c r="K415" s="16">
        <v>1.4</v>
      </c>
      <c r="M415" s="17">
        <f t="shared" si="19"/>
        <v>78145.570000000094</v>
      </c>
      <c r="N415" s="11">
        <f t="shared" si="20"/>
        <v>8</v>
      </c>
    </row>
    <row r="416" spans="1:14" x14ac:dyDescent="0.25">
      <c r="A416" s="11" t="s">
        <v>0</v>
      </c>
      <c r="B416" s="12">
        <v>45162</v>
      </c>
      <c r="C416" s="11" t="s">
        <v>688</v>
      </c>
      <c r="D416" s="11" t="s">
        <v>694</v>
      </c>
      <c r="E416" s="13" t="s">
        <v>182</v>
      </c>
      <c r="F416" s="14" t="s">
        <v>23</v>
      </c>
      <c r="G416" s="14" t="s">
        <v>186</v>
      </c>
      <c r="I416" s="11" t="b">
        <f t="shared" si="18"/>
        <v>0</v>
      </c>
      <c r="K416" s="16">
        <v>9.81</v>
      </c>
      <c r="M416" s="17">
        <f t="shared" si="19"/>
        <v>78135.760000000097</v>
      </c>
      <c r="N416" s="11">
        <f t="shared" si="20"/>
        <v>8</v>
      </c>
    </row>
    <row r="417" spans="1:14" x14ac:dyDescent="0.25">
      <c r="A417" s="11" t="s">
        <v>207</v>
      </c>
      <c r="B417" s="12">
        <v>45162</v>
      </c>
      <c r="C417" s="11" t="s">
        <v>688</v>
      </c>
      <c r="D417" s="11" t="s">
        <v>43</v>
      </c>
      <c r="E417" s="14" t="s">
        <v>288</v>
      </c>
      <c r="F417" s="14" t="s">
        <v>288</v>
      </c>
      <c r="G417" s="14" t="s">
        <v>173</v>
      </c>
      <c r="I417" s="11">
        <f t="shared" si="18"/>
        <v>3</v>
      </c>
      <c r="J417" s="16">
        <v>430</v>
      </c>
      <c r="M417" s="17">
        <f t="shared" si="19"/>
        <v>78565.760000000097</v>
      </c>
      <c r="N417" s="11">
        <f t="shared" si="20"/>
        <v>8</v>
      </c>
    </row>
    <row r="418" spans="1:14" x14ac:dyDescent="0.25">
      <c r="A418" s="11" t="s">
        <v>207</v>
      </c>
      <c r="B418" s="12">
        <v>45163</v>
      </c>
      <c r="C418" s="11" t="s">
        <v>662</v>
      </c>
      <c r="D418" s="11" t="s">
        <v>43</v>
      </c>
      <c r="E418" s="13" t="s">
        <v>14</v>
      </c>
      <c r="F418" s="14" t="s">
        <v>13</v>
      </c>
      <c r="G418" s="14" t="s">
        <v>400</v>
      </c>
      <c r="I418" s="11">
        <f t="shared" si="18"/>
        <v>2</v>
      </c>
      <c r="J418" s="16">
        <v>6.86</v>
      </c>
      <c r="M418" s="17">
        <f t="shared" si="19"/>
        <v>78572.620000000097</v>
      </c>
      <c r="N418" s="11">
        <f t="shared" si="20"/>
        <v>8</v>
      </c>
    </row>
    <row r="419" spans="1:14" x14ac:dyDescent="0.25">
      <c r="A419" s="11" t="s">
        <v>207</v>
      </c>
      <c r="B419" s="12">
        <v>45163</v>
      </c>
      <c r="C419" s="11" t="s">
        <v>662</v>
      </c>
      <c r="D419" s="11" t="s">
        <v>43</v>
      </c>
      <c r="E419" s="13" t="s">
        <v>14</v>
      </c>
      <c r="F419" s="14" t="s">
        <v>13</v>
      </c>
      <c r="G419" s="14" t="s">
        <v>400</v>
      </c>
      <c r="I419" s="11">
        <f t="shared" si="18"/>
        <v>2</v>
      </c>
      <c r="J419" s="16">
        <v>334.26</v>
      </c>
      <c r="M419" s="17">
        <f t="shared" si="19"/>
        <v>78906.880000000092</v>
      </c>
      <c r="N419" s="11">
        <f t="shared" si="20"/>
        <v>8</v>
      </c>
    </row>
    <row r="420" spans="1:14" x14ac:dyDescent="0.25">
      <c r="A420" s="11" t="s">
        <v>207</v>
      </c>
      <c r="B420" s="12">
        <v>45163</v>
      </c>
      <c r="C420" s="11" t="s">
        <v>662</v>
      </c>
      <c r="D420" s="11" t="s">
        <v>43</v>
      </c>
      <c r="E420" s="13" t="s">
        <v>14</v>
      </c>
      <c r="F420" s="14" t="s">
        <v>13</v>
      </c>
      <c r="G420" s="14" t="s">
        <v>400</v>
      </c>
      <c r="I420" s="11">
        <f t="shared" si="18"/>
        <v>2</v>
      </c>
      <c r="J420" s="16">
        <v>127.39</v>
      </c>
      <c r="M420" s="17">
        <f t="shared" si="19"/>
        <v>79034.270000000091</v>
      </c>
      <c r="N420" s="11">
        <f t="shared" si="20"/>
        <v>8</v>
      </c>
    </row>
    <row r="421" spans="1:14" x14ac:dyDescent="0.25">
      <c r="A421" s="11" t="s">
        <v>207</v>
      </c>
      <c r="B421" s="12">
        <v>45163</v>
      </c>
      <c r="C421" s="11" t="s">
        <v>662</v>
      </c>
      <c r="D421" s="11" t="s">
        <v>43</v>
      </c>
      <c r="E421" s="13" t="s">
        <v>14</v>
      </c>
      <c r="F421" s="14" t="s">
        <v>13</v>
      </c>
      <c r="G421" s="14" t="s">
        <v>400</v>
      </c>
      <c r="I421" s="11">
        <f t="shared" si="18"/>
        <v>2</v>
      </c>
      <c r="J421" s="16">
        <v>301.39</v>
      </c>
      <c r="M421" s="17">
        <f t="shared" si="19"/>
        <v>79335.660000000091</v>
      </c>
      <c r="N421" s="11">
        <f t="shared" si="20"/>
        <v>8</v>
      </c>
    </row>
    <row r="422" spans="1:14" x14ac:dyDescent="0.25">
      <c r="A422" s="11" t="s">
        <v>207</v>
      </c>
      <c r="B422" s="12">
        <v>45163</v>
      </c>
      <c r="C422" s="11" t="s">
        <v>688</v>
      </c>
      <c r="D422" s="11" t="s">
        <v>43</v>
      </c>
      <c r="E422" s="13" t="s">
        <v>16</v>
      </c>
      <c r="F422" s="14" t="s">
        <v>15</v>
      </c>
      <c r="G422" s="14" t="s">
        <v>400</v>
      </c>
      <c r="I422" s="11">
        <f t="shared" si="18"/>
        <v>2</v>
      </c>
      <c r="J422" s="16">
        <v>2412.2399999999998</v>
      </c>
      <c r="M422" s="17">
        <f t="shared" si="19"/>
        <v>81747.900000000096</v>
      </c>
      <c r="N422" s="11">
        <f t="shared" si="20"/>
        <v>8</v>
      </c>
    </row>
    <row r="423" spans="1:14" x14ac:dyDescent="0.25">
      <c r="A423" s="11" t="s">
        <v>207</v>
      </c>
      <c r="B423" s="12">
        <v>45163</v>
      </c>
      <c r="C423" s="11" t="s">
        <v>688</v>
      </c>
      <c r="D423" s="11" t="s">
        <v>43</v>
      </c>
      <c r="E423" s="13" t="s">
        <v>16</v>
      </c>
      <c r="F423" s="14" t="s">
        <v>17</v>
      </c>
      <c r="G423" s="14" t="s">
        <v>400</v>
      </c>
      <c r="I423" s="11">
        <f t="shared" si="18"/>
        <v>2</v>
      </c>
      <c r="J423" s="16">
        <v>2410.3200000000002</v>
      </c>
      <c r="M423" s="17">
        <f t="shared" si="19"/>
        <v>84158.220000000103</v>
      </c>
      <c r="N423" s="11">
        <f t="shared" si="20"/>
        <v>8</v>
      </c>
    </row>
    <row r="424" spans="1:14" x14ac:dyDescent="0.25">
      <c r="A424" s="11" t="s">
        <v>207</v>
      </c>
      <c r="B424" s="12">
        <v>45163</v>
      </c>
      <c r="C424" s="11" t="s">
        <v>662</v>
      </c>
      <c r="D424" s="11" t="s">
        <v>43</v>
      </c>
      <c r="E424" s="13" t="s">
        <v>16</v>
      </c>
      <c r="F424" s="14" t="s">
        <v>18</v>
      </c>
      <c r="G424" s="14" t="s">
        <v>400</v>
      </c>
      <c r="I424" s="11">
        <f t="shared" si="18"/>
        <v>2</v>
      </c>
      <c r="J424" s="16">
        <v>160.63</v>
      </c>
      <c r="M424" s="17">
        <f t="shared" si="19"/>
        <v>84318.850000000108</v>
      </c>
      <c r="N424" s="11">
        <f t="shared" si="20"/>
        <v>8</v>
      </c>
    </row>
    <row r="425" spans="1:14" x14ac:dyDescent="0.25">
      <c r="A425" s="11" t="s">
        <v>207</v>
      </c>
      <c r="B425" s="12">
        <v>45163</v>
      </c>
      <c r="C425" s="11" t="s">
        <v>688</v>
      </c>
      <c r="D425" s="11" t="s">
        <v>43</v>
      </c>
      <c r="E425" s="13" t="s">
        <v>43</v>
      </c>
      <c r="F425" s="14" t="s">
        <v>350</v>
      </c>
      <c r="G425" s="14" t="s">
        <v>592</v>
      </c>
      <c r="I425" s="11">
        <f t="shared" si="18"/>
        <v>1</v>
      </c>
      <c r="J425" s="16">
        <v>515.54</v>
      </c>
      <c r="M425" s="17">
        <f t="shared" si="19"/>
        <v>84834.390000000101</v>
      </c>
      <c r="N425" s="11">
        <f t="shared" si="20"/>
        <v>8</v>
      </c>
    </row>
    <row r="426" spans="1:14" x14ac:dyDescent="0.25">
      <c r="A426" s="11" t="s">
        <v>0</v>
      </c>
      <c r="B426" s="12">
        <v>45163</v>
      </c>
      <c r="C426" s="11" t="s">
        <v>688</v>
      </c>
      <c r="D426" s="11" t="s">
        <v>47</v>
      </c>
      <c r="E426" s="13" t="s">
        <v>32</v>
      </c>
      <c r="F426" s="14" t="s">
        <v>308</v>
      </c>
      <c r="G426" s="14" t="s">
        <v>404</v>
      </c>
      <c r="H426" s="15" t="s">
        <v>20</v>
      </c>
      <c r="I426" s="11">
        <f t="shared" si="18"/>
        <v>5</v>
      </c>
      <c r="K426" s="16">
        <v>300</v>
      </c>
      <c r="M426" s="17">
        <f t="shared" si="19"/>
        <v>84534.390000000101</v>
      </c>
      <c r="N426" s="11">
        <f t="shared" si="20"/>
        <v>8</v>
      </c>
    </row>
    <row r="427" spans="1:14" x14ac:dyDescent="0.25">
      <c r="A427" s="11" t="s">
        <v>0</v>
      </c>
      <c r="B427" s="12">
        <v>45163</v>
      </c>
      <c r="C427" s="11" t="s">
        <v>688</v>
      </c>
      <c r="D427" s="11" t="s">
        <v>692</v>
      </c>
      <c r="E427" s="13" t="s">
        <v>725</v>
      </c>
      <c r="F427" s="14" t="s">
        <v>33</v>
      </c>
      <c r="G427" s="14" t="s">
        <v>404</v>
      </c>
      <c r="H427" s="15">
        <v>24141</v>
      </c>
      <c r="I427" s="11">
        <f t="shared" si="18"/>
        <v>5</v>
      </c>
      <c r="K427" s="16">
        <v>1014.33</v>
      </c>
      <c r="M427" s="17">
        <f t="shared" si="19"/>
        <v>83520.0600000001</v>
      </c>
      <c r="N427" s="11">
        <f t="shared" si="20"/>
        <v>8</v>
      </c>
    </row>
    <row r="428" spans="1:14" x14ac:dyDescent="0.25">
      <c r="A428" s="11" t="s">
        <v>0</v>
      </c>
      <c r="B428" s="12">
        <v>45163</v>
      </c>
      <c r="C428" s="11" t="s">
        <v>688</v>
      </c>
      <c r="D428" s="11" t="s">
        <v>692</v>
      </c>
      <c r="E428" s="13" t="s">
        <v>730</v>
      </c>
      <c r="F428" s="14" t="s">
        <v>34</v>
      </c>
      <c r="G428" s="14" t="s">
        <v>404</v>
      </c>
      <c r="H428" s="15">
        <v>2299</v>
      </c>
      <c r="I428" s="11">
        <f t="shared" si="18"/>
        <v>5</v>
      </c>
      <c r="K428" s="16">
        <v>1530.53</v>
      </c>
      <c r="M428" s="17">
        <f t="shared" si="19"/>
        <v>81989.530000000101</v>
      </c>
      <c r="N428" s="11">
        <f t="shared" si="20"/>
        <v>8</v>
      </c>
    </row>
    <row r="429" spans="1:14" x14ac:dyDescent="0.25">
      <c r="A429" s="11" t="s">
        <v>0</v>
      </c>
      <c r="B429" s="12">
        <v>45163</v>
      </c>
      <c r="C429" s="11" t="s">
        <v>688</v>
      </c>
      <c r="D429" s="11" t="s">
        <v>692</v>
      </c>
      <c r="E429" s="13" t="s">
        <v>143</v>
      </c>
      <c r="F429" s="14" t="s">
        <v>35</v>
      </c>
      <c r="G429" s="14" t="s">
        <v>174</v>
      </c>
      <c r="H429" s="15">
        <v>461023</v>
      </c>
      <c r="I429" s="11" t="b">
        <f t="shared" si="18"/>
        <v>0</v>
      </c>
      <c r="K429" s="16">
        <v>744.7</v>
      </c>
      <c r="M429" s="17">
        <f t="shared" si="19"/>
        <v>81244.830000000104</v>
      </c>
      <c r="N429" s="11">
        <f t="shared" si="20"/>
        <v>8</v>
      </c>
    </row>
    <row r="430" spans="1:14" x14ac:dyDescent="0.25">
      <c r="A430" s="11" t="s">
        <v>0</v>
      </c>
      <c r="B430" s="12">
        <v>45163</v>
      </c>
      <c r="C430" s="11" t="s">
        <v>688</v>
      </c>
      <c r="D430" s="11" t="s">
        <v>692</v>
      </c>
      <c r="E430" s="13" t="s">
        <v>143</v>
      </c>
      <c r="F430" s="14" t="s">
        <v>36</v>
      </c>
      <c r="G430" s="14" t="s">
        <v>403</v>
      </c>
      <c r="H430" s="15">
        <v>206920</v>
      </c>
      <c r="I430" s="11">
        <f t="shared" si="18"/>
        <v>5</v>
      </c>
      <c r="K430" s="16">
        <v>744.9</v>
      </c>
      <c r="M430" s="17">
        <f t="shared" si="19"/>
        <v>80499.930000000109</v>
      </c>
      <c r="N430" s="11">
        <f t="shared" si="20"/>
        <v>8</v>
      </c>
    </row>
    <row r="431" spans="1:14" x14ac:dyDescent="0.25">
      <c r="A431" s="11" t="s">
        <v>0</v>
      </c>
      <c r="B431" s="12">
        <v>45163</v>
      </c>
      <c r="C431" s="11" t="s">
        <v>688</v>
      </c>
      <c r="D431" s="11" t="s">
        <v>701</v>
      </c>
      <c r="E431" s="13" t="s">
        <v>180</v>
      </c>
      <c r="F431" s="14" t="s">
        <v>37</v>
      </c>
      <c r="G431" s="14" t="s">
        <v>404</v>
      </c>
      <c r="H431" s="15" t="s">
        <v>20</v>
      </c>
      <c r="I431" s="11">
        <f t="shared" si="18"/>
        <v>5</v>
      </c>
      <c r="K431" s="16">
        <v>129.5</v>
      </c>
      <c r="M431" s="17">
        <f t="shared" si="19"/>
        <v>80370.430000000109</v>
      </c>
      <c r="N431" s="11">
        <f t="shared" si="20"/>
        <v>8</v>
      </c>
    </row>
    <row r="432" spans="1:14" x14ac:dyDescent="0.25">
      <c r="A432" s="11" t="s">
        <v>0</v>
      </c>
      <c r="B432" s="12">
        <v>45163</v>
      </c>
      <c r="C432" s="11" t="s">
        <v>688</v>
      </c>
      <c r="D432" s="11" t="s">
        <v>694</v>
      </c>
      <c r="E432" s="13" t="s">
        <v>181</v>
      </c>
      <c r="F432" s="14" t="s">
        <v>39</v>
      </c>
      <c r="G432" s="14" t="s">
        <v>120</v>
      </c>
      <c r="H432" s="15">
        <v>2277553</v>
      </c>
      <c r="I432" s="11" t="b">
        <f t="shared" si="18"/>
        <v>0</v>
      </c>
      <c r="K432" s="16">
        <v>1478.97</v>
      </c>
      <c r="M432" s="17">
        <f t="shared" si="19"/>
        <v>78891.460000000108</v>
      </c>
      <c r="N432" s="11">
        <f t="shared" si="20"/>
        <v>8</v>
      </c>
    </row>
    <row r="433" spans="1:14" x14ac:dyDescent="0.25">
      <c r="A433" s="11" t="s">
        <v>0</v>
      </c>
      <c r="B433" s="12">
        <v>45163</v>
      </c>
      <c r="C433" s="11" t="s">
        <v>688</v>
      </c>
      <c r="D433" s="11" t="s">
        <v>698</v>
      </c>
      <c r="E433" s="13" t="s">
        <v>183</v>
      </c>
      <c r="F433" s="14" t="s">
        <v>40</v>
      </c>
      <c r="G433" s="14" t="s">
        <v>174</v>
      </c>
      <c r="H433" s="15" t="s">
        <v>20</v>
      </c>
      <c r="I433" s="11" t="b">
        <f t="shared" si="18"/>
        <v>0</v>
      </c>
      <c r="K433" s="16">
        <v>150</v>
      </c>
      <c r="M433" s="17">
        <f t="shared" si="19"/>
        <v>78741.460000000108</v>
      </c>
      <c r="N433" s="11">
        <f t="shared" si="20"/>
        <v>8</v>
      </c>
    </row>
    <row r="434" spans="1:14" x14ac:dyDescent="0.25">
      <c r="A434" s="11" t="s">
        <v>0</v>
      </c>
      <c r="B434" s="12">
        <v>45163</v>
      </c>
      <c r="C434" s="11" t="s">
        <v>688</v>
      </c>
      <c r="D434" s="11" t="s">
        <v>692</v>
      </c>
      <c r="E434" s="13" t="s">
        <v>143</v>
      </c>
      <c r="F434" s="14" t="s">
        <v>31</v>
      </c>
      <c r="G434" s="14" t="s">
        <v>120</v>
      </c>
      <c r="H434" s="15">
        <v>2836923</v>
      </c>
      <c r="I434" s="11" t="b">
        <f t="shared" si="18"/>
        <v>0</v>
      </c>
      <c r="K434" s="16">
        <v>552.70000000000005</v>
      </c>
      <c r="M434" s="17">
        <f t="shared" si="19"/>
        <v>78188.760000000111</v>
      </c>
      <c r="N434" s="11">
        <f t="shared" si="20"/>
        <v>8</v>
      </c>
    </row>
    <row r="435" spans="1:14" x14ac:dyDescent="0.25">
      <c r="A435" s="11" t="s">
        <v>0</v>
      </c>
      <c r="B435" s="12">
        <v>45163</v>
      </c>
      <c r="C435" s="11" t="s">
        <v>688</v>
      </c>
      <c r="D435" s="11" t="s">
        <v>694</v>
      </c>
      <c r="E435" s="13" t="s">
        <v>182</v>
      </c>
      <c r="F435" s="14" t="s">
        <v>12</v>
      </c>
      <c r="G435" s="14" t="s">
        <v>186</v>
      </c>
      <c r="I435" s="11" t="b">
        <f t="shared" si="18"/>
        <v>0</v>
      </c>
      <c r="K435" s="16">
        <v>4.9000000000000004</v>
      </c>
      <c r="M435" s="17">
        <f t="shared" si="19"/>
        <v>78183.860000000117</v>
      </c>
      <c r="N435" s="11">
        <f t="shared" si="20"/>
        <v>8</v>
      </c>
    </row>
    <row r="436" spans="1:14" x14ac:dyDescent="0.25">
      <c r="A436" s="11" t="s">
        <v>0</v>
      </c>
      <c r="B436" s="12">
        <v>45163</v>
      </c>
      <c r="C436" s="11" t="s">
        <v>688</v>
      </c>
      <c r="D436" s="11" t="s">
        <v>694</v>
      </c>
      <c r="E436" s="13" t="s">
        <v>182</v>
      </c>
      <c r="F436" s="14" t="s">
        <v>23</v>
      </c>
      <c r="G436" s="14" t="s">
        <v>186</v>
      </c>
      <c r="I436" s="11" t="b">
        <f t="shared" si="18"/>
        <v>0</v>
      </c>
      <c r="K436" s="16">
        <v>21.03</v>
      </c>
      <c r="M436" s="17">
        <f t="shared" si="19"/>
        <v>78162.830000000118</v>
      </c>
      <c r="N436" s="11">
        <f t="shared" si="20"/>
        <v>8</v>
      </c>
    </row>
    <row r="437" spans="1:14" x14ac:dyDescent="0.25">
      <c r="A437" s="11" t="s">
        <v>207</v>
      </c>
      <c r="B437" s="12">
        <v>45163</v>
      </c>
      <c r="C437" s="11" t="s">
        <v>688</v>
      </c>
      <c r="D437" s="11" t="s">
        <v>43</v>
      </c>
      <c r="E437" s="13" t="s">
        <v>11</v>
      </c>
      <c r="F437" s="14" t="s">
        <v>44</v>
      </c>
      <c r="G437" s="14" t="s">
        <v>400</v>
      </c>
      <c r="I437" s="11">
        <f t="shared" si="18"/>
        <v>2</v>
      </c>
      <c r="J437" s="16">
        <v>720.97</v>
      </c>
      <c r="M437" s="17">
        <f t="shared" si="19"/>
        <v>78883.800000000119</v>
      </c>
      <c r="N437" s="11">
        <f t="shared" si="20"/>
        <v>8</v>
      </c>
    </row>
    <row r="438" spans="1:14" x14ac:dyDescent="0.25">
      <c r="A438" s="11" t="s">
        <v>207</v>
      </c>
      <c r="B438" s="12">
        <v>45163</v>
      </c>
      <c r="C438" s="11" t="s">
        <v>688</v>
      </c>
      <c r="D438" s="11" t="s">
        <v>43</v>
      </c>
      <c r="E438" s="13" t="s">
        <v>43</v>
      </c>
      <c r="F438" s="14" t="s">
        <v>350</v>
      </c>
      <c r="G438" s="14" t="s">
        <v>592</v>
      </c>
      <c r="I438" s="11">
        <f t="shared" si="18"/>
        <v>1</v>
      </c>
      <c r="J438" s="16">
        <v>4350.2700000000004</v>
      </c>
      <c r="M438" s="17">
        <f t="shared" si="19"/>
        <v>83234.070000000123</v>
      </c>
      <c r="N438" s="11">
        <f t="shared" si="20"/>
        <v>8</v>
      </c>
    </row>
    <row r="439" spans="1:14" x14ac:dyDescent="0.25">
      <c r="A439" s="11" t="s">
        <v>207</v>
      </c>
      <c r="B439" s="12">
        <v>45163</v>
      </c>
      <c r="C439" s="11" t="s">
        <v>688</v>
      </c>
      <c r="D439" s="11" t="s">
        <v>43</v>
      </c>
      <c r="E439" s="14" t="s">
        <v>288</v>
      </c>
      <c r="F439" s="14" t="s">
        <v>288</v>
      </c>
      <c r="G439" s="14" t="s">
        <v>173</v>
      </c>
      <c r="I439" s="11">
        <f t="shared" si="18"/>
        <v>3</v>
      </c>
      <c r="J439" s="16">
        <v>3405</v>
      </c>
      <c r="M439" s="17">
        <f t="shared" si="19"/>
        <v>86639.070000000123</v>
      </c>
      <c r="N439" s="11">
        <f t="shared" si="20"/>
        <v>8</v>
      </c>
    </row>
    <row r="440" spans="1:14" x14ac:dyDescent="0.25">
      <c r="A440" s="11" t="s">
        <v>207</v>
      </c>
      <c r="B440" s="12">
        <v>45164</v>
      </c>
      <c r="C440" s="11" t="s">
        <v>662</v>
      </c>
      <c r="D440" s="11" t="s">
        <v>43</v>
      </c>
      <c r="E440" s="14" t="s">
        <v>288</v>
      </c>
      <c r="F440" s="14" t="s">
        <v>288</v>
      </c>
      <c r="G440" s="14" t="s">
        <v>173</v>
      </c>
      <c r="I440" s="11">
        <f t="shared" si="18"/>
        <v>3</v>
      </c>
      <c r="J440" s="16">
        <v>700</v>
      </c>
      <c r="M440" s="17">
        <f t="shared" si="19"/>
        <v>87339.070000000123</v>
      </c>
      <c r="N440" s="11">
        <f t="shared" si="20"/>
        <v>8</v>
      </c>
    </row>
    <row r="441" spans="1:14" x14ac:dyDescent="0.25">
      <c r="A441" s="11" t="s">
        <v>207</v>
      </c>
      <c r="B441" s="12">
        <v>45164</v>
      </c>
      <c r="C441" s="11" t="s">
        <v>688</v>
      </c>
      <c r="D441" s="11" t="s">
        <v>43</v>
      </c>
      <c r="E441" s="14" t="s">
        <v>288</v>
      </c>
      <c r="F441" s="14" t="s">
        <v>288</v>
      </c>
      <c r="G441" s="14" t="s">
        <v>173</v>
      </c>
      <c r="I441" s="11">
        <f t="shared" si="18"/>
        <v>3</v>
      </c>
      <c r="J441" s="16">
        <v>1160</v>
      </c>
      <c r="M441" s="17">
        <f t="shared" si="19"/>
        <v>88499.070000000123</v>
      </c>
      <c r="N441" s="11">
        <f t="shared" si="20"/>
        <v>8</v>
      </c>
    </row>
    <row r="442" spans="1:14" x14ac:dyDescent="0.25">
      <c r="A442" s="11" t="s">
        <v>207</v>
      </c>
      <c r="B442" s="12">
        <v>45165</v>
      </c>
      <c r="C442" s="11" t="s">
        <v>662</v>
      </c>
      <c r="D442" s="11" t="s">
        <v>43</v>
      </c>
      <c r="E442" s="14" t="s">
        <v>288</v>
      </c>
      <c r="F442" s="14" t="s">
        <v>288</v>
      </c>
      <c r="G442" s="14" t="s">
        <v>173</v>
      </c>
      <c r="I442" s="11">
        <f t="shared" si="18"/>
        <v>3</v>
      </c>
      <c r="J442" s="16">
        <v>350</v>
      </c>
      <c r="M442" s="17">
        <f t="shared" si="19"/>
        <v>88849.070000000123</v>
      </c>
      <c r="N442" s="11">
        <f t="shared" si="20"/>
        <v>8</v>
      </c>
    </row>
    <row r="443" spans="1:14" x14ac:dyDescent="0.25">
      <c r="A443" s="11" t="s">
        <v>207</v>
      </c>
      <c r="B443" s="12">
        <v>45165</v>
      </c>
      <c r="C443" s="11" t="s">
        <v>688</v>
      </c>
      <c r="D443" s="11" t="s">
        <v>43</v>
      </c>
      <c r="E443" s="14" t="s">
        <v>288</v>
      </c>
      <c r="F443" s="14" t="s">
        <v>288</v>
      </c>
      <c r="G443" s="14" t="s">
        <v>173</v>
      </c>
      <c r="I443" s="11">
        <f t="shared" si="18"/>
        <v>3</v>
      </c>
      <c r="J443" s="16">
        <v>1112</v>
      </c>
      <c r="M443" s="17">
        <f t="shared" si="19"/>
        <v>89961.070000000123</v>
      </c>
      <c r="N443" s="11">
        <f t="shared" si="20"/>
        <v>8</v>
      </c>
    </row>
    <row r="444" spans="1:14" x14ac:dyDescent="0.25">
      <c r="A444" s="11" t="s">
        <v>207</v>
      </c>
      <c r="B444" s="12">
        <v>45166</v>
      </c>
      <c r="C444" s="11" t="s">
        <v>688</v>
      </c>
      <c r="D444" s="11" t="s">
        <v>43</v>
      </c>
      <c r="E444" s="13" t="s">
        <v>14</v>
      </c>
      <c r="F444" s="14" t="s">
        <v>13</v>
      </c>
      <c r="G444" s="14" t="s">
        <v>400</v>
      </c>
      <c r="I444" s="11">
        <f t="shared" si="18"/>
        <v>2</v>
      </c>
      <c r="J444" s="16">
        <v>165.83</v>
      </c>
      <c r="M444" s="17">
        <f t="shared" si="19"/>
        <v>90126.900000000125</v>
      </c>
      <c r="N444" s="11">
        <f t="shared" si="20"/>
        <v>8</v>
      </c>
    </row>
    <row r="445" spans="1:14" x14ac:dyDescent="0.25">
      <c r="A445" s="11" t="s">
        <v>207</v>
      </c>
      <c r="B445" s="12">
        <v>45166</v>
      </c>
      <c r="C445" s="11" t="s">
        <v>688</v>
      </c>
      <c r="D445" s="11" t="s">
        <v>43</v>
      </c>
      <c r="E445" s="13" t="s">
        <v>14</v>
      </c>
      <c r="F445" s="14" t="s">
        <v>13</v>
      </c>
      <c r="G445" s="14" t="s">
        <v>400</v>
      </c>
      <c r="I445" s="11">
        <f t="shared" si="18"/>
        <v>2</v>
      </c>
      <c r="J445" s="16">
        <v>279.24</v>
      </c>
      <c r="M445" s="17">
        <f t="shared" si="19"/>
        <v>90406.14000000013</v>
      </c>
      <c r="N445" s="11">
        <f t="shared" si="20"/>
        <v>8</v>
      </c>
    </row>
    <row r="446" spans="1:14" x14ac:dyDescent="0.25">
      <c r="A446" s="11" t="s">
        <v>207</v>
      </c>
      <c r="B446" s="12">
        <v>45166</v>
      </c>
      <c r="C446" s="11" t="s">
        <v>688</v>
      </c>
      <c r="D446" s="11" t="s">
        <v>43</v>
      </c>
      <c r="E446" s="13" t="s">
        <v>14</v>
      </c>
      <c r="F446" s="14" t="s">
        <v>13</v>
      </c>
      <c r="G446" s="14" t="s">
        <v>400</v>
      </c>
      <c r="I446" s="11">
        <f t="shared" si="18"/>
        <v>2</v>
      </c>
      <c r="J446" s="16">
        <v>506.36</v>
      </c>
      <c r="M446" s="17">
        <f t="shared" si="19"/>
        <v>90912.500000000131</v>
      </c>
      <c r="N446" s="11">
        <f t="shared" si="20"/>
        <v>8</v>
      </c>
    </row>
    <row r="447" spans="1:14" x14ac:dyDescent="0.25">
      <c r="A447" s="11" t="s">
        <v>207</v>
      </c>
      <c r="B447" s="12">
        <v>45166</v>
      </c>
      <c r="C447" s="11" t="s">
        <v>688</v>
      </c>
      <c r="D447" s="11" t="s">
        <v>43</v>
      </c>
      <c r="E447" s="13" t="s">
        <v>14</v>
      </c>
      <c r="F447" s="14" t="s">
        <v>13</v>
      </c>
      <c r="G447" s="14" t="s">
        <v>400</v>
      </c>
      <c r="I447" s="11">
        <f t="shared" si="18"/>
        <v>2</v>
      </c>
      <c r="J447" s="16">
        <v>182.12</v>
      </c>
      <c r="M447" s="17">
        <f t="shared" si="19"/>
        <v>91094.620000000126</v>
      </c>
      <c r="N447" s="11">
        <f t="shared" si="20"/>
        <v>8</v>
      </c>
    </row>
    <row r="448" spans="1:14" x14ac:dyDescent="0.25">
      <c r="A448" s="11" t="s">
        <v>207</v>
      </c>
      <c r="B448" s="12">
        <v>45166</v>
      </c>
      <c r="C448" s="11" t="s">
        <v>688</v>
      </c>
      <c r="D448" s="11" t="s">
        <v>43</v>
      </c>
      <c r="E448" s="13" t="s">
        <v>14</v>
      </c>
      <c r="F448" s="14" t="s">
        <v>13</v>
      </c>
      <c r="G448" s="14" t="s">
        <v>400</v>
      </c>
      <c r="I448" s="11">
        <f t="shared" si="18"/>
        <v>2</v>
      </c>
      <c r="J448" s="16">
        <v>69.88</v>
      </c>
      <c r="M448" s="17">
        <f t="shared" si="19"/>
        <v>91164.500000000131</v>
      </c>
      <c r="N448" s="11">
        <f t="shared" si="20"/>
        <v>8</v>
      </c>
    </row>
    <row r="449" spans="1:14" x14ac:dyDescent="0.25">
      <c r="A449" s="11" t="s">
        <v>207</v>
      </c>
      <c r="B449" s="12">
        <v>45166</v>
      </c>
      <c r="C449" s="11" t="s">
        <v>688</v>
      </c>
      <c r="D449" s="11" t="s">
        <v>43</v>
      </c>
      <c r="E449" s="13" t="s">
        <v>14</v>
      </c>
      <c r="F449" s="14" t="s">
        <v>13</v>
      </c>
      <c r="G449" s="14" t="s">
        <v>400</v>
      </c>
      <c r="I449" s="11">
        <f t="shared" si="18"/>
        <v>2</v>
      </c>
      <c r="J449" s="16">
        <v>1268.53</v>
      </c>
      <c r="M449" s="17">
        <f t="shared" si="19"/>
        <v>92433.03000000013</v>
      </c>
      <c r="N449" s="11">
        <f t="shared" si="20"/>
        <v>8</v>
      </c>
    </row>
    <row r="450" spans="1:14" x14ac:dyDescent="0.25">
      <c r="A450" s="11" t="s">
        <v>207</v>
      </c>
      <c r="B450" s="12">
        <v>45166</v>
      </c>
      <c r="C450" s="11" t="s">
        <v>688</v>
      </c>
      <c r="D450" s="11" t="s">
        <v>43</v>
      </c>
      <c r="E450" s="13" t="s">
        <v>14</v>
      </c>
      <c r="F450" s="14" t="s">
        <v>13</v>
      </c>
      <c r="G450" s="14" t="s">
        <v>400</v>
      </c>
      <c r="I450" s="11">
        <f t="shared" si="18"/>
        <v>2</v>
      </c>
      <c r="J450" s="16">
        <v>90.14</v>
      </c>
      <c r="M450" s="17">
        <f t="shared" si="19"/>
        <v>92523.170000000129</v>
      </c>
      <c r="N450" s="11">
        <f t="shared" si="20"/>
        <v>8</v>
      </c>
    </row>
    <row r="451" spans="1:14" x14ac:dyDescent="0.25">
      <c r="A451" s="11" t="s">
        <v>207</v>
      </c>
      <c r="B451" s="12">
        <v>45166</v>
      </c>
      <c r="C451" s="11" t="s">
        <v>688</v>
      </c>
      <c r="D451" s="11" t="s">
        <v>43</v>
      </c>
      <c r="E451" s="13" t="s">
        <v>14</v>
      </c>
      <c r="F451" s="14" t="s">
        <v>13</v>
      </c>
      <c r="G451" s="14" t="s">
        <v>400</v>
      </c>
      <c r="I451" s="11">
        <f t="shared" ref="I451:I514" si="21">IF(AND(G451="MERCADO PAGO",A451="FATURAMENTO"),1,IF(AND(OR(G451="MERCADO PAGO",G451="pix mercado pago",G451= "débito automático mercado pago", G451= "boleto mercado pago"),A451="DESPESAS"),4,IF(AND(G451="SAFRA",A451="FATURAMENTO"),2,IF(AND(OR(G451="SAFRA",G451="PIX SAFRA", G451="DÉBITO AUTOMÁTICO SAFRA", G451= "BOLETO SAFRA", G451= "transferência safra"), A451="DESPESAS"),5,IF(AND(G451="espécie",A451="FATURAMENTO"),3,IF(AND(G451="espécie",A451="DESPESAS"),6))))))</f>
        <v>2</v>
      </c>
      <c r="J451" s="16">
        <v>204.78</v>
      </c>
      <c r="M451" s="17">
        <f t="shared" ref="M451:M514" si="22">IF(B451=0, "",M450+ J451-K451)</f>
        <v>92727.950000000128</v>
      </c>
      <c r="N451" s="11">
        <f t="shared" ref="N451:N514" si="23">IF(B451=0, "", MONTH(B451))</f>
        <v>8</v>
      </c>
    </row>
    <row r="452" spans="1:14" x14ac:dyDescent="0.25">
      <c r="A452" s="11" t="s">
        <v>207</v>
      </c>
      <c r="B452" s="12">
        <v>45166</v>
      </c>
      <c r="C452" s="11" t="s">
        <v>688</v>
      </c>
      <c r="D452" s="11" t="s">
        <v>43</v>
      </c>
      <c r="E452" s="13" t="s">
        <v>14</v>
      </c>
      <c r="F452" s="14" t="s">
        <v>13</v>
      </c>
      <c r="G452" s="14" t="s">
        <v>400</v>
      </c>
      <c r="I452" s="11">
        <f t="shared" si="21"/>
        <v>2</v>
      </c>
      <c r="J452" s="16">
        <v>1468.07</v>
      </c>
      <c r="M452" s="17">
        <f t="shared" si="22"/>
        <v>94196.020000000135</v>
      </c>
      <c r="N452" s="11">
        <f t="shared" si="23"/>
        <v>8</v>
      </c>
    </row>
    <row r="453" spans="1:14" x14ac:dyDescent="0.25">
      <c r="A453" s="11" t="s">
        <v>207</v>
      </c>
      <c r="B453" s="12">
        <v>45166</v>
      </c>
      <c r="C453" s="11" t="s">
        <v>688</v>
      </c>
      <c r="D453" s="11" t="s">
        <v>43</v>
      </c>
      <c r="E453" s="13" t="s">
        <v>14</v>
      </c>
      <c r="F453" s="14" t="s">
        <v>13</v>
      </c>
      <c r="G453" s="14" t="s">
        <v>400</v>
      </c>
      <c r="I453" s="11">
        <f t="shared" si="21"/>
        <v>2</v>
      </c>
      <c r="J453" s="16">
        <v>1382.85</v>
      </c>
      <c r="M453" s="17">
        <f t="shared" si="22"/>
        <v>95578.870000000141</v>
      </c>
      <c r="N453" s="11">
        <f t="shared" si="23"/>
        <v>8</v>
      </c>
    </row>
    <row r="454" spans="1:14" x14ac:dyDescent="0.25">
      <c r="A454" s="11" t="s">
        <v>207</v>
      </c>
      <c r="B454" s="12">
        <v>45166</v>
      </c>
      <c r="C454" s="11" t="s">
        <v>688</v>
      </c>
      <c r="D454" s="11" t="s">
        <v>43</v>
      </c>
      <c r="E454" s="13" t="s">
        <v>14</v>
      </c>
      <c r="F454" s="14" t="s">
        <v>13</v>
      </c>
      <c r="G454" s="14" t="s">
        <v>400</v>
      </c>
      <c r="I454" s="11">
        <f t="shared" si="21"/>
        <v>2</v>
      </c>
      <c r="J454" s="16">
        <v>1530.88</v>
      </c>
      <c r="M454" s="17">
        <f t="shared" si="22"/>
        <v>97109.750000000146</v>
      </c>
      <c r="N454" s="11">
        <f t="shared" si="23"/>
        <v>8</v>
      </c>
    </row>
    <row r="455" spans="1:14" x14ac:dyDescent="0.25">
      <c r="A455" s="11" t="s">
        <v>207</v>
      </c>
      <c r="B455" s="12">
        <v>45166</v>
      </c>
      <c r="C455" s="11" t="s">
        <v>688</v>
      </c>
      <c r="D455" s="11" t="s">
        <v>43</v>
      </c>
      <c r="E455" s="13" t="s">
        <v>14</v>
      </c>
      <c r="F455" s="14" t="s">
        <v>13</v>
      </c>
      <c r="G455" s="14" t="s">
        <v>400</v>
      </c>
      <c r="I455" s="11">
        <f t="shared" si="21"/>
        <v>2</v>
      </c>
      <c r="J455" s="16">
        <v>1405.81</v>
      </c>
      <c r="M455" s="17">
        <f t="shared" si="22"/>
        <v>98515.560000000143</v>
      </c>
      <c r="N455" s="11">
        <f t="shared" si="23"/>
        <v>8</v>
      </c>
    </row>
    <row r="456" spans="1:14" x14ac:dyDescent="0.25">
      <c r="A456" s="11" t="s">
        <v>207</v>
      </c>
      <c r="B456" s="12">
        <v>45166</v>
      </c>
      <c r="C456" s="11" t="s">
        <v>688</v>
      </c>
      <c r="D456" s="11" t="s">
        <v>43</v>
      </c>
      <c r="E456" s="13" t="s">
        <v>14</v>
      </c>
      <c r="F456" s="14" t="s">
        <v>13</v>
      </c>
      <c r="G456" s="14" t="s">
        <v>400</v>
      </c>
      <c r="I456" s="11">
        <f t="shared" si="21"/>
        <v>2</v>
      </c>
      <c r="J456" s="16">
        <v>21.78</v>
      </c>
      <c r="M456" s="17">
        <f t="shared" si="22"/>
        <v>98537.340000000142</v>
      </c>
      <c r="N456" s="11">
        <f t="shared" si="23"/>
        <v>8</v>
      </c>
    </row>
    <row r="457" spans="1:14" x14ac:dyDescent="0.25">
      <c r="A457" s="11" t="s">
        <v>207</v>
      </c>
      <c r="B457" s="12">
        <v>45166</v>
      </c>
      <c r="C457" s="11" t="s">
        <v>688</v>
      </c>
      <c r="D457" s="11" t="s">
        <v>43</v>
      </c>
      <c r="E457" s="13" t="s">
        <v>16</v>
      </c>
      <c r="F457" s="14" t="s">
        <v>15</v>
      </c>
      <c r="G457" s="14" t="s">
        <v>400</v>
      </c>
      <c r="I457" s="11">
        <f t="shared" si="21"/>
        <v>2</v>
      </c>
      <c r="J457" s="16">
        <v>8505.1200000000008</v>
      </c>
      <c r="M457" s="17">
        <f t="shared" si="22"/>
        <v>107042.46000000014</v>
      </c>
      <c r="N457" s="11">
        <f t="shared" si="23"/>
        <v>8</v>
      </c>
    </row>
    <row r="458" spans="1:14" x14ac:dyDescent="0.25">
      <c r="A458" s="11" t="s">
        <v>207</v>
      </c>
      <c r="B458" s="12">
        <v>45166</v>
      </c>
      <c r="C458" s="11" t="s">
        <v>688</v>
      </c>
      <c r="D458" s="11" t="s">
        <v>43</v>
      </c>
      <c r="E458" s="13" t="s">
        <v>16</v>
      </c>
      <c r="F458" s="14" t="s">
        <v>17</v>
      </c>
      <c r="G458" s="14" t="s">
        <v>400</v>
      </c>
      <c r="I458" s="11">
        <f t="shared" si="21"/>
        <v>2</v>
      </c>
      <c r="J458" s="16">
        <v>7255.05</v>
      </c>
      <c r="M458" s="17">
        <f t="shared" si="22"/>
        <v>114297.51000000014</v>
      </c>
      <c r="N458" s="11">
        <f t="shared" si="23"/>
        <v>8</v>
      </c>
    </row>
    <row r="459" spans="1:14" x14ac:dyDescent="0.25">
      <c r="A459" s="11" t="s">
        <v>207</v>
      </c>
      <c r="B459" s="12">
        <v>45166</v>
      </c>
      <c r="C459" s="11" t="s">
        <v>688</v>
      </c>
      <c r="D459" s="11" t="s">
        <v>43</v>
      </c>
      <c r="E459" s="13" t="s">
        <v>16</v>
      </c>
      <c r="F459" s="14" t="s">
        <v>24</v>
      </c>
      <c r="G459" s="14" t="s">
        <v>400</v>
      </c>
      <c r="I459" s="11">
        <f t="shared" si="21"/>
        <v>2</v>
      </c>
      <c r="J459" s="16">
        <v>1550.63</v>
      </c>
      <c r="M459" s="17">
        <f t="shared" si="22"/>
        <v>115848.14000000014</v>
      </c>
      <c r="N459" s="11">
        <f t="shared" si="23"/>
        <v>8</v>
      </c>
    </row>
    <row r="460" spans="1:14" x14ac:dyDescent="0.25">
      <c r="A460" s="11" t="s">
        <v>0</v>
      </c>
      <c r="B460" s="12">
        <v>45166</v>
      </c>
      <c r="C460" s="11" t="s">
        <v>688</v>
      </c>
      <c r="D460" s="11" t="s">
        <v>698</v>
      </c>
      <c r="E460" s="13" t="s">
        <v>46</v>
      </c>
      <c r="F460" s="14" t="s">
        <v>45</v>
      </c>
      <c r="G460" s="14" t="s">
        <v>404</v>
      </c>
      <c r="H460" s="15">
        <v>214</v>
      </c>
      <c r="I460" s="11">
        <f t="shared" si="21"/>
        <v>5</v>
      </c>
      <c r="K460" s="16">
        <v>3720.97</v>
      </c>
      <c r="M460" s="17">
        <f t="shared" si="22"/>
        <v>112127.17000000014</v>
      </c>
      <c r="N460" s="11">
        <f t="shared" si="23"/>
        <v>8</v>
      </c>
    </row>
    <row r="461" spans="1:14" x14ac:dyDescent="0.25">
      <c r="A461" s="11" t="s">
        <v>0</v>
      </c>
      <c r="B461" s="12">
        <v>45166</v>
      </c>
      <c r="C461" s="11" t="s">
        <v>688</v>
      </c>
      <c r="D461" s="11" t="s">
        <v>47</v>
      </c>
      <c r="E461" s="13" t="s">
        <v>49</v>
      </c>
      <c r="F461" s="14" t="s">
        <v>48</v>
      </c>
      <c r="G461" s="14" t="s">
        <v>174</v>
      </c>
      <c r="H461" s="15">
        <v>3</v>
      </c>
      <c r="I461" s="11" t="b">
        <f t="shared" si="21"/>
        <v>0</v>
      </c>
      <c r="K461" s="16">
        <v>400</v>
      </c>
      <c r="M461" s="17">
        <f t="shared" si="22"/>
        <v>111727.17000000014</v>
      </c>
      <c r="N461" s="11">
        <f t="shared" si="23"/>
        <v>8</v>
      </c>
    </row>
    <row r="462" spans="1:14" x14ac:dyDescent="0.25">
      <c r="A462" s="11" t="s">
        <v>0</v>
      </c>
      <c r="B462" s="12">
        <v>45166</v>
      </c>
      <c r="C462" s="11" t="s">
        <v>688</v>
      </c>
      <c r="D462" s="11" t="s">
        <v>692</v>
      </c>
      <c r="E462" s="13" t="s">
        <v>169</v>
      </c>
      <c r="F462" s="14" t="s">
        <v>50</v>
      </c>
      <c r="G462" s="14" t="s">
        <v>404</v>
      </c>
      <c r="H462" s="15">
        <v>1160344</v>
      </c>
      <c r="I462" s="11">
        <f t="shared" si="21"/>
        <v>5</v>
      </c>
      <c r="K462" s="16">
        <v>1980</v>
      </c>
      <c r="M462" s="17">
        <f t="shared" si="22"/>
        <v>109747.17000000014</v>
      </c>
      <c r="N462" s="11">
        <f t="shared" si="23"/>
        <v>8</v>
      </c>
    </row>
    <row r="463" spans="1:14" x14ac:dyDescent="0.25">
      <c r="A463" s="11" t="s">
        <v>0</v>
      </c>
      <c r="B463" s="12">
        <v>45166</v>
      </c>
      <c r="C463" s="11" t="s">
        <v>688</v>
      </c>
      <c r="D463" s="11" t="s">
        <v>692</v>
      </c>
      <c r="E463" s="13" t="s">
        <v>179</v>
      </c>
      <c r="F463" s="14" t="s">
        <v>51</v>
      </c>
      <c r="G463" s="14" t="s">
        <v>404</v>
      </c>
      <c r="H463" s="15">
        <v>5</v>
      </c>
      <c r="I463" s="11">
        <f t="shared" si="21"/>
        <v>5</v>
      </c>
      <c r="K463" s="16">
        <v>500</v>
      </c>
      <c r="M463" s="17">
        <f t="shared" si="22"/>
        <v>109247.17000000014</v>
      </c>
      <c r="N463" s="11">
        <f t="shared" si="23"/>
        <v>8</v>
      </c>
    </row>
    <row r="464" spans="1:14" x14ac:dyDescent="0.25">
      <c r="A464" s="11" t="s">
        <v>0</v>
      </c>
      <c r="B464" s="12">
        <v>45166</v>
      </c>
      <c r="C464" s="11" t="s">
        <v>688</v>
      </c>
      <c r="D464" s="11" t="s">
        <v>692</v>
      </c>
      <c r="E464" s="13" t="s">
        <v>725</v>
      </c>
      <c r="F464" s="14" t="s">
        <v>27</v>
      </c>
      <c r="G464" s="14" t="s">
        <v>404</v>
      </c>
      <c r="H464" s="15">
        <v>13058</v>
      </c>
      <c r="I464" s="11">
        <f t="shared" si="21"/>
        <v>5</v>
      </c>
      <c r="K464" s="16">
        <v>783.4</v>
      </c>
      <c r="M464" s="17">
        <f t="shared" si="22"/>
        <v>108463.77000000015</v>
      </c>
      <c r="N464" s="11">
        <f t="shared" si="23"/>
        <v>8</v>
      </c>
    </row>
    <row r="465" spans="1:14" x14ac:dyDescent="0.25">
      <c r="A465" s="11" t="s">
        <v>0</v>
      </c>
      <c r="B465" s="12">
        <v>45166</v>
      </c>
      <c r="C465" s="11" t="s">
        <v>688</v>
      </c>
      <c r="D465" s="11" t="s">
        <v>692</v>
      </c>
      <c r="E465" s="13" t="s">
        <v>179</v>
      </c>
      <c r="F465" s="14" t="s">
        <v>378</v>
      </c>
      <c r="G465" s="14" t="s">
        <v>174</v>
      </c>
      <c r="H465" s="15">
        <v>2</v>
      </c>
      <c r="I465" s="11" t="b">
        <f t="shared" si="21"/>
        <v>0</v>
      </c>
      <c r="K465" s="16">
        <v>300</v>
      </c>
      <c r="M465" s="17">
        <f t="shared" si="22"/>
        <v>108163.77000000015</v>
      </c>
      <c r="N465" s="11">
        <f t="shared" si="23"/>
        <v>8</v>
      </c>
    </row>
    <row r="466" spans="1:14" x14ac:dyDescent="0.25">
      <c r="A466" s="11" t="s">
        <v>0</v>
      </c>
      <c r="B466" s="12">
        <v>45166</v>
      </c>
      <c r="C466" s="11" t="s">
        <v>688</v>
      </c>
      <c r="D466" s="11" t="s">
        <v>694</v>
      </c>
      <c r="E466" s="13" t="s">
        <v>182</v>
      </c>
      <c r="F466" s="14" t="s">
        <v>12</v>
      </c>
      <c r="G466" s="14" t="s">
        <v>186</v>
      </c>
      <c r="I466" s="11" t="b">
        <f t="shared" si="21"/>
        <v>0</v>
      </c>
      <c r="K466" s="16">
        <v>20.98</v>
      </c>
      <c r="M466" s="17">
        <f t="shared" si="22"/>
        <v>108142.79000000015</v>
      </c>
      <c r="N466" s="11">
        <f t="shared" si="23"/>
        <v>8</v>
      </c>
    </row>
    <row r="467" spans="1:14" x14ac:dyDescent="0.25">
      <c r="A467" s="11" t="s">
        <v>0</v>
      </c>
      <c r="B467" s="12">
        <v>45166</v>
      </c>
      <c r="C467" s="11" t="s">
        <v>688</v>
      </c>
      <c r="D467" s="11" t="s">
        <v>694</v>
      </c>
      <c r="E467" s="13" t="s">
        <v>182</v>
      </c>
      <c r="F467" s="14" t="s">
        <v>23</v>
      </c>
      <c r="G467" s="14" t="s">
        <v>186</v>
      </c>
      <c r="I467" s="11" t="b">
        <f t="shared" si="21"/>
        <v>0</v>
      </c>
      <c r="K467" s="16">
        <v>30.6</v>
      </c>
      <c r="M467" s="17">
        <f t="shared" si="22"/>
        <v>108112.19000000015</v>
      </c>
      <c r="N467" s="11">
        <f t="shared" si="23"/>
        <v>8</v>
      </c>
    </row>
    <row r="468" spans="1:14" x14ac:dyDescent="0.25">
      <c r="A468" s="11" t="s">
        <v>207</v>
      </c>
      <c r="B468" s="12">
        <v>45166</v>
      </c>
      <c r="C468" s="11" t="s">
        <v>688</v>
      </c>
      <c r="D468" s="11" t="s">
        <v>43</v>
      </c>
      <c r="E468" s="13" t="s">
        <v>11</v>
      </c>
      <c r="F468" s="14" t="s">
        <v>52</v>
      </c>
      <c r="G468" s="14" t="s">
        <v>400</v>
      </c>
      <c r="I468" s="11">
        <f t="shared" si="21"/>
        <v>2</v>
      </c>
      <c r="J468" s="16">
        <v>3057.2</v>
      </c>
      <c r="M468" s="17">
        <f t="shared" si="22"/>
        <v>111169.39000000014</v>
      </c>
      <c r="N468" s="11">
        <f t="shared" si="23"/>
        <v>8</v>
      </c>
    </row>
    <row r="469" spans="1:14" x14ac:dyDescent="0.25">
      <c r="A469" s="11" t="s">
        <v>207</v>
      </c>
      <c r="B469" s="12">
        <v>45167</v>
      </c>
      <c r="C469" s="11" t="s">
        <v>688</v>
      </c>
      <c r="D469" s="11" t="s">
        <v>43</v>
      </c>
      <c r="E469" s="13" t="s">
        <v>14</v>
      </c>
      <c r="F469" s="14" t="s">
        <v>13</v>
      </c>
      <c r="G469" s="14" t="s">
        <v>400</v>
      </c>
      <c r="I469" s="11">
        <f t="shared" si="21"/>
        <v>2</v>
      </c>
      <c r="J469" s="16">
        <v>261.7</v>
      </c>
      <c r="M469" s="17">
        <f t="shared" si="22"/>
        <v>111431.09000000014</v>
      </c>
      <c r="N469" s="11">
        <f t="shared" si="23"/>
        <v>8</v>
      </c>
    </row>
    <row r="470" spans="1:14" x14ac:dyDescent="0.25">
      <c r="A470" s="11" t="s">
        <v>207</v>
      </c>
      <c r="B470" s="12">
        <v>45167</v>
      </c>
      <c r="C470" s="11" t="s">
        <v>688</v>
      </c>
      <c r="D470" s="11" t="s">
        <v>43</v>
      </c>
      <c r="E470" s="13" t="s">
        <v>14</v>
      </c>
      <c r="F470" s="14" t="s">
        <v>13</v>
      </c>
      <c r="G470" s="14" t="s">
        <v>400</v>
      </c>
      <c r="I470" s="11">
        <f t="shared" si="21"/>
        <v>2</v>
      </c>
      <c r="J470" s="16">
        <v>489.11</v>
      </c>
      <c r="M470" s="17">
        <f t="shared" si="22"/>
        <v>111920.20000000014</v>
      </c>
      <c r="N470" s="11">
        <f t="shared" si="23"/>
        <v>8</v>
      </c>
    </row>
    <row r="471" spans="1:14" x14ac:dyDescent="0.25">
      <c r="A471" s="11" t="s">
        <v>207</v>
      </c>
      <c r="B471" s="12">
        <v>45167</v>
      </c>
      <c r="C471" s="11" t="s">
        <v>688</v>
      </c>
      <c r="D471" s="11" t="s">
        <v>43</v>
      </c>
      <c r="E471" s="13" t="s">
        <v>16</v>
      </c>
      <c r="F471" s="14" t="s">
        <v>15</v>
      </c>
      <c r="G471" s="14" t="s">
        <v>400</v>
      </c>
      <c r="I471" s="11">
        <f t="shared" si="21"/>
        <v>2</v>
      </c>
      <c r="J471" s="16">
        <v>2779.23</v>
      </c>
      <c r="M471" s="17">
        <f t="shared" si="22"/>
        <v>114699.43000000014</v>
      </c>
      <c r="N471" s="11">
        <f t="shared" si="23"/>
        <v>8</v>
      </c>
    </row>
    <row r="472" spans="1:14" x14ac:dyDescent="0.25">
      <c r="A472" s="11" t="s">
        <v>207</v>
      </c>
      <c r="B472" s="12">
        <v>45167</v>
      </c>
      <c r="C472" s="11" t="s">
        <v>688</v>
      </c>
      <c r="D472" s="11" t="s">
        <v>43</v>
      </c>
      <c r="E472" s="13" t="s">
        <v>16</v>
      </c>
      <c r="F472" s="14" t="s">
        <v>17</v>
      </c>
      <c r="G472" s="14" t="s">
        <v>400</v>
      </c>
      <c r="I472" s="11">
        <f t="shared" si="21"/>
        <v>2</v>
      </c>
      <c r="J472" s="16">
        <v>1177.69</v>
      </c>
      <c r="M472" s="17">
        <f t="shared" si="22"/>
        <v>115877.12000000014</v>
      </c>
      <c r="N472" s="11">
        <f t="shared" si="23"/>
        <v>8</v>
      </c>
    </row>
    <row r="473" spans="1:14" x14ac:dyDescent="0.25">
      <c r="A473" s="11" t="s">
        <v>207</v>
      </c>
      <c r="B473" s="12">
        <v>45167</v>
      </c>
      <c r="C473" s="11" t="s">
        <v>688</v>
      </c>
      <c r="D473" s="11" t="s">
        <v>43</v>
      </c>
      <c r="E473" s="13" t="s">
        <v>11</v>
      </c>
      <c r="F473" s="14" t="s">
        <v>56</v>
      </c>
      <c r="G473" s="14" t="s">
        <v>400</v>
      </c>
      <c r="I473" s="11">
        <f t="shared" si="21"/>
        <v>2</v>
      </c>
      <c r="J473" s="16">
        <v>175.95</v>
      </c>
      <c r="M473" s="17">
        <f t="shared" si="22"/>
        <v>116053.07000000014</v>
      </c>
      <c r="N473" s="11">
        <f t="shared" si="23"/>
        <v>8</v>
      </c>
    </row>
    <row r="474" spans="1:14" x14ac:dyDescent="0.25">
      <c r="A474" s="11" t="s">
        <v>0</v>
      </c>
      <c r="B474" s="12">
        <v>45167</v>
      </c>
      <c r="C474" s="11" t="s">
        <v>688</v>
      </c>
      <c r="D474" s="11" t="s">
        <v>694</v>
      </c>
      <c r="E474" s="13" t="s">
        <v>182</v>
      </c>
      <c r="F474" s="14" t="s">
        <v>12</v>
      </c>
      <c r="G474" s="14" t="s">
        <v>186</v>
      </c>
      <c r="I474" s="11" t="b">
        <f t="shared" si="21"/>
        <v>0</v>
      </c>
      <c r="K474" s="16">
        <v>1.1599999999999999</v>
      </c>
      <c r="M474" s="17">
        <f t="shared" si="22"/>
        <v>116051.91000000013</v>
      </c>
      <c r="N474" s="11">
        <f t="shared" si="23"/>
        <v>8</v>
      </c>
    </row>
    <row r="475" spans="1:14" x14ac:dyDescent="0.25">
      <c r="A475" s="11" t="s">
        <v>207</v>
      </c>
      <c r="B475" s="12">
        <v>45168</v>
      </c>
      <c r="C475" s="11" t="s">
        <v>688</v>
      </c>
      <c r="D475" s="11" t="s">
        <v>43</v>
      </c>
      <c r="E475" s="14" t="s">
        <v>288</v>
      </c>
      <c r="F475" s="14" t="s">
        <v>288</v>
      </c>
      <c r="G475" s="14" t="s">
        <v>173</v>
      </c>
      <c r="I475" s="11">
        <f t="shared" si="21"/>
        <v>3</v>
      </c>
      <c r="J475" s="16">
        <v>830</v>
      </c>
      <c r="M475" s="17">
        <f t="shared" si="22"/>
        <v>116881.91000000013</v>
      </c>
      <c r="N475" s="11">
        <f t="shared" si="23"/>
        <v>8</v>
      </c>
    </row>
    <row r="476" spans="1:14" x14ac:dyDescent="0.25">
      <c r="A476" s="11" t="s">
        <v>207</v>
      </c>
      <c r="B476" s="12">
        <v>45168</v>
      </c>
      <c r="C476" s="11" t="s">
        <v>688</v>
      </c>
      <c r="D476" s="11" t="s">
        <v>43</v>
      </c>
      <c r="E476" s="13" t="s">
        <v>14</v>
      </c>
      <c r="F476" s="14" t="s">
        <v>13</v>
      </c>
      <c r="G476" s="14" t="s">
        <v>400</v>
      </c>
      <c r="I476" s="11">
        <f t="shared" si="21"/>
        <v>2</v>
      </c>
      <c r="J476" s="16">
        <v>6.86</v>
      </c>
      <c r="M476" s="17">
        <f t="shared" si="22"/>
        <v>116888.77000000014</v>
      </c>
      <c r="N476" s="11">
        <f t="shared" si="23"/>
        <v>8</v>
      </c>
    </row>
    <row r="477" spans="1:14" x14ac:dyDescent="0.25">
      <c r="A477" s="11" t="s">
        <v>207</v>
      </c>
      <c r="B477" s="12">
        <v>45168</v>
      </c>
      <c r="C477" s="11" t="s">
        <v>688</v>
      </c>
      <c r="D477" s="11" t="s">
        <v>43</v>
      </c>
      <c r="E477" s="13" t="s">
        <v>14</v>
      </c>
      <c r="F477" s="14" t="s">
        <v>13</v>
      </c>
      <c r="G477" s="14" t="s">
        <v>400</v>
      </c>
      <c r="I477" s="11">
        <f t="shared" si="21"/>
        <v>2</v>
      </c>
      <c r="J477" s="16">
        <v>66.42</v>
      </c>
      <c r="M477" s="17">
        <f t="shared" si="22"/>
        <v>116955.19000000013</v>
      </c>
      <c r="N477" s="11">
        <f t="shared" si="23"/>
        <v>8</v>
      </c>
    </row>
    <row r="478" spans="1:14" x14ac:dyDescent="0.25">
      <c r="A478" s="11" t="s">
        <v>207</v>
      </c>
      <c r="B478" s="12">
        <v>45168</v>
      </c>
      <c r="C478" s="11" t="s">
        <v>688</v>
      </c>
      <c r="D478" s="11" t="s">
        <v>43</v>
      </c>
      <c r="E478" s="13" t="s">
        <v>14</v>
      </c>
      <c r="F478" s="14" t="s">
        <v>13</v>
      </c>
      <c r="G478" s="14" t="s">
        <v>400</v>
      </c>
      <c r="I478" s="11">
        <f t="shared" si="21"/>
        <v>2</v>
      </c>
      <c r="J478" s="16">
        <v>109.97</v>
      </c>
      <c r="M478" s="17">
        <f t="shared" si="22"/>
        <v>117065.16000000013</v>
      </c>
      <c r="N478" s="11">
        <f t="shared" si="23"/>
        <v>8</v>
      </c>
    </row>
    <row r="479" spans="1:14" x14ac:dyDescent="0.25">
      <c r="A479" s="11" t="s">
        <v>207</v>
      </c>
      <c r="B479" s="12">
        <v>45168</v>
      </c>
      <c r="C479" s="11" t="s">
        <v>688</v>
      </c>
      <c r="D479" s="11" t="s">
        <v>43</v>
      </c>
      <c r="E479" s="13" t="s">
        <v>14</v>
      </c>
      <c r="F479" s="14" t="s">
        <v>13</v>
      </c>
      <c r="G479" s="14" t="s">
        <v>400</v>
      </c>
      <c r="I479" s="11">
        <f t="shared" si="21"/>
        <v>2</v>
      </c>
      <c r="J479" s="16">
        <v>13.07</v>
      </c>
      <c r="M479" s="17">
        <f t="shared" si="22"/>
        <v>117078.23000000014</v>
      </c>
      <c r="N479" s="11">
        <f t="shared" si="23"/>
        <v>8</v>
      </c>
    </row>
    <row r="480" spans="1:14" x14ac:dyDescent="0.25">
      <c r="A480" s="11" t="s">
        <v>207</v>
      </c>
      <c r="B480" s="12">
        <v>45168</v>
      </c>
      <c r="C480" s="11" t="s">
        <v>688</v>
      </c>
      <c r="D480" s="11" t="s">
        <v>43</v>
      </c>
      <c r="E480" s="13" t="s">
        <v>14</v>
      </c>
      <c r="F480" s="14" t="s">
        <v>13</v>
      </c>
      <c r="G480" s="14" t="s">
        <v>400</v>
      </c>
      <c r="I480" s="11">
        <f t="shared" si="21"/>
        <v>2</v>
      </c>
      <c r="J480" s="16">
        <v>4.95</v>
      </c>
      <c r="M480" s="17">
        <f t="shared" si="22"/>
        <v>117083.18000000014</v>
      </c>
      <c r="N480" s="11">
        <f t="shared" si="23"/>
        <v>8</v>
      </c>
    </row>
    <row r="481" spans="1:14" x14ac:dyDescent="0.25">
      <c r="A481" s="11" t="s">
        <v>207</v>
      </c>
      <c r="B481" s="12">
        <v>45168</v>
      </c>
      <c r="C481" s="11" t="s">
        <v>688</v>
      </c>
      <c r="D481" s="11" t="s">
        <v>43</v>
      </c>
      <c r="E481" s="13" t="s">
        <v>16</v>
      </c>
      <c r="F481" s="14" t="s">
        <v>15</v>
      </c>
      <c r="G481" s="14" t="s">
        <v>400</v>
      </c>
      <c r="I481" s="11">
        <f t="shared" si="21"/>
        <v>2</v>
      </c>
      <c r="J481" s="16">
        <v>1445.36</v>
      </c>
      <c r="M481" s="17">
        <f t="shared" si="22"/>
        <v>118528.54000000014</v>
      </c>
      <c r="N481" s="11">
        <f t="shared" si="23"/>
        <v>8</v>
      </c>
    </row>
    <row r="482" spans="1:14" x14ac:dyDescent="0.25">
      <c r="A482" s="11" t="s">
        <v>207</v>
      </c>
      <c r="B482" s="12">
        <v>45168</v>
      </c>
      <c r="C482" s="11" t="s">
        <v>688</v>
      </c>
      <c r="D482" s="11" t="s">
        <v>43</v>
      </c>
      <c r="E482" s="13" t="s">
        <v>16</v>
      </c>
      <c r="F482" s="14" t="s">
        <v>17</v>
      </c>
      <c r="G482" s="14" t="s">
        <v>400</v>
      </c>
      <c r="I482" s="11">
        <f t="shared" si="21"/>
        <v>2</v>
      </c>
      <c r="J482" s="16">
        <v>1016.86</v>
      </c>
      <c r="M482" s="17">
        <f t="shared" si="22"/>
        <v>119545.40000000014</v>
      </c>
      <c r="N482" s="11">
        <f t="shared" si="23"/>
        <v>8</v>
      </c>
    </row>
    <row r="483" spans="1:14" x14ac:dyDescent="0.25">
      <c r="A483" s="11" t="s">
        <v>0</v>
      </c>
      <c r="B483" s="12">
        <v>45168</v>
      </c>
      <c r="C483" s="11" t="s">
        <v>688</v>
      </c>
      <c r="D483" s="11" t="s">
        <v>692</v>
      </c>
      <c r="E483" s="13" t="s">
        <v>229</v>
      </c>
      <c r="F483" s="14" t="s">
        <v>116</v>
      </c>
      <c r="G483" s="14" t="s">
        <v>404</v>
      </c>
      <c r="H483" s="15">
        <v>44</v>
      </c>
      <c r="I483" s="11">
        <f t="shared" si="21"/>
        <v>5</v>
      </c>
      <c r="K483" s="16">
        <v>358</v>
      </c>
      <c r="M483" s="17">
        <f t="shared" si="22"/>
        <v>119187.40000000014</v>
      </c>
      <c r="N483" s="11">
        <f t="shared" si="23"/>
        <v>8</v>
      </c>
    </row>
    <row r="484" spans="1:14" x14ac:dyDescent="0.25">
      <c r="A484" s="11" t="s">
        <v>0</v>
      </c>
      <c r="B484" s="12">
        <v>45168</v>
      </c>
      <c r="C484" s="11" t="s">
        <v>688</v>
      </c>
      <c r="D484" s="11" t="s">
        <v>692</v>
      </c>
      <c r="E484" s="13" t="s">
        <v>724</v>
      </c>
      <c r="F484" s="14" t="s">
        <v>119</v>
      </c>
      <c r="G484" s="14" t="s">
        <v>404</v>
      </c>
      <c r="H484" s="15">
        <v>1262500</v>
      </c>
      <c r="I484" s="11">
        <f t="shared" si="21"/>
        <v>5</v>
      </c>
      <c r="K484" s="16">
        <v>3258</v>
      </c>
      <c r="M484" s="17">
        <f t="shared" si="22"/>
        <v>115929.40000000014</v>
      </c>
      <c r="N484" s="11">
        <f t="shared" si="23"/>
        <v>8</v>
      </c>
    </row>
    <row r="485" spans="1:14" x14ac:dyDescent="0.25">
      <c r="A485" s="11" t="s">
        <v>0</v>
      </c>
      <c r="B485" s="12">
        <v>45168</v>
      </c>
      <c r="C485" s="11" t="s">
        <v>688</v>
      </c>
      <c r="D485" s="11" t="s">
        <v>701</v>
      </c>
      <c r="E485" s="242" t="s">
        <v>54</v>
      </c>
      <c r="F485" s="14" t="s">
        <v>53</v>
      </c>
      <c r="G485" s="14" t="s">
        <v>174</v>
      </c>
      <c r="H485" s="15">
        <v>2333</v>
      </c>
      <c r="I485" s="11" t="b">
        <f t="shared" si="21"/>
        <v>0</v>
      </c>
      <c r="K485" s="16">
        <v>900</v>
      </c>
      <c r="M485" s="17">
        <f t="shared" si="22"/>
        <v>115029.40000000014</v>
      </c>
      <c r="N485" s="11">
        <f t="shared" si="23"/>
        <v>8</v>
      </c>
    </row>
    <row r="486" spans="1:14" x14ac:dyDescent="0.25">
      <c r="A486" s="11" t="s">
        <v>0</v>
      </c>
      <c r="B486" s="12">
        <v>45168</v>
      </c>
      <c r="C486" s="11" t="s">
        <v>688</v>
      </c>
      <c r="D486" s="11" t="s">
        <v>694</v>
      </c>
      <c r="E486" s="13" t="s">
        <v>182</v>
      </c>
      <c r="F486" s="14" t="s">
        <v>12</v>
      </c>
      <c r="G486" s="14" t="s">
        <v>186</v>
      </c>
      <c r="I486" s="11" t="b">
        <f t="shared" si="21"/>
        <v>0</v>
      </c>
      <c r="K486" s="16">
        <v>0.25</v>
      </c>
      <c r="M486" s="17">
        <f t="shared" si="22"/>
        <v>115029.15000000014</v>
      </c>
      <c r="N486" s="11">
        <f t="shared" si="23"/>
        <v>8</v>
      </c>
    </row>
    <row r="487" spans="1:14" x14ac:dyDescent="0.25">
      <c r="A487" s="11" t="s">
        <v>0</v>
      </c>
      <c r="B487" s="12">
        <v>45168</v>
      </c>
      <c r="C487" s="11" t="s">
        <v>688</v>
      </c>
      <c r="D487" s="11" t="s">
        <v>694</v>
      </c>
      <c r="E487" s="13" t="s">
        <v>182</v>
      </c>
      <c r="F487" s="14" t="s">
        <v>23</v>
      </c>
      <c r="G487" s="14" t="s">
        <v>186</v>
      </c>
      <c r="I487" s="11" t="b">
        <f t="shared" si="21"/>
        <v>0</v>
      </c>
      <c r="K487" s="16">
        <v>21.22</v>
      </c>
      <c r="M487" s="17">
        <f t="shared" si="22"/>
        <v>115007.93000000014</v>
      </c>
      <c r="N487" s="11">
        <f t="shared" si="23"/>
        <v>8</v>
      </c>
    </row>
    <row r="488" spans="1:14" x14ac:dyDescent="0.25">
      <c r="A488" s="11" t="s">
        <v>207</v>
      </c>
      <c r="B488" s="12">
        <v>45168</v>
      </c>
      <c r="C488" s="11" t="s">
        <v>688</v>
      </c>
      <c r="D488" s="11" t="s">
        <v>43</v>
      </c>
      <c r="E488" s="13" t="s">
        <v>11</v>
      </c>
      <c r="F488" s="14" t="s">
        <v>55</v>
      </c>
      <c r="G488" s="14" t="s">
        <v>400</v>
      </c>
      <c r="I488" s="11">
        <f t="shared" si="21"/>
        <v>2</v>
      </c>
      <c r="J488" s="16">
        <v>36.75</v>
      </c>
      <c r="M488" s="17">
        <f t="shared" si="22"/>
        <v>115044.68000000014</v>
      </c>
      <c r="N488" s="11">
        <f t="shared" si="23"/>
        <v>8</v>
      </c>
    </row>
    <row r="489" spans="1:14" x14ac:dyDescent="0.25">
      <c r="A489" s="11" t="s">
        <v>207</v>
      </c>
      <c r="B489" s="12">
        <v>45169</v>
      </c>
      <c r="C489" s="11" t="s">
        <v>688</v>
      </c>
      <c r="D489" s="11" t="s">
        <v>43</v>
      </c>
      <c r="E489" s="13" t="s">
        <v>14</v>
      </c>
      <c r="F489" s="14" t="s">
        <v>13</v>
      </c>
      <c r="G489" s="14" t="s">
        <v>400</v>
      </c>
      <c r="I489" s="11">
        <f t="shared" si="21"/>
        <v>2</v>
      </c>
      <c r="J489" s="16">
        <v>23.71</v>
      </c>
      <c r="M489" s="17">
        <f t="shared" si="22"/>
        <v>115068.39000000014</v>
      </c>
      <c r="N489" s="11">
        <f t="shared" si="23"/>
        <v>8</v>
      </c>
    </row>
    <row r="490" spans="1:14" x14ac:dyDescent="0.25">
      <c r="A490" s="11" t="s">
        <v>207</v>
      </c>
      <c r="B490" s="12">
        <v>45169</v>
      </c>
      <c r="C490" s="11" t="s">
        <v>688</v>
      </c>
      <c r="D490" s="11" t="s">
        <v>43</v>
      </c>
      <c r="E490" s="13" t="s">
        <v>14</v>
      </c>
      <c r="F490" s="14" t="s">
        <v>13</v>
      </c>
      <c r="G490" s="14" t="s">
        <v>400</v>
      </c>
      <c r="I490" s="11">
        <f t="shared" si="21"/>
        <v>2</v>
      </c>
      <c r="J490" s="16">
        <v>31.57</v>
      </c>
      <c r="M490" s="17">
        <f t="shared" si="22"/>
        <v>115099.96000000015</v>
      </c>
      <c r="N490" s="11">
        <f t="shared" si="23"/>
        <v>8</v>
      </c>
    </row>
    <row r="491" spans="1:14" x14ac:dyDescent="0.25">
      <c r="A491" s="11" t="s">
        <v>207</v>
      </c>
      <c r="B491" s="12">
        <v>45169</v>
      </c>
      <c r="C491" s="11" t="s">
        <v>688</v>
      </c>
      <c r="D491" s="11" t="s">
        <v>43</v>
      </c>
      <c r="E491" s="13" t="s">
        <v>14</v>
      </c>
      <c r="F491" s="14" t="s">
        <v>13</v>
      </c>
      <c r="G491" s="14" t="s">
        <v>400</v>
      </c>
      <c r="I491" s="11">
        <f t="shared" si="21"/>
        <v>2</v>
      </c>
      <c r="J491" s="16">
        <v>133.12</v>
      </c>
      <c r="M491" s="17">
        <f t="shared" si="22"/>
        <v>115233.08000000015</v>
      </c>
      <c r="N491" s="11">
        <f t="shared" si="23"/>
        <v>8</v>
      </c>
    </row>
    <row r="492" spans="1:14" x14ac:dyDescent="0.25">
      <c r="A492" s="11" t="s">
        <v>207</v>
      </c>
      <c r="B492" s="12">
        <v>45169</v>
      </c>
      <c r="C492" s="11" t="s">
        <v>688</v>
      </c>
      <c r="D492" s="11" t="s">
        <v>43</v>
      </c>
      <c r="E492" s="13" t="s">
        <v>14</v>
      </c>
      <c r="F492" s="14" t="s">
        <v>13</v>
      </c>
      <c r="G492" s="14" t="s">
        <v>400</v>
      </c>
      <c r="I492" s="11">
        <f t="shared" si="21"/>
        <v>2</v>
      </c>
      <c r="J492" s="16">
        <v>10.39</v>
      </c>
      <c r="M492" s="17">
        <f t="shared" si="22"/>
        <v>115243.47000000015</v>
      </c>
      <c r="N492" s="11">
        <f t="shared" si="23"/>
        <v>8</v>
      </c>
    </row>
    <row r="493" spans="1:14" x14ac:dyDescent="0.25">
      <c r="A493" s="11" t="s">
        <v>207</v>
      </c>
      <c r="B493" s="12">
        <v>45169</v>
      </c>
      <c r="C493" s="11" t="s">
        <v>688</v>
      </c>
      <c r="D493" s="11" t="s">
        <v>43</v>
      </c>
      <c r="E493" s="13" t="s">
        <v>16</v>
      </c>
      <c r="F493" s="14" t="s">
        <v>15</v>
      </c>
      <c r="G493" s="14" t="s">
        <v>400</v>
      </c>
      <c r="I493" s="11">
        <f t="shared" si="21"/>
        <v>2</v>
      </c>
      <c r="J493" s="16">
        <v>921.85</v>
      </c>
      <c r="M493" s="17">
        <f t="shared" si="22"/>
        <v>116165.32000000015</v>
      </c>
      <c r="N493" s="11">
        <f t="shared" si="23"/>
        <v>8</v>
      </c>
    </row>
    <row r="494" spans="1:14" x14ac:dyDescent="0.25">
      <c r="A494" s="11" t="s">
        <v>207</v>
      </c>
      <c r="B494" s="12">
        <v>45169</v>
      </c>
      <c r="C494" s="11" t="s">
        <v>688</v>
      </c>
      <c r="D494" s="11" t="s">
        <v>43</v>
      </c>
      <c r="E494" s="13" t="s">
        <v>16</v>
      </c>
      <c r="F494" s="14" t="s">
        <v>17</v>
      </c>
      <c r="G494" s="14" t="s">
        <v>400</v>
      </c>
      <c r="I494" s="11">
        <f t="shared" si="21"/>
        <v>2</v>
      </c>
      <c r="J494" s="16">
        <v>733.8</v>
      </c>
      <c r="M494" s="17">
        <f t="shared" si="22"/>
        <v>116899.12000000016</v>
      </c>
      <c r="N494" s="11">
        <f t="shared" si="23"/>
        <v>8</v>
      </c>
    </row>
    <row r="495" spans="1:14" x14ac:dyDescent="0.25">
      <c r="A495" s="11" t="s">
        <v>0</v>
      </c>
      <c r="B495" s="12">
        <v>45169</v>
      </c>
      <c r="C495" s="11" t="s">
        <v>688</v>
      </c>
      <c r="D495" s="11" t="s">
        <v>698</v>
      </c>
      <c r="E495" s="13" t="s">
        <v>57</v>
      </c>
      <c r="F495" s="14" t="s">
        <v>393</v>
      </c>
      <c r="G495" s="14" t="s">
        <v>404</v>
      </c>
      <c r="H495" s="15">
        <v>709</v>
      </c>
      <c r="I495" s="11">
        <f t="shared" si="21"/>
        <v>5</v>
      </c>
      <c r="K495" s="16">
        <v>122</v>
      </c>
      <c r="M495" s="17">
        <f t="shared" si="22"/>
        <v>116777.12000000016</v>
      </c>
      <c r="N495" s="11">
        <f t="shared" si="23"/>
        <v>8</v>
      </c>
    </row>
    <row r="496" spans="1:14" x14ac:dyDescent="0.25">
      <c r="A496" s="11" t="s">
        <v>0</v>
      </c>
      <c r="B496" s="12">
        <v>45169</v>
      </c>
      <c r="C496" s="11" t="s">
        <v>688</v>
      </c>
      <c r="D496" s="11" t="s">
        <v>692</v>
      </c>
      <c r="E496" s="13" t="s">
        <v>143</v>
      </c>
      <c r="F496" s="14" t="s">
        <v>31</v>
      </c>
      <c r="G496" s="14" t="s">
        <v>120</v>
      </c>
      <c r="H496" s="15">
        <v>2841200</v>
      </c>
      <c r="I496" s="11" t="b">
        <f t="shared" si="21"/>
        <v>0</v>
      </c>
      <c r="K496" s="16">
        <v>911.35</v>
      </c>
      <c r="M496" s="17">
        <f t="shared" si="22"/>
        <v>115865.77000000015</v>
      </c>
      <c r="N496" s="11">
        <f t="shared" si="23"/>
        <v>8</v>
      </c>
    </row>
    <row r="497" spans="1:14" x14ac:dyDescent="0.25">
      <c r="A497" s="11" t="s">
        <v>0</v>
      </c>
      <c r="B497" s="12">
        <v>45169</v>
      </c>
      <c r="C497" s="11" t="s">
        <v>688</v>
      </c>
      <c r="D497" s="11" t="s">
        <v>699</v>
      </c>
      <c r="E497" s="13" t="s">
        <v>98</v>
      </c>
      <c r="F497" s="14" t="s">
        <v>206</v>
      </c>
      <c r="G497" s="14" t="s">
        <v>404</v>
      </c>
      <c r="H497" s="15">
        <v>7363</v>
      </c>
      <c r="I497" s="11">
        <f t="shared" si="21"/>
        <v>5</v>
      </c>
      <c r="K497" s="16">
        <v>355</v>
      </c>
      <c r="M497" s="17">
        <f t="shared" si="22"/>
        <v>115510.77000000015</v>
      </c>
      <c r="N497" s="11">
        <f t="shared" si="23"/>
        <v>8</v>
      </c>
    </row>
    <row r="498" spans="1:14" x14ac:dyDescent="0.25">
      <c r="A498" s="11" t="s">
        <v>0</v>
      </c>
      <c r="B498" s="12">
        <v>45169</v>
      </c>
      <c r="C498" s="11" t="s">
        <v>688</v>
      </c>
      <c r="D498" s="11" t="s">
        <v>694</v>
      </c>
      <c r="E498" s="13" t="s">
        <v>6</v>
      </c>
      <c r="F498" s="14" t="s">
        <v>60</v>
      </c>
      <c r="G498" s="14" t="s">
        <v>120</v>
      </c>
      <c r="H498" s="15">
        <v>118658</v>
      </c>
      <c r="I498" s="11" t="b">
        <f t="shared" si="21"/>
        <v>0</v>
      </c>
      <c r="K498" s="16">
        <v>112.67</v>
      </c>
      <c r="M498" s="17">
        <f t="shared" si="22"/>
        <v>115398.10000000015</v>
      </c>
      <c r="N498" s="11">
        <f t="shared" si="23"/>
        <v>8</v>
      </c>
    </row>
    <row r="499" spans="1:14" x14ac:dyDescent="0.25">
      <c r="A499" s="11" t="s">
        <v>0</v>
      </c>
      <c r="B499" s="12">
        <v>45169</v>
      </c>
      <c r="C499" s="11" t="s">
        <v>688</v>
      </c>
      <c r="D499" s="11" t="s">
        <v>696</v>
      </c>
      <c r="E499" s="13" t="s">
        <v>61</v>
      </c>
      <c r="F499" s="14" t="s">
        <v>62</v>
      </c>
      <c r="G499" s="14" t="s">
        <v>174</v>
      </c>
      <c r="H499" s="15" t="s">
        <v>20</v>
      </c>
      <c r="I499" s="11" t="b">
        <f t="shared" si="21"/>
        <v>0</v>
      </c>
      <c r="K499" s="16">
        <v>660</v>
      </c>
      <c r="M499" s="17">
        <f t="shared" si="22"/>
        <v>114738.10000000015</v>
      </c>
      <c r="N499" s="11">
        <f t="shared" si="23"/>
        <v>8</v>
      </c>
    </row>
    <row r="500" spans="1:14" x14ac:dyDescent="0.25">
      <c r="A500" s="11" t="s">
        <v>0</v>
      </c>
      <c r="B500" s="12">
        <v>45169</v>
      </c>
      <c r="C500" s="11" t="s">
        <v>688</v>
      </c>
      <c r="D500" s="11" t="s">
        <v>696</v>
      </c>
      <c r="E500" s="13" t="s">
        <v>63</v>
      </c>
      <c r="F500" s="14" t="s">
        <v>62</v>
      </c>
      <c r="G500" s="14" t="s">
        <v>174</v>
      </c>
      <c r="H500" s="15">
        <v>1</v>
      </c>
      <c r="I500" s="11" t="b">
        <f t="shared" si="21"/>
        <v>0</v>
      </c>
      <c r="K500" s="16">
        <v>940</v>
      </c>
      <c r="M500" s="17">
        <f t="shared" si="22"/>
        <v>113798.10000000015</v>
      </c>
      <c r="N500" s="11">
        <f t="shared" si="23"/>
        <v>8</v>
      </c>
    </row>
    <row r="501" spans="1:14" x14ac:dyDescent="0.25">
      <c r="A501" s="11" t="s">
        <v>0</v>
      </c>
      <c r="B501" s="12">
        <v>45169</v>
      </c>
      <c r="C501" s="11" t="s">
        <v>688</v>
      </c>
      <c r="D501" s="11" t="s">
        <v>696</v>
      </c>
      <c r="E501" s="13" t="s">
        <v>64</v>
      </c>
      <c r="F501" s="14" t="s">
        <v>62</v>
      </c>
      <c r="G501" s="14" t="s">
        <v>174</v>
      </c>
      <c r="H501" s="15">
        <v>1</v>
      </c>
      <c r="I501" s="11" t="b">
        <f t="shared" si="21"/>
        <v>0</v>
      </c>
      <c r="K501" s="16">
        <v>1150</v>
      </c>
      <c r="M501" s="17">
        <f t="shared" si="22"/>
        <v>112648.10000000015</v>
      </c>
      <c r="N501" s="11">
        <f t="shared" si="23"/>
        <v>8</v>
      </c>
    </row>
    <row r="502" spans="1:14" x14ac:dyDescent="0.25">
      <c r="A502" s="11" t="s">
        <v>0</v>
      </c>
      <c r="B502" s="12">
        <v>45169</v>
      </c>
      <c r="C502" s="11" t="s">
        <v>688</v>
      </c>
      <c r="D502" s="11" t="s">
        <v>696</v>
      </c>
      <c r="E502" s="13" t="s">
        <v>65</v>
      </c>
      <c r="F502" s="14" t="s">
        <v>62</v>
      </c>
      <c r="G502" s="14" t="s">
        <v>174</v>
      </c>
      <c r="H502" s="15">
        <v>1</v>
      </c>
      <c r="I502" s="11" t="b">
        <f t="shared" si="21"/>
        <v>0</v>
      </c>
      <c r="K502" s="16">
        <v>660</v>
      </c>
      <c r="M502" s="17">
        <f t="shared" si="22"/>
        <v>111988.10000000015</v>
      </c>
      <c r="N502" s="11">
        <f t="shared" si="23"/>
        <v>8</v>
      </c>
    </row>
    <row r="503" spans="1:14" x14ac:dyDescent="0.25">
      <c r="A503" s="11" t="s">
        <v>0</v>
      </c>
      <c r="B503" s="12">
        <v>45169</v>
      </c>
      <c r="C503" s="11" t="s">
        <v>688</v>
      </c>
      <c r="D503" s="11" t="s">
        <v>696</v>
      </c>
      <c r="E503" s="13" t="s">
        <v>66</v>
      </c>
      <c r="F503" s="14" t="s">
        <v>62</v>
      </c>
      <c r="G503" s="14" t="s">
        <v>174</v>
      </c>
      <c r="H503" s="15">
        <v>1</v>
      </c>
      <c r="I503" s="11" t="b">
        <f t="shared" si="21"/>
        <v>0</v>
      </c>
      <c r="K503" s="16">
        <v>1000</v>
      </c>
      <c r="M503" s="17">
        <f t="shared" si="22"/>
        <v>110988.10000000015</v>
      </c>
      <c r="N503" s="11">
        <f t="shared" si="23"/>
        <v>8</v>
      </c>
    </row>
    <row r="504" spans="1:14" x14ac:dyDescent="0.25">
      <c r="A504" s="11" t="s">
        <v>0</v>
      </c>
      <c r="B504" s="12">
        <v>45169</v>
      </c>
      <c r="C504" s="11" t="s">
        <v>688</v>
      </c>
      <c r="D504" s="11" t="s">
        <v>696</v>
      </c>
      <c r="E504" s="13" t="s">
        <v>67</v>
      </c>
      <c r="F504" s="14" t="s">
        <v>62</v>
      </c>
      <c r="G504" s="14" t="s">
        <v>174</v>
      </c>
      <c r="H504" s="15">
        <v>1</v>
      </c>
      <c r="I504" s="11" t="b">
        <f t="shared" si="21"/>
        <v>0</v>
      </c>
      <c r="K504" s="16">
        <v>750</v>
      </c>
      <c r="M504" s="17">
        <f t="shared" si="22"/>
        <v>110238.10000000015</v>
      </c>
      <c r="N504" s="11">
        <f t="shared" si="23"/>
        <v>8</v>
      </c>
    </row>
    <row r="505" spans="1:14" x14ac:dyDescent="0.25">
      <c r="A505" s="11" t="s">
        <v>0</v>
      </c>
      <c r="B505" s="12">
        <v>45169</v>
      </c>
      <c r="C505" s="11" t="s">
        <v>688</v>
      </c>
      <c r="D505" s="11" t="s">
        <v>696</v>
      </c>
      <c r="E505" s="13" t="s">
        <v>68</v>
      </c>
      <c r="F505" s="14" t="s">
        <v>62</v>
      </c>
      <c r="G505" s="14" t="s">
        <v>174</v>
      </c>
      <c r="H505" s="15">
        <v>1</v>
      </c>
      <c r="I505" s="11" t="b">
        <f t="shared" si="21"/>
        <v>0</v>
      </c>
      <c r="K505" s="16">
        <v>750</v>
      </c>
      <c r="M505" s="17">
        <f t="shared" si="22"/>
        <v>109488.10000000015</v>
      </c>
      <c r="N505" s="11">
        <f t="shared" si="23"/>
        <v>8</v>
      </c>
    </row>
    <row r="506" spans="1:14" x14ac:dyDescent="0.25">
      <c r="A506" s="11" t="s">
        <v>0</v>
      </c>
      <c r="B506" s="12">
        <v>45169</v>
      </c>
      <c r="C506" s="11" t="s">
        <v>688</v>
      </c>
      <c r="D506" s="11" t="s">
        <v>696</v>
      </c>
      <c r="E506" s="13" t="s">
        <v>74</v>
      </c>
      <c r="F506" s="14" t="s">
        <v>62</v>
      </c>
      <c r="G506" s="14" t="s">
        <v>174</v>
      </c>
      <c r="H506" s="15">
        <v>1</v>
      </c>
      <c r="I506" s="11" t="b">
        <f t="shared" si="21"/>
        <v>0</v>
      </c>
      <c r="K506" s="16">
        <v>1000</v>
      </c>
      <c r="M506" s="17">
        <f t="shared" si="22"/>
        <v>108488.10000000015</v>
      </c>
      <c r="N506" s="11">
        <f t="shared" si="23"/>
        <v>8</v>
      </c>
    </row>
    <row r="507" spans="1:14" x14ac:dyDescent="0.25">
      <c r="A507" s="11" t="s">
        <v>0</v>
      </c>
      <c r="B507" s="12">
        <v>45169</v>
      </c>
      <c r="C507" s="11" t="s">
        <v>688</v>
      </c>
      <c r="D507" s="11" t="s">
        <v>696</v>
      </c>
      <c r="E507" s="13" t="s">
        <v>75</v>
      </c>
      <c r="F507" s="14" t="s">
        <v>62</v>
      </c>
      <c r="G507" s="14" t="s">
        <v>174</v>
      </c>
      <c r="H507" s="15">
        <v>1</v>
      </c>
      <c r="I507" s="11" t="b">
        <f t="shared" si="21"/>
        <v>0</v>
      </c>
      <c r="K507" s="16">
        <v>250</v>
      </c>
      <c r="M507" s="17">
        <f t="shared" si="22"/>
        <v>108238.10000000015</v>
      </c>
      <c r="N507" s="11">
        <f t="shared" si="23"/>
        <v>8</v>
      </c>
    </row>
    <row r="508" spans="1:14" x14ac:dyDescent="0.25">
      <c r="A508" s="11" t="s">
        <v>0</v>
      </c>
      <c r="B508" s="12">
        <v>45169</v>
      </c>
      <c r="C508" s="11" t="s">
        <v>688</v>
      </c>
      <c r="D508" s="11" t="s">
        <v>696</v>
      </c>
      <c r="E508" s="13" t="s">
        <v>69</v>
      </c>
      <c r="F508" s="14" t="s">
        <v>62</v>
      </c>
      <c r="G508" s="14" t="s">
        <v>174</v>
      </c>
      <c r="H508" s="15">
        <v>1</v>
      </c>
      <c r="I508" s="11" t="b">
        <f t="shared" si="21"/>
        <v>0</v>
      </c>
      <c r="K508" s="16">
        <v>660</v>
      </c>
      <c r="M508" s="17">
        <f t="shared" si="22"/>
        <v>107578.10000000015</v>
      </c>
      <c r="N508" s="11">
        <f t="shared" si="23"/>
        <v>8</v>
      </c>
    </row>
    <row r="509" spans="1:14" x14ac:dyDescent="0.25">
      <c r="A509" s="11" t="s">
        <v>0</v>
      </c>
      <c r="B509" s="12">
        <v>45169</v>
      </c>
      <c r="C509" s="11" t="s">
        <v>688</v>
      </c>
      <c r="D509" s="11" t="s">
        <v>696</v>
      </c>
      <c r="E509" s="13" t="s">
        <v>370</v>
      </c>
      <c r="F509" s="14" t="s">
        <v>62</v>
      </c>
      <c r="G509" s="14" t="s">
        <v>173</v>
      </c>
      <c r="I509" s="11">
        <f t="shared" si="21"/>
        <v>6</v>
      </c>
      <c r="K509" s="16">
        <v>1000</v>
      </c>
      <c r="M509" s="17">
        <f t="shared" si="22"/>
        <v>106578.10000000015</v>
      </c>
      <c r="N509" s="11">
        <f t="shared" si="23"/>
        <v>8</v>
      </c>
    </row>
    <row r="510" spans="1:14" x14ac:dyDescent="0.25">
      <c r="A510" s="11" t="s">
        <v>0</v>
      </c>
      <c r="B510" s="12">
        <v>45169</v>
      </c>
      <c r="C510" s="11" t="s">
        <v>688</v>
      </c>
      <c r="D510" s="11" t="s">
        <v>696</v>
      </c>
      <c r="E510" s="13" t="s">
        <v>289</v>
      </c>
      <c r="F510" s="14" t="s">
        <v>62</v>
      </c>
      <c r="G510" s="14" t="s">
        <v>173</v>
      </c>
      <c r="I510" s="11">
        <f t="shared" si="21"/>
        <v>6</v>
      </c>
      <c r="K510" s="16">
        <v>800</v>
      </c>
      <c r="M510" s="17">
        <f t="shared" si="22"/>
        <v>105778.10000000015</v>
      </c>
      <c r="N510" s="11">
        <f t="shared" si="23"/>
        <v>8</v>
      </c>
    </row>
    <row r="511" spans="1:14" x14ac:dyDescent="0.25">
      <c r="A511" s="11" t="s">
        <v>0</v>
      </c>
      <c r="B511" s="12">
        <v>45169</v>
      </c>
      <c r="C511" s="11" t="s">
        <v>688</v>
      </c>
      <c r="D511" s="11" t="s">
        <v>692</v>
      </c>
      <c r="E511" s="13" t="s">
        <v>719</v>
      </c>
      <c r="F511" s="14" t="s">
        <v>58</v>
      </c>
      <c r="G511" s="14" t="s">
        <v>404</v>
      </c>
      <c r="H511" s="15">
        <v>1170729</v>
      </c>
      <c r="I511" s="11">
        <f t="shared" si="21"/>
        <v>5</v>
      </c>
      <c r="K511" s="16">
        <v>777</v>
      </c>
      <c r="M511" s="17">
        <f t="shared" si="22"/>
        <v>105001.10000000015</v>
      </c>
      <c r="N511" s="11">
        <f t="shared" si="23"/>
        <v>8</v>
      </c>
    </row>
    <row r="512" spans="1:14" x14ac:dyDescent="0.25">
      <c r="A512" s="11" t="s">
        <v>0</v>
      </c>
      <c r="B512" s="12">
        <v>45169</v>
      </c>
      <c r="C512" s="11" t="s">
        <v>688</v>
      </c>
      <c r="D512" s="11" t="s">
        <v>692</v>
      </c>
      <c r="E512" s="13" t="s">
        <v>143</v>
      </c>
      <c r="F512" s="14" t="s">
        <v>59</v>
      </c>
      <c r="G512" s="14" t="s">
        <v>120</v>
      </c>
      <c r="H512" s="15">
        <v>342084</v>
      </c>
      <c r="I512" s="11" t="b">
        <f t="shared" si="21"/>
        <v>0</v>
      </c>
      <c r="K512" s="16">
        <v>1425.97</v>
      </c>
      <c r="M512" s="17">
        <f t="shared" si="22"/>
        <v>103575.13000000015</v>
      </c>
      <c r="N512" s="11">
        <f t="shared" si="23"/>
        <v>8</v>
      </c>
    </row>
    <row r="513" spans="1:14" x14ac:dyDescent="0.25">
      <c r="A513" s="11" t="s">
        <v>0</v>
      </c>
      <c r="B513" s="12">
        <v>45169</v>
      </c>
      <c r="C513" s="11" t="s">
        <v>688</v>
      </c>
      <c r="D513" s="11" t="s">
        <v>696</v>
      </c>
      <c r="E513" s="13" t="s">
        <v>85</v>
      </c>
      <c r="F513" s="14" t="s">
        <v>62</v>
      </c>
      <c r="G513" s="14" t="s">
        <v>174</v>
      </c>
      <c r="H513" s="15">
        <v>1</v>
      </c>
      <c r="I513" s="11" t="b">
        <f t="shared" si="21"/>
        <v>0</v>
      </c>
      <c r="K513" s="16">
        <v>330</v>
      </c>
      <c r="M513" s="17">
        <f t="shared" si="22"/>
        <v>103245.13000000015</v>
      </c>
      <c r="N513" s="11">
        <f t="shared" si="23"/>
        <v>8</v>
      </c>
    </row>
    <row r="514" spans="1:14" x14ac:dyDescent="0.25">
      <c r="A514" s="11" t="s">
        <v>0</v>
      </c>
      <c r="B514" s="12">
        <v>45169</v>
      </c>
      <c r="C514" s="11" t="s">
        <v>688</v>
      </c>
      <c r="D514" s="11" t="s">
        <v>692</v>
      </c>
      <c r="E514" s="13" t="s">
        <v>179</v>
      </c>
      <c r="F514" s="14" t="s">
        <v>28</v>
      </c>
      <c r="G514" s="14" t="s">
        <v>174</v>
      </c>
      <c r="H514" s="15">
        <v>1161089</v>
      </c>
      <c r="I514" s="11" t="b">
        <f t="shared" si="21"/>
        <v>0</v>
      </c>
      <c r="K514" s="16">
        <v>438</v>
      </c>
      <c r="M514" s="17">
        <f t="shared" si="22"/>
        <v>102807.13000000015</v>
      </c>
      <c r="N514" s="11">
        <f t="shared" si="23"/>
        <v>8</v>
      </c>
    </row>
    <row r="515" spans="1:14" x14ac:dyDescent="0.25">
      <c r="A515" s="11" t="s">
        <v>0</v>
      </c>
      <c r="B515" s="12">
        <v>45169</v>
      </c>
      <c r="C515" s="11" t="s">
        <v>688</v>
      </c>
      <c r="D515" s="11" t="s">
        <v>696</v>
      </c>
      <c r="E515" s="13" t="s">
        <v>70</v>
      </c>
      <c r="F515" s="14" t="s">
        <v>62</v>
      </c>
      <c r="G515" s="14" t="s">
        <v>174</v>
      </c>
      <c r="H515" s="15">
        <v>1</v>
      </c>
      <c r="I515" s="11" t="b">
        <f t="shared" ref="I515:I579" si="24">IF(AND(G515="MERCADO PAGO",A515="FATURAMENTO"),1,IF(AND(OR(G515="MERCADO PAGO",G515="pix mercado pago",G515= "débito automático mercado pago", G515= "boleto mercado pago"),A515="DESPESAS"),4,IF(AND(G515="SAFRA",A515="FATURAMENTO"),2,IF(AND(OR(G515="SAFRA",G515="PIX SAFRA", G515="DÉBITO AUTOMÁTICO SAFRA", G515= "BOLETO SAFRA", G515= "transferência safra"), A515="DESPESAS"),5,IF(AND(G515="espécie",A515="FATURAMENTO"),3,IF(AND(G515="espécie",A515="DESPESAS"),6))))))</f>
        <v>0</v>
      </c>
      <c r="K515" s="16">
        <v>3190</v>
      </c>
      <c r="M515" s="17">
        <f t="shared" ref="M515:M578" si="25">IF(B515=0, "",M514+ J515-K515)</f>
        <v>99617.13000000015</v>
      </c>
      <c r="N515" s="11">
        <f t="shared" ref="N515:N578" si="26">IF(B515=0, "", MONTH(B515))</f>
        <v>8</v>
      </c>
    </row>
    <row r="516" spans="1:14" x14ac:dyDescent="0.25">
      <c r="A516" s="11" t="s">
        <v>0</v>
      </c>
      <c r="B516" s="12">
        <v>45169</v>
      </c>
      <c r="C516" s="11" t="s">
        <v>688</v>
      </c>
      <c r="D516" s="11" t="s">
        <v>701</v>
      </c>
      <c r="E516" s="13" t="s">
        <v>38</v>
      </c>
      <c r="F516" s="14" t="s">
        <v>71</v>
      </c>
      <c r="G516" s="14" t="s">
        <v>174</v>
      </c>
      <c r="H516" s="15">
        <v>1</v>
      </c>
      <c r="I516" s="11" t="b">
        <f t="shared" si="24"/>
        <v>0</v>
      </c>
      <c r="K516" s="16">
        <v>56</v>
      </c>
      <c r="M516" s="17">
        <f t="shared" si="25"/>
        <v>99561.13000000015</v>
      </c>
      <c r="N516" s="11">
        <f t="shared" si="26"/>
        <v>8</v>
      </c>
    </row>
    <row r="517" spans="1:14" x14ac:dyDescent="0.25">
      <c r="A517" s="11" t="s">
        <v>0</v>
      </c>
      <c r="B517" s="12">
        <v>45169</v>
      </c>
      <c r="C517" s="11" t="s">
        <v>688</v>
      </c>
      <c r="D517" s="11" t="s">
        <v>696</v>
      </c>
      <c r="E517" s="13" t="s">
        <v>72</v>
      </c>
      <c r="F517" s="14" t="s">
        <v>62</v>
      </c>
      <c r="G517" s="14" t="s">
        <v>174</v>
      </c>
      <c r="H517" s="15">
        <v>1</v>
      </c>
      <c r="I517" s="11" t="b">
        <f t="shared" si="24"/>
        <v>0</v>
      </c>
      <c r="K517" s="16">
        <v>100</v>
      </c>
      <c r="M517" s="17">
        <f t="shared" si="25"/>
        <v>99461.13000000015</v>
      </c>
      <c r="N517" s="11">
        <f t="shared" si="26"/>
        <v>8</v>
      </c>
    </row>
    <row r="518" spans="1:14" x14ac:dyDescent="0.25">
      <c r="A518" s="11" t="s">
        <v>0</v>
      </c>
      <c r="B518" s="12">
        <v>45169</v>
      </c>
      <c r="C518" s="11" t="s">
        <v>688</v>
      </c>
      <c r="D518" s="11" t="s">
        <v>692</v>
      </c>
      <c r="E518" s="13" t="s">
        <v>719</v>
      </c>
      <c r="F518" s="14" t="s">
        <v>58</v>
      </c>
      <c r="G518" s="14" t="s">
        <v>404</v>
      </c>
      <c r="H518" s="15">
        <v>1170729</v>
      </c>
      <c r="I518" s="11">
        <f t="shared" si="24"/>
        <v>5</v>
      </c>
      <c r="K518" s="16">
        <v>1411</v>
      </c>
      <c r="M518" s="17">
        <f t="shared" si="25"/>
        <v>98050.13000000015</v>
      </c>
      <c r="N518" s="11">
        <f t="shared" si="26"/>
        <v>8</v>
      </c>
    </row>
    <row r="519" spans="1:14" x14ac:dyDescent="0.25">
      <c r="A519" s="11" t="s">
        <v>0</v>
      </c>
      <c r="B519" s="12">
        <v>45169</v>
      </c>
      <c r="C519" s="11" t="s">
        <v>688</v>
      </c>
      <c r="D519" s="11" t="s">
        <v>696</v>
      </c>
      <c r="E519" s="13" t="s">
        <v>73</v>
      </c>
      <c r="F519" s="14" t="s">
        <v>62</v>
      </c>
      <c r="G519" s="14" t="s">
        <v>174</v>
      </c>
      <c r="H519" s="15">
        <v>1</v>
      </c>
      <c r="I519" s="11" t="b">
        <f t="shared" si="24"/>
        <v>0</v>
      </c>
      <c r="K519" s="16">
        <v>280</v>
      </c>
      <c r="M519" s="17">
        <f t="shared" si="25"/>
        <v>97770.13000000015</v>
      </c>
      <c r="N519" s="11">
        <f t="shared" si="26"/>
        <v>8</v>
      </c>
    </row>
    <row r="520" spans="1:14" x14ac:dyDescent="0.25">
      <c r="A520" s="11" t="s">
        <v>0</v>
      </c>
      <c r="B520" s="12">
        <v>45169</v>
      </c>
      <c r="C520" s="11" t="s">
        <v>688</v>
      </c>
      <c r="D520" s="11" t="s">
        <v>692</v>
      </c>
      <c r="E520" s="13" t="s">
        <v>717</v>
      </c>
      <c r="F520" s="14" t="s">
        <v>76</v>
      </c>
      <c r="G520" s="14" t="s">
        <v>404</v>
      </c>
      <c r="H520" s="15">
        <v>6801</v>
      </c>
      <c r="I520" s="11">
        <f t="shared" si="24"/>
        <v>5</v>
      </c>
      <c r="K520" s="16">
        <v>409.7</v>
      </c>
      <c r="M520" s="17">
        <f t="shared" si="25"/>
        <v>97360.430000000153</v>
      </c>
      <c r="N520" s="11">
        <f t="shared" si="26"/>
        <v>8</v>
      </c>
    </row>
    <row r="521" spans="1:14" x14ac:dyDescent="0.25">
      <c r="A521" s="11" t="s">
        <v>0</v>
      </c>
      <c r="B521" s="12">
        <v>45169</v>
      </c>
      <c r="C521" s="11" t="s">
        <v>688</v>
      </c>
      <c r="D521" s="11" t="s">
        <v>696</v>
      </c>
      <c r="E521" s="13" t="s">
        <v>77</v>
      </c>
      <c r="F521" s="14" t="s">
        <v>62</v>
      </c>
      <c r="G521" s="14" t="s">
        <v>174</v>
      </c>
      <c r="H521" s="15" t="s">
        <v>20</v>
      </c>
      <c r="I521" s="11" t="b">
        <f t="shared" si="24"/>
        <v>0</v>
      </c>
      <c r="K521" s="16">
        <v>140</v>
      </c>
      <c r="M521" s="17">
        <f t="shared" si="25"/>
        <v>97220.430000000153</v>
      </c>
      <c r="N521" s="11">
        <f t="shared" si="26"/>
        <v>8</v>
      </c>
    </row>
    <row r="522" spans="1:14" x14ac:dyDescent="0.25">
      <c r="A522" s="11" t="s">
        <v>0</v>
      </c>
      <c r="B522" s="12">
        <v>45169</v>
      </c>
      <c r="C522" s="11" t="s">
        <v>688</v>
      </c>
      <c r="D522" s="11" t="s">
        <v>694</v>
      </c>
      <c r="E522" s="13" t="s">
        <v>182</v>
      </c>
      <c r="F522" s="14" t="s">
        <v>12</v>
      </c>
      <c r="G522" s="14" t="s">
        <v>186</v>
      </c>
      <c r="I522" s="11" t="b">
        <f t="shared" si="24"/>
        <v>0</v>
      </c>
      <c r="K522" s="16">
        <v>1.98</v>
      </c>
      <c r="M522" s="17">
        <f t="shared" si="25"/>
        <v>97218.450000000157</v>
      </c>
      <c r="N522" s="11">
        <f t="shared" si="26"/>
        <v>8</v>
      </c>
    </row>
    <row r="523" spans="1:14" x14ac:dyDescent="0.25">
      <c r="A523" s="11" t="s">
        <v>0</v>
      </c>
      <c r="B523" s="12">
        <v>45169</v>
      </c>
      <c r="C523" s="11" t="s">
        <v>688</v>
      </c>
      <c r="D523" s="11" t="s">
        <v>694</v>
      </c>
      <c r="E523" s="13" t="s">
        <v>182</v>
      </c>
      <c r="F523" s="14" t="s">
        <v>23</v>
      </c>
      <c r="G523" s="14" t="s">
        <v>186</v>
      </c>
      <c r="I523" s="11" t="b">
        <f t="shared" si="24"/>
        <v>0</v>
      </c>
      <c r="K523" s="16">
        <v>107.64</v>
      </c>
      <c r="M523" s="17">
        <f t="shared" si="25"/>
        <v>97110.810000000158</v>
      </c>
      <c r="N523" s="11">
        <f t="shared" si="26"/>
        <v>8</v>
      </c>
    </row>
    <row r="524" spans="1:14" x14ac:dyDescent="0.25">
      <c r="A524" s="11" t="s">
        <v>0</v>
      </c>
      <c r="B524" s="12">
        <v>45169</v>
      </c>
      <c r="C524" s="11" t="s">
        <v>688</v>
      </c>
      <c r="D524" s="11" t="s">
        <v>1</v>
      </c>
      <c r="E524" s="13" t="s">
        <v>424</v>
      </c>
      <c r="F524" s="14" t="s">
        <v>423</v>
      </c>
      <c r="G524" s="14" t="s">
        <v>425</v>
      </c>
      <c r="H524" s="15" t="s">
        <v>426</v>
      </c>
      <c r="I524" s="11">
        <f>IF(AND(G524="MERCADO PAGO",A524="FATURAMENTO"),1,IF(AND(OR(G524="MERCADO PAGO",G524="pix mercado pago",G524= "débito automático mercado pago", G524= "boleto mercado pago"),A524="DESPESAS"),4,IF(AND(G524="SAFRA",A524="FATURAMENTO"),2,IF(AND(OR(G524="SAFRA",G524="PIX SAFRA", G524="DÉBITO AUTOMÁTICO SAFRA", G524= "BOLETO SAFRA", G524= "transferência safra"), A524="DESPESAS"),5,IF(AND(G524="espécie",A524="FATURAMENTO"),3,IF(AND(G524="espécie",A524="DESPESAS"),6))))))</f>
        <v>5</v>
      </c>
      <c r="K524" s="16">
        <v>30000</v>
      </c>
      <c r="M524" s="17">
        <f t="shared" si="25"/>
        <v>67110.810000000158</v>
      </c>
      <c r="N524" s="11">
        <f t="shared" si="26"/>
        <v>8</v>
      </c>
    </row>
    <row r="525" spans="1:14" x14ac:dyDescent="0.25">
      <c r="A525" s="11" t="s">
        <v>207</v>
      </c>
      <c r="B525" s="12">
        <v>45169</v>
      </c>
      <c r="C525" s="11" t="s">
        <v>688</v>
      </c>
      <c r="D525" s="11" t="s">
        <v>43</v>
      </c>
      <c r="E525" s="13" t="s">
        <v>11</v>
      </c>
      <c r="F525" s="14" t="s">
        <v>78</v>
      </c>
      <c r="G525" s="14" t="s">
        <v>400</v>
      </c>
      <c r="I525" s="11">
        <f t="shared" si="24"/>
        <v>2</v>
      </c>
      <c r="J525" s="16">
        <v>291.60000000000002</v>
      </c>
      <c r="M525" s="17">
        <f t="shared" si="25"/>
        <v>67402.410000000164</v>
      </c>
      <c r="N525" s="11">
        <f t="shared" si="26"/>
        <v>8</v>
      </c>
    </row>
    <row r="526" spans="1:14" x14ac:dyDescent="0.25">
      <c r="A526" s="11" t="s">
        <v>207</v>
      </c>
      <c r="B526" s="12">
        <v>45169</v>
      </c>
      <c r="C526" s="11" t="s">
        <v>688</v>
      </c>
      <c r="D526" s="11" t="s">
        <v>43</v>
      </c>
      <c r="E526" s="14" t="s">
        <v>288</v>
      </c>
      <c r="F526" s="14" t="s">
        <v>288</v>
      </c>
      <c r="G526" s="14" t="s">
        <v>173</v>
      </c>
      <c r="I526" s="11">
        <f t="shared" si="24"/>
        <v>3</v>
      </c>
      <c r="J526" s="16">
        <v>1450</v>
      </c>
      <c r="M526" s="17">
        <f t="shared" si="25"/>
        <v>68852.410000000164</v>
      </c>
      <c r="N526" s="11">
        <f t="shared" si="26"/>
        <v>8</v>
      </c>
    </row>
    <row r="527" spans="1:14" x14ac:dyDescent="0.25">
      <c r="A527" s="11" t="s">
        <v>207</v>
      </c>
      <c r="B527" s="12">
        <v>45170</v>
      </c>
      <c r="C527" s="11" t="s">
        <v>688</v>
      </c>
      <c r="D527" s="11" t="s">
        <v>43</v>
      </c>
      <c r="E527" s="13" t="s">
        <v>14</v>
      </c>
      <c r="F527" s="14" t="s">
        <v>13</v>
      </c>
      <c r="G527" s="14" t="s">
        <v>400</v>
      </c>
      <c r="I527" s="11">
        <f t="shared" si="24"/>
        <v>2</v>
      </c>
      <c r="J527" s="16">
        <v>111.01</v>
      </c>
      <c r="M527" s="17">
        <f t="shared" si="25"/>
        <v>68963.420000000158</v>
      </c>
      <c r="N527" s="11">
        <f t="shared" si="26"/>
        <v>9</v>
      </c>
    </row>
    <row r="528" spans="1:14" x14ac:dyDescent="0.25">
      <c r="A528" s="11" t="s">
        <v>207</v>
      </c>
      <c r="B528" s="12">
        <v>45170</v>
      </c>
      <c r="C528" s="11" t="s">
        <v>688</v>
      </c>
      <c r="D528" s="11" t="s">
        <v>43</v>
      </c>
      <c r="E528" s="13" t="s">
        <v>14</v>
      </c>
      <c r="F528" s="14" t="s">
        <v>13</v>
      </c>
      <c r="G528" s="14" t="s">
        <v>400</v>
      </c>
      <c r="I528" s="11">
        <f t="shared" si="24"/>
        <v>2</v>
      </c>
      <c r="J528" s="16">
        <v>378.85</v>
      </c>
      <c r="M528" s="17">
        <f t="shared" si="25"/>
        <v>69342.270000000164</v>
      </c>
      <c r="N528" s="11">
        <f t="shared" si="26"/>
        <v>9</v>
      </c>
    </row>
    <row r="529" spans="1:14" x14ac:dyDescent="0.25">
      <c r="A529" s="11" t="s">
        <v>207</v>
      </c>
      <c r="B529" s="12">
        <v>45170</v>
      </c>
      <c r="C529" s="11" t="s">
        <v>688</v>
      </c>
      <c r="D529" s="11" t="s">
        <v>43</v>
      </c>
      <c r="E529" s="13" t="s">
        <v>14</v>
      </c>
      <c r="F529" s="14" t="s">
        <v>13</v>
      </c>
      <c r="G529" s="14" t="s">
        <v>400</v>
      </c>
      <c r="I529" s="11">
        <f t="shared" si="24"/>
        <v>2</v>
      </c>
      <c r="J529" s="16">
        <v>98.39</v>
      </c>
      <c r="M529" s="17">
        <f t="shared" si="25"/>
        <v>69440.660000000164</v>
      </c>
      <c r="N529" s="11">
        <f t="shared" si="26"/>
        <v>9</v>
      </c>
    </row>
    <row r="530" spans="1:14" x14ac:dyDescent="0.25">
      <c r="A530" s="11" t="s">
        <v>207</v>
      </c>
      <c r="B530" s="12">
        <v>45170</v>
      </c>
      <c r="C530" s="11" t="s">
        <v>688</v>
      </c>
      <c r="D530" s="11" t="s">
        <v>43</v>
      </c>
      <c r="E530" s="13" t="s">
        <v>80</v>
      </c>
      <c r="F530" s="14" t="s">
        <v>79</v>
      </c>
      <c r="G530" s="14" t="s">
        <v>400</v>
      </c>
      <c r="I530" s="11">
        <f t="shared" si="24"/>
        <v>2</v>
      </c>
      <c r="J530" s="16">
        <v>1432.19</v>
      </c>
      <c r="M530" s="17">
        <f t="shared" si="25"/>
        <v>70872.850000000166</v>
      </c>
      <c r="N530" s="11">
        <f t="shared" si="26"/>
        <v>9</v>
      </c>
    </row>
    <row r="531" spans="1:14" x14ac:dyDescent="0.25">
      <c r="A531" s="11" t="s">
        <v>207</v>
      </c>
      <c r="B531" s="12">
        <v>45170</v>
      </c>
      <c r="C531" s="11" t="s">
        <v>688</v>
      </c>
      <c r="D531" s="11" t="s">
        <v>43</v>
      </c>
      <c r="E531" s="13" t="s">
        <v>81</v>
      </c>
      <c r="F531" s="14" t="s">
        <v>79</v>
      </c>
      <c r="G531" s="14" t="s">
        <v>400</v>
      </c>
      <c r="I531" s="11">
        <f t="shared" si="24"/>
        <v>2</v>
      </c>
      <c r="J531" s="16">
        <v>553.89</v>
      </c>
      <c r="M531" s="17">
        <f t="shared" si="25"/>
        <v>71426.740000000165</v>
      </c>
      <c r="N531" s="11">
        <f t="shared" si="26"/>
        <v>9</v>
      </c>
    </row>
    <row r="532" spans="1:14" x14ac:dyDescent="0.25">
      <c r="A532" s="11" t="s">
        <v>207</v>
      </c>
      <c r="B532" s="12">
        <v>45170</v>
      </c>
      <c r="C532" s="11" t="s">
        <v>688</v>
      </c>
      <c r="D532" s="11" t="s">
        <v>43</v>
      </c>
      <c r="E532" s="13" t="s">
        <v>82</v>
      </c>
      <c r="F532" s="14" t="s">
        <v>79</v>
      </c>
      <c r="G532" s="14" t="s">
        <v>400</v>
      </c>
      <c r="I532" s="11">
        <f t="shared" si="24"/>
        <v>2</v>
      </c>
      <c r="J532" s="16">
        <v>37.770000000000003</v>
      </c>
      <c r="M532" s="17">
        <f t="shared" si="25"/>
        <v>71464.510000000169</v>
      </c>
      <c r="N532" s="11">
        <f t="shared" si="26"/>
        <v>9</v>
      </c>
    </row>
    <row r="533" spans="1:14" x14ac:dyDescent="0.25">
      <c r="A533" s="11" t="s">
        <v>207</v>
      </c>
      <c r="B533" s="12">
        <v>45170</v>
      </c>
      <c r="C533" s="11" t="s">
        <v>688</v>
      </c>
      <c r="D533" s="11" t="s">
        <v>43</v>
      </c>
      <c r="E533" s="13" t="s">
        <v>83</v>
      </c>
      <c r="F533" s="14" t="s">
        <v>79</v>
      </c>
      <c r="G533" s="14" t="s">
        <v>400</v>
      </c>
      <c r="I533" s="11">
        <f t="shared" si="24"/>
        <v>2</v>
      </c>
      <c r="J533" s="16">
        <v>474.26</v>
      </c>
      <c r="M533" s="17">
        <f t="shared" si="25"/>
        <v>71938.770000000164</v>
      </c>
      <c r="N533" s="11">
        <f t="shared" si="26"/>
        <v>9</v>
      </c>
    </row>
    <row r="534" spans="1:14" x14ac:dyDescent="0.25">
      <c r="A534" s="11" t="s">
        <v>207</v>
      </c>
      <c r="B534" s="12">
        <v>45170</v>
      </c>
      <c r="C534" s="11" t="s">
        <v>688</v>
      </c>
      <c r="D534" s="11" t="s">
        <v>43</v>
      </c>
      <c r="E534" s="14" t="s">
        <v>288</v>
      </c>
      <c r="F534" s="14" t="s">
        <v>288</v>
      </c>
      <c r="G534" s="14" t="s">
        <v>173</v>
      </c>
      <c r="I534" s="11">
        <f t="shared" si="24"/>
        <v>3</v>
      </c>
      <c r="J534" s="16">
        <v>1370</v>
      </c>
      <c r="M534" s="17">
        <f t="shared" si="25"/>
        <v>73308.770000000164</v>
      </c>
      <c r="N534" s="11">
        <f t="shared" si="26"/>
        <v>9</v>
      </c>
    </row>
    <row r="535" spans="1:14" x14ac:dyDescent="0.25">
      <c r="A535" s="11" t="s">
        <v>0</v>
      </c>
      <c r="B535" s="12">
        <v>45170</v>
      </c>
      <c r="C535" s="11" t="s">
        <v>688</v>
      </c>
      <c r="D535" s="11" t="s">
        <v>696</v>
      </c>
      <c r="E535" s="13" t="s">
        <v>84</v>
      </c>
      <c r="F535" s="14" t="s">
        <v>62</v>
      </c>
      <c r="G535" s="14" t="s">
        <v>174</v>
      </c>
      <c r="H535" s="15">
        <v>1</v>
      </c>
      <c r="I535" s="11" t="b">
        <f t="shared" si="24"/>
        <v>0</v>
      </c>
      <c r="K535" s="16">
        <v>330</v>
      </c>
      <c r="M535" s="17">
        <f t="shared" si="25"/>
        <v>72978.770000000164</v>
      </c>
      <c r="N535" s="11">
        <f t="shared" si="26"/>
        <v>9</v>
      </c>
    </row>
    <row r="536" spans="1:14" x14ac:dyDescent="0.25">
      <c r="A536" s="11" t="s">
        <v>0</v>
      </c>
      <c r="B536" s="12">
        <v>45170</v>
      </c>
      <c r="C536" s="11" t="s">
        <v>688</v>
      </c>
      <c r="D536" s="11" t="s">
        <v>696</v>
      </c>
      <c r="E536" s="13" t="s">
        <v>86</v>
      </c>
      <c r="F536" s="14" t="s">
        <v>62</v>
      </c>
      <c r="G536" s="14" t="s">
        <v>174</v>
      </c>
      <c r="H536" s="15">
        <v>1</v>
      </c>
      <c r="I536" s="11" t="b">
        <f t="shared" si="24"/>
        <v>0</v>
      </c>
      <c r="K536" s="16">
        <v>2000</v>
      </c>
      <c r="M536" s="17">
        <f t="shared" si="25"/>
        <v>70978.770000000164</v>
      </c>
      <c r="N536" s="11">
        <f t="shared" si="26"/>
        <v>9</v>
      </c>
    </row>
    <row r="537" spans="1:14" x14ac:dyDescent="0.25">
      <c r="A537" s="11" t="s">
        <v>0</v>
      </c>
      <c r="B537" s="12">
        <v>45170</v>
      </c>
      <c r="C537" s="11" t="s">
        <v>688</v>
      </c>
      <c r="D537" s="11" t="s">
        <v>696</v>
      </c>
      <c r="E537" s="13" t="s">
        <v>87</v>
      </c>
      <c r="F537" s="14" t="s">
        <v>62</v>
      </c>
      <c r="G537" s="14" t="s">
        <v>174</v>
      </c>
      <c r="H537" s="15">
        <v>1</v>
      </c>
      <c r="I537" s="11" t="b">
        <f t="shared" si="24"/>
        <v>0</v>
      </c>
      <c r="K537" s="16">
        <v>630</v>
      </c>
      <c r="M537" s="17">
        <f t="shared" si="25"/>
        <v>70348.770000000164</v>
      </c>
      <c r="N537" s="11">
        <f t="shared" si="26"/>
        <v>9</v>
      </c>
    </row>
    <row r="538" spans="1:14" x14ac:dyDescent="0.25">
      <c r="A538" s="11" t="s">
        <v>0</v>
      </c>
      <c r="B538" s="12">
        <v>45170</v>
      </c>
      <c r="C538" s="11" t="s">
        <v>688</v>
      </c>
      <c r="D538" s="11" t="s">
        <v>698</v>
      </c>
      <c r="E538" s="13" t="s">
        <v>89</v>
      </c>
      <c r="F538" s="14" t="s">
        <v>88</v>
      </c>
      <c r="G538" s="14" t="s">
        <v>174</v>
      </c>
      <c r="H538" s="15">
        <v>3</v>
      </c>
      <c r="I538" s="11" t="b">
        <f t="shared" si="24"/>
        <v>0</v>
      </c>
      <c r="K538" s="16">
        <v>250</v>
      </c>
      <c r="M538" s="17">
        <f t="shared" si="25"/>
        <v>70098.770000000164</v>
      </c>
      <c r="N538" s="11">
        <f t="shared" si="26"/>
        <v>9</v>
      </c>
    </row>
    <row r="539" spans="1:14" x14ac:dyDescent="0.25">
      <c r="A539" s="11" t="s">
        <v>0</v>
      </c>
      <c r="B539" s="12">
        <v>45168</v>
      </c>
      <c r="C539" s="11" t="s">
        <v>688</v>
      </c>
      <c r="D539" s="11" t="s">
        <v>694</v>
      </c>
      <c r="E539" s="13" t="s">
        <v>718</v>
      </c>
      <c r="F539" s="14" t="s">
        <v>263</v>
      </c>
      <c r="G539" s="14" t="s">
        <v>403</v>
      </c>
      <c r="H539" s="15">
        <v>78415842</v>
      </c>
      <c r="I539" s="11">
        <f t="shared" si="24"/>
        <v>5</v>
      </c>
      <c r="K539" s="16">
        <v>1.53</v>
      </c>
      <c r="M539" s="17">
        <f t="shared" si="25"/>
        <v>70097.240000000165</v>
      </c>
      <c r="N539" s="11">
        <f t="shared" si="26"/>
        <v>8</v>
      </c>
    </row>
    <row r="540" spans="1:14" x14ac:dyDescent="0.25">
      <c r="A540" s="11" t="s">
        <v>0</v>
      </c>
      <c r="B540" s="12">
        <v>45170</v>
      </c>
      <c r="C540" s="11" t="s">
        <v>688</v>
      </c>
      <c r="D540" s="11" t="s">
        <v>692</v>
      </c>
      <c r="E540" s="13" t="s">
        <v>143</v>
      </c>
      <c r="F540" s="14" t="s">
        <v>90</v>
      </c>
      <c r="G540" s="14" t="s">
        <v>404</v>
      </c>
      <c r="H540" s="15">
        <v>4</v>
      </c>
      <c r="I540" s="11">
        <f t="shared" si="24"/>
        <v>5</v>
      </c>
      <c r="K540" s="16">
        <v>405</v>
      </c>
      <c r="M540" s="17">
        <f t="shared" si="25"/>
        <v>69692.240000000165</v>
      </c>
      <c r="N540" s="11">
        <f t="shared" si="26"/>
        <v>9</v>
      </c>
    </row>
    <row r="541" spans="1:14" x14ac:dyDescent="0.25">
      <c r="A541" s="11" t="s">
        <v>0</v>
      </c>
      <c r="B541" s="12">
        <v>45170</v>
      </c>
      <c r="C541" s="11" t="s">
        <v>688</v>
      </c>
      <c r="D541" s="11" t="s">
        <v>692</v>
      </c>
      <c r="E541" s="13" t="s">
        <v>726</v>
      </c>
      <c r="F541" s="14" t="s">
        <v>91</v>
      </c>
      <c r="G541" s="14" t="s">
        <v>403</v>
      </c>
      <c r="H541" s="15">
        <v>390557</v>
      </c>
      <c r="I541" s="11">
        <f t="shared" si="24"/>
        <v>5</v>
      </c>
      <c r="K541" s="16">
        <v>238.84</v>
      </c>
      <c r="M541" s="17">
        <f t="shared" si="25"/>
        <v>69453.400000000169</v>
      </c>
      <c r="N541" s="11">
        <f t="shared" si="26"/>
        <v>9</v>
      </c>
    </row>
    <row r="542" spans="1:14" x14ac:dyDescent="0.25">
      <c r="A542" s="11" t="s">
        <v>0</v>
      </c>
      <c r="B542" s="12">
        <v>45170</v>
      </c>
      <c r="C542" s="11" t="s">
        <v>688</v>
      </c>
      <c r="D542" s="11" t="s">
        <v>692</v>
      </c>
      <c r="E542" s="13" t="s">
        <v>179</v>
      </c>
      <c r="F542" s="14" t="s">
        <v>28</v>
      </c>
      <c r="G542" s="14" t="s">
        <v>174</v>
      </c>
      <c r="H542" s="15">
        <v>21</v>
      </c>
      <c r="I542" s="11" t="b">
        <f t="shared" si="24"/>
        <v>0</v>
      </c>
      <c r="K542" s="16">
        <v>910</v>
      </c>
      <c r="M542" s="17">
        <f t="shared" si="25"/>
        <v>68543.400000000169</v>
      </c>
      <c r="N542" s="11">
        <f t="shared" si="26"/>
        <v>9</v>
      </c>
    </row>
    <row r="543" spans="1:14" x14ac:dyDescent="0.25">
      <c r="A543" s="11" t="s">
        <v>0</v>
      </c>
      <c r="B543" s="12">
        <v>45170</v>
      </c>
      <c r="C543" s="11" t="s">
        <v>688</v>
      </c>
      <c r="D543" s="11" t="s">
        <v>692</v>
      </c>
      <c r="E543" s="13" t="s">
        <v>719</v>
      </c>
      <c r="F543" s="14" t="s">
        <v>92</v>
      </c>
      <c r="G543" s="14" t="s">
        <v>174</v>
      </c>
      <c r="H543" s="15">
        <v>15</v>
      </c>
      <c r="I543" s="11" t="b">
        <f t="shared" si="24"/>
        <v>0</v>
      </c>
      <c r="K543" s="16">
        <v>207.73</v>
      </c>
      <c r="M543" s="17">
        <f t="shared" si="25"/>
        <v>68335.670000000173</v>
      </c>
      <c r="N543" s="11">
        <f t="shared" si="26"/>
        <v>9</v>
      </c>
    </row>
    <row r="544" spans="1:14" x14ac:dyDescent="0.25">
      <c r="A544" s="11" t="s">
        <v>0</v>
      </c>
      <c r="B544" s="12">
        <v>45170</v>
      </c>
      <c r="C544" s="11" t="s">
        <v>688</v>
      </c>
      <c r="D544" s="11" t="s">
        <v>692</v>
      </c>
      <c r="E544" s="13" t="s">
        <v>725</v>
      </c>
      <c r="F544" s="14" t="s">
        <v>27</v>
      </c>
      <c r="G544" s="14" t="s">
        <v>404</v>
      </c>
      <c r="H544" s="15">
        <v>13140</v>
      </c>
      <c r="I544" s="11">
        <f t="shared" si="24"/>
        <v>5</v>
      </c>
      <c r="K544" s="16">
        <v>1503.19</v>
      </c>
      <c r="M544" s="17">
        <f t="shared" si="25"/>
        <v>66832.480000000171</v>
      </c>
      <c r="N544" s="11">
        <f t="shared" si="26"/>
        <v>9</v>
      </c>
    </row>
    <row r="545" spans="1:14" x14ac:dyDescent="0.25">
      <c r="A545" s="11" t="s">
        <v>0</v>
      </c>
      <c r="B545" s="12">
        <v>45170</v>
      </c>
      <c r="C545" s="11" t="s">
        <v>688</v>
      </c>
      <c r="D545" s="11" t="s">
        <v>692</v>
      </c>
      <c r="E545" s="13" t="s">
        <v>725</v>
      </c>
      <c r="F545" s="14" t="s">
        <v>33</v>
      </c>
      <c r="G545" s="14" t="s">
        <v>404</v>
      </c>
      <c r="H545" s="15">
        <v>24249</v>
      </c>
      <c r="I545" s="11">
        <f t="shared" si="24"/>
        <v>5</v>
      </c>
      <c r="K545" s="16">
        <v>32.28</v>
      </c>
      <c r="M545" s="17">
        <f t="shared" si="25"/>
        <v>66800.200000000172</v>
      </c>
      <c r="N545" s="11">
        <f t="shared" si="26"/>
        <v>9</v>
      </c>
    </row>
    <row r="546" spans="1:14" x14ac:dyDescent="0.25">
      <c r="A546" s="11" t="s">
        <v>0</v>
      </c>
      <c r="B546" s="12">
        <v>45170</v>
      </c>
      <c r="C546" s="11" t="s">
        <v>688</v>
      </c>
      <c r="D546" s="11" t="s">
        <v>692</v>
      </c>
      <c r="E546" s="13" t="s">
        <v>725</v>
      </c>
      <c r="F546" s="14" t="s">
        <v>33</v>
      </c>
      <c r="G546" s="14" t="s">
        <v>404</v>
      </c>
      <c r="H546" s="15">
        <v>24248</v>
      </c>
      <c r="I546" s="11">
        <f t="shared" si="24"/>
        <v>5</v>
      </c>
      <c r="K546" s="16">
        <v>48.24</v>
      </c>
      <c r="M546" s="17">
        <f t="shared" si="25"/>
        <v>66751.960000000166</v>
      </c>
      <c r="N546" s="11">
        <f t="shared" si="26"/>
        <v>9</v>
      </c>
    </row>
    <row r="547" spans="1:14" x14ac:dyDescent="0.25">
      <c r="A547" s="11" t="s">
        <v>0</v>
      </c>
      <c r="B547" s="12">
        <v>45170</v>
      </c>
      <c r="C547" s="11" t="s">
        <v>688</v>
      </c>
      <c r="D547" s="11" t="s">
        <v>692</v>
      </c>
      <c r="E547" s="13" t="s">
        <v>725</v>
      </c>
      <c r="F547" s="14" t="s">
        <v>33</v>
      </c>
      <c r="G547" s="14" t="s">
        <v>404</v>
      </c>
      <c r="H547" s="15">
        <v>24250</v>
      </c>
      <c r="I547" s="11">
        <f t="shared" si="24"/>
        <v>5</v>
      </c>
      <c r="K547" s="16">
        <v>541.05999999999995</v>
      </c>
      <c r="M547" s="17">
        <f t="shared" si="25"/>
        <v>66210.900000000169</v>
      </c>
      <c r="N547" s="11">
        <f t="shared" si="26"/>
        <v>9</v>
      </c>
    </row>
    <row r="548" spans="1:14" x14ac:dyDescent="0.25">
      <c r="A548" s="11" t="s">
        <v>0</v>
      </c>
      <c r="B548" s="12">
        <v>45170</v>
      </c>
      <c r="C548" s="11" t="s">
        <v>688</v>
      </c>
      <c r="D548" s="11" t="s">
        <v>694</v>
      </c>
      <c r="E548" s="13" t="s">
        <v>182</v>
      </c>
      <c r="F548" s="14" t="s">
        <v>93</v>
      </c>
      <c r="G548" s="14" t="s">
        <v>186</v>
      </c>
      <c r="I548" s="11" t="b">
        <f t="shared" si="24"/>
        <v>0</v>
      </c>
      <c r="K548" s="16">
        <v>2.23</v>
      </c>
      <c r="M548" s="17">
        <f t="shared" si="25"/>
        <v>66208.670000000173</v>
      </c>
      <c r="N548" s="11">
        <f t="shared" si="26"/>
        <v>9</v>
      </c>
    </row>
    <row r="549" spans="1:14" x14ac:dyDescent="0.25">
      <c r="A549" s="11" t="s">
        <v>0</v>
      </c>
      <c r="B549" s="12">
        <v>45170</v>
      </c>
      <c r="C549" s="11" t="s">
        <v>688</v>
      </c>
      <c r="D549" s="11" t="s">
        <v>694</v>
      </c>
      <c r="E549" s="13" t="s">
        <v>182</v>
      </c>
      <c r="F549" s="14" t="s">
        <v>23</v>
      </c>
      <c r="G549" s="14" t="s">
        <v>186</v>
      </c>
      <c r="I549" s="11" t="b">
        <f t="shared" si="24"/>
        <v>0</v>
      </c>
      <c r="K549" s="16">
        <v>31.7</v>
      </c>
      <c r="M549" s="17">
        <f t="shared" si="25"/>
        <v>66176.970000000176</v>
      </c>
      <c r="N549" s="11">
        <f t="shared" si="26"/>
        <v>9</v>
      </c>
    </row>
    <row r="550" spans="1:14" x14ac:dyDescent="0.25">
      <c r="A550" s="11" t="s">
        <v>207</v>
      </c>
      <c r="B550" s="12">
        <v>45170</v>
      </c>
      <c r="C550" s="11" t="s">
        <v>688</v>
      </c>
      <c r="D550" s="11" t="s">
        <v>43</v>
      </c>
      <c r="E550" s="13" t="s">
        <v>95</v>
      </c>
      <c r="F550" s="14" t="s">
        <v>94</v>
      </c>
      <c r="G550" s="14" t="s">
        <v>400</v>
      </c>
      <c r="I550" s="11">
        <f t="shared" si="24"/>
        <v>2</v>
      </c>
      <c r="J550" s="16">
        <v>327.49</v>
      </c>
      <c r="M550" s="17">
        <f t="shared" si="25"/>
        <v>66504.460000000181</v>
      </c>
      <c r="N550" s="11">
        <f t="shared" si="26"/>
        <v>9</v>
      </c>
    </row>
    <row r="551" spans="1:14" x14ac:dyDescent="0.25">
      <c r="A551" s="11" t="s">
        <v>207</v>
      </c>
      <c r="B551" s="12">
        <v>45171</v>
      </c>
      <c r="C551" s="11" t="s">
        <v>688</v>
      </c>
      <c r="D551" s="11" t="s">
        <v>43</v>
      </c>
      <c r="E551" s="14" t="s">
        <v>288</v>
      </c>
      <c r="F551" s="14" t="s">
        <v>288</v>
      </c>
      <c r="G551" s="14" t="s">
        <v>173</v>
      </c>
      <c r="I551" s="11">
        <f t="shared" si="24"/>
        <v>3</v>
      </c>
      <c r="J551" s="16">
        <v>730</v>
      </c>
      <c r="M551" s="17">
        <f t="shared" si="25"/>
        <v>67234.460000000181</v>
      </c>
      <c r="N551" s="11">
        <f t="shared" si="26"/>
        <v>9</v>
      </c>
    </row>
    <row r="552" spans="1:14" x14ac:dyDescent="0.25">
      <c r="A552" s="11" t="s">
        <v>207</v>
      </c>
      <c r="B552" s="12">
        <v>45172</v>
      </c>
      <c r="C552" s="11" t="s">
        <v>688</v>
      </c>
      <c r="D552" s="11" t="s">
        <v>43</v>
      </c>
      <c r="E552" s="14" t="s">
        <v>288</v>
      </c>
      <c r="F552" s="14" t="s">
        <v>288</v>
      </c>
      <c r="G552" s="14" t="s">
        <v>173</v>
      </c>
      <c r="I552" s="11">
        <f t="shared" si="24"/>
        <v>3</v>
      </c>
      <c r="J552" s="16">
        <v>1530</v>
      </c>
      <c r="M552" s="17">
        <f t="shared" si="25"/>
        <v>68764.460000000181</v>
      </c>
      <c r="N552" s="11">
        <f t="shared" si="26"/>
        <v>9</v>
      </c>
    </row>
    <row r="553" spans="1:14" x14ac:dyDescent="0.25">
      <c r="A553" s="11" t="s">
        <v>0</v>
      </c>
      <c r="B553" s="12">
        <v>45173</v>
      </c>
      <c r="C553" s="11" t="s">
        <v>688</v>
      </c>
      <c r="D553" s="11" t="s">
        <v>692</v>
      </c>
      <c r="E553" s="13" t="s">
        <v>179</v>
      </c>
      <c r="F553" s="14" t="s">
        <v>51</v>
      </c>
      <c r="G553" s="14" t="s">
        <v>404</v>
      </c>
      <c r="H553" s="15">
        <v>5</v>
      </c>
      <c r="I553" s="11">
        <f t="shared" si="24"/>
        <v>5</v>
      </c>
      <c r="K553" s="16">
        <v>1000</v>
      </c>
      <c r="M553" s="17">
        <f t="shared" si="25"/>
        <v>67764.460000000181</v>
      </c>
      <c r="N553" s="11">
        <f t="shared" si="26"/>
        <v>9</v>
      </c>
    </row>
    <row r="554" spans="1:14" x14ac:dyDescent="0.25">
      <c r="A554" s="11" t="s">
        <v>0</v>
      </c>
      <c r="B554" s="12">
        <v>45173</v>
      </c>
      <c r="C554" s="11" t="s">
        <v>688</v>
      </c>
      <c r="D554" s="11" t="s">
        <v>692</v>
      </c>
      <c r="E554" s="13" t="s">
        <v>725</v>
      </c>
      <c r="F554" s="14" t="s">
        <v>27</v>
      </c>
      <c r="G554" s="14" t="s">
        <v>404</v>
      </c>
      <c r="H554" s="15">
        <v>13156</v>
      </c>
      <c r="I554" s="11">
        <f t="shared" si="24"/>
        <v>5</v>
      </c>
      <c r="K554" s="16">
        <v>13.58</v>
      </c>
      <c r="M554" s="17">
        <f t="shared" si="25"/>
        <v>67750.880000000179</v>
      </c>
      <c r="N554" s="11">
        <f t="shared" si="26"/>
        <v>9</v>
      </c>
    </row>
    <row r="555" spans="1:14" x14ac:dyDescent="0.25">
      <c r="A555" s="11" t="s">
        <v>0</v>
      </c>
      <c r="B555" s="12">
        <v>45173</v>
      </c>
      <c r="C555" s="11" t="s">
        <v>688</v>
      </c>
      <c r="D555" s="11" t="s">
        <v>692</v>
      </c>
      <c r="E555" s="13" t="s">
        <v>725</v>
      </c>
      <c r="F555" s="14" t="s">
        <v>27</v>
      </c>
      <c r="G555" s="14" t="s">
        <v>404</v>
      </c>
      <c r="H555" s="15">
        <v>13157</v>
      </c>
      <c r="I555" s="11">
        <f t="shared" si="24"/>
        <v>5</v>
      </c>
      <c r="K555" s="16">
        <v>345.8</v>
      </c>
      <c r="M555" s="17">
        <f t="shared" si="25"/>
        <v>67405.080000000176</v>
      </c>
      <c r="N555" s="11">
        <f t="shared" si="26"/>
        <v>9</v>
      </c>
    </row>
    <row r="556" spans="1:14" x14ac:dyDescent="0.25">
      <c r="A556" s="11" t="s">
        <v>0</v>
      </c>
      <c r="B556" s="12">
        <v>45173</v>
      </c>
      <c r="C556" s="11" t="s">
        <v>688</v>
      </c>
      <c r="D556" s="11" t="s">
        <v>692</v>
      </c>
      <c r="E556" s="13" t="s">
        <v>725</v>
      </c>
      <c r="F556" s="14" t="s">
        <v>27</v>
      </c>
      <c r="G556" s="14" t="s">
        <v>404</v>
      </c>
      <c r="H556" s="15">
        <v>13158</v>
      </c>
      <c r="I556" s="11">
        <f t="shared" si="24"/>
        <v>5</v>
      </c>
      <c r="K556" s="16">
        <v>260.45999999999998</v>
      </c>
      <c r="M556" s="17">
        <f t="shared" si="25"/>
        <v>67144.62000000017</v>
      </c>
      <c r="N556" s="11">
        <f t="shared" si="26"/>
        <v>9</v>
      </c>
    </row>
    <row r="557" spans="1:14" x14ac:dyDescent="0.25">
      <c r="A557" s="11" t="s">
        <v>0</v>
      </c>
      <c r="B557" s="12">
        <v>45173</v>
      </c>
      <c r="C557" s="11" t="s">
        <v>688</v>
      </c>
      <c r="D557" s="11" t="s">
        <v>696</v>
      </c>
      <c r="E557" s="13" t="s">
        <v>97</v>
      </c>
      <c r="F557" s="14" t="s">
        <v>62</v>
      </c>
      <c r="G557" s="14" t="s">
        <v>174</v>
      </c>
      <c r="H557" s="15">
        <v>1</v>
      </c>
      <c r="I557" s="11" t="b">
        <f t="shared" si="24"/>
        <v>0</v>
      </c>
      <c r="K557" s="16">
        <v>100</v>
      </c>
      <c r="M557" s="17">
        <f t="shared" si="25"/>
        <v>67044.62000000017</v>
      </c>
      <c r="N557" s="11">
        <f t="shared" si="26"/>
        <v>9</v>
      </c>
    </row>
    <row r="558" spans="1:14" x14ac:dyDescent="0.25">
      <c r="A558" s="11" t="s">
        <v>0</v>
      </c>
      <c r="B558" s="12">
        <v>45173</v>
      </c>
      <c r="C558" s="11" t="s">
        <v>688</v>
      </c>
      <c r="D558" s="11" t="s">
        <v>696</v>
      </c>
      <c r="E558" s="13" t="s">
        <v>86</v>
      </c>
      <c r="F558" s="14" t="s">
        <v>62</v>
      </c>
      <c r="G558" s="14" t="s">
        <v>174</v>
      </c>
      <c r="H558" s="15">
        <v>1</v>
      </c>
      <c r="I558" s="11" t="b">
        <f t="shared" si="24"/>
        <v>0</v>
      </c>
      <c r="K558" s="16">
        <v>1000</v>
      </c>
      <c r="M558" s="17">
        <f t="shared" si="25"/>
        <v>66044.62000000017</v>
      </c>
      <c r="N558" s="11">
        <f t="shared" si="26"/>
        <v>9</v>
      </c>
    </row>
    <row r="559" spans="1:14" x14ac:dyDescent="0.25">
      <c r="A559" s="11" t="s">
        <v>0</v>
      </c>
      <c r="B559" s="12">
        <v>45173</v>
      </c>
      <c r="C559" s="11" t="s">
        <v>688</v>
      </c>
      <c r="D559" s="11" t="s">
        <v>692</v>
      </c>
      <c r="E559" s="13" t="s">
        <v>725</v>
      </c>
      <c r="F559" s="14" t="s">
        <v>27</v>
      </c>
      <c r="G559" s="14" t="s">
        <v>404</v>
      </c>
      <c r="H559" s="15">
        <v>24266</v>
      </c>
      <c r="I559" s="11">
        <f t="shared" si="24"/>
        <v>5</v>
      </c>
      <c r="K559" s="16">
        <v>1215.32</v>
      </c>
      <c r="M559" s="17">
        <f t="shared" si="25"/>
        <v>64829.30000000017</v>
      </c>
      <c r="N559" s="11">
        <f t="shared" si="26"/>
        <v>9</v>
      </c>
    </row>
    <row r="560" spans="1:14" ht="26.4" x14ac:dyDescent="0.25">
      <c r="A560" s="11" t="s">
        <v>0</v>
      </c>
      <c r="B560" s="12">
        <v>45173</v>
      </c>
      <c r="C560" s="11" t="s">
        <v>688</v>
      </c>
      <c r="D560" s="11" t="s">
        <v>692</v>
      </c>
      <c r="E560" s="13" t="s">
        <v>725</v>
      </c>
      <c r="F560" s="14" t="s">
        <v>27</v>
      </c>
      <c r="G560" s="14" t="s">
        <v>404</v>
      </c>
      <c r="H560" s="15" t="s">
        <v>106</v>
      </c>
      <c r="I560" s="11">
        <f t="shared" si="24"/>
        <v>5</v>
      </c>
      <c r="K560" s="16">
        <v>260.45999999999998</v>
      </c>
      <c r="M560" s="17">
        <f t="shared" si="25"/>
        <v>64568.840000000171</v>
      </c>
      <c r="N560" s="11">
        <f t="shared" si="26"/>
        <v>9</v>
      </c>
    </row>
    <row r="561" spans="1:14" x14ac:dyDescent="0.25">
      <c r="A561" s="11" t="s">
        <v>207</v>
      </c>
      <c r="B561" s="12">
        <v>45173</v>
      </c>
      <c r="C561" s="11" t="s">
        <v>688</v>
      </c>
      <c r="D561" s="11" t="s">
        <v>43</v>
      </c>
      <c r="E561" s="13" t="s">
        <v>14</v>
      </c>
      <c r="F561" s="14" t="s">
        <v>13</v>
      </c>
      <c r="G561" s="14" t="s">
        <v>400</v>
      </c>
      <c r="I561" s="11">
        <f t="shared" si="24"/>
        <v>2</v>
      </c>
      <c r="J561" s="16">
        <v>280.61</v>
      </c>
      <c r="M561" s="17">
        <f t="shared" si="25"/>
        <v>64849.450000000172</v>
      </c>
      <c r="N561" s="11">
        <f t="shared" si="26"/>
        <v>9</v>
      </c>
    </row>
    <row r="562" spans="1:14" x14ac:dyDescent="0.25">
      <c r="A562" s="11" t="s">
        <v>207</v>
      </c>
      <c r="B562" s="12">
        <v>45173</v>
      </c>
      <c r="C562" s="11" t="s">
        <v>688</v>
      </c>
      <c r="D562" s="11" t="s">
        <v>43</v>
      </c>
      <c r="E562" s="13" t="s">
        <v>14</v>
      </c>
      <c r="F562" s="14" t="s">
        <v>13</v>
      </c>
      <c r="G562" s="14" t="s">
        <v>400</v>
      </c>
      <c r="I562" s="11">
        <f t="shared" si="24"/>
        <v>2</v>
      </c>
      <c r="J562" s="16">
        <v>326.67</v>
      </c>
      <c r="M562" s="17">
        <f t="shared" si="25"/>
        <v>65176.12000000017</v>
      </c>
      <c r="N562" s="11">
        <f t="shared" si="26"/>
        <v>9</v>
      </c>
    </row>
    <row r="563" spans="1:14" x14ac:dyDescent="0.25">
      <c r="A563" s="11" t="s">
        <v>207</v>
      </c>
      <c r="B563" s="12">
        <v>45173</v>
      </c>
      <c r="C563" s="11" t="s">
        <v>688</v>
      </c>
      <c r="D563" s="11" t="s">
        <v>43</v>
      </c>
      <c r="E563" s="13" t="s">
        <v>14</v>
      </c>
      <c r="F563" s="14" t="s">
        <v>13</v>
      </c>
      <c r="G563" s="14" t="s">
        <v>400</v>
      </c>
      <c r="I563" s="11">
        <f t="shared" si="24"/>
        <v>2</v>
      </c>
      <c r="J563" s="16">
        <v>861.15</v>
      </c>
      <c r="M563" s="17">
        <f t="shared" si="25"/>
        <v>66037.270000000164</v>
      </c>
      <c r="N563" s="11">
        <f t="shared" si="26"/>
        <v>9</v>
      </c>
    </row>
    <row r="564" spans="1:14" x14ac:dyDescent="0.25">
      <c r="A564" s="11" t="s">
        <v>207</v>
      </c>
      <c r="B564" s="12">
        <v>45173</v>
      </c>
      <c r="C564" s="11" t="s">
        <v>688</v>
      </c>
      <c r="D564" s="11" t="s">
        <v>43</v>
      </c>
      <c r="E564" s="13" t="s">
        <v>14</v>
      </c>
      <c r="F564" s="14" t="s">
        <v>13</v>
      </c>
      <c r="G564" s="14" t="s">
        <v>400</v>
      </c>
      <c r="I564" s="11">
        <f t="shared" si="24"/>
        <v>2</v>
      </c>
      <c r="J564" s="16">
        <v>214.98</v>
      </c>
      <c r="M564" s="17">
        <f t="shared" si="25"/>
        <v>66252.25000000016</v>
      </c>
      <c r="N564" s="11">
        <f t="shared" si="26"/>
        <v>9</v>
      </c>
    </row>
    <row r="565" spans="1:14" x14ac:dyDescent="0.25">
      <c r="A565" s="11" t="s">
        <v>207</v>
      </c>
      <c r="B565" s="12">
        <v>45173</v>
      </c>
      <c r="C565" s="11" t="s">
        <v>688</v>
      </c>
      <c r="D565" s="11" t="s">
        <v>43</v>
      </c>
      <c r="E565" s="13" t="s">
        <v>14</v>
      </c>
      <c r="F565" s="14" t="s">
        <v>13</v>
      </c>
      <c r="G565" s="14" t="s">
        <v>400</v>
      </c>
      <c r="I565" s="11">
        <f t="shared" si="24"/>
        <v>2</v>
      </c>
      <c r="J565" s="16">
        <v>298.32</v>
      </c>
      <c r="M565" s="17">
        <f t="shared" si="25"/>
        <v>66550.570000000167</v>
      </c>
      <c r="N565" s="11">
        <f t="shared" si="26"/>
        <v>9</v>
      </c>
    </row>
    <row r="566" spans="1:14" x14ac:dyDescent="0.25">
      <c r="A566" s="11" t="s">
        <v>207</v>
      </c>
      <c r="B566" s="12">
        <v>45173</v>
      </c>
      <c r="C566" s="11" t="s">
        <v>688</v>
      </c>
      <c r="D566" s="11" t="s">
        <v>43</v>
      </c>
      <c r="E566" s="13" t="s">
        <v>14</v>
      </c>
      <c r="F566" s="14" t="s">
        <v>13</v>
      </c>
      <c r="G566" s="14" t="s">
        <v>400</v>
      </c>
      <c r="I566" s="11">
        <f t="shared" si="24"/>
        <v>2</v>
      </c>
      <c r="J566" s="16">
        <v>644.30999999999995</v>
      </c>
      <c r="M566" s="17">
        <f t="shared" si="25"/>
        <v>67194.880000000165</v>
      </c>
      <c r="N566" s="11">
        <f t="shared" si="26"/>
        <v>9</v>
      </c>
    </row>
    <row r="567" spans="1:14" x14ac:dyDescent="0.25">
      <c r="A567" s="11" t="s">
        <v>207</v>
      </c>
      <c r="B567" s="12">
        <v>45173</v>
      </c>
      <c r="C567" s="11" t="s">
        <v>688</v>
      </c>
      <c r="D567" s="11" t="s">
        <v>43</v>
      </c>
      <c r="E567" s="13" t="s">
        <v>14</v>
      </c>
      <c r="F567" s="14" t="s">
        <v>13</v>
      </c>
      <c r="G567" s="14" t="s">
        <v>400</v>
      </c>
      <c r="I567" s="11">
        <f t="shared" si="24"/>
        <v>2</v>
      </c>
      <c r="J567" s="16">
        <v>867.4</v>
      </c>
      <c r="M567" s="17">
        <f t="shared" si="25"/>
        <v>68062.280000000159</v>
      </c>
      <c r="N567" s="11">
        <f t="shared" si="26"/>
        <v>9</v>
      </c>
    </row>
    <row r="568" spans="1:14" x14ac:dyDescent="0.25">
      <c r="A568" s="11" t="s">
        <v>207</v>
      </c>
      <c r="B568" s="12">
        <v>45173</v>
      </c>
      <c r="C568" s="11" t="s">
        <v>662</v>
      </c>
      <c r="D568" s="11" t="s">
        <v>43</v>
      </c>
      <c r="E568" s="13" t="s">
        <v>14</v>
      </c>
      <c r="F568" s="14" t="s">
        <v>13</v>
      </c>
      <c r="G568" s="14" t="s">
        <v>400</v>
      </c>
      <c r="I568" s="11">
        <f t="shared" si="24"/>
        <v>2</v>
      </c>
      <c r="J568" s="16">
        <v>700</v>
      </c>
      <c r="M568" s="17">
        <f t="shared" si="25"/>
        <v>68762.280000000159</v>
      </c>
      <c r="N568" s="11">
        <f t="shared" si="26"/>
        <v>9</v>
      </c>
    </row>
    <row r="569" spans="1:14" x14ac:dyDescent="0.25">
      <c r="A569" s="11" t="s">
        <v>207</v>
      </c>
      <c r="B569" s="12">
        <v>45173</v>
      </c>
      <c r="C569" s="11" t="s">
        <v>688</v>
      </c>
      <c r="D569" s="11" t="s">
        <v>43</v>
      </c>
      <c r="E569" s="13" t="s">
        <v>14</v>
      </c>
      <c r="F569" s="14" t="s">
        <v>13</v>
      </c>
      <c r="G569" s="14" t="s">
        <v>400</v>
      </c>
      <c r="I569" s="11">
        <f t="shared" si="24"/>
        <v>2</v>
      </c>
      <c r="J569" s="16">
        <v>97.48</v>
      </c>
      <c r="M569" s="17">
        <f t="shared" si="25"/>
        <v>68859.760000000155</v>
      </c>
      <c r="N569" s="11">
        <f t="shared" si="26"/>
        <v>9</v>
      </c>
    </row>
    <row r="570" spans="1:14" x14ac:dyDescent="0.25">
      <c r="A570" s="11" t="s">
        <v>207</v>
      </c>
      <c r="B570" s="12">
        <v>45173</v>
      </c>
      <c r="C570" s="11" t="s">
        <v>688</v>
      </c>
      <c r="D570" s="11" t="s">
        <v>43</v>
      </c>
      <c r="E570" s="13" t="s">
        <v>14</v>
      </c>
      <c r="F570" s="14" t="s">
        <v>13</v>
      </c>
      <c r="G570" s="14" t="s">
        <v>400</v>
      </c>
      <c r="I570" s="11">
        <f t="shared" si="24"/>
        <v>2</v>
      </c>
      <c r="J570" s="16">
        <v>374.14</v>
      </c>
      <c r="M570" s="17">
        <f t="shared" si="25"/>
        <v>69233.900000000154</v>
      </c>
      <c r="N570" s="11">
        <f t="shared" si="26"/>
        <v>9</v>
      </c>
    </row>
    <row r="571" spans="1:14" x14ac:dyDescent="0.25">
      <c r="A571" s="11" t="s">
        <v>207</v>
      </c>
      <c r="B571" s="12">
        <v>45173</v>
      </c>
      <c r="C571" s="11" t="s">
        <v>688</v>
      </c>
      <c r="D571" s="11" t="s">
        <v>43</v>
      </c>
      <c r="E571" s="13" t="s">
        <v>14</v>
      </c>
      <c r="F571" s="14" t="s">
        <v>13</v>
      </c>
      <c r="G571" s="14" t="s">
        <v>400</v>
      </c>
      <c r="I571" s="11">
        <f t="shared" si="24"/>
        <v>2</v>
      </c>
      <c r="J571" s="16">
        <v>1631.93</v>
      </c>
      <c r="M571" s="17">
        <f t="shared" si="25"/>
        <v>70865.830000000147</v>
      </c>
      <c r="N571" s="11">
        <f t="shared" si="26"/>
        <v>9</v>
      </c>
    </row>
    <row r="572" spans="1:14" x14ac:dyDescent="0.25">
      <c r="A572" s="11" t="s">
        <v>207</v>
      </c>
      <c r="B572" s="12">
        <v>45173</v>
      </c>
      <c r="C572" s="11" t="s">
        <v>688</v>
      </c>
      <c r="D572" s="11" t="s">
        <v>43</v>
      </c>
      <c r="E572" s="13" t="s">
        <v>14</v>
      </c>
      <c r="F572" s="14" t="s">
        <v>13</v>
      </c>
      <c r="G572" s="14" t="s">
        <v>400</v>
      </c>
      <c r="I572" s="11">
        <f t="shared" si="24"/>
        <v>2</v>
      </c>
      <c r="J572" s="16">
        <v>1261.76</v>
      </c>
      <c r="M572" s="17">
        <f t="shared" si="25"/>
        <v>72127.590000000142</v>
      </c>
      <c r="N572" s="11">
        <f t="shared" si="26"/>
        <v>9</v>
      </c>
    </row>
    <row r="573" spans="1:14" x14ac:dyDescent="0.25">
      <c r="A573" s="11" t="s">
        <v>207</v>
      </c>
      <c r="B573" s="12">
        <v>45173</v>
      </c>
      <c r="C573" s="11" t="s">
        <v>688</v>
      </c>
      <c r="D573" s="11" t="s">
        <v>43</v>
      </c>
      <c r="E573" s="13" t="s">
        <v>14</v>
      </c>
      <c r="F573" s="14" t="s">
        <v>13</v>
      </c>
      <c r="G573" s="14" t="s">
        <v>400</v>
      </c>
      <c r="I573" s="11">
        <f t="shared" si="24"/>
        <v>2</v>
      </c>
      <c r="J573" s="16">
        <v>313.57</v>
      </c>
      <c r="M573" s="17">
        <f t="shared" si="25"/>
        <v>72441.160000000149</v>
      </c>
      <c r="N573" s="11">
        <f t="shared" si="26"/>
        <v>9</v>
      </c>
    </row>
    <row r="574" spans="1:14" x14ac:dyDescent="0.25">
      <c r="A574" s="11" t="s">
        <v>207</v>
      </c>
      <c r="B574" s="12">
        <v>45173</v>
      </c>
      <c r="C574" s="11" t="s">
        <v>688</v>
      </c>
      <c r="D574" s="11" t="s">
        <v>43</v>
      </c>
      <c r="E574" s="13" t="s">
        <v>14</v>
      </c>
      <c r="F574" s="14" t="s">
        <v>13</v>
      </c>
      <c r="G574" s="14" t="s">
        <v>400</v>
      </c>
      <c r="I574" s="11">
        <f t="shared" si="24"/>
        <v>2</v>
      </c>
      <c r="J574" s="16">
        <v>21.53</v>
      </c>
      <c r="M574" s="17">
        <f t="shared" si="25"/>
        <v>72462.690000000148</v>
      </c>
      <c r="N574" s="11">
        <f t="shared" si="26"/>
        <v>9</v>
      </c>
    </row>
    <row r="575" spans="1:14" x14ac:dyDescent="0.25">
      <c r="A575" s="11" t="s">
        <v>207</v>
      </c>
      <c r="B575" s="12">
        <v>45173</v>
      </c>
      <c r="C575" s="11" t="s">
        <v>688</v>
      </c>
      <c r="D575" s="11" t="s">
        <v>43</v>
      </c>
      <c r="E575" s="13" t="s">
        <v>14</v>
      </c>
      <c r="F575" s="14" t="s">
        <v>13</v>
      </c>
      <c r="G575" s="14" t="s">
        <v>400</v>
      </c>
      <c r="I575" s="11">
        <f t="shared" si="24"/>
        <v>2</v>
      </c>
      <c r="J575" s="16">
        <v>107.79</v>
      </c>
      <c r="M575" s="17">
        <f t="shared" si="25"/>
        <v>72570.480000000141</v>
      </c>
      <c r="N575" s="11">
        <f t="shared" si="26"/>
        <v>9</v>
      </c>
    </row>
    <row r="576" spans="1:14" x14ac:dyDescent="0.25">
      <c r="A576" s="11" t="s">
        <v>207</v>
      </c>
      <c r="B576" s="12">
        <v>45173</v>
      </c>
      <c r="C576" s="11" t="s">
        <v>688</v>
      </c>
      <c r="D576" s="11" t="s">
        <v>43</v>
      </c>
      <c r="E576" s="13" t="s">
        <v>80</v>
      </c>
      <c r="F576" s="14" t="s">
        <v>79</v>
      </c>
      <c r="G576" s="14" t="s">
        <v>400</v>
      </c>
      <c r="I576" s="11">
        <f t="shared" si="24"/>
        <v>2</v>
      </c>
      <c r="J576" s="16">
        <v>11386.02</v>
      </c>
      <c r="M576" s="17">
        <f t="shared" si="25"/>
        <v>83956.500000000146</v>
      </c>
      <c r="N576" s="11">
        <f t="shared" si="26"/>
        <v>9</v>
      </c>
    </row>
    <row r="577" spans="1:14" x14ac:dyDescent="0.25">
      <c r="A577" s="11" t="s">
        <v>207</v>
      </c>
      <c r="B577" s="12">
        <v>45173</v>
      </c>
      <c r="C577" s="11" t="s">
        <v>688</v>
      </c>
      <c r="D577" s="11" t="s">
        <v>43</v>
      </c>
      <c r="E577" s="13" t="s">
        <v>81</v>
      </c>
      <c r="F577" s="14" t="s">
        <v>79</v>
      </c>
      <c r="G577" s="14" t="s">
        <v>400</v>
      </c>
      <c r="I577" s="11">
        <f t="shared" si="24"/>
        <v>2</v>
      </c>
      <c r="J577" s="16">
        <v>8840.83</v>
      </c>
      <c r="M577" s="17">
        <f t="shared" si="25"/>
        <v>92797.330000000147</v>
      </c>
      <c r="N577" s="11">
        <f t="shared" si="26"/>
        <v>9</v>
      </c>
    </row>
    <row r="578" spans="1:14" x14ac:dyDescent="0.25">
      <c r="A578" s="11" t="s">
        <v>207</v>
      </c>
      <c r="B578" s="12">
        <v>45173</v>
      </c>
      <c r="C578" s="11" t="s">
        <v>688</v>
      </c>
      <c r="D578" s="11" t="s">
        <v>43</v>
      </c>
      <c r="E578" s="13" t="s">
        <v>82</v>
      </c>
      <c r="F578" s="14" t="s">
        <v>79</v>
      </c>
      <c r="G578" s="14" t="s">
        <v>400</v>
      </c>
      <c r="I578" s="11">
        <f t="shared" si="24"/>
        <v>2</v>
      </c>
      <c r="J578" s="16">
        <v>898.4</v>
      </c>
      <c r="M578" s="17">
        <f t="shared" si="25"/>
        <v>93695.730000000141</v>
      </c>
      <c r="N578" s="11">
        <f t="shared" si="26"/>
        <v>9</v>
      </c>
    </row>
    <row r="579" spans="1:14" x14ac:dyDescent="0.25">
      <c r="A579" s="11" t="s">
        <v>207</v>
      </c>
      <c r="B579" s="12">
        <v>45173</v>
      </c>
      <c r="C579" s="11" t="s">
        <v>688</v>
      </c>
      <c r="D579" s="11" t="s">
        <v>43</v>
      </c>
      <c r="E579" s="13" t="s">
        <v>83</v>
      </c>
      <c r="F579" s="14" t="s">
        <v>79</v>
      </c>
      <c r="G579" s="14" t="s">
        <v>400</v>
      </c>
      <c r="I579" s="11">
        <f t="shared" si="24"/>
        <v>2</v>
      </c>
      <c r="J579" s="16">
        <v>744.2</v>
      </c>
      <c r="M579" s="17">
        <f t="shared" ref="M579:M642" si="27">IF(B579=0, "",M578+ J579-K579)</f>
        <v>94439.930000000139</v>
      </c>
      <c r="N579" s="11">
        <f t="shared" ref="N579:N642" si="28">IF(B579=0, "", MONTH(B579))</f>
        <v>9</v>
      </c>
    </row>
    <row r="580" spans="1:14" x14ac:dyDescent="0.25">
      <c r="A580" s="11" t="s">
        <v>0</v>
      </c>
      <c r="B580" s="12">
        <v>45173</v>
      </c>
      <c r="C580" s="11" t="s">
        <v>688</v>
      </c>
      <c r="D580" s="11" t="s">
        <v>699</v>
      </c>
      <c r="E580" s="13" t="s">
        <v>98</v>
      </c>
      <c r="F580" s="14" t="s">
        <v>206</v>
      </c>
      <c r="G580" s="14" t="s">
        <v>404</v>
      </c>
      <c r="H580" s="15">
        <v>7384</v>
      </c>
      <c r="I580" s="11">
        <f t="shared" ref="I580:I643" si="29">IF(AND(G580="MERCADO PAGO",A580="FATURAMENTO"),1,IF(AND(OR(G580="MERCADO PAGO",G580="pix mercado pago",G580= "débito automático mercado pago", G580= "boleto mercado pago"),A580="DESPESAS"),4,IF(AND(G580="SAFRA",A580="FATURAMENTO"),2,IF(AND(OR(G580="SAFRA",G580="PIX SAFRA", G580="DÉBITO AUTOMÁTICO SAFRA", G580= "BOLETO SAFRA", G580= "transferência safra"), A580="DESPESAS"),5,IF(AND(G580="espécie",A580="FATURAMENTO"),3,IF(AND(G580="espécie",A580="DESPESAS"),6))))))</f>
        <v>5</v>
      </c>
      <c r="K580" s="16">
        <v>305.04000000000002</v>
      </c>
      <c r="M580" s="17">
        <f t="shared" si="27"/>
        <v>94134.890000000145</v>
      </c>
      <c r="N580" s="11">
        <f t="shared" si="28"/>
        <v>9</v>
      </c>
    </row>
    <row r="581" spans="1:14" x14ac:dyDescent="0.25">
      <c r="A581" s="11" t="s">
        <v>0</v>
      </c>
      <c r="B581" s="12">
        <v>45173</v>
      </c>
      <c r="C581" s="11" t="s">
        <v>688</v>
      </c>
      <c r="D581" s="11" t="s">
        <v>697</v>
      </c>
      <c r="E581" s="13" t="s">
        <v>171</v>
      </c>
      <c r="F581" s="62" t="s">
        <v>721</v>
      </c>
      <c r="G581" s="14" t="s">
        <v>404</v>
      </c>
      <c r="I581" s="11">
        <f t="shared" si="29"/>
        <v>5</v>
      </c>
      <c r="K581" s="16">
        <v>57.5</v>
      </c>
      <c r="M581" s="17">
        <f t="shared" si="27"/>
        <v>94077.390000000145</v>
      </c>
      <c r="N581" s="11">
        <f t="shared" si="28"/>
        <v>9</v>
      </c>
    </row>
    <row r="582" spans="1:14" x14ac:dyDescent="0.25">
      <c r="A582" s="11" t="s">
        <v>0</v>
      </c>
      <c r="B582" s="12">
        <v>45173</v>
      </c>
      <c r="C582" s="11" t="s">
        <v>688</v>
      </c>
      <c r="D582" s="11" t="s">
        <v>47</v>
      </c>
      <c r="E582" s="13" t="s">
        <v>99</v>
      </c>
      <c r="F582" s="14" t="s">
        <v>308</v>
      </c>
      <c r="G582" s="14" t="s">
        <v>404</v>
      </c>
      <c r="H582" s="15">
        <v>1</v>
      </c>
      <c r="I582" s="11">
        <f t="shared" si="29"/>
        <v>5</v>
      </c>
      <c r="K582" s="16">
        <v>500</v>
      </c>
      <c r="M582" s="17">
        <f t="shared" si="27"/>
        <v>93577.390000000145</v>
      </c>
      <c r="N582" s="11">
        <f t="shared" si="28"/>
        <v>9</v>
      </c>
    </row>
    <row r="583" spans="1:14" x14ac:dyDescent="0.25">
      <c r="A583" s="11" t="s">
        <v>0</v>
      </c>
      <c r="B583" s="12">
        <v>45173</v>
      </c>
      <c r="C583" s="11" t="s">
        <v>688</v>
      </c>
      <c r="D583" s="11" t="s">
        <v>47</v>
      </c>
      <c r="E583" s="13" t="s">
        <v>101</v>
      </c>
      <c r="F583" s="14" t="s">
        <v>100</v>
      </c>
      <c r="G583" s="14" t="s">
        <v>404</v>
      </c>
      <c r="H583" s="15">
        <v>1</v>
      </c>
      <c r="I583" s="11">
        <f t="shared" si="29"/>
        <v>5</v>
      </c>
      <c r="K583" s="16">
        <v>250</v>
      </c>
      <c r="M583" s="17">
        <f t="shared" si="27"/>
        <v>93327.390000000145</v>
      </c>
      <c r="N583" s="11">
        <f t="shared" si="28"/>
        <v>9</v>
      </c>
    </row>
    <row r="584" spans="1:14" x14ac:dyDescent="0.25">
      <c r="A584" s="11" t="s">
        <v>0</v>
      </c>
      <c r="B584" s="12">
        <v>45173</v>
      </c>
      <c r="C584" s="11" t="s">
        <v>688</v>
      </c>
      <c r="D584" s="11" t="s">
        <v>692</v>
      </c>
      <c r="E584" s="13" t="s">
        <v>143</v>
      </c>
      <c r="F584" s="14" t="s">
        <v>36</v>
      </c>
      <c r="G584" s="14" t="s">
        <v>403</v>
      </c>
      <c r="H584" s="15">
        <v>208761</v>
      </c>
      <c r="I584" s="11">
        <f t="shared" si="29"/>
        <v>5</v>
      </c>
      <c r="K584" s="16">
        <v>890.67</v>
      </c>
      <c r="M584" s="17">
        <f t="shared" si="27"/>
        <v>92436.720000000147</v>
      </c>
      <c r="N584" s="11">
        <f t="shared" si="28"/>
        <v>9</v>
      </c>
    </row>
    <row r="585" spans="1:14" x14ac:dyDescent="0.25">
      <c r="A585" s="11" t="s">
        <v>0</v>
      </c>
      <c r="B585" s="12">
        <v>45173</v>
      </c>
      <c r="C585" s="11" t="s">
        <v>688</v>
      </c>
      <c r="D585" s="11" t="s">
        <v>701</v>
      </c>
      <c r="E585" s="13" t="s">
        <v>180</v>
      </c>
      <c r="F585" s="14" t="s">
        <v>37</v>
      </c>
      <c r="G585" s="14" t="s">
        <v>404</v>
      </c>
      <c r="H585" s="15" t="s">
        <v>102</v>
      </c>
      <c r="I585" s="11">
        <f t="shared" si="29"/>
        <v>5</v>
      </c>
      <c r="K585" s="16">
        <v>402</v>
      </c>
      <c r="M585" s="17">
        <f t="shared" si="27"/>
        <v>92034.720000000147</v>
      </c>
      <c r="N585" s="11">
        <f t="shared" si="28"/>
        <v>9</v>
      </c>
    </row>
    <row r="586" spans="1:14" x14ac:dyDescent="0.25">
      <c r="A586" s="11" t="s">
        <v>0</v>
      </c>
      <c r="B586" s="12">
        <v>45173</v>
      </c>
      <c r="C586" s="11" t="s">
        <v>688</v>
      </c>
      <c r="D586" s="11" t="s">
        <v>692</v>
      </c>
      <c r="E586" s="13" t="s">
        <v>725</v>
      </c>
      <c r="F586" s="14" t="s">
        <v>27</v>
      </c>
      <c r="G586" s="14" t="s">
        <v>404</v>
      </c>
      <c r="H586" s="15">
        <v>13180</v>
      </c>
      <c r="I586" s="11">
        <f t="shared" si="29"/>
        <v>5</v>
      </c>
      <c r="K586" s="16">
        <v>239.66</v>
      </c>
      <c r="M586" s="17">
        <f t="shared" si="27"/>
        <v>91795.060000000143</v>
      </c>
      <c r="N586" s="11">
        <f t="shared" si="28"/>
        <v>9</v>
      </c>
    </row>
    <row r="587" spans="1:14" x14ac:dyDescent="0.25">
      <c r="A587" s="11" t="s">
        <v>0</v>
      </c>
      <c r="B587" s="12">
        <v>45173</v>
      </c>
      <c r="C587" s="11" t="s">
        <v>688</v>
      </c>
      <c r="D587" s="11" t="s">
        <v>692</v>
      </c>
      <c r="E587" s="13" t="s">
        <v>267</v>
      </c>
      <c r="F587" s="14" t="s">
        <v>104</v>
      </c>
      <c r="G587" s="14" t="s">
        <v>404</v>
      </c>
      <c r="H587" s="15">
        <v>1</v>
      </c>
      <c r="I587" s="11">
        <f t="shared" si="29"/>
        <v>5</v>
      </c>
      <c r="K587" s="16">
        <v>910</v>
      </c>
      <c r="M587" s="17">
        <f t="shared" si="27"/>
        <v>90885.060000000143</v>
      </c>
      <c r="N587" s="11">
        <f t="shared" si="28"/>
        <v>9</v>
      </c>
    </row>
    <row r="588" spans="1:14" x14ac:dyDescent="0.25">
      <c r="A588" s="11" t="s">
        <v>0</v>
      </c>
      <c r="B588" s="12">
        <v>45173</v>
      </c>
      <c r="C588" s="11" t="s">
        <v>688</v>
      </c>
      <c r="D588" s="11" t="s">
        <v>694</v>
      </c>
      <c r="E588" s="13" t="s">
        <v>182</v>
      </c>
      <c r="F588" s="14" t="s">
        <v>93</v>
      </c>
      <c r="G588" s="14" t="s">
        <v>186</v>
      </c>
      <c r="I588" s="11" t="b">
        <f t="shared" si="29"/>
        <v>0</v>
      </c>
      <c r="K588" s="16">
        <v>24.15</v>
      </c>
      <c r="M588" s="17">
        <f t="shared" si="27"/>
        <v>90860.910000000149</v>
      </c>
      <c r="N588" s="11">
        <f t="shared" si="28"/>
        <v>9</v>
      </c>
    </row>
    <row r="589" spans="1:14" x14ac:dyDescent="0.25">
      <c r="A589" s="11" t="s">
        <v>0</v>
      </c>
      <c r="B589" s="12">
        <v>45173</v>
      </c>
      <c r="C589" s="11" t="s">
        <v>688</v>
      </c>
      <c r="D589" s="11" t="s">
        <v>694</v>
      </c>
      <c r="E589" s="13" t="s">
        <v>182</v>
      </c>
      <c r="F589" s="14" t="s">
        <v>23</v>
      </c>
      <c r="G589" s="14" t="s">
        <v>186</v>
      </c>
      <c r="I589" s="11" t="b">
        <f t="shared" si="29"/>
        <v>0</v>
      </c>
      <c r="K589" s="16">
        <v>61.04</v>
      </c>
      <c r="M589" s="17">
        <f t="shared" si="27"/>
        <v>90799.870000000155</v>
      </c>
      <c r="N589" s="11">
        <f t="shared" si="28"/>
        <v>9</v>
      </c>
    </row>
    <row r="590" spans="1:14" x14ac:dyDescent="0.25">
      <c r="A590" s="11" t="s">
        <v>207</v>
      </c>
      <c r="B590" s="12">
        <v>45173</v>
      </c>
      <c r="C590" s="11" t="s">
        <v>688</v>
      </c>
      <c r="D590" s="11" t="s">
        <v>43</v>
      </c>
      <c r="E590" s="13" t="s">
        <v>95</v>
      </c>
      <c r="F590" s="14" t="s">
        <v>105</v>
      </c>
      <c r="G590" s="14" t="s">
        <v>400</v>
      </c>
      <c r="I590" s="11">
        <f t="shared" si="29"/>
        <v>2</v>
      </c>
      <c r="J590" s="16">
        <v>3531.59</v>
      </c>
      <c r="M590" s="17">
        <f t="shared" si="27"/>
        <v>94331.460000000152</v>
      </c>
      <c r="N590" s="11">
        <f t="shared" si="28"/>
        <v>9</v>
      </c>
    </row>
    <row r="591" spans="1:14" x14ac:dyDescent="0.25">
      <c r="A591" s="11" t="s">
        <v>207</v>
      </c>
      <c r="B591" s="12">
        <v>45173</v>
      </c>
      <c r="C591" s="11" t="s">
        <v>688</v>
      </c>
      <c r="D591" s="11" t="s">
        <v>43</v>
      </c>
      <c r="E591" s="14" t="s">
        <v>288</v>
      </c>
      <c r="F591" s="14" t="s">
        <v>288</v>
      </c>
      <c r="G591" s="14" t="s">
        <v>173</v>
      </c>
      <c r="I591" s="11">
        <f t="shared" si="29"/>
        <v>3</v>
      </c>
      <c r="J591" s="16">
        <v>925</v>
      </c>
      <c r="M591" s="17">
        <f t="shared" si="27"/>
        <v>95256.460000000152</v>
      </c>
      <c r="N591" s="11">
        <f t="shared" si="28"/>
        <v>9</v>
      </c>
    </row>
    <row r="592" spans="1:14" x14ac:dyDescent="0.25">
      <c r="A592" s="11" t="s">
        <v>207</v>
      </c>
      <c r="B592" s="12">
        <v>45174</v>
      </c>
      <c r="C592" s="11" t="s">
        <v>688</v>
      </c>
      <c r="D592" s="11" t="s">
        <v>43</v>
      </c>
      <c r="E592" s="13" t="s">
        <v>14</v>
      </c>
      <c r="F592" s="14" t="s">
        <v>13</v>
      </c>
      <c r="G592" s="14" t="s">
        <v>400</v>
      </c>
      <c r="I592" s="11">
        <f t="shared" si="29"/>
        <v>2</v>
      </c>
      <c r="J592" s="16">
        <v>91.61</v>
      </c>
      <c r="M592" s="17">
        <f t="shared" si="27"/>
        <v>95348.070000000153</v>
      </c>
      <c r="N592" s="11">
        <f t="shared" si="28"/>
        <v>9</v>
      </c>
    </row>
    <row r="593" spans="1:14" x14ac:dyDescent="0.25">
      <c r="A593" s="11" t="s">
        <v>207</v>
      </c>
      <c r="B593" s="12">
        <v>45174</v>
      </c>
      <c r="C593" s="11" t="s">
        <v>688</v>
      </c>
      <c r="D593" s="11" t="s">
        <v>43</v>
      </c>
      <c r="E593" s="13" t="s">
        <v>14</v>
      </c>
      <c r="F593" s="14" t="s">
        <v>13</v>
      </c>
      <c r="G593" s="14" t="s">
        <v>400</v>
      </c>
      <c r="I593" s="11">
        <f t="shared" si="29"/>
        <v>2</v>
      </c>
      <c r="J593" s="16">
        <v>86.22</v>
      </c>
      <c r="M593" s="17">
        <f t="shared" si="27"/>
        <v>95434.290000000154</v>
      </c>
      <c r="N593" s="11">
        <f t="shared" si="28"/>
        <v>9</v>
      </c>
    </row>
    <row r="594" spans="1:14" x14ac:dyDescent="0.25">
      <c r="A594" s="11" t="s">
        <v>207</v>
      </c>
      <c r="B594" s="12">
        <v>45174</v>
      </c>
      <c r="C594" s="11" t="s">
        <v>688</v>
      </c>
      <c r="D594" s="11" t="s">
        <v>43</v>
      </c>
      <c r="E594" s="13" t="s">
        <v>14</v>
      </c>
      <c r="F594" s="14" t="s">
        <v>13</v>
      </c>
      <c r="G594" s="14" t="s">
        <v>400</v>
      </c>
      <c r="I594" s="11">
        <f t="shared" si="29"/>
        <v>2</v>
      </c>
      <c r="J594" s="16">
        <v>42.03</v>
      </c>
      <c r="M594" s="17">
        <f t="shared" si="27"/>
        <v>95476.320000000153</v>
      </c>
      <c r="N594" s="11">
        <f t="shared" si="28"/>
        <v>9</v>
      </c>
    </row>
    <row r="595" spans="1:14" x14ac:dyDescent="0.25">
      <c r="A595" s="11" t="s">
        <v>207</v>
      </c>
      <c r="B595" s="12">
        <v>45174</v>
      </c>
      <c r="C595" s="11" t="s">
        <v>688</v>
      </c>
      <c r="D595" s="11" t="s">
        <v>43</v>
      </c>
      <c r="E595" s="13" t="s">
        <v>14</v>
      </c>
      <c r="F595" s="14" t="s">
        <v>13</v>
      </c>
      <c r="G595" s="14" t="s">
        <v>400</v>
      </c>
      <c r="I595" s="11">
        <f t="shared" si="29"/>
        <v>2</v>
      </c>
      <c r="J595" s="16">
        <v>85.14</v>
      </c>
      <c r="M595" s="17">
        <f t="shared" si="27"/>
        <v>95561.460000000152</v>
      </c>
      <c r="N595" s="11">
        <f t="shared" si="28"/>
        <v>9</v>
      </c>
    </row>
    <row r="596" spans="1:14" x14ac:dyDescent="0.25">
      <c r="A596" s="11" t="s">
        <v>207</v>
      </c>
      <c r="B596" s="12">
        <v>45174</v>
      </c>
      <c r="C596" s="11" t="s">
        <v>688</v>
      </c>
      <c r="D596" s="11" t="s">
        <v>43</v>
      </c>
      <c r="E596" s="13" t="s">
        <v>14</v>
      </c>
      <c r="F596" s="14" t="s">
        <v>13</v>
      </c>
      <c r="G596" s="14" t="s">
        <v>400</v>
      </c>
      <c r="I596" s="11">
        <f t="shared" si="29"/>
        <v>2</v>
      </c>
      <c r="J596" s="16">
        <v>716.41</v>
      </c>
      <c r="M596" s="17">
        <f t="shared" si="27"/>
        <v>96277.870000000155</v>
      </c>
      <c r="N596" s="11">
        <f t="shared" si="28"/>
        <v>9</v>
      </c>
    </row>
    <row r="597" spans="1:14" x14ac:dyDescent="0.25">
      <c r="A597" s="11" t="s">
        <v>207</v>
      </c>
      <c r="B597" s="12">
        <v>45174</v>
      </c>
      <c r="C597" s="11" t="s">
        <v>688</v>
      </c>
      <c r="D597" s="11" t="s">
        <v>43</v>
      </c>
      <c r="E597" s="13" t="s">
        <v>14</v>
      </c>
      <c r="F597" s="14" t="s">
        <v>13</v>
      </c>
      <c r="G597" s="14" t="s">
        <v>400</v>
      </c>
      <c r="I597" s="11">
        <f t="shared" si="29"/>
        <v>2</v>
      </c>
      <c r="J597" s="16">
        <v>28.8</v>
      </c>
      <c r="M597" s="17">
        <f t="shared" si="27"/>
        <v>96306.670000000158</v>
      </c>
      <c r="N597" s="11">
        <f t="shared" si="28"/>
        <v>9</v>
      </c>
    </row>
    <row r="598" spans="1:14" x14ac:dyDescent="0.25">
      <c r="A598" s="11" t="s">
        <v>207</v>
      </c>
      <c r="B598" s="12">
        <v>45174</v>
      </c>
      <c r="C598" s="11" t="s">
        <v>688</v>
      </c>
      <c r="D598" s="11" t="s">
        <v>43</v>
      </c>
      <c r="E598" s="13" t="s">
        <v>14</v>
      </c>
      <c r="F598" s="14" t="s">
        <v>13</v>
      </c>
      <c r="G598" s="14" t="s">
        <v>400</v>
      </c>
      <c r="I598" s="11">
        <f t="shared" si="29"/>
        <v>2</v>
      </c>
      <c r="J598" s="16">
        <v>394.14</v>
      </c>
      <c r="M598" s="17">
        <f t="shared" si="27"/>
        <v>96700.810000000158</v>
      </c>
      <c r="N598" s="11">
        <f t="shared" si="28"/>
        <v>9</v>
      </c>
    </row>
    <row r="599" spans="1:14" x14ac:dyDescent="0.25">
      <c r="A599" s="11" t="s">
        <v>207</v>
      </c>
      <c r="B599" s="12">
        <v>45174</v>
      </c>
      <c r="C599" s="11" t="s">
        <v>688</v>
      </c>
      <c r="D599" s="11" t="s">
        <v>43</v>
      </c>
      <c r="E599" s="13" t="s">
        <v>80</v>
      </c>
      <c r="F599" s="14" t="s">
        <v>79</v>
      </c>
      <c r="G599" s="14" t="s">
        <v>400</v>
      </c>
      <c r="I599" s="11">
        <f t="shared" si="29"/>
        <v>2</v>
      </c>
      <c r="J599" s="16">
        <v>1622.91</v>
      </c>
      <c r="M599" s="17">
        <f t="shared" si="27"/>
        <v>98323.720000000161</v>
      </c>
      <c r="N599" s="11">
        <f t="shared" si="28"/>
        <v>9</v>
      </c>
    </row>
    <row r="600" spans="1:14" x14ac:dyDescent="0.25">
      <c r="A600" s="11" t="s">
        <v>207</v>
      </c>
      <c r="B600" s="12">
        <v>45174</v>
      </c>
      <c r="C600" s="11" t="s">
        <v>688</v>
      </c>
      <c r="D600" s="11" t="s">
        <v>43</v>
      </c>
      <c r="E600" s="13" t="s">
        <v>81</v>
      </c>
      <c r="F600" s="14" t="s">
        <v>79</v>
      </c>
      <c r="G600" s="14" t="s">
        <v>400</v>
      </c>
      <c r="I600" s="11">
        <f t="shared" si="29"/>
        <v>2</v>
      </c>
      <c r="J600" s="16">
        <v>1531.37</v>
      </c>
      <c r="M600" s="17">
        <f t="shared" si="27"/>
        <v>99855.090000000157</v>
      </c>
      <c r="N600" s="11">
        <f t="shared" si="28"/>
        <v>9</v>
      </c>
    </row>
    <row r="601" spans="1:14" x14ac:dyDescent="0.25">
      <c r="A601" s="11" t="s">
        <v>207</v>
      </c>
      <c r="B601" s="12">
        <v>45174</v>
      </c>
      <c r="C601" s="11" t="s">
        <v>688</v>
      </c>
      <c r="D601" s="11" t="s">
        <v>43</v>
      </c>
      <c r="E601" s="13" t="s">
        <v>82</v>
      </c>
      <c r="F601" s="14" t="s">
        <v>79</v>
      </c>
      <c r="G601" s="14" t="s">
        <v>400</v>
      </c>
      <c r="I601" s="11">
        <f t="shared" si="29"/>
        <v>2</v>
      </c>
      <c r="J601" s="16">
        <v>35.69</v>
      </c>
      <c r="M601" s="17">
        <f t="shared" si="27"/>
        <v>99890.780000000159</v>
      </c>
      <c r="N601" s="11">
        <f t="shared" si="28"/>
        <v>9</v>
      </c>
    </row>
    <row r="602" spans="1:14" x14ac:dyDescent="0.25">
      <c r="A602" s="11" t="s">
        <v>207</v>
      </c>
      <c r="B602" s="12">
        <v>45174</v>
      </c>
      <c r="C602" s="11" t="s">
        <v>688</v>
      </c>
      <c r="D602" s="11" t="s">
        <v>43</v>
      </c>
      <c r="E602" s="13" t="s">
        <v>83</v>
      </c>
      <c r="F602" s="14" t="s">
        <v>79</v>
      </c>
      <c r="G602" s="14" t="s">
        <v>400</v>
      </c>
      <c r="I602" s="11">
        <f t="shared" si="29"/>
        <v>2</v>
      </c>
      <c r="J602" s="16">
        <v>371.63</v>
      </c>
      <c r="M602" s="17">
        <f t="shared" si="27"/>
        <v>100262.41000000016</v>
      </c>
      <c r="N602" s="11">
        <f t="shared" si="28"/>
        <v>9</v>
      </c>
    </row>
    <row r="603" spans="1:14" x14ac:dyDescent="0.25">
      <c r="A603" s="11" t="s">
        <v>0</v>
      </c>
      <c r="B603" s="12">
        <v>45174</v>
      </c>
      <c r="C603" s="11" t="s">
        <v>688</v>
      </c>
      <c r="D603" s="11" t="s">
        <v>692</v>
      </c>
      <c r="E603" s="13" t="s">
        <v>143</v>
      </c>
      <c r="F603" s="14" t="s">
        <v>59</v>
      </c>
      <c r="G603" s="14" t="s">
        <v>120</v>
      </c>
      <c r="H603" s="15">
        <v>351806</v>
      </c>
      <c r="I603" s="11" t="b">
        <f t="shared" si="29"/>
        <v>0</v>
      </c>
      <c r="K603" s="16">
        <v>2334.6</v>
      </c>
      <c r="M603" s="17">
        <f t="shared" si="27"/>
        <v>97927.810000000158</v>
      </c>
      <c r="N603" s="11">
        <f t="shared" si="28"/>
        <v>9</v>
      </c>
    </row>
    <row r="604" spans="1:14" ht="39.6" x14ac:dyDescent="0.25">
      <c r="A604" s="11" t="s">
        <v>0</v>
      </c>
      <c r="B604" s="12">
        <v>45174</v>
      </c>
      <c r="C604" s="11" t="s">
        <v>688</v>
      </c>
      <c r="D604" s="11" t="s">
        <v>701</v>
      </c>
      <c r="E604" s="242" t="s">
        <v>167</v>
      </c>
      <c r="F604" s="14" t="s">
        <v>35</v>
      </c>
      <c r="G604" s="14" t="s">
        <v>174</v>
      </c>
      <c r="H604" s="15" t="s">
        <v>168</v>
      </c>
      <c r="I604" s="11" t="b">
        <f t="shared" si="29"/>
        <v>0</v>
      </c>
      <c r="K604" s="16">
        <v>1166.46</v>
      </c>
      <c r="M604" s="17">
        <f t="shared" si="27"/>
        <v>96761.350000000151</v>
      </c>
      <c r="N604" s="11">
        <f t="shared" si="28"/>
        <v>9</v>
      </c>
    </row>
    <row r="605" spans="1:14" x14ac:dyDescent="0.25">
      <c r="A605" s="11" t="s">
        <v>0</v>
      </c>
      <c r="B605" s="12">
        <v>45174</v>
      </c>
      <c r="C605" s="11" t="s">
        <v>688</v>
      </c>
      <c r="D605" s="11" t="s">
        <v>692</v>
      </c>
      <c r="E605" s="13" t="s">
        <v>108</v>
      </c>
      <c r="F605" s="14" t="s">
        <v>107</v>
      </c>
      <c r="G605" s="14" t="s">
        <v>404</v>
      </c>
      <c r="H605" s="15">
        <v>5</v>
      </c>
      <c r="I605" s="11">
        <f t="shared" si="29"/>
        <v>5</v>
      </c>
      <c r="K605" s="16">
        <v>450</v>
      </c>
      <c r="M605" s="17">
        <f t="shared" si="27"/>
        <v>96311.350000000151</v>
      </c>
      <c r="N605" s="11">
        <f t="shared" si="28"/>
        <v>9</v>
      </c>
    </row>
    <row r="606" spans="1:14" ht="26.4" x14ac:dyDescent="0.25">
      <c r="A606" s="11" t="s">
        <v>0</v>
      </c>
      <c r="B606" s="12">
        <v>45174</v>
      </c>
      <c r="C606" s="11" t="s">
        <v>688</v>
      </c>
      <c r="D606" s="11" t="s">
        <v>701</v>
      </c>
      <c r="E606" s="242" t="s">
        <v>109</v>
      </c>
      <c r="F606" s="14" t="s">
        <v>35</v>
      </c>
      <c r="G606" s="14" t="s">
        <v>174</v>
      </c>
      <c r="H606" s="15" t="s">
        <v>121</v>
      </c>
      <c r="I606" s="11" t="b">
        <f t="shared" si="29"/>
        <v>0</v>
      </c>
      <c r="K606" s="16">
        <v>1750.05</v>
      </c>
      <c r="M606" s="17">
        <f t="shared" si="27"/>
        <v>94561.300000000148</v>
      </c>
      <c r="N606" s="11">
        <f t="shared" si="28"/>
        <v>9</v>
      </c>
    </row>
    <row r="607" spans="1:14" x14ac:dyDescent="0.25">
      <c r="A607" s="11" t="s">
        <v>0</v>
      </c>
      <c r="B607" s="12">
        <v>45174</v>
      </c>
      <c r="C607" s="11" t="s">
        <v>688</v>
      </c>
      <c r="D607" s="11" t="s">
        <v>692</v>
      </c>
      <c r="E607" s="13" t="s">
        <v>725</v>
      </c>
      <c r="F607" s="14" t="s">
        <v>27</v>
      </c>
      <c r="G607" s="14" t="s">
        <v>404</v>
      </c>
      <c r="H607" s="15">
        <v>13196</v>
      </c>
      <c r="I607" s="11">
        <f t="shared" si="29"/>
        <v>5</v>
      </c>
      <c r="K607" s="16">
        <v>1454.57</v>
      </c>
      <c r="M607" s="17">
        <f t="shared" si="27"/>
        <v>93106.730000000141</v>
      </c>
      <c r="N607" s="11">
        <f t="shared" si="28"/>
        <v>9</v>
      </c>
    </row>
    <row r="608" spans="1:14" x14ac:dyDescent="0.25">
      <c r="A608" s="11" t="s">
        <v>0</v>
      </c>
      <c r="B608" s="12">
        <v>45174</v>
      </c>
      <c r="C608" s="11" t="s">
        <v>688</v>
      </c>
      <c r="D608" s="11" t="s">
        <v>692</v>
      </c>
      <c r="E608" s="13" t="s">
        <v>179</v>
      </c>
      <c r="F608" s="14" t="s">
        <v>28</v>
      </c>
      <c r="G608" s="14" t="s">
        <v>174</v>
      </c>
      <c r="H608" s="15">
        <v>22</v>
      </c>
      <c r="I608" s="11" t="b">
        <f t="shared" si="29"/>
        <v>0</v>
      </c>
      <c r="K608" s="16">
        <v>3470</v>
      </c>
      <c r="M608" s="17">
        <f t="shared" si="27"/>
        <v>89636.730000000141</v>
      </c>
      <c r="N608" s="11">
        <f t="shared" si="28"/>
        <v>9</v>
      </c>
    </row>
    <row r="609" spans="1:14" x14ac:dyDescent="0.25">
      <c r="A609" s="11" t="s">
        <v>0</v>
      </c>
      <c r="B609" s="12">
        <v>45174</v>
      </c>
      <c r="C609" s="11" t="s">
        <v>688</v>
      </c>
      <c r="D609" s="11" t="s">
        <v>692</v>
      </c>
      <c r="E609" s="13" t="s">
        <v>725</v>
      </c>
      <c r="F609" s="14" t="s">
        <v>33</v>
      </c>
      <c r="G609" s="14" t="s">
        <v>404</v>
      </c>
      <c r="H609" s="15">
        <v>24281</v>
      </c>
      <c r="I609" s="11">
        <f t="shared" si="29"/>
        <v>5</v>
      </c>
      <c r="K609" s="16">
        <v>671.36</v>
      </c>
      <c r="M609" s="17">
        <f t="shared" si="27"/>
        <v>88965.370000000141</v>
      </c>
      <c r="N609" s="11">
        <f t="shared" si="28"/>
        <v>9</v>
      </c>
    </row>
    <row r="610" spans="1:14" x14ac:dyDescent="0.25">
      <c r="A610" s="11" t="s">
        <v>0</v>
      </c>
      <c r="B610" s="12">
        <v>45174</v>
      </c>
      <c r="C610" s="11" t="s">
        <v>688</v>
      </c>
      <c r="D610" s="11" t="s">
        <v>696</v>
      </c>
      <c r="E610" s="13" t="s">
        <v>69</v>
      </c>
      <c r="F610" s="14" t="s">
        <v>62</v>
      </c>
      <c r="G610" s="14" t="s">
        <v>404</v>
      </c>
      <c r="H610" s="15" t="s">
        <v>20</v>
      </c>
      <c r="I610" s="11">
        <f t="shared" si="29"/>
        <v>5</v>
      </c>
      <c r="K610" s="16">
        <v>152</v>
      </c>
      <c r="M610" s="17">
        <f t="shared" si="27"/>
        <v>88813.370000000141</v>
      </c>
      <c r="N610" s="11">
        <f t="shared" si="28"/>
        <v>9</v>
      </c>
    </row>
    <row r="611" spans="1:14" x14ac:dyDescent="0.25">
      <c r="A611" s="11" t="s">
        <v>0</v>
      </c>
      <c r="B611" s="12">
        <v>45174</v>
      </c>
      <c r="C611" s="11" t="s">
        <v>688</v>
      </c>
      <c r="D611" s="11" t="s">
        <v>694</v>
      </c>
      <c r="E611" s="13" t="s">
        <v>182</v>
      </c>
      <c r="F611" s="14" t="s">
        <v>93</v>
      </c>
      <c r="G611" s="14" t="s">
        <v>186</v>
      </c>
      <c r="I611" s="11" t="b">
        <f t="shared" si="29"/>
        <v>0</v>
      </c>
      <c r="K611" s="16">
        <v>3.52</v>
      </c>
      <c r="M611" s="17">
        <f t="shared" si="27"/>
        <v>88809.850000000137</v>
      </c>
      <c r="N611" s="11">
        <f t="shared" si="28"/>
        <v>9</v>
      </c>
    </row>
    <row r="612" spans="1:14" x14ac:dyDescent="0.25">
      <c r="A612" s="11" t="s">
        <v>0</v>
      </c>
      <c r="B612" s="12">
        <v>45174</v>
      </c>
      <c r="C612" s="11" t="s">
        <v>688</v>
      </c>
      <c r="D612" s="11" t="s">
        <v>694</v>
      </c>
      <c r="E612" s="13" t="s">
        <v>182</v>
      </c>
      <c r="F612" s="14" t="s">
        <v>23</v>
      </c>
      <c r="G612" s="14" t="s">
        <v>186</v>
      </c>
      <c r="I612" s="11" t="b">
        <f t="shared" si="29"/>
        <v>0</v>
      </c>
      <c r="K612" s="16">
        <v>31.25</v>
      </c>
      <c r="M612" s="17">
        <f t="shared" si="27"/>
        <v>88778.600000000137</v>
      </c>
      <c r="N612" s="11">
        <f t="shared" si="28"/>
        <v>9</v>
      </c>
    </row>
    <row r="613" spans="1:14" x14ac:dyDescent="0.25">
      <c r="A613" s="11" t="s">
        <v>207</v>
      </c>
      <c r="B613" s="12">
        <v>45174</v>
      </c>
      <c r="C613" s="11" t="s">
        <v>688</v>
      </c>
      <c r="D613" s="11" t="s">
        <v>43</v>
      </c>
      <c r="E613" s="13" t="s">
        <v>95</v>
      </c>
      <c r="F613" s="14" t="s">
        <v>113</v>
      </c>
      <c r="G613" s="14" t="s">
        <v>400</v>
      </c>
      <c r="I613" s="11">
        <f t="shared" si="29"/>
        <v>2</v>
      </c>
      <c r="J613" s="16">
        <v>512.08000000000004</v>
      </c>
      <c r="M613" s="17">
        <f t="shared" si="27"/>
        <v>89290.680000000139</v>
      </c>
      <c r="N613" s="11">
        <f t="shared" si="28"/>
        <v>9</v>
      </c>
    </row>
    <row r="614" spans="1:14" x14ac:dyDescent="0.25">
      <c r="A614" s="11" t="s">
        <v>207</v>
      </c>
      <c r="B614" s="12">
        <v>45174</v>
      </c>
      <c r="C614" s="11" t="s">
        <v>662</v>
      </c>
      <c r="D614" s="11" t="s">
        <v>43</v>
      </c>
      <c r="E614" s="14" t="s">
        <v>288</v>
      </c>
      <c r="F614" s="14" t="s">
        <v>288</v>
      </c>
      <c r="G614" s="14" t="s">
        <v>173</v>
      </c>
      <c r="I614" s="11">
        <f t="shared" si="29"/>
        <v>3</v>
      </c>
      <c r="J614" s="16">
        <v>2300</v>
      </c>
      <c r="M614" s="17">
        <f t="shared" si="27"/>
        <v>91590.680000000139</v>
      </c>
      <c r="N614" s="11">
        <f t="shared" si="28"/>
        <v>9</v>
      </c>
    </row>
    <row r="615" spans="1:14" x14ac:dyDescent="0.25">
      <c r="A615" s="11" t="s">
        <v>207</v>
      </c>
      <c r="B615" s="12">
        <v>45174</v>
      </c>
      <c r="C615" s="11" t="s">
        <v>688</v>
      </c>
      <c r="D615" s="11" t="s">
        <v>43</v>
      </c>
      <c r="E615" s="14" t="s">
        <v>288</v>
      </c>
      <c r="F615" s="14" t="s">
        <v>288</v>
      </c>
      <c r="G615" s="14" t="s">
        <v>173</v>
      </c>
      <c r="I615" s="11">
        <f t="shared" si="29"/>
        <v>3</v>
      </c>
      <c r="J615" s="16">
        <v>1475</v>
      </c>
      <c r="M615" s="17">
        <f t="shared" si="27"/>
        <v>93065.680000000139</v>
      </c>
      <c r="N615" s="11">
        <f t="shared" si="28"/>
        <v>9</v>
      </c>
    </row>
    <row r="616" spans="1:14" x14ac:dyDescent="0.25">
      <c r="A616" s="11" t="s">
        <v>207</v>
      </c>
      <c r="B616" s="12">
        <v>45175</v>
      </c>
      <c r="C616" s="11" t="s">
        <v>688</v>
      </c>
      <c r="D616" s="11" t="s">
        <v>43</v>
      </c>
      <c r="E616" s="14" t="s">
        <v>288</v>
      </c>
      <c r="F616" s="14" t="s">
        <v>288</v>
      </c>
      <c r="G616" s="14" t="s">
        <v>173</v>
      </c>
      <c r="I616" s="11">
        <f t="shared" si="29"/>
        <v>3</v>
      </c>
      <c r="J616" s="16">
        <v>1500</v>
      </c>
      <c r="M616" s="17">
        <f t="shared" si="27"/>
        <v>94565.680000000139</v>
      </c>
      <c r="N616" s="11">
        <f t="shared" si="28"/>
        <v>9</v>
      </c>
    </row>
    <row r="617" spans="1:14" x14ac:dyDescent="0.25">
      <c r="A617" s="11" t="s">
        <v>207</v>
      </c>
      <c r="B617" s="12">
        <v>45175</v>
      </c>
      <c r="C617" s="11" t="s">
        <v>688</v>
      </c>
      <c r="D617" s="11" t="s">
        <v>43</v>
      </c>
      <c r="E617" s="13" t="s">
        <v>14</v>
      </c>
      <c r="F617" s="14" t="s">
        <v>13</v>
      </c>
      <c r="G617" s="14" t="s">
        <v>400</v>
      </c>
      <c r="I617" s="11">
        <f t="shared" si="29"/>
        <v>2</v>
      </c>
      <c r="J617" s="16">
        <v>78.430000000000007</v>
      </c>
      <c r="M617" s="17">
        <f t="shared" si="27"/>
        <v>94644.110000000132</v>
      </c>
      <c r="N617" s="11">
        <f t="shared" si="28"/>
        <v>9</v>
      </c>
    </row>
    <row r="618" spans="1:14" x14ac:dyDescent="0.25">
      <c r="A618" s="11" t="s">
        <v>207</v>
      </c>
      <c r="B618" s="12">
        <v>45175</v>
      </c>
      <c r="C618" s="11" t="s">
        <v>688</v>
      </c>
      <c r="D618" s="11" t="s">
        <v>43</v>
      </c>
      <c r="E618" s="13" t="s">
        <v>14</v>
      </c>
      <c r="F618" s="14" t="s">
        <v>13</v>
      </c>
      <c r="G618" s="14" t="s">
        <v>400</v>
      </c>
      <c r="I618" s="11">
        <f t="shared" si="29"/>
        <v>2</v>
      </c>
      <c r="J618" s="16">
        <v>27.72</v>
      </c>
      <c r="M618" s="17">
        <f t="shared" si="27"/>
        <v>94671.830000000133</v>
      </c>
      <c r="N618" s="11">
        <f t="shared" si="28"/>
        <v>9</v>
      </c>
    </row>
    <row r="619" spans="1:14" x14ac:dyDescent="0.25">
      <c r="A619" s="11" t="s">
        <v>207</v>
      </c>
      <c r="B619" s="12">
        <v>45175</v>
      </c>
      <c r="C619" s="11" t="s">
        <v>688</v>
      </c>
      <c r="D619" s="11" t="s">
        <v>43</v>
      </c>
      <c r="E619" s="13" t="s">
        <v>14</v>
      </c>
      <c r="F619" s="14" t="s">
        <v>13</v>
      </c>
      <c r="G619" s="14" t="s">
        <v>400</v>
      </c>
      <c r="I619" s="11">
        <f t="shared" si="29"/>
        <v>2</v>
      </c>
      <c r="J619" s="16">
        <v>638.91999999999996</v>
      </c>
      <c r="M619" s="17">
        <f t="shared" si="27"/>
        <v>95310.750000000131</v>
      </c>
      <c r="N619" s="11">
        <f t="shared" si="28"/>
        <v>9</v>
      </c>
    </row>
    <row r="620" spans="1:14" x14ac:dyDescent="0.25">
      <c r="A620" s="11" t="s">
        <v>207</v>
      </c>
      <c r="B620" s="12">
        <v>45175</v>
      </c>
      <c r="C620" s="11" t="s">
        <v>688</v>
      </c>
      <c r="D620" s="11" t="s">
        <v>43</v>
      </c>
      <c r="E620" s="13" t="s">
        <v>80</v>
      </c>
      <c r="F620" s="14" t="s">
        <v>79</v>
      </c>
      <c r="G620" s="14" t="s">
        <v>400</v>
      </c>
      <c r="I620" s="11">
        <f t="shared" si="29"/>
        <v>2</v>
      </c>
      <c r="J620" s="16">
        <v>1686.28</v>
      </c>
      <c r="M620" s="17">
        <f t="shared" si="27"/>
        <v>96997.03000000013</v>
      </c>
      <c r="N620" s="11">
        <f t="shared" si="28"/>
        <v>9</v>
      </c>
    </row>
    <row r="621" spans="1:14" x14ac:dyDescent="0.25">
      <c r="A621" s="11" t="s">
        <v>207</v>
      </c>
      <c r="B621" s="12">
        <v>45175</v>
      </c>
      <c r="C621" s="11" t="s">
        <v>662</v>
      </c>
      <c r="D621" s="11" t="s">
        <v>43</v>
      </c>
      <c r="E621" s="13" t="s">
        <v>81</v>
      </c>
      <c r="F621" s="14" t="s">
        <v>79</v>
      </c>
      <c r="G621" s="14" t="s">
        <v>400</v>
      </c>
      <c r="I621" s="11">
        <f t="shared" si="29"/>
        <v>2</v>
      </c>
      <c r="J621" s="16">
        <v>813.89</v>
      </c>
      <c r="M621" s="17">
        <f t="shared" si="27"/>
        <v>97810.920000000129</v>
      </c>
      <c r="N621" s="11">
        <f t="shared" si="28"/>
        <v>9</v>
      </c>
    </row>
    <row r="622" spans="1:14" x14ac:dyDescent="0.25">
      <c r="A622" s="11" t="s">
        <v>207</v>
      </c>
      <c r="B622" s="12">
        <v>45175</v>
      </c>
      <c r="C622" s="11" t="s">
        <v>688</v>
      </c>
      <c r="D622" s="11" t="s">
        <v>43</v>
      </c>
      <c r="E622" s="13" t="s">
        <v>83</v>
      </c>
      <c r="F622" s="14" t="s">
        <v>79</v>
      </c>
      <c r="G622" s="14" t="s">
        <v>400</v>
      </c>
      <c r="I622" s="11">
        <f t="shared" si="29"/>
        <v>2</v>
      </c>
      <c r="J622" s="16">
        <v>285.54000000000002</v>
      </c>
      <c r="M622" s="17">
        <f t="shared" si="27"/>
        <v>98096.460000000123</v>
      </c>
      <c r="N622" s="11">
        <f t="shared" si="28"/>
        <v>9</v>
      </c>
    </row>
    <row r="623" spans="1:14" x14ac:dyDescent="0.25">
      <c r="A623" s="11" t="s">
        <v>0</v>
      </c>
      <c r="B623" s="12">
        <v>45175</v>
      </c>
      <c r="C623" s="11" t="s">
        <v>688</v>
      </c>
      <c r="D623" s="11" t="s">
        <v>700</v>
      </c>
      <c r="E623" s="13" t="s">
        <v>770</v>
      </c>
      <c r="F623" s="14" t="s">
        <v>35</v>
      </c>
      <c r="G623" s="14" t="s">
        <v>174</v>
      </c>
      <c r="H623" s="15">
        <v>4509</v>
      </c>
      <c r="I623" s="11" t="b">
        <f t="shared" si="29"/>
        <v>0</v>
      </c>
      <c r="K623" s="16">
        <v>151.22999999999999</v>
      </c>
      <c r="M623" s="17">
        <f t="shared" si="27"/>
        <v>97945.230000000127</v>
      </c>
      <c r="N623" s="11">
        <f t="shared" si="28"/>
        <v>9</v>
      </c>
    </row>
    <row r="624" spans="1:14" x14ac:dyDescent="0.25">
      <c r="A624" s="11" t="s">
        <v>0</v>
      </c>
      <c r="B624" s="12">
        <v>45175</v>
      </c>
      <c r="C624" s="11" t="s">
        <v>688</v>
      </c>
      <c r="D624" s="11" t="s">
        <v>694</v>
      </c>
      <c r="E624" s="13" t="s">
        <v>5</v>
      </c>
      <c r="F624" s="14" t="s">
        <v>110</v>
      </c>
      <c r="G624" s="14" t="s">
        <v>403</v>
      </c>
      <c r="H624" s="15">
        <v>1</v>
      </c>
      <c r="I624" s="11">
        <f t="shared" si="29"/>
        <v>5</v>
      </c>
      <c r="K624" s="16">
        <v>250</v>
      </c>
      <c r="M624" s="17">
        <f t="shared" si="27"/>
        <v>97695.230000000127</v>
      </c>
      <c r="N624" s="11">
        <f t="shared" si="28"/>
        <v>9</v>
      </c>
    </row>
    <row r="625" spans="1:14" x14ac:dyDescent="0.25">
      <c r="A625" s="11" t="s">
        <v>0</v>
      </c>
      <c r="B625" s="12">
        <v>45175</v>
      </c>
      <c r="C625" s="11" t="s">
        <v>688</v>
      </c>
      <c r="D625" s="11" t="s">
        <v>692</v>
      </c>
      <c r="E625" s="13" t="s">
        <v>492</v>
      </c>
      <c r="F625" s="14" t="s">
        <v>111</v>
      </c>
      <c r="G625" s="14" t="s">
        <v>174</v>
      </c>
      <c r="H625" s="15" t="s">
        <v>131</v>
      </c>
      <c r="I625" s="11" t="b">
        <f t="shared" si="29"/>
        <v>0</v>
      </c>
      <c r="K625" s="16">
        <v>4727.8</v>
      </c>
      <c r="M625" s="17">
        <f t="shared" si="27"/>
        <v>92967.430000000124</v>
      </c>
      <c r="N625" s="11">
        <f t="shared" si="28"/>
        <v>9</v>
      </c>
    </row>
    <row r="626" spans="1:14" ht="26.4" x14ac:dyDescent="0.25">
      <c r="A626" s="11" t="s">
        <v>0</v>
      </c>
      <c r="B626" s="12">
        <v>45175</v>
      </c>
      <c r="C626" s="11" t="s">
        <v>688</v>
      </c>
      <c r="D626" s="11" t="s">
        <v>699</v>
      </c>
      <c r="E626" s="13" t="s">
        <v>112</v>
      </c>
      <c r="F626" s="14" t="s">
        <v>125</v>
      </c>
      <c r="G626" s="14" t="s">
        <v>174</v>
      </c>
      <c r="H626" s="15" t="s">
        <v>172</v>
      </c>
      <c r="I626" s="11" t="b">
        <f t="shared" si="29"/>
        <v>0</v>
      </c>
      <c r="K626" s="16">
        <v>900</v>
      </c>
      <c r="M626" s="17">
        <f t="shared" si="27"/>
        <v>92067.430000000124</v>
      </c>
      <c r="N626" s="11">
        <f t="shared" si="28"/>
        <v>9</v>
      </c>
    </row>
    <row r="627" spans="1:14" x14ac:dyDescent="0.25">
      <c r="A627" s="11" t="s">
        <v>0</v>
      </c>
      <c r="B627" s="12">
        <v>45175</v>
      </c>
      <c r="C627" s="11" t="s">
        <v>688</v>
      </c>
      <c r="D627" s="11" t="s">
        <v>701</v>
      </c>
      <c r="E627" s="13" t="s">
        <v>115</v>
      </c>
      <c r="F627" s="14" t="s">
        <v>114</v>
      </c>
      <c r="G627" s="14" t="s">
        <v>174</v>
      </c>
      <c r="H627" s="15">
        <v>1132</v>
      </c>
      <c r="I627" s="11" t="b">
        <f t="shared" si="29"/>
        <v>0</v>
      </c>
      <c r="K627" s="16">
        <v>230</v>
      </c>
      <c r="M627" s="17">
        <f t="shared" si="27"/>
        <v>91837.430000000124</v>
      </c>
      <c r="N627" s="11">
        <f t="shared" si="28"/>
        <v>9</v>
      </c>
    </row>
    <row r="628" spans="1:14" x14ac:dyDescent="0.25">
      <c r="A628" s="11" t="s">
        <v>0</v>
      </c>
      <c r="B628" s="12">
        <v>45175</v>
      </c>
      <c r="C628" s="11" t="s">
        <v>688</v>
      </c>
      <c r="D628" s="11" t="s">
        <v>692</v>
      </c>
      <c r="E628" s="13" t="s">
        <v>229</v>
      </c>
      <c r="F628" s="14" t="s">
        <v>116</v>
      </c>
      <c r="G628" s="14" t="s">
        <v>404</v>
      </c>
      <c r="H628" s="15">
        <v>46</v>
      </c>
      <c r="I628" s="11">
        <f t="shared" si="29"/>
        <v>5</v>
      </c>
      <c r="K628" s="16">
        <v>830</v>
      </c>
      <c r="M628" s="17">
        <f t="shared" si="27"/>
        <v>91007.430000000124</v>
      </c>
      <c r="N628" s="11">
        <f t="shared" si="28"/>
        <v>9</v>
      </c>
    </row>
    <row r="629" spans="1:14" x14ac:dyDescent="0.25">
      <c r="A629" s="11" t="s">
        <v>0</v>
      </c>
      <c r="B629" s="12">
        <v>45175</v>
      </c>
      <c r="C629" s="11" t="s">
        <v>688</v>
      </c>
      <c r="D629" s="11" t="s">
        <v>701</v>
      </c>
      <c r="E629" s="13" t="s">
        <v>115</v>
      </c>
      <c r="F629" s="14" t="s">
        <v>117</v>
      </c>
      <c r="G629" s="14" t="s">
        <v>174</v>
      </c>
      <c r="H629" s="15">
        <v>181</v>
      </c>
      <c r="I629" s="11" t="b">
        <f t="shared" si="29"/>
        <v>0</v>
      </c>
      <c r="K629" s="16">
        <v>316</v>
      </c>
      <c r="M629" s="17">
        <f t="shared" si="27"/>
        <v>90691.430000000124</v>
      </c>
      <c r="N629" s="11">
        <f t="shared" si="28"/>
        <v>9</v>
      </c>
    </row>
    <row r="630" spans="1:14" x14ac:dyDescent="0.25">
      <c r="A630" s="11" t="s">
        <v>0</v>
      </c>
      <c r="B630" s="12">
        <v>45175</v>
      </c>
      <c r="C630" s="11" t="s">
        <v>688</v>
      </c>
      <c r="D630" s="11" t="s">
        <v>692</v>
      </c>
      <c r="E630" s="13" t="s">
        <v>179</v>
      </c>
      <c r="F630" s="14" t="s">
        <v>378</v>
      </c>
      <c r="G630" s="14" t="s">
        <v>174</v>
      </c>
      <c r="H630" s="15">
        <v>3</v>
      </c>
      <c r="I630" s="11" t="b">
        <f t="shared" si="29"/>
        <v>0</v>
      </c>
      <c r="K630" s="16">
        <v>146</v>
      </c>
      <c r="M630" s="17">
        <f t="shared" si="27"/>
        <v>90545.430000000124</v>
      </c>
      <c r="N630" s="11">
        <f t="shared" si="28"/>
        <v>9</v>
      </c>
    </row>
    <row r="631" spans="1:14" x14ac:dyDescent="0.25">
      <c r="A631" s="11" t="s">
        <v>0</v>
      </c>
      <c r="B631" s="12">
        <v>45175</v>
      </c>
      <c r="C631" s="11" t="s">
        <v>688</v>
      </c>
      <c r="D631" s="11" t="s">
        <v>692</v>
      </c>
      <c r="E631" s="13" t="s">
        <v>725</v>
      </c>
      <c r="F631" s="14" t="s">
        <v>33</v>
      </c>
      <c r="G631" s="14" t="s">
        <v>404</v>
      </c>
      <c r="H631" s="15">
        <v>24299</v>
      </c>
      <c r="I631" s="11">
        <f t="shared" si="29"/>
        <v>5</v>
      </c>
      <c r="K631" s="16">
        <v>797.55</v>
      </c>
      <c r="M631" s="17">
        <f t="shared" si="27"/>
        <v>89747.880000000121</v>
      </c>
      <c r="N631" s="11">
        <f t="shared" si="28"/>
        <v>9</v>
      </c>
    </row>
    <row r="632" spans="1:14" x14ac:dyDescent="0.25">
      <c r="A632" s="11" t="s">
        <v>0</v>
      </c>
      <c r="B632" s="12">
        <v>45175</v>
      </c>
      <c r="C632" s="11" t="s">
        <v>688</v>
      </c>
      <c r="D632" s="11" t="s">
        <v>692</v>
      </c>
      <c r="E632" s="13" t="s">
        <v>725</v>
      </c>
      <c r="F632" s="14" t="s">
        <v>27</v>
      </c>
      <c r="G632" s="14" t="s">
        <v>404</v>
      </c>
      <c r="H632" s="15">
        <v>13212</v>
      </c>
      <c r="I632" s="11">
        <f t="shared" si="29"/>
        <v>5</v>
      </c>
      <c r="K632" s="16">
        <v>362.4</v>
      </c>
      <c r="M632" s="17">
        <f t="shared" si="27"/>
        <v>89385.480000000127</v>
      </c>
      <c r="N632" s="11">
        <f t="shared" si="28"/>
        <v>9</v>
      </c>
    </row>
    <row r="633" spans="1:14" x14ac:dyDescent="0.25">
      <c r="A633" s="11" t="s">
        <v>0</v>
      </c>
      <c r="B633" s="12">
        <v>45175</v>
      </c>
      <c r="C633" s="11" t="s">
        <v>688</v>
      </c>
      <c r="D633" s="11" t="s">
        <v>692</v>
      </c>
      <c r="E633" s="13" t="s">
        <v>725</v>
      </c>
      <c r="F633" s="14" t="s">
        <v>27</v>
      </c>
      <c r="G633" s="14" t="s">
        <v>404</v>
      </c>
      <c r="H633" s="15">
        <v>13216</v>
      </c>
      <c r="I633" s="11">
        <f t="shared" si="29"/>
        <v>5</v>
      </c>
      <c r="K633" s="16">
        <v>1092.48</v>
      </c>
      <c r="M633" s="17">
        <f t="shared" si="27"/>
        <v>88293.000000000131</v>
      </c>
      <c r="N633" s="11">
        <f t="shared" si="28"/>
        <v>9</v>
      </c>
    </row>
    <row r="634" spans="1:14" x14ac:dyDescent="0.25">
      <c r="A634" s="11" t="s">
        <v>0</v>
      </c>
      <c r="B634" s="12">
        <v>45175</v>
      </c>
      <c r="C634" s="11" t="s">
        <v>688</v>
      </c>
      <c r="D634" s="11" t="s">
        <v>692</v>
      </c>
      <c r="E634" s="13" t="s">
        <v>724</v>
      </c>
      <c r="F634" s="14" t="s">
        <v>119</v>
      </c>
      <c r="G634" s="14" t="s">
        <v>404</v>
      </c>
      <c r="H634" s="15">
        <v>1264944</v>
      </c>
      <c r="I634" s="11">
        <f t="shared" si="29"/>
        <v>5</v>
      </c>
      <c r="K634" s="16">
        <v>1275.4100000000001</v>
      </c>
      <c r="M634" s="17">
        <f t="shared" si="27"/>
        <v>87017.590000000127</v>
      </c>
      <c r="N634" s="11">
        <f t="shared" si="28"/>
        <v>9</v>
      </c>
    </row>
    <row r="635" spans="1:14" x14ac:dyDescent="0.25">
      <c r="A635" s="11" t="s">
        <v>0</v>
      </c>
      <c r="B635" s="12">
        <v>45175</v>
      </c>
      <c r="C635" s="11" t="s">
        <v>688</v>
      </c>
      <c r="D635" s="11" t="s">
        <v>692</v>
      </c>
      <c r="E635" s="13" t="s">
        <v>143</v>
      </c>
      <c r="F635" s="14" t="s">
        <v>31</v>
      </c>
      <c r="G635" s="14" t="s">
        <v>120</v>
      </c>
      <c r="H635" s="15">
        <v>2846625</v>
      </c>
      <c r="I635" s="11" t="b">
        <f t="shared" si="29"/>
        <v>0</v>
      </c>
      <c r="K635" s="16">
        <v>385.75</v>
      </c>
      <c r="M635" s="17">
        <f t="shared" si="27"/>
        <v>86631.840000000127</v>
      </c>
      <c r="N635" s="11">
        <f t="shared" si="28"/>
        <v>9</v>
      </c>
    </row>
    <row r="636" spans="1:14" x14ac:dyDescent="0.25">
      <c r="A636" s="11" t="s">
        <v>0</v>
      </c>
      <c r="B636" s="12">
        <v>45175</v>
      </c>
      <c r="C636" s="11" t="s">
        <v>688</v>
      </c>
      <c r="D636" s="11" t="s">
        <v>694</v>
      </c>
      <c r="E636" s="13" t="s">
        <v>182</v>
      </c>
      <c r="F636" s="14" t="s">
        <v>93</v>
      </c>
      <c r="G636" s="14" t="s">
        <v>186</v>
      </c>
      <c r="I636" s="11" t="b">
        <f t="shared" si="29"/>
        <v>0</v>
      </c>
      <c r="K636" s="16">
        <v>2.96</v>
      </c>
      <c r="M636" s="17">
        <f t="shared" si="27"/>
        <v>86628.880000000121</v>
      </c>
      <c r="N636" s="11">
        <f t="shared" si="28"/>
        <v>9</v>
      </c>
    </row>
    <row r="637" spans="1:14" x14ac:dyDescent="0.25">
      <c r="A637" s="11" t="s">
        <v>0</v>
      </c>
      <c r="B637" s="12">
        <v>45175</v>
      </c>
      <c r="C637" s="11" t="s">
        <v>688</v>
      </c>
      <c r="D637" s="11" t="s">
        <v>694</v>
      </c>
      <c r="E637" s="13" t="s">
        <v>182</v>
      </c>
      <c r="F637" s="14" t="s">
        <v>23</v>
      </c>
      <c r="G637" s="14" t="s">
        <v>186</v>
      </c>
      <c r="I637" s="11" t="b">
        <f t="shared" si="29"/>
        <v>0</v>
      </c>
      <c r="K637" s="16">
        <v>61.85</v>
      </c>
      <c r="M637" s="17">
        <f t="shared" si="27"/>
        <v>86567.030000000115</v>
      </c>
      <c r="N637" s="11">
        <f t="shared" si="28"/>
        <v>9</v>
      </c>
    </row>
    <row r="638" spans="1:14" x14ac:dyDescent="0.25">
      <c r="A638" s="11" t="s">
        <v>207</v>
      </c>
      <c r="B638" s="12">
        <v>45175</v>
      </c>
      <c r="C638" s="11" t="s">
        <v>688</v>
      </c>
      <c r="D638" s="11" t="s">
        <v>43</v>
      </c>
      <c r="E638" s="13" t="s">
        <v>95</v>
      </c>
      <c r="F638" s="14" t="s">
        <v>122</v>
      </c>
      <c r="G638" s="14" t="s">
        <v>400</v>
      </c>
      <c r="I638" s="11">
        <f t="shared" si="29"/>
        <v>2</v>
      </c>
      <c r="J638" s="16">
        <v>432.6</v>
      </c>
      <c r="M638" s="17">
        <f t="shared" si="27"/>
        <v>86999.630000000121</v>
      </c>
      <c r="N638" s="11">
        <f t="shared" si="28"/>
        <v>9</v>
      </c>
    </row>
    <row r="639" spans="1:14" x14ac:dyDescent="0.25">
      <c r="A639" s="11" t="s">
        <v>0</v>
      </c>
      <c r="B639" s="12">
        <v>45177</v>
      </c>
      <c r="C639" s="11" t="s">
        <v>688</v>
      </c>
      <c r="D639" s="11" t="s">
        <v>692</v>
      </c>
      <c r="E639" s="13" t="s">
        <v>725</v>
      </c>
      <c r="F639" s="14" t="s">
        <v>27</v>
      </c>
      <c r="G639" s="14" t="s">
        <v>404</v>
      </c>
      <c r="H639" s="15">
        <v>13225</v>
      </c>
      <c r="I639" s="11">
        <f t="shared" si="29"/>
        <v>5</v>
      </c>
      <c r="K639" s="16">
        <v>267.77999999999997</v>
      </c>
      <c r="M639" s="17">
        <f t="shared" si="27"/>
        <v>86731.850000000122</v>
      </c>
      <c r="N639" s="11">
        <f t="shared" si="28"/>
        <v>9</v>
      </c>
    </row>
    <row r="640" spans="1:14" x14ac:dyDescent="0.25">
      <c r="A640" s="11" t="s">
        <v>0</v>
      </c>
      <c r="B640" s="12">
        <v>45177</v>
      </c>
      <c r="C640" s="11" t="s">
        <v>688</v>
      </c>
      <c r="D640" s="11" t="s">
        <v>692</v>
      </c>
      <c r="E640" s="13" t="s">
        <v>724</v>
      </c>
      <c r="F640" s="14" t="s">
        <v>119</v>
      </c>
      <c r="G640" s="14" t="s">
        <v>404</v>
      </c>
      <c r="H640" s="15">
        <v>1264943</v>
      </c>
      <c r="I640" s="11">
        <f t="shared" si="29"/>
        <v>5</v>
      </c>
      <c r="K640" s="16">
        <v>1889.09</v>
      </c>
      <c r="M640" s="17">
        <f t="shared" si="27"/>
        <v>84842.760000000126</v>
      </c>
      <c r="N640" s="11">
        <f t="shared" si="28"/>
        <v>9</v>
      </c>
    </row>
    <row r="641" spans="1:14" x14ac:dyDescent="0.25">
      <c r="A641" s="11" t="s">
        <v>0</v>
      </c>
      <c r="B641" s="12">
        <v>45177</v>
      </c>
      <c r="C641" s="11" t="s">
        <v>688</v>
      </c>
      <c r="D641" s="11" t="s">
        <v>692</v>
      </c>
      <c r="E641" s="13" t="s">
        <v>725</v>
      </c>
      <c r="F641" s="14" t="s">
        <v>27</v>
      </c>
      <c r="G641" s="14" t="s">
        <v>404</v>
      </c>
      <c r="H641" s="15">
        <v>13222</v>
      </c>
      <c r="I641" s="11">
        <f t="shared" si="29"/>
        <v>5</v>
      </c>
      <c r="K641" s="16">
        <v>62.02</v>
      </c>
      <c r="M641" s="17">
        <f t="shared" si="27"/>
        <v>84780.740000000122</v>
      </c>
      <c r="N641" s="11">
        <f t="shared" si="28"/>
        <v>9</v>
      </c>
    </row>
    <row r="642" spans="1:14" x14ac:dyDescent="0.25">
      <c r="A642" s="11" t="s">
        <v>0</v>
      </c>
      <c r="B642" s="12">
        <v>45177</v>
      </c>
      <c r="C642" s="11" t="s">
        <v>688</v>
      </c>
      <c r="D642" s="11" t="s">
        <v>692</v>
      </c>
      <c r="E642" s="13" t="s">
        <v>725</v>
      </c>
      <c r="F642" s="14" t="s">
        <v>27</v>
      </c>
      <c r="G642" s="14" t="s">
        <v>404</v>
      </c>
      <c r="H642" s="15">
        <v>13226</v>
      </c>
      <c r="I642" s="11">
        <f t="shared" si="29"/>
        <v>5</v>
      </c>
      <c r="K642" s="16">
        <v>111.89</v>
      </c>
      <c r="M642" s="17">
        <f t="shared" si="27"/>
        <v>84668.850000000122</v>
      </c>
      <c r="N642" s="11">
        <f t="shared" si="28"/>
        <v>9</v>
      </c>
    </row>
    <row r="643" spans="1:14" x14ac:dyDescent="0.25">
      <c r="A643" s="11" t="s">
        <v>207</v>
      </c>
      <c r="B643" s="12">
        <v>45176</v>
      </c>
      <c r="C643" s="11" t="s">
        <v>688</v>
      </c>
      <c r="D643" s="11" t="s">
        <v>43</v>
      </c>
      <c r="E643" s="14" t="s">
        <v>288</v>
      </c>
      <c r="F643" s="14" t="s">
        <v>288</v>
      </c>
      <c r="G643" s="14" t="s">
        <v>173</v>
      </c>
      <c r="I643" s="11">
        <f t="shared" si="29"/>
        <v>3</v>
      </c>
      <c r="J643" s="16">
        <v>30</v>
      </c>
      <c r="M643" s="17">
        <f t="shared" ref="M643:M706" si="30">IF(B643=0, "",M642+ J643-K643)</f>
        <v>84698.850000000122</v>
      </c>
      <c r="N643" s="11">
        <f t="shared" ref="N643:N706" si="31">IF(B643=0, "", MONTH(B643))</f>
        <v>9</v>
      </c>
    </row>
    <row r="644" spans="1:14" x14ac:dyDescent="0.25">
      <c r="A644" s="11" t="s">
        <v>207</v>
      </c>
      <c r="B644" s="12">
        <v>45177</v>
      </c>
      <c r="C644" s="11" t="s">
        <v>688</v>
      </c>
      <c r="D644" s="11" t="s">
        <v>43</v>
      </c>
      <c r="E644" s="13" t="s">
        <v>14</v>
      </c>
      <c r="F644" s="14" t="s">
        <v>13</v>
      </c>
      <c r="G644" s="14" t="s">
        <v>400</v>
      </c>
      <c r="I644" s="11">
        <f t="shared" ref="I644:I707" si="32">IF(AND(G644="MERCADO PAGO",A644="FATURAMENTO"),1,IF(AND(OR(G644="MERCADO PAGO",G644="pix mercado pago",G644= "débito automático mercado pago", G644= "boleto mercado pago"),A644="DESPESAS"),4,IF(AND(G644="SAFRA",A644="FATURAMENTO"),2,IF(AND(OR(G644="SAFRA",G644="PIX SAFRA", G644="DÉBITO AUTOMÁTICO SAFRA", G644= "BOLETO SAFRA", G644= "transferência safra"), A644="DESPESAS"),5,IF(AND(G644="espécie",A644="FATURAMENTO"),3,IF(AND(G644="espécie",A644="DESPESAS"),6))))))</f>
        <v>2</v>
      </c>
      <c r="J644" s="16">
        <v>30.18</v>
      </c>
      <c r="M644" s="17">
        <f t="shared" si="30"/>
        <v>84729.030000000115</v>
      </c>
      <c r="N644" s="11">
        <f t="shared" si="31"/>
        <v>9</v>
      </c>
    </row>
    <row r="645" spans="1:14" x14ac:dyDescent="0.25">
      <c r="A645" s="11" t="s">
        <v>207</v>
      </c>
      <c r="B645" s="12">
        <v>45177</v>
      </c>
      <c r="C645" s="11" t="s">
        <v>688</v>
      </c>
      <c r="D645" s="11" t="s">
        <v>43</v>
      </c>
      <c r="E645" s="13" t="s">
        <v>14</v>
      </c>
      <c r="F645" s="14" t="s">
        <v>13</v>
      </c>
      <c r="G645" s="14" t="s">
        <v>400</v>
      </c>
      <c r="I645" s="11">
        <f t="shared" si="32"/>
        <v>2</v>
      </c>
      <c r="J645" s="16">
        <v>19.600000000000001</v>
      </c>
      <c r="M645" s="17">
        <f t="shared" si="30"/>
        <v>84748.630000000121</v>
      </c>
      <c r="N645" s="11">
        <f t="shared" si="31"/>
        <v>9</v>
      </c>
    </row>
    <row r="646" spans="1:14" x14ac:dyDescent="0.25">
      <c r="A646" s="11" t="s">
        <v>207</v>
      </c>
      <c r="B646" s="12">
        <v>45177</v>
      </c>
      <c r="C646" s="11" t="s">
        <v>688</v>
      </c>
      <c r="D646" s="11" t="s">
        <v>43</v>
      </c>
      <c r="E646" s="13" t="s">
        <v>14</v>
      </c>
      <c r="F646" s="14" t="s">
        <v>13</v>
      </c>
      <c r="G646" s="14" t="s">
        <v>400</v>
      </c>
      <c r="I646" s="11">
        <f t="shared" si="32"/>
        <v>2</v>
      </c>
      <c r="J646" s="16">
        <v>689.46</v>
      </c>
      <c r="M646" s="17">
        <f t="shared" si="30"/>
        <v>85438.090000000127</v>
      </c>
      <c r="N646" s="11">
        <f t="shared" si="31"/>
        <v>9</v>
      </c>
    </row>
    <row r="647" spans="1:14" x14ac:dyDescent="0.25">
      <c r="A647" s="11" t="s">
        <v>207</v>
      </c>
      <c r="B647" s="12">
        <v>45177</v>
      </c>
      <c r="C647" s="11" t="s">
        <v>688</v>
      </c>
      <c r="D647" s="11" t="s">
        <v>43</v>
      </c>
      <c r="E647" s="13" t="s">
        <v>14</v>
      </c>
      <c r="F647" s="14" t="s">
        <v>13</v>
      </c>
      <c r="G647" s="14" t="s">
        <v>400</v>
      </c>
      <c r="I647" s="11">
        <f t="shared" si="32"/>
        <v>2</v>
      </c>
      <c r="J647" s="16">
        <v>1959.12</v>
      </c>
      <c r="M647" s="17">
        <f t="shared" si="30"/>
        <v>87397.210000000123</v>
      </c>
      <c r="N647" s="11">
        <f t="shared" si="31"/>
        <v>9</v>
      </c>
    </row>
    <row r="648" spans="1:14" x14ac:dyDescent="0.25">
      <c r="A648" s="11" t="s">
        <v>207</v>
      </c>
      <c r="B648" s="12">
        <v>45177</v>
      </c>
      <c r="C648" s="11" t="s">
        <v>688</v>
      </c>
      <c r="D648" s="11" t="s">
        <v>43</v>
      </c>
      <c r="E648" s="13" t="s">
        <v>14</v>
      </c>
      <c r="F648" s="14" t="s">
        <v>13</v>
      </c>
      <c r="G648" s="14" t="s">
        <v>400</v>
      </c>
      <c r="I648" s="11">
        <f t="shared" si="32"/>
        <v>2</v>
      </c>
      <c r="J648" s="16">
        <v>540.04</v>
      </c>
      <c r="M648" s="17">
        <f t="shared" si="30"/>
        <v>87937.250000000116</v>
      </c>
      <c r="N648" s="11">
        <f t="shared" si="31"/>
        <v>9</v>
      </c>
    </row>
    <row r="649" spans="1:14" x14ac:dyDescent="0.25">
      <c r="A649" s="11" t="s">
        <v>207</v>
      </c>
      <c r="B649" s="12">
        <v>45177</v>
      </c>
      <c r="C649" s="11" t="s">
        <v>688</v>
      </c>
      <c r="D649" s="11" t="s">
        <v>43</v>
      </c>
      <c r="E649" s="13" t="s">
        <v>14</v>
      </c>
      <c r="F649" s="14" t="s">
        <v>13</v>
      </c>
      <c r="G649" s="14" t="s">
        <v>400</v>
      </c>
      <c r="I649" s="11">
        <f t="shared" si="32"/>
        <v>2</v>
      </c>
      <c r="J649" s="16">
        <v>659.11</v>
      </c>
      <c r="M649" s="17">
        <f t="shared" si="30"/>
        <v>88596.360000000117</v>
      </c>
      <c r="N649" s="11">
        <f t="shared" si="31"/>
        <v>9</v>
      </c>
    </row>
    <row r="650" spans="1:14" x14ac:dyDescent="0.25">
      <c r="A650" s="11" t="s">
        <v>207</v>
      </c>
      <c r="B650" s="12">
        <v>45177</v>
      </c>
      <c r="C650" s="11" t="s">
        <v>688</v>
      </c>
      <c r="D650" s="11" t="s">
        <v>43</v>
      </c>
      <c r="E650" s="13" t="s">
        <v>14</v>
      </c>
      <c r="F650" s="14" t="s">
        <v>13</v>
      </c>
      <c r="G650" s="14" t="s">
        <v>400</v>
      </c>
      <c r="I650" s="11">
        <f t="shared" si="32"/>
        <v>2</v>
      </c>
      <c r="J650" s="16">
        <v>2533.04</v>
      </c>
      <c r="M650" s="17">
        <f t="shared" si="30"/>
        <v>91129.400000000111</v>
      </c>
      <c r="N650" s="11">
        <f t="shared" si="31"/>
        <v>9</v>
      </c>
    </row>
    <row r="651" spans="1:14" x14ac:dyDescent="0.25">
      <c r="A651" s="11" t="s">
        <v>207</v>
      </c>
      <c r="B651" s="12">
        <v>45177</v>
      </c>
      <c r="C651" s="11" t="s">
        <v>688</v>
      </c>
      <c r="D651" s="11" t="s">
        <v>43</v>
      </c>
      <c r="E651" s="13" t="s">
        <v>14</v>
      </c>
      <c r="F651" s="14" t="s">
        <v>13</v>
      </c>
      <c r="G651" s="14" t="s">
        <v>400</v>
      </c>
      <c r="I651" s="11">
        <f t="shared" si="32"/>
        <v>2</v>
      </c>
      <c r="J651" s="16">
        <v>222.11</v>
      </c>
      <c r="M651" s="17">
        <f t="shared" si="30"/>
        <v>91351.510000000111</v>
      </c>
      <c r="N651" s="11">
        <f t="shared" si="31"/>
        <v>9</v>
      </c>
    </row>
    <row r="652" spans="1:14" x14ac:dyDescent="0.25">
      <c r="A652" s="11" t="s">
        <v>207</v>
      </c>
      <c r="B652" s="12">
        <v>45177</v>
      </c>
      <c r="C652" s="11" t="s">
        <v>688</v>
      </c>
      <c r="D652" s="11" t="s">
        <v>43</v>
      </c>
      <c r="E652" s="13" t="s">
        <v>14</v>
      </c>
      <c r="F652" s="14" t="s">
        <v>13</v>
      </c>
      <c r="G652" s="14" t="s">
        <v>400</v>
      </c>
      <c r="I652" s="11">
        <f t="shared" si="32"/>
        <v>2</v>
      </c>
      <c r="J652" s="16">
        <v>114.32</v>
      </c>
      <c r="M652" s="17">
        <f t="shared" si="30"/>
        <v>91465.830000000118</v>
      </c>
      <c r="N652" s="11">
        <f t="shared" si="31"/>
        <v>9</v>
      </c>
    </row>
    <row r="653" spans="1:14" x14ac:dyDescent="0.25">
      <c r="A653" s="11" t="s">
        <v>207</v>
      </c>
      <c r="B653" s="12">
        <v>45177</v>
      </c>
      <c r="C653" s="11" t="s">
        <v>688</v>
      </c>
      <c r="D653" s="11" t="s">
        <v>43</v>
      </c>
      <c r="E653" s="13" t="s">
        <v>80</v>
      </c>
      <c r="F653" s="14" t="s">
        <v>79</v>
      </c>
      <c r="G653" s="14" t="s">
        <v>400</v>
      </c>
      <c r="I653" s="11">
        <f t="shared" si="32"/>
        <v>2</v>
      </c>
      <c r="J653" s="16">
        <v>7315.71</v>
      </c>
      <c r="M653" s="17">
        <f t="shared" si="30"/>
        <v>98781.540000000125</v>
      </c>
      <c r="N653" s="11">
        <f t="shared" si="31"/>
        <v>9</v>
      </c>
    </row>
    <row r="654" spans="1:14" x14ac:dyDescent="0.25">
      <c r="A654" s="11" t="s">
        <v>207</v>
      </c>
      <c r="B654" s="12">
        <v>45177</v>
      </c>
      <c r="C654" s="11" t="s">
        <v>688</v>
      </c>
      <c r="D654" s="11" t="s">
        <v>43</v>
      </c>
      <c r="E654" s="13" t="s">
        <v>81</v>
      </c>
      <c r="F654" s="14" t="s">
        <v>79</v>
      </c>
      <c r="G654" s="14" t="s">
        <v>400</v>
      </c>
      <c r="I654" s="11">
        <f t="shared" si="32"/>
        <v>2</v>
      </c>
      <c r="J654" s="16">
        <v>6569.44</v>
      </c>
      <c r="M654" s="17">
        <f t="shared" si="30"/>
        <v>105350.98000000013</v>
      </c>
      <c r="N654" s="11">
        <f t="shared" si="31"/>
        <v>9</v>
      </c>
    </row>
    <row r="655" spans="1:14" x14ac:dyDescent="0.25">
      <c r="A655" s="11" t="s">
        <v>207</v>
      </c>
      <c r="B655" s="12">
        <v>45177</v>
      </c>
      <c r="C655" s="11" t="s">
        <v>688</v>
      </c>
      <c r="D655" s="11" t="s">
        <v>43</v>
      </c>
      <c r="E655" s="13" t="s">
        <v>82</v>
      </c>
      <c r="F655" s="14" t="s">
        <v>79</v>
      </c>
      <c r="G655" s="14" t="s">
        <v>400</v>
      </c>
      <c r="I655" s="11">
        <f t="shared" si="32"/>
        <v>2</v>
      </c>
      <c r="J655" s="16">
        <v>93.86</v>
      </c>
      <c r="M655" s="17">
        <f t="shared" si="30"/>
        <v>105444.84000000013</v>
      </c>
      <c r="N655" s="11">
        <f t="shared" si="31"/>
        <v>9</v>
      </c>
    </row>
    <row r="656" spans="1:14" x14ac:dyDescent="0.25">
      <c r="A656" s="11" t="s">
        <v>207</v>
      </c>
      <c r="B656" s="12">
        <v>45177</v>
      </c>
      <c r="C656" s="11" t="s">
        <v>688</v>
      </c>
      <c r="D656" s="11" t="s">
        <v>43</v>
      </c>
      <c r="E656" s="13" t="s">
        <v>83</v>
      </c>
      <c r="F656" s="14" t="s">
        <v>79</v>
      </c>
      <c r="G656" s="14" t="s">
        <v>400</v>
      </c>
      <c r="I656" s="11">
        <f t="shared" si="32"/>
        <v>2</v>
      </c>
      <c r="J656" s="16">
        <v>202.69</v>
      </c>
      <c r="M656" s="17">
        <f t="shared" si="30"/>
        <v>105647.53000000013</v>
      </c>
      <c r="N656" s="11">
        <f t="shared" si="31"/>
        <v>9</v>
      </c>
    </row>
    <row r="657" spans="1:14" x14ac:dyDescent="0.25">
      <c r="A657" s="11" t="s">
        <v>0</v>
      </c>
      <c r="B657" s="12">
        <v>45177</v>
      </c>
      <c r="C657" s="11" t="s">
        <v>688</v>
      </c>
      <c r="D657" s="11" t="s">
        <v>701</v>
      </c>
      <c r="E657" s="13" t="s">
        <v>123</v>
      </c>
      <c r="F657" s="14" t="s">
        <v>676</v>
      </c>
      <c r="G657" s="14" t="s">
        <v>404</v>
      </c>
      <c r="H657" s="15">
        <v>3</v>
      </c>
      <c r="I657" s="11">
        <f t="shared" si="32"/>
        <v>5</v>
      </c>
      <c r="K657" s="16">
        <v>82.8</v>
      </c>
      <c r="M657" s="17">
        <f t="shared" si="30"/>
        <v>105564.73000000013</v>
      </c>
      <c r="N657" s="11">
        <f t="shared" si="31"/>
        <v>9</v>
      </c>
    </row>
    <row r="658" spans="1:14" x14ac:dyDescent="0.25">
      <c r="A658" s="11" t="s">
        <v>0</v>
      </c>
      <c r="B658" s="12">
        <v>45177</v>
      </c>
      <c r="C658" s="11" t="s">
        <v>688</v>
      </c>
      <c r="D658" s="11" t="s">
        <v>692</v>
      </c>
      <c r="E658" s="13" t="s">
        <v>169</v>
      </c>
      <c r="F658" s="14" t="s">
        <v>50</v>
      </c>
      <c r="G658" s="14" t="s">
        <v>404</v>
      </c>
      <c r="H658" s="15">
        <v>1167177</v>
      </c>
      <c r="I658" s="11">
        <f t="shared" si="32"/>
        <v>5</v>
      </c>
      <c r="K658" s="16">
        <v>1550</v>
      </c>
      <c r="M658" s="17">
        <f t="shared" si="30"/>
        <v>104014.73000000013</v>
      </c>
      <c r="N658" s="11">
        <f t="shared" si="31"/>
        <v>9</v>
      </c>
    </row>
    <row r="659" spans="1:14" x14ac:dyDescent="0.25">
      <c r="A659" s="11" t="s">
        <v>0</v>
      </c>
      <c r="B659" s="12">
        <v>45177</v>
      </c>
      <c r="C659" s="11" t="s">
        <v>688</v>
      </c>
      <c r="D659" s="11" t="s">
        <v>699</v>
      </c>
      <c r="E659" s="13" t="s">
        <v>98</v>
      </c>
      <c r="F659" s="14" t="s">
        <v>206</v>
      </c>
      <c r="G659" s="14" t="s">
        <v>404</v>
      </c>
      <c r="H659" s="15">
        <v>7385</v>
      </c>
      <c r="I659" s="11">
        <f t="shared" si="32"/>
        <v>5</v>
      </c>
      <c r="K659" s="16">
        <v>293.25</v>
      </c>
      <c r="M659" s="17">
        <f t="shared" si="30"/>
        <v>103721.48000000013</v>
      </c>
      <c r="N659" s="11">
        <f t="shared" si="31"/>
        <v>9</v>
      </c>
    </row>
    <row r="660" spans="1:14" x14ac:dyDescent="0.25">
      <c r="A660" s="11" t="s">
        <v>0</v>
      </c>
      <c r="B660" s="12">
        <v>45177</v>
      </c>
      <c r="C660" s="11" t="s">
        <v>688</v>
      </c>
      <c r="D660" s="11" t="s">
        <v>692</v>
      </c>
      <c r="E660" s="13" t="s">
        <v>725</v>
      </c>
      <c r="F660" s="14" t="s">
        <v>27</v>
      </c>
      <c r="G660" s="14" t="s">
        <v>404</v>
      </c>
      <c r="H660" s="15">
        <v>13243</v>
      </c>
      <c r="I660" s="11">
        <f t="shared" si="32"/>
        <v>5</v>
      </c>
      <c r="K660" s="16">
        <v>271.97000000000003</v>
      </c>
      <c r="M660" s="17">
        <f t="shared" si="30"/>
        <v>103449.51000000013</v>
      </c>
      <c r="N660" s="11">
        <f t="shared" si="31"/>
        <v>9</v>
      </c>
    </row>
    <row r="661" spans="1:14" x14ac:dyDescent="0.25">
      <c r="A661" s="11" t="s">
        <v>0</v>
      </c>
      <c r="B661" s="12">
        <v>45177</v>
      </c>
      <c r="C661" s="11" t="s">
        <v>688</v>
      </c>
      <c r="D661" s="11" t="s">
        <v>692</v>
      </c>
      <c r="E661" s="13" t="s">
        <v>179</v>
      </c>
      <c r="F661" s="14" t="s">
        <v>378</v>
      </c>
      <c r="G661" s="14" t="s">
        <v>174</v>
      </c>
      <c r="H661" s="15">
        <v>3</v>
      </c>
      <c r="I661" s="11" t="b">
        <f t="shared" si="32"/>
        <v>0</v>
      </c>
      <c r="K661" s="16">
        <v>500</v>
      </c>
      <c r="M661" s="17">
        <f t="shared" si="30"/>
        <v>102949.51000000013</v>
      </c>
      <c r="N661" s="11">
        <f t="shared" si="31"/>
        <v>9</v>
      </c>
    </row>
    <row r="662" spans="1:14" x14ac:dyDescent="0.25">
      <c r="A662" s="11" t="s">
        <v>0</v>
      </c>
      <c r="B662" s="12">
        <v>45177</v>
      </c>
      <c r="C662" s="11" t="s">
        <v>688</v>
      </c>
      <c r="D662" s="11" t="s">
        <v>692</v>
      </c>
      <c r="E662" s="13" t="s">
        <v>725</v>
      </c>
      <c r="F662" s="14" t="s">
        <v>33</v>
      </c>
      <c r="G662" s="14" t="s">
        <v>404</v>
      </c>
      <c r="H662" s="15">
        <v>24317</v>
      </c>
      <c r="I662" s="11">
        <f t="shared" si="32"/>
        <v>5</v>
      </c>
      <c r="K662" s="16">
        <v>840.81</v>
      </c>
      <c r="M662" s="17">
        <f t="shared" si="30"/>
        <v>102108.70000000013</v>
      </c>
      <c r="N662" s="11">
        <f t="shared" si="31"/>
        <v>9</v>
      </c>
    </row>
    <row r="663" spans="1:14" x14ac:dyDescent="0.25">
      <c r="A663" s="11" t="s">
        <v>0</v>
      </c>
      <c r="B663" s="12">
        <v>45177</v>
      </c>
      <c r="C663" s="11" t="s">
        <v>688</v>
      </c>
      <c r="D663" s="11" t="s">
        <v>692</v>
      </c>
      <c r="E663" s="13" t="s">
        <v>725</v>
      </c>
      <c r="F663" s="14" t="s">
        <v>27</v>
      </c>
      <c r="G663" s="14" t="s">
        <v>404</v>
      </c>
      <c r="H663" s="15">
        <v>13251</v>
      </c>
      <c r="I663" s="11">
        <f t="shared" si="32"/>
        <v>5</v>
      </c>
      <c r="K663" s="16">
        <v>1509.6</v>
      </c>
      <c r="M663" s="17">
        <f t="shared" si="30"/>
        <v>100599.10000000012</v>
      </c>
      <c r="N663" s="11">
        <f t="shared" si="31"/>
        <v>9</v>
      </c>
    </row>
    <row r="664" spans="1:14" x14ac:dyDescent="0.25">
      <c r="A664" s="11" t="s">
        <v>0</v>
      </c>
      <c r="B664" s="12">
        <v>45177</v>
      </c>
      <c r="C664" s="11" t="s">
        <v>688</v>
      </c>
      <c r="D664" s="11" t="s">
        <v>694</v>
      </c>
      <c r="E664" s="13" t="s">
        <v>182</v>
      </c>
      <c r="F664" s="14" t="s">
        <v>93</v>
      </c>
      <c r="G664" s="14" t="s">
        <v>186</v>
      </c>
      <c r="I664" s="11" t="b">
        <f t="shared" si="32"/>
        <v>0</v>
      </c>
      <c r="K664" s="16">
        <v>22.09</v>
      </c>
      <c r="M664" s="17">
        <f t="shared" si="30"/>
        <v>100577.01000000013</v>
      </c>
      <c r="N664" s="11">
        <f t="shared" si="31"/>
        <v>9</v>
      </c>
    </row>
    <row r="665" spans="1:14" x14ac:dyDescent="0.25">
      <c r="A665" s="11" t="s">
        <v>0</v>
      </c>
      <c r="B665" s="12">
        <v>45177</v>
      </c>
      <c r="C665" s="11" t="s">
        <v>688</v>
      </c>
      <c r="D665" s="11" t="s">
        <v>694</v>
      </c>
      <c r="E665" s="13" t="s">
        <v>182</v>
      </c>
      <c r="F665" s="14" t="s">
        <v>23</v>
      </c>
      <c r="G665" s="14" t="s">
        <v>186</v>
      </c>
      <c r="I665" s="11" t="b">
        <f t="shared" si="32"/>
        <v>0</v>
      </c>
      <c r="K665" s="16">
        <v>41.63</v>
      </c>
      <c r="M665" s="17">
        <f t="shared" si="30"/>
        <v>100535.38000000012</v>
      </c>
      <c r="N665" s="11">
        <f t="shared" si="31"/>
        <v>9</v>
      </c>
    </row>
    <row r="666" spans="1:14" x14ac:dyDescent="0.25">
      <c r="A666" s="11" t="s">
        <v>207</v>
      </c>
      <c r="B666" s="12">
        <v>45177</v>
      </c>
      <c r="C666" s="11" t="s">
        <v>688</v>
      </c>
      <c r="D666" s="11" t="s">
        <v>43</v>
      </c>
      <c r="E666" s="14" t="s">
        <v>288</v>
      </c>
      <c r="F666" s="14" t="s">
        <v>288</v>
      </c>
      <c r="G666" s="14" t="s">
        <v>173</v>
      </c>
      <c r="I666" s="11">
        <f t="shared" si="32"/>
        <v>3</v>
      </c>
      <c r="J666" s="16">
        <v>390</v>
      </c>
      <c r="M666" s="17">
        <f t="shared" si="30"/>
        <v>100925.38000000012</v>
      </c>
      <c r="N666" s="11">
        <f t="shared" si="31"/>
        <v>9</v>
      </c>
    </row>
    <row r="667" spans="1:14" x14ac:dyDescent="0.25">
      <c r="A667" s="11" t="s">
        <v>207</v>
      </c>
      <c r="B667" s="12">
        <v>45177</v>
      </c>
      <c r="C667" s="11" t="s">
        <v>688</v>
      </c>
      <c r="D667" s="11" t="s">
        <v>43</v>
      </c>
      <c r="E667" s="13" t="s">
        <v>95</v>
      </c>
      <c r="F667" s="14" t="s">
        <v>124</v>
      </c>
      <c r="G667" s="14" t="s">
        <v>400</v>
      </c>
      <c r="I667" s="11">
        <f t="shared" si="32"/>
        <v>2</v>
      </c>
      <c r="J667" s="16">
        <v>3216.92</v>
      </c>
      <c r="M667" s="17">
        <f t="shared" si="30"/>
        <v>104142.30000000012</v>
      </c>
      <c r="N667" s="11">
        <f t="shared" si="31"/>
        <v>9</v>
      </c>
    </row>
    <row r="668" spans="1:14" x14ac:dyDescent="0.25">
      <c r="A668" s="11" t="s">
        <v>207</v>
      </c>
      <c r="B668" s="12">
        <v>45178</v>
      </c>
      <c r="C668" s="11" t="s">
        <v>662</v>
      </c>
      <c r="D668" s="11" t="s">
        <v>43</v>
      </c>
      <c r="E668" s="13" t="s">
        <v>14</v>
      </c>
      <c r="F668" s="14" t="s">
        <v>13</v>
      </c>
      <c r="G668" s="14" t="s">
        <v>400</v>
      </c>
      <c r="I668" s="11">
        <f t="shared" si="32"/>
        <v>2</v>
      </c>
      <c r="J668" s="16">
        <v>100</v>
      </c>
      <c r="M668" s="17">
        <f t="shared" si="30"/>
        <v>104242.30000000012</v>
      </c>
      <c r="N668" s="11">
        <f t="shared" si="31"/>
        <v>9</v>
      </c>
    </row>
    <row r="669" spans="1:14" x14ac:dyDescent="0.25">
      <c r="A669" s="11" t="s">
        <v>207</v>
      </c>
      <c r="B669" s="12">
        <v>45178</v>
      </c>
      <c r="C669" s="11" t="s">
        <v>662</v>
      </c>
      <c r="D669" s="11" t="s">
        <v>43</v>
      </c>
      <c r="E669" s="14" t="s">
        <v>288</v>
      </c>
      <c r="F669" s="14" t="s">
        <v>288</v>
      </c>
      <c r="G669" s="14" t="s">
        <v>173</v>
      </c>
      <c r="I669" s="11">
        <f t="shared" si="32"/>
        <v>3</v>
      </c>
      <c r="J669" s="16">
        <v>200</v>
      </c>
      <c r="M669" s="17">
        <f t="shared" si="30"/>
        <v>104442.30000000012</v>
      </c>
      <c r="N669" s="11">
        <f t="shared" si="31"/>
        <v>9</v>
      </c>
    </row>
    <row r="670" spans="1:14" x14ac:dyDescent="0.25">
      <c r="A670" s="11" t="s">
        <v>207</v>
      </c>
      <c r="B670" s="12">
        <v>45179</v>
      </c>
      <c r="C670" s="11" t="s">
        <v>688</v>
      </c>
      <c r="D670" s="11" t="s">
        <v>43</v>
      </c>
      <c r="E670" s="14" t="s">
        <v>288</v>
      </c>
      <c r="F670" s="14" t="s">
        <v>288</v>
      </c>
      <c r="G670" s="14" t="s">
        <v>173</v>
      </c>
      <c r="I670" s="11">
        <f t="shared" si="32"/>
        <v>3</v>
      </c>
      <c r="J670" s="16">
        <v>1520</v>
      </c>
      <c r="M670" s="17">
        <f t="shared" si="30"/>
        <v>105962.30000000012</v>
      </c>
      <c r="N670" s="11">
        <f t="shared" si="31"/>
        <v>9</v>
      </c>
    </row>
    <row r="671" spans="1:14" x14ac:dyDescent="0.25">
      <c r="A671" s="11" t="s">
        <v>0</v>
      </c>
      <c r="B671" s="12">
        <v>45180</v>
      </c>
      <c r="C671" s="11" t="s">
        <v>688</v>
      </c>
      <c r="D671" s="11" t="s">
        <v>692</v>
      </c>
      <c r="E671" s="13" t="s">
        <v>725</v>
      </c>
      <c r="F671" s="14" t="s">
        <v>33</v>
      </c>
      <c r="G671" s="14" t="s">
        <v>404</v>
      </c>
      <c r="H671" s="15">
        <v>24330</v>
      </c>
      <c r="I671" s="11">
        <f t="shared" si="32"/>
        <v>5</v>
      </c>
      <c r="K671" s="16">
        <v>1072.21</v>
      </c>
      <c r="M671" s="17">
        <f t="shared" si="30"/>
        <v>104890.09000000011</v>
      </c>
      <c r="N671" s="11">
        <f t="shared" si="31"/>
        <v>9</v>
      </c>
    </row>
    <row r="672" spans="1:14" x14ac:dyDescent="0.25">
      <c r="A672" s="11" t="s">
        <v>0</v>
      </c>
      <c r="B672" s="12">
        <v>45180</v>
      </c>
      <c r="C672" s="11" t="s">
        <v>688</v>
      </c>
      <c r="D672" s="11" t="s">
        <v>692</v>
      </c>
      <c r="E672" s="13" t="s">
        <v>179</v>
      </c>
      <c r="F672" s="14" t="s">
        <v>51</v>
      </c>
      <c r="G672" s="14" t="s">
        <v>404</v>
      </c>
      <c r="H672" s="15">
        <v>5</v>
      </c>
      <c r="I672" s="11">
        <f t="shared" si="32"/>
        <v>5</v>
      </c>
      <c r="K672" s="16">
        <v>2250</v>
      </c>
      <c r="M672" s="17">
        <f t="shared" si="30"/>
        <v>102640.09000000011</v>
      </c>
      <c r="N672" s="11">
        <f t="shared" si="31"/>
        <v>9</v>
      </c>
    </row>
    <row r="673" spans="1:14" x14ac:dyDescent="0.25">
      <c r="A673" s="11" t="s">
        <v>0</v>
      </c>
      <c r="B673" s="12">
        <v>45180</v>
      </c>
      <c r="C673" s="11" t="s">
        <v>688</v>
      </c>
      <c r="D673" s="11" t="s">
        <v>692</v>
      </c>
      <c r="E673" s="13" t="s">
        <v>143</v>
      </c>
      <c r="F673" s="14" t="s">
        <v>36</v>
      </c>
      <c r="G673" s="14" t="s">
        <v>403</v>
      </c>
      <c r="H673" s="15">
        <v>210201</v>
      </c>
      <c r="I673" s="11">
        <f t="shared" si="32"/>
        <v>5</v>
      </c>
      <c r="K673" s="16">
        <v>1440</v>
      </c>
      <c r="M673" s="17">
        <f t="shared" si="30"/>
        <v>101200.09000000011</v>
      </c>
      <c r="N673" s="11">
        <f t="shared" si="31"/>
        <v>9</v>
      </c>
    </row>
    <row r="674" spans="1:14" x14ac:dyDescent="0.25">
      <c r="A674" s="11" t="s">
        <v>0</v>
      </c>
      <c r="B674" s="12">
        <v>45180</v>
      </c>
      <c r="C674" s="11" t="s">
        <v>688</v>
      </c>
      <c r="D674" s="11" t="s">
        <v>692</v>
      </c>
      <c r="E674" s="13" t="s">
        <v>725</v>
      </c>
      <c r="F674" s="14" t="s">
        <v>33</v>
      </c>
      <c r="G674" s="14" t="s">
        <v>404</v>
      </c>
      <c r="H674" s="15">
        <v>24331</v>
      </c>
      <c r="I674" s="11">
        <f t="shared" si="32"/>
        <v>5</v>
      </c>
      <c r="K674" s="16">
        <v>776.06</v>
      </c>
      <c r="M674" s="17">
        <f t="shared" si="30"/>
        <v>100424.03000000012</v>
      </c>
      <c r="N674" s="11">
        <f t="shared" si="31"/>
        <v>9</v>
      </c>
    </row>
    <row r="675" spans="1:14" x14ac:dyDescent="0.25">
      <c r="A675" s="11" t="s">
        <v>0</v>
      </c>
      <c r="B675" s="12">
        <v>45180</v>
      </c>
      <c r="C675" s="11" t="s">
        <v>688</v>
      </c>
      <c r="D675" s="11" t="s">
        <v>692</v>
      </c>
      <c r="E675" s="13" t="s">
        <v>725</v>
      </c>
      <c r="F675" s="14" t="s">
        <v>33</v>
      </c>
      <c r="G675" s="14" t="s">
        <v>404</v>
      </c>
      <c r="H675" s="15">
        <v>24332</v>
      </c>
      <c r="I675" s="11">
        <f t="shared" si="32"/>
        <v>5</v>
      </c>
      <c r="K675" s="16">
        <v>14.99</v>
      </c>
      <c r="M675" s="17">
        <f t="shared" si="30"/>
        <v>100409.04000000011</v>
      </c>
      <c r="N675" s="11">
        <f t="shared" si="31"/>
        <v>9</v>
      </c>
    </row>
    <row r="676" spans="1:14" x14ac:dyDescent="0.25">
      <c r="A676" s="11" t="s">
        <v>0</v>
      </c>
      <c r="B676" s="12">
        <v>45180</v>
      </c>
      <c r="C676" s="11" t="s">
        <v>688</v>
      </c>
      <c r="D676" s="11" t="s">
        <v>47</v>
      </c>
      <c r="E676" s="13" t="s">
        <v>127</v>
      </c>
      <c r="F676" s="14" t="s">
        <v>126</v>
      </c>
      <c r="G676" s="14" t="s">
        <v>174</v>
      </c>
      <c r="H676" s="15">
        <v>1</v>
      </c>
      <c r="I676" s="11" t="b">
        <f t="shared" si="32"/>
        <v>0</v>
      </c>
      <c r="K676" s="16">
        <v>320</v>
      </c>
      <c r="M676" s="17">
        <f t="shared" si="30"/>
        <v>100089.04000000011</v>
      </c>
      <c r="N676" s="11">
        <f t="shared" si="31"/>
        <v>9</v>
      </c>
    </row>
    <row r="677" spans="1:14" ht="26.4" x14ac:dyDescent="0.25">
      <c r="A677" s="11" t="s">
        <v>0</v>
      </c>
      <c r="B677" s="12">
        <v>45180</v>
      </c>
      <c r="C677" s="11" t="s">
        <v>688</v>
      </c>
      <c r="D677" s="11" t="s">
        <v>692</v>
      </c>
      <c r="E677" s="13" t="s">
        <v>725</v>
      </c>
      <c r="F677" s="14" t="s">
        <v>27</v>
      </c>
      <c r="G677" s="14" t="s">
        <v>404</v>
      </c>
      <c r="H677" s="15" t="s">
        <v>128</v>
      </c>
      <c r="I677" s="11">
        <f t="shared" si="32"/>
        <v>5</v>
      </c>
      <c r="K677" s="16">
        <v>154.69999999999999</v>
      </c>
      <c r="M677" s="17">
        <f t="shared" si="30"/>
        <v>99934.340000000113</v>
      </c>
      <c r="N677" s="11">
        <f t="shared" si="31"/>
        <v>9</v>
      </c>
    </row>
    <row r="678" spans="1:14" x14ac:dyDescent="0.25">
      <c r="A678" s="11" t="s">
        <v>207</v>
      </c>
      <c r="B678" s="12">
        <v>45180</v>
      </c>
      <c r="C678" s="11" t="s">
        <v>688</v>
      </c>
      <c r="D678" s="11" t="s">
        <v>43</v>
      </c>
      <c r="E678" s="13" t="s">
        <v>14</v>
      </c>
      <c r="F678" s="14" t="s">
        <v>13</v>
      </c>
      <c r="G678" s="14" t="s">
        <v>400</v>
      </c>
      <c r="I678" s="11">
        <f t="shared" si="32"/>
        <v>2</v>
      </c>
      <c r="J678" s="16">
        <v>12.93</v>
      </c>
      <c r="M678" s="17">
        <f t="shared" si="30"/>
        <v>99947.270000000106</v>
      </c>
      <c r="N678" s="11">
        <f t="shared" si="31"/>
        <v>9</v>
      </c>
    </row>
    <row r="679" spans="1:14" x14ac:dyDescent="0.25">
      <c r="A679" s="11" t="s">
        <v>207</v>
      </c>
      <c r="B679" s="12">
        <v>45180</v>
      </c>
      <c r="C679" s="11" t="s">
        <v>688</v>
      </c>
      <c r="D679" s="11" t="s">
        <v>43</v>
      </c>
      <c r="E679" s="13" t="s">
        <v>14</v>
      </c>
      <c r="F679" s="14" t="s">
        <v>13</v>
      </c>
      <c r="G679" s="14" t="s">
        <v>400</v>
      </c>
      <c r="I679" s="11">
        <f t="shared" si="32"/>
        <v>2</v>
      </c>
      <c r="J679" s="16">
        <v>12.93</v>
      </c>
      <c r="M679" s="17">
        <f t="shared" si="30"/>
        <v>99960.200000000099</v>
      </c>
      <c r="N679" s="11">
        <f t="shared" si="31"/>
        <v>9</v>
      </c>
    </row>
    <row r="680" spans="1:14" x14ac:dyDescent="0.25">
      <c r="A680" s="11" t="s">
        <v>207</v>
      </c>
      <c r="B680" s="12">
        <v>45180</v>
      </c>
      <c r="C680" s="11" t="s">
        <v>688</v>
      </c>
      <c r="D680" s="11" t="s">
        <v>43</v>
      </c>
      <c r="E680" s="13" t="s">
        <v>14</v>
      </c>
      <c r="F680" s="14" t="s">
        <v>13</v>
      </c>
      <c r="G680" s="14" t="s">
        <v>400</v>
      </c>
      <c r="I680" s="11">
        <f t="shared" si="32"/>
        <v>2</v>
      </c>
      <c r="J680" s="16">
        <v>299.95</v>
      </c>
      <c r="M680" s="17">
        <f t="shared" si="30"/>
        <v>100260.1500000001</v>
      </c>
      <c r="N680" s="11">
        <f t="shared" si="31"/>
        <v>9</v>
      </c>
    </row>
    <row r="681" spans="1:14" x14ac:dyDescent="0.25">
      <c r="A681" s="11" t="s">
        <v>207</v>
      </c>
      <c r="B681" s="12">
        <v>45180</v>
      </c>
      <c r="C681" s="11" t="s">
        <v>688</v>
      </c>
      <c r="D681" s="11" t="s">
        <v>43</v>
      </c>
      <c r="E681" s="13" t="s">
        <v>14</v>
      </c>
      <c r="F681" s="14" t="s">
        <v>13</v>
      </c>
      <c r="G681" s="14" t="s">
        <v>400</v>
      </c>
      <c r="I681" s="11">
        <f t="shared" si="32"/>
        <v>2</v>
      </c>
      <c r="J681" s="16">
        <v>708.98</v>
      </c>
      <c r="M681" s="17">
        <f t="shared" si="30"/>
        <v>100969.13000000009</v>
      </c>
      <c r="N681" s="11">
        <f t="shared" si="31"/>
        <v>9</v>
      </c>
    </row>
    <row r="682" spans="1:14" x14ac:dyDescent="0.25">
      <c r="A682" s="11" t="s">
        <v>207</v>
      </c>
      <c r="B682" s="12">
        <v>45180</v>
      </c>
      <c r="C682" s="11" t="s">
        <v>688</v>
      </c>
      <c r="D682" s="11" t="s">
        <v>43</v>
      </c>
      <c r="E682" s="13" t="s">
        <v>14</v>
      </c>
      <c r="F682" s="14" t="s">
        <v>13</v>
      </c>
      <c r="G682" s="14" t="s">
        <v>400</v>
      </c>
      <c r="I682" s="11">
        <f t="shared" si="32"/>
        <v>2</v>
      </c>
      <c r="J682" s="16">
        <v>808.33</v>
      </c>
      <c r="M682" s="17">
        <f t="shared" si="30"/>
        <v>101777.46000000009</v>
      </c>
      <c r="N682" s="11">
        <f t="shared" si="31"/>
        <v>9</v>
      </c>
    </row>
    <row r="683" spans="1:14" x14ac:dyDescent="0.25">
      <c r="A683" s="11" t="s">
        <v>207</v>
      </c>
      <c r="B683" s="12">
        <v>45180</v>
      </c>
      <c r="C683" s="11" t="s">
        <v>688</v>
      </c>
      <c r="D683" s="11" t="s">
        <v>43</v>
      </c>
      <c r="E683" s="13" t="s">
        <v>14</v>
      </c>
      <c r="F683" s="14" t="s">
        <v>13</v>
      </c>
      <c r="G683" s="14" t="s">
        <v>400</v>
      </c>
      <c r="I683" s="11">
        <f t="shared" si="32"/>
        <v>2</v>
      </c>
      <c r="J683" s="16">
        <v>788.18</v>
      </c>
      <c r="M683" s="17">
        <f t="shared" si="30"/>
        <v>102565.64000000009</v>
      </c>
      <c r="N683" s="11">
        <f t="shared" si="31"/>
        <v>9</v>
      </c>
    </row>
    <row r="684" spans="1:14" x14ac:dyDescent="0.25">
      <c r="A684" s="11" t="s">
        <v>207</v>
      </c>
      <c r="B684" s="12">
        <v>45180</v>
      </c>
      <c r="C684" s="11" t="s">
        <v>688</v>
      </c>
      <c r="D684" s="11" t="s">
        <v>43</v>
      </c>
      <c r="E684" s="13" t="s">
        <v>14</v>
      </c>
      <c r="F684" s="14" t="s">
        <v>13</v>
      </c>
      <c r="G684" s="14" t="s">
        <v>400</v>
      </c>
      <c r="I684" s="11">
        <f t="shared" si="32"/>
        <v>2</v>
      </c>
      <c r="J684" s="16">
        <v>631.1</v>
      </c>
      <c r="M684" s="17">
        <f t="shared" si="30"/>
        <v>103196.74000000009</v>
      </c>
      <c r="N684" s="11">
        <f t="shared" si="31"/>
        <v>9</v>
      </c>
    </row>
    <row r="685" spans="1:14" x14ac:dyDescent="0.25">
      <c r="A685" s="11" t="s">
        <v>207</v>
      </c>
      <c r="B685" s="12">
        <v>45180</v>
      </c>
      <c r="C685" s="11" t="s">
        <v>688</v>
      </c>
      <c r="D685" s="11" t="s">
        <v>43</v>
      </c>
      <c r="E685" s="13" t="s">
        <v>14</v>
      </c>
      <c r="F685" s="14" t="s">
        <v>13</v>
      </c>
      <c r="G685" s="14" t="s">
        <v>400</v>
      </c>
      <c r="I685" s="11">
        <f t="shared" si="32"/>
        <v>2</v>
      </c>
      <c r="J685" s="16">
        <v>1365.78</v>
      </c>
      <c r="M685" s="17">
        <f t="shared" si="30"/>
        <v>104562.52000000009</v>
      </c>
      <c r="N685" s="11">
        <f t="shared" si="31"/>
        <v>9</v>
      </c>
    </row>
    <row r="686" spans="1:14" x14ac:dyDescent="0.25">
      <c r="A686" s="11" t="s">
        <v>207</v>
      </c>
      <c r="B686" s="12">
        <v>45180</v>
      </c>
      <c r="C686" s="11" t="s">
        <v>688</v>
      </c>
      <c r="D686" s="11" t="s">
        <v>43</v>
      </c>
      <c r="E686" s="13" t="s">
        <v>14</v>
      </c>
      <c r="F686" s="14" t="s">
        <v>13</v>
      </c>
      <c r="G686" s="14" t="s">
        <v>400</v>
      </c>
      <c r="I686" s="11">
        <f t="shared" si="32"/>
        <v>2</v>
      </c>
      <c r="J686" s="16">
        <v>711.27</v>
      </c>
      <c r="M686" s="17">
        <f t="shared" si="30"/>
        <v>105273.7900000001</v>
      </c>
      <c r="N686" s="11">
        <f t="shared" si="31"/>
        <v>9</v>
      </c>
    </row>
    <row r="687" spans="1:14" x14ac:dyDescent="0.25">
      <c r="A687" s="11" t="s">
        <v>207</v>
      </c>
      <c r="B687" s="12">
        <v>45180</v>
      </c>
      <c r="C687" s="11" t="s">
        <v>688</v>
      </c>
      <c r="D687" s="11" t="s">
        <v>43</v>
      </c>
      <c r="E687" s="13" t="s">
        <v>14</v>
      </c>
      <c r="F687" s="14" t="s">
        <v>13</v>
      </c>
      <c r="G687" s="14" t="s">
        <v>400</v>
      </c>
      <c r="I687" s="11">
        <f t="shared" si="32"/>
        <v>2</v>
      </c>
      <c r="J687" s="16">
        <v>903.69</v>
      </c>
      <c r="M687" s="17">
        <f t="shared" si="30"/>
        <v>106177.4800000001</v>
      </c>
      <c r="N687" s="11">
        <f t="shared" si="31"/>
        <v>9</v>
      </c>
    </row>
    <row r="688" spans="1:14" x14ac:dyDescent="0.25">
      <c r="A688" s="11" t="s">
        <v>207</v>
      </c>
      <c r="B688" s="12">
        <v>45180</v>
      </c>
      <c r="C688" s="11" t="s">
        <v>688</v>
      </c>
      <c r="D688" s="11" t="s">
        <v>43</v>
      </c>
      <c r="E688" s="13" t="s">
        <v>14</v>
      </c>
      <c r="F688" s="14" t="s">
        <v>13</v>
      </c>
      <c r="G688" s="14" t="s">
        <v>400</v>
      </c>
      <c r="I688" s="11">
        <f t="shared" si="32"/>
        <v>2</v>
      </c>
      <c r="J688" s="16">
        <v>424.3</v>
      </c>
      <c r="M688" s="17">
        <f t="shared" si="30"/>
        <v>106601.7800000001</v>
      </c>
      <c r="N688" s="11">
        <f t="shared" si="31"/>
        <v>9</v>
      </c>
    </row>
    <row r="689" spans="1:14" x14ac:dyDescent="0.25">
      <c r="A689" s="11" t="s">
        <v>207</v>
      </c>
      <c r="B689" s="12">
        <v>45180</v>
      </c>
      <c r="C689" s="11" t="s">
        <v>688</v>
      </c>
      <c r="D689" s="11" t="s">
        <v>43</v>
      </c>
      <c r="E689" s="13" t="s">
        <v>14</v>
      </c>
      <c r="F689" s="14" t="s">
        <v>13</v>
      </c>
      <c r="G689" s="14" t="s">
        <v>400</v>
      </c>
      <c r="I689" s="11">
        <f t="shared" si="32"/>
        <v>2</v>
      </c>
      <c r="J689" s="16">
        <v>4043.49</v>
      </c>
      <c r="M689" s="17">
        <f t="shared" si="30"/>
        <v>110645.27000000011</v>
      </c>
      <c r="N689" s="11">
        <f t="shared" si="31"/>
        <v>9</v>
      </c>
    </row>
    <row r="690" spans="1:14" x14ac:dyDescent="0.25">
      <c r="A690" s="11" t="s">
        <v>207</v>
      </c>
      <c r="B690" s="12">
        <v>45180</v>
      </c>
      <c r="C690" s="11" t="s">
        <v>688</v>
      </c>
      <c r="D690" s="11" t="s">
        <v>43</v>
      </c>
      <c r="E690" s="13" t="s">
        <v>14</v>
      </c>
      <c r="F690" s="14" t="s">
        <v>13</v>
      </c>
      <c r="G690" s="14" t="s">
        <v>400</v>
      </c>
      <c r="I690" s="11">
        <f t="shared" si="32"/>
        <v>2</v>
      </c>
      <c r="J690" s="16">
        <v>2284.9499999999998</v>
      </c>
      <c r="M690" s="17">
        <f t="shared" si="30"/>
        <v>112930.2200000001</v>
      </c>
      <c r="N690" s="11">
        <f t="shared" si="31"/>
        <v>9</v>
      </c>
    </row>
    <row r="691" spans="1:14" x14ac:dyDescent="0.25">
      <c r="A691" s="11" t="s">
        <v>207</v>
      </c>
      <c r="B691" s="12">
        <v>45180</v>
      </c>
      <c r="C691" s="11" t="s">
        <v>688</v>
      </c>
      <c r="D691" s="11" t="s">
        <v>43</v>
      </c>
      <c r="E691" s="13" t="s">
        <v>14</v>
      </c>
      <c r="F691" s="14" t="s">
        <v>13</v>
      </c>
      <c r="G691" s="14" t="s">
        <v>400</v>
      </c>
      <c r="I691" s="11">
        <f t="shared" si="32"/>
        <v>2</v>
      </c>
      <c r="J691" s="16">
        <v>1407.3</v>
      </c>
      <c r="M691" s="17">
        <f t="shared" si="30"/>
        <v>114337.52000000011</v>
      </c>
      <c r="N691" s="11">
        <f t="shared" si="31"/>
        <v>9</v>
      </c>
    </row>
    <row r="692" spans="1:14" x14ac:dyDescent="0.25">
      <c r="A692" s="11" t="s">
        <v>207</v>
      </c>
      <c r="B692" s="12">
        <v>45180</v>
      </c>
      <c r="C692" s="11" t="s">
        <v>688</v>
      </c>
      <c r="D692" s="11" t="s">
        <v>43</v>
      </c>
      <c r="E692" s="13" t="s">
        <v>14</v>
      </c>
      <c r="F692" s="14" t="s">
        <v>13</v>
      </c>
      <c r="G692" s="14" t="s">
        <v>400</v>
      </c>
      <c r="I692" s="11">
        <f t="shared" si="32"/>
        <v>2</v>
      </c>
      <c r="J692" s="16">
        <v>15.64</v>
      </c>
      <c r="M692" s="17">
        <f t="shared" si="30"/>
        <v>114353.16000000011</v>
      </c>
      <c r="N692" s="11">
        <f t="shared" si="31"/>
        <v>9</v>
      </c>
    </row>
    <row r="693" spans="1:14" x14ac:dyDescent="0.25">
      <c r="A693" s="11" t="s">
        <v>207</v>
      </c>
      <c r="B693" s="12">
        <v>45180</v>
      </c>
      <c r="C693" s="11" t="s">
        <v>688</v>
      </c>
      <c r="D693" s="11" t="s">
        <v>43</v>
      </c>
      <c r="E693" s="13" t="s">
        <v>14</v>
      </c>
      <c r="F693" s="14" t="s">
        <v>13</v>
      </c>
      <c r="G693" s="14" t="s">
        <v>400</v>
      </c>
      <c r="I693" s="11">
        <f t="shared" si="32"/>
        <v>2</v>
      </c>
      <c r="J693" s="16">
        <v>43.8</v>
      </c>
      <c r="M693" s="17">
        <f t="shared" si="30"/>
        <v>114396.96000000011</v>
      </c>
      <c r="N693" s="11">
        <f t="shared" si="31"/>
        <v>9</v>
      </c>
    </row>
    <row r="694" spans="1:14" x14ac:dyDescent="0.25">
      <c r="A694" s="11" t="s">
        <v>207</v>
      </c>
      <c r="B694" s="12">
        <v>45180</v>
      </c>
      <c r="C694" s="11" t="s">
        <v>688</v>
      </c>
      <c r="D694" s="11" t="s">
        <v>43</v>
      </c>
      <c r="E694" s="13" t="s">
        <v>14</v>
      </c>
      <c r="F694" s="14" t="s">
        <v>13</v>
      </c>
      <c r="G694" s="14" t="s">
        <v>400</v>
      </c>
      <c r="I694" s="11">
        <f t="shared" si="32"/>
        <v>2</v>
      </c>
      <c r="J694" s="16">
        <v>98.98</v>
      </c>
      <c r="M694" s="17">
        <f t="shared" si="30"/>
        <v>114495.9400000001</v>
      </c>
      <c r="N694" s="11">
        <f t="shared" si="31"/>
        <v>9</v>
      </c>
    </row>
    <row r="695" spans="1:14" x14ac:dyDescent="0.25">
      <c r="A695" s="11" t="s">
        <v>207</v>
      </c>
      <c r="B695" s="12">
        <v>45180</v>
      </c>
      <c r="C695" s="11" t="s">
        <v>688</v>
      </c>
      <c r="D695" s="11" t="s">
        <v>43</v>
      </c>
      <c r="E695" s="13" t="s">
        <v>80</v>
      </c>
      <c r="F695" s="14" t="s">
        <v>79</v>
      </c>
      <c r="G695" s="14" t="s">
        <v>400</v>
      </c>
      <c r="I695" s="11">
        <f t="shared" si="32"/>
        <v>2</v>
      </c>
      <c r="J695" s="16">
        <v>13940</v>
      </c>
      <c r="M695" s="17">
        <f t="shared" si="30"/>
        <v>128435.9400000001</v>
      </c>
      <c r="N695" s="11">
        <f t="shared" si="31"/>
        <v>9</v>
      </c>
    </row>
    <row r="696" spans="1:14" x14ac:dyDescent="0.25">
      <c r="A696" s="11" t="s">
        <v>207</v>
      </c>
      <c r="B696" s="12">
        <v>45180</v>
      </c>
      <c r="C696" s="11" t="s">
        <v>688</v>
      </c>
      <c r="D696" s="11" t="s">
        <v>43</v>
      </c>
      <c r="E696" s="13" t="s">
        <v>81</v>
      </c>
      <c r="F696" s="14" t="s">
        <v>79</v>
      </c>
      <c r="G696" s="14" t="s">
        <v>400</v>
      </c>
      <c r="I696" s="11">
        <f t="shared" si="32"/>
        <v>2</v>
      </c>
      <c r="J696" s="16">
        <v>13156.23</v>
      </c>
      <c r="M696" s="17">
        <f t="shared" si="30"/>
        <v>141592.1700000001</v>
      </c>
      <c r="N696" s="11">
        <f t="shared" si="31"/>
        <v>9</v>
      </c>
    </row>
    <row r="697" spans="1:14" x14ac:dyDescent="0.25">
      <c r="A697" s="11" t="s">
        <v>207</v>
      </c>
      <c r="B697" s="12">
        <v>45180</v>
      </c>
      <c r="C697" s="11" t="s">
        <v>688</v>
      </c>
      <c r="D697" s="11" t="s">
        <v>43</v>
      </c>
      <c r="E697" s="13" t="s">
        <v>82</v>
      </c>
      <c r="F697" s="14" t="s">
        <v>79</v>
      </c>
      <c r="G697" s="14" t="s">
        <v>400</v>
      </c>
      <c r="I697" s="11">
        <f t="shared" si="32"/>
        <v>2</v>
      </c>
      <c r="J697" s="16">
        <v>1450.98</v>
      </c>
      <c r="M697" s="17">
        <f t="shared" si="30"/>
        <v>143043.15000000011</v>
      </c>
      <c r="N697" s="11">
        <f t="shared" si="31"/>
        <v>9</v>
      </c>
    </row>
    <row r="698" spans="1:14" x14ac:dyDescent="0.25">
      <c r="A698" s="11" t="s">
        <v>207</v>
      </c>
      <c r="B698" s="12">
        <v>45180</v>
      </c>
      <c r="C698" s="11" t="s">
        <v>688</v>
      </c>
      <c r="D698" s="11" t="s">
        <v>43</v>
      </c>
      <c r="E698" s="13" t="s">
        <v>83</v>
      </c>
      <c r="F698" s="14" t="s">
        <v>79</v>
      </c>
      <c r="G698" s="14" t="s">
        <v>400</v>
      </c>
      <c r="I698" s="11">
        <f t="shared" si="32"/>
        <v>2</v>
      </c>
      <c r="J698" s="16">
        <v>667.76</v>
      </c>
      <c r="M698" s="17">
        <f t="shared" si="30"/>
        <v>143710.91000000012</v>
      </c>
      <c r="N698" s="11">
        <f t="shared" si="31"/>
        <v>9</v>
      </c>
    </row>
    <row r="699" spans="1:14" x14ac:dyDescent="0.25">
      <c r="A699" s="11" t="s">
        <v>0</v>
      </c>
      <c r="B699" s="12">
        <v>45180</v>
      </c>
      <c r="C699" s="11" t="s">
        <v>688</v>
      </c>
      <c r="D699" s="11" t="s">
        <v>692</v>
      </c>
      <c r="E699" s="13" t="s">
        <v>467</v>
      </c>
      <c r="F699" s="14" t="s">
        <v>768</v>
      </c>
      <c r="G699" s="14" t="s">
        <v>120</v>
      </c>
      <c r="H699" s="15">
        <v>25568</v>
      </c>
      <c r="I699" s="11" t="b">
        <f t="shared" si="32"/>
        <v>0</v>
      </c>
      <c r="K699" s="16">
        <v>1340.17</v>
      </c>
      <c r="M699" s="17">
        <f t="shared" si="30"/>
        <v>142370.74000000011</v>
      </c>
      <c r="N699" s="11">
        <f t="shared" si="31"/>
        <v>9</v>
      </c>
    </row>
    <row r="700" spans="1:14" x14ac:dyDescent="0.25">
      <c r="A700" s="11" t="s">
        <v>0</v>
      </c>
      <c r="B700" s="12">
        <v>45180</v>
      </c>
      <c r="C700" s="11" t="s">
        <v>688</v>
      </c>
      <c r="D700" s="11" t="s">
        <v>694</v>
      </c>
      <c r="E700" s="13" t="s">
        <v>6</v>
      </c>
      <c r="F700" s="14" t="s">
        <v>60</v>
      </c>
      <c r="G700" s="14" t="s">
        <v>120</v>
      </c>
      <c r="H700" s="15">
        <v>121405</v>
      </c>
      <c r="I700" s="11" t="b">
        <f t="shared" si="32"/>
        <v>0</v>
      </c>
      <c r="K700" s="16">
        <v>109.9</v>
      </c>
      <c r="M700" s="17">
        <f t="shared" si="30"/>
        <v>142260.84000000011</v>
      </c>
      <c r="N700" s="11">
        <f t="shared" si="31"/>
        <v>9</v>
      </c>
    </row>
    <row r="701" spans="1:14" ht="39.6" x14ac:dyDescent="0.25">
      <c r="A701" s="11" t="s">
        <v>0</v>
      </c>
      <c r="B701" s="12">
        <v>45180</v>
      </c>
      <c r="C701" s="11" t="s">
        <v>688</v>
      </c>
      <c r="D701" s="11" t="s">
        <v>47</v>
      </c>
      <c r="E701" s="13" t="s">
        <v>129</v>
      </c>
      <c r="F701" s="14" t="s">
        <v>35</v>
      </c>
      <c r="G701" s="14" t="s">
        <v>404</v>
      </c>
      <c r="H701" s="15" t="s">
        <v>130</v>
      </c>
      <c r="I701" s="11">
        <f t="shared" si="32"/>
        <v>5</v>
      </c>
      <c r="K701" s="16">
        <v>2448.7800000000002</v>
      </c>
      <c r="M701" s="17">
        <f t="shared" si="30"/>
        <v>139812.06000000011</v>
      </c>
      <c r="N701" s="11">
        <f t="shared" si="31"/>
        <v>9</v>
      </c>
    </row>
    <row r="702" spans="1:14" x14ac:dyDescent="0.25">
      <c r="A702" s="11" t="s">
        <v>0</v>
      </c>
      <c r="B702" s="12">
        <v>45180</v>
      </c>
      <c r="C702" s="11" t="s">
        <v>688</v>
      </c>
      <c r="D702" s="11" t="s">
        <v>701</v>
      </c>
      <c r="E702" s="13" t="s">
        <v>132</v>
      </c>
      <c r="F702" s="14" t="s">
        <v>35</v>
      </c>
      <c r="G702" s="14" t="s">
        <v>174</v>
      </c>
      <c r="H702" s="15">
        <v>4816</v>
      </c>
      <c r="I702" s="11" t="b">
        <f t="shared" si="32"/>
        <v>0</v>
      </c>
      <c r="K702" s="16">
        <v>619.20000000000005</v>
      </c>
      <c r="M702" s="17">
        <f t="shared" si="30"/>
        <v>139192.8600000001</v>
      </c>
      <c r="N702" s="11">
        <f t="shared" si="31"/>
        <v>9</v>
      </c>
    </row>
    <row r="703" spans="1:14" x14ac:dyDescent="0.25">
      <c r="A703" s="11" t="s">
        <v>0</v>
      </c>
      <c r="B703" s="12">
        <v>45180</v>
      </c>
      <c r="C703" s="11" t="s">
        <v>688</v>
      </c>
      <c r="D703" s="11" t="s">
        <v>47</v>
      </c>
      <c r="E703" s="62" t="s">
        <v>838</v>
      </c>
      <c r="F703" s="62" t="s">
        <v>838</v>
      </c>
      <c r="G703" s="14" t="s">
        <v>404</v>
      </c>
      <c r="H703" s="15">
        <v>2</v>
      </c>
      <c r="I703" s="11">
        <f t="shared" si="32"/>
        <v>5</v>
      </c>
      <c r="K703" s="16">
        <v>250</v>
      </c>
      <c r="M703" s="17">
        <f t="shared" si="30"/>
        <v>138942.8600000001</v>
      </c>
      <c r="N703" s="11">
        <f t="shared" si="31"/>
        <v>9</v>
      </c>
    </row>
    <row r="704" spans="1:14" x14ac:dyDescent="0.25">
      <c r="A704" s="11" t="s">
        <v>0</v>
      </c>
      <c r="B704" s="12">
        <v>45180</v>
      </c>
      <c r="C704" s="11" t="s">
        <v>688</v>
      </c>
      <c r="D704" s="11" t="s">
        <v>692</v>
      </c>
      <c r="E704" s="13" t="s">
        <v>717</v>
      </c>
      <c r="F704" s="14" t="s">
        <v>76</v>
      </c>
      <c r="G704" s="14" t="s">
        <v>404</v>
      </c>
      <c r="H704" s="15">
        <v>1173188</v>
      </c>
      <c r="I704" s="11">
        <f t="shared" si="32"/>
        <v>5</v>
      </c>
      <c r="K704" s="16">
        <v>920.02</v>
      </c>
      <c r="M704" s="17">
        <f t="shared" si="30"/>
        <v>138022.84000000011</v>
      </c>
      <c r="N704" s="11">
        <f t="shared" si="31"/>
        <v>9</v>
      </c>
    </row>
    <row r="705" spans="1:14" x14ac:dyDescent="0.25">
      <c r="A705" s="11" t="s">
        <v>0</v>
      </c>
      <c r="B705" s="12">
        <v>45180</v>
      </c>
      <c r="C705" s="11" t="s">
        <v>688</v>
      </c>
      <c r="D705" s="11" t="s">
        <v>692</v>
      </c>
      <c r="E705" s="13" t="s">
        <v>725</v>
      </c>
      <c r="F705" s="14" t="s">
        <v>27</v>
      </c>
      <c r="G705" s="14" t="s">
        <v>404</v>
      </c>
      <c r="H705" s="15">
        <v>13285</v>
      </c>
      <c r="I705" s="11">
        <f t="shared" si="32"/>
        <v>5</v>
      </c>
      <c r="K705" s="16">
        <v>876.98</v>
      </c>
      <c r="M705" s="17">
        <f t="shared" si="30"/>
        <v>137145.8600000001</v>
      </c>
      <c r="N705" s="11">
        <f t="shared" si="31"/>
        <v>9</v>
      </c>
    </row>
    <row r="706" spans="1:14" x14ac:dyDescent="0.25">
      <c r="A706" s="11" t="s">
        <v>0</v>
      </c>
      <c r="B706" s="12">
        <v>45180</v>
      </c>
      <c r="C706" s="11" t="s">
        <v>688</v>
      </c>
      <c r="D706" s="11" t="s">
        <v>694</v>
      </c>
      <c r="E706" s="13" t="s">
        <v>182</v>
      </c>
      <c r="F706" s="14" t="s">
        <v>93</v>
      </c>
      <c r="G706" s="14" t="s">
        <v>186</v>
      </c>
      <c r="I706" s="11" t="b">
        <f t="shared" si="32"/>
        <v>0</v>
      </c>
      <c r="K706" s="16">
        <v>22.27</v>
      </c>
      <c r="M706" s="17">
        <f t="shared" si="30"/>
        <v>137123.59000000011</v>
      </c>
      <c r="N706" s="11">
        <f t="shared" si="31"/>
        <v>9</v>
      </c>
    </row>
    <row r="707" spans="1:14" x14ac:dyDescent="0.25">
      <c r="A707" s="11" t="s">
        <v>0</v>
      </c>
      <c r="B707" s="12">
        <v>45180</v>
      </c>
      <c r="C707" s="11" t="s">
        <v>688</v>
      </c>
      <c r="D707" s="11" t="s">
        <v>694</v>
      </c>
      <c r="E707" s="13" t="s">
        <v>182</v>
      </c>
      <c r="F707" s="14" t="s">
        <v>23</v>
      </c>
      <c r="G707" s="14" t="s">
        <v>186</v>
      </c>
      <c r="I707" s="11" t="b">
        <f t="shared" si="32"/>
        <v>0</v>
      </c>
      <c r="K707" s="16">
        <v>61.62</v>
      </c>
      <c r="M707" s="17">
        <f t="shared" ref="M707:M770" si="33">IF(B707=0, "",M706+ J707-K707)</f>
        <v>137061.97000000012</v>
      </c>
      <c r="N707" s="11">
        <f t="shared" ref="N707:N770" si="34">IF(B707=0, "", MONTH(B707))</f>
        <v>9</v>
      </c>
    </row>
    <row r="708" spans="1:14" x14ac:dyDescent="0.25">
      <c r="A708" s="11" t="s">
        <v>207</v>
      </c>
      <c r="B708" s="12">
        <v>45180</v>
      </c>
      <c r="C708" s="11" t="s">
        <v>688</v>
      </c>
      <c r="D708" s="11" t="s">
        <v>43</v>
      </c>
      <c r="E708" s="13" t="s">
        <v>95</v>
      </c>
      <c r="F708" s="14" t="s">
        <v>133</v>
      </c>
      <c r="G708" s="14" t="s">
        <v>400</v>
      </c>
      <c r="I708" s="11">
        <f t="shared" ref="I708:I771" si="35">IF(AND(G708="MERCADO PAGO",A708="FATURAMENTO"),1,IF(AND(OR(G708="MERCADO PAGO",G708="pix mercado pago",G708= "débito automático mercado pago", G708= "boleto mercado pago"),A708="DESPESAS"),4,IF(AND(G708="SAFRA",A708="FATURAMENTO"),2,IF(AND(OR(G708="SAFRA",G708="PIX SAFRA", G708="DÉBITO AUTOMÁTICO SAFRA", G708= "BOLETO SAFRA", G708= "transferência safra"), A708="DESPESAS"),5,IF(AND(G708="espécie",A708="FATURAMENTO"),3,IF(AND(G708="espécie",A708="DESPESAS"),6))))))</f>
        <v>2</v>
      </c>
      <c r="J708" s="16">
        <v>3258.09</v>
      </c>
      <c r="M708" s="17">
        <f t="shared" si="33"/>
        <v>140320.06000000011</v>
      </c>
      <c r="N708" s="11">
        <f t="shared" si="34"/>
        <v>9</v>
      </c>
    </row>
    <row r="709" spans="1:14" x14ac:dyDescent="0.25">
      <c r="A709" s="11" t="s">
        <v>207</v>
      </c>
      <c r="B709" s="12">
        <v>45180</v>
      </c>
      <c r="C709" s="11" t="s">
        <v>688</v>
      </c>
      <c r="D709" s="11" t="s">
        <v>43</v>
      </c>
      <c r="E709" s="14" t="s">
        <v>288</v>
      </c>
      <c r="F709" s="14" t="s">
        <v>288</v>
      </c>
      <c r="G709" s="14" t="s">
        <v>173</v>
      </c>
      <c r="I709" s="11">
        <f t="shared" si="35"/>
        <v>3</v>
      </c>
      <c r="J709" s="16">
        <v>335</v>
      </c>
      <c r="M709" s="17">
        <f t="shared" si="33"/>
        <v>140655.06000000011</v>
      </c>
      <c r="N709" s="11">
        <f t="shared" si="34"/>
        <v>9</v>
      </c>
    </row>
    <row r="710" spans="1:14" x14ac:dyDescent="0.25">
      <c r="A710" s="11" t="s">
        <v>207</v>
      </c>
      <c r="B710" s="12">
        <v>45181</v>
      </c>
      <c r="C710" s="11" t="s">
        <v>688</v>
      </c>
      <c r="D710" s="11" t="s">
        <v>43</v>
      </c>
      <c r="E710" s="14" t="s">
        <v>288</v>
      </c>
      <c r="F710" s="14" t="s">
        <v>288</v>
      </c>
      <c r="G710" s="14" t="s">
        <v>173</v>
      </c>
      <c r="I710" s="11">
        <f t="shared" si="35"/>
        <v>3</v>
      </c>
      <c r="J710" s="16">
        <v>595</v>
      </c>
      <c r="M710" s="17">
        <f t="shared" si="33"/>
        <v>141250.06000000011</v>
      </c>
      <c r="N710" s="11">
        <f t="shared" si="34"/>
        <v>9</v>
      </c>
    </row>
    <row r="711" spans="1:14" x14ac:dyDescent="0.25">
      <c r="A711" s="11" t="s">
        <v>207</v>
      </c>
      <c r="B711" s="12">
        <v>45181</v>
      </c>
      <c r="C711" s="11" t="s">
        <v>688</v>
      </c>
      <c r="D711" s="11" t="s">
        <v>43</v>
      </c>
      <c r="E711" s="13" t="s">
        <v>14</v>
      </c>
      <c r="F711" s="14" t="s">
        <v>13</v>
      </c>
      <c r="G711" s="14" t="s">
        <v>400</v>
      </c>
      <c r="I711" s="11">
        <f t="shared" si="35"/>
        <v>2</v>
      </c>
      <c r="J711" s="16">
        <v>31.35</v>
      </c>
      <c r="M711" s="17">
        <f t="shared" si="33"/>
        <v>141281.41000000012</v>
      </c>
      <c r="N711" s="11">
        <f t="shared" si="34"/>
        <v>9</v>
      </c>
    </row>
    <row r="712" spans="1:14" x14ac:dyDescent="0.25">
      <c r="A712" s="11" t="s">
        <v>207</v>
      </c>
      <c r="B712" s="12">
        <v>45181</v>
      </c>
      <c r="C712" s="11" t="s">
        <v>688</v>
      </c>
      <c r="D712" s="11" t="s">
        <v>43</v>
      </c>
      <c r="E712" s="13" t="s">
        <v>14</v>
      </c>
      <c r="F712" s="14" t="s">
        <v>13</v>
      </c>
      <c r="G712" s="14" t="s">
        <v>400</v>
      </c>
      <c r="I712" s="11">
        <f t="shared" si="35"/>
        <v>2</v>
      </c>
      <c r="J712" s="16">
        <v>38.799999999999997</v>
      </c>
      <c r="M712" s="17">
        <f t="shared" si="33"/>
        <v>141320.21000000011</v>
      </c>
      <c r="N712" s="11">
        <f t="shared" si="34"/>
        <v>9</v>
      </c>
    </row>
    <row r="713" spans="1:14" x14ac:dyDescent="0.25">
      <c r="A713" s="11" t="s">
        <v>207</v>
      </c>
      <c r="B713" s="12">
        <v>45181</v>
      </c>
      <c r="C713" s="11" t="s">
        <v>688</v>
      </c>
      <c r="D713" s="11" t="s">
        <v>43</v>
      </c>
      <c r="E713" s="13" t="s">
        <v>14</v>
      </c>
      <c r="F713" s="14" t="s">
        <v>13</v>
      </c>
      <c r="G713" s="14" t="s">
        <v>400</v>
      </c>
      <c r="I713" s="11">
        <f t="shared" si="35"/>
        <v>2</v>
      </c>
      <c r="J713" s="16">
        <v>12.93</v>
      </c>
      <c r="M713" s="17">
        <f t="shared" si="33"/>
        <v>141333.1400000001</v>
      </c>
      <c r="N713" s="11">
        <f t="shared" si="34"/>
        <v>9</v>
      </c>
    </row>
    <row r="714" spans="1:14" x14ac:dyDescent="0.25">
      <c r="A714" s="11" t="s">
        <v>207</v>
      </c>
      <c r="B714" s="12">
        <v>45181</v>
      </c>
      <c r="C714" s="11" t="s">
        <v>688</v>
      </c>
      <c r="D714" s="11" t="s">
        <v>43</v>
      </c>
      <c r="E714" s="13" t="s">
        <v>14</v>
      </c>
      <c r="F714" s="14" t="s">
        <v>13</v>
      </c>
      <c r="G714" s="14" t="s">
        <v>400</v>
      </c>
      <c r="I714" s="11">
        <f t="shared" si="35"/>
        <v>2</v>
      </c>
      <c r="J714" s="16">
        <v>5.88</v>
      </c>
      <c r="M714" s="17">
        <f t="shared" si="33"/>
        <v>141339.02000000011</v>
      </c>
      <c r="N714" s="11">
        <f t="shared" si="34"/>
        <v>9</v>
      </c>
    </row>
    <row r="715" spans="1:14" x14ac:dyDescent="0.25">
      <c r="A715" s="11" t="s">
        <v>207</v>
      </c>
      <c r="B715" s="12">
        <v>45181</v>
      </c>
      <c r="C715" s="11" t="s">
        <v>688</v>
      </c>
      <c r="D715" s="11" t="s">
        <v>43</v>
      </c>
      <c r="E715" s="13" t="s">
        <v>14</v>
      </c>
      <c r="F715" s="14" t="s">
        <v>13</v>
      </c>
      <c r="G715" s="14" t="s">
        <v>400</v>
      </c>
      <c r="I715" s="11">
        <f t="shared" si="35"/>
        <v>2</v>
      </c>
      <c r="J715" s="16">
        <v>193.8</v>
      </c>
      <c r="M715" s="17">
        <f t="shared" si="33"/>
        <v>141532.82000000009</v>
      </c>
      <c r="N715" s="11">
        <f t="shared" si="34"/>
        <v>9</v>
      </c>
    </row>
    <row r="716" spans="1:14" x14ac:dyDescent="0.25">
      <c r="A716" s="11" t="s">
        <v>207</v>
      </c>
      <c r="B716" s="12">
        <v>45181</v>
      </c>
      <c r="C716" s="11" t="s">
        <v>688</v>
      </c>
      <c r="D716" s="11" t="s">
        <v>43</v>
      </c>
      <c r="E716" s="13" t="s">
        <v>14</v>
      </c>
      <c r="F716" s="14" t="s">
        <v>13</v>
      </c>
      <c r="G716" s="14" t="s">
        <v>400</v>
      </c>
      <c r="I716" s="11">
        <f t="shared" si="35"/>
        <v>2</v>
      </c>
      <c r="J716" s="16">
        <v>264.57</v>
      </c>
      <c r="M716" s="17">
        <f t="shared" si="33"/>
        <v>141797.3900000001</v>
      </c>
      <c r="N716" s="11">
        <f t="shared" si="34"/>
        <v>9</v>
      </c>
    </row>
    <row r="717" spans="1:14" x14ac:dyDescent="0.25">
      <c r="A717" s="11" t="s">
        <v>207</v>
      </c>
      <c r="B717" s="12">
        <v>45181</v>
      </c>
      <c r="C717" s="11" t="s">
        <v>688</v>
      </c>
      <c r="D717" s="11" t="s">
        <v>43</v>
      </c>
      <c r="E717" s="13" t="s">
        <v>14</v>
      </c>
      <c r="F717" s="14" t="s">
        <v>13</v>
      </c>
      <c r="G717" s="14" t="s">
        <v>400</v>
      </c>
      <c r="I717" s="11">
        <f t="shared" si="35"/>
        <v>2</v>
      </c>
      <c r="J717" s="16">
        <v>223.1</v>
      </c>
      <c r="M717" s="17">
        <f t="shared" si="33"/>
        <v>142020.49000000011</v>
      </c>
      <c r="N717" s="11">
        <f t="shared" si="34"/>
        <v>9</v>
      </c>
    </row>
    <row r="718" spans="1:14" x14ac:dyDescent="0.25">
      <c r="A718" s="11" t="s">
        <v>207</v>
      </c>
      <c r="B718" s="12">
        <v>45181</v>
      </c>
      <c r="C718" s="11" t="s">
        <v>688</v>
      </c>
      <c r="D718" s="11" t="s">
        <v>43</v>
      </c>
      <c r="E718" s="13" t="s">
        <v>14</v>
      </c>
      <c r="F718" s="14" t="s">
        <v>13</v>
      </c>
      <c r="G718" s="14" t="s">
        <v>400</v>
      </c>
      <c r="I718" s="11">
        <f t="shared" si="35"/>
        <v>2</v>
      </c>
      <c r="J718" s="16">
        <v>21.53</v>
      </c>
      <c r="M718" s="17">
        <f t="shared" si="33"/>
        <v>142042.02000000011</v>
      </c>
      <c r="N718" s="11">
        <f t="shared" si="34"/>
        <v>9</v>
      </c>
    </row>
    <row r="719" spans="1:14" x14ac:dyDescent="0.25">
      <c r="A719" s="11" t="s">
        <v>207</v>
      </c>
      <c r="B719" s="12">
        <v>45181</v>
      </c>
      <c r="C719" s="11" t="s">
        <v>688</v>
      </c>
      <c r="D719" s="11" t="s">
        <v>43</v>
      </c>
      <c r="E719" s="13" t="s">
        <v>80</v>
      </c>
      <c r="F719" s="14" t="s">
        <v>79</v>
      </c>
      <c r="G719" s="14" t="s">
        <v>400</v>
      </c>
      <c r="I719" s="11">
        <f t="shared" si="35"/>
        <v>2</v>
      </c>
      <c r="J719" s="16">
        <v>895.47</v>
      </c>
      <c r="M719" s="17">
        <f t="shared" si="33"/>
        <v>142937.49000000011</v>
      </c>
      <c r="N719" s="11">
        <f t="shared" si="34"/>
        <v>9</v>
      </c>
    </row>
    <row r="720" spans="1:14" x14ac:dyDescent="0.25">
      <c r="A720" s="11" t="s">
        <v>207</v>
      </c>
      <c r="B720" s="12">
        <v>45181</v>
      </c>
      <c r="C720" s="11" t="s">
        <v>688</v>
      </c>
      <c r="D720" s="11" t="s">
        <v>43</v>
      </c>
      <c r="E720" s="13" t="s">
        <v>81</v>
      </c>
      <c r="F720" s="14" t="s">
        <v>79</v>
      </c>
      <c r="G720" s="14" t="s">
        <v>400</v>
      </c>
      <c r="I720" s="11">
        <f t="shared" si="35"/>
        <v>2</v>
      </c>
      <c r="J720" s="16">
        <v>630.16</v>
      </c>
      <c r="M720" s="17">
        <f t="shared" si="33"/>
        <v>143567.65000000011</v>
      </c>
      <c r="N720" s="11">
        <f t="shared" si="34"/>
        <v>9</v>
      </c>
    </row>
    <row r="721" spans="1:14" x14ac:dyDescent="0.25">
      <c r="A721" s="11" t="s">
        <v>0</v>
      </c>
      <c r="B721" s="12">
        <v>45181</v>
      </c>
      <c r="C721" s="11" t="s">
        <v>688</v>
      </c>
      <c r="D721" s="11" t="s">
        <v>692</v>
      </c>
      <c r="E721" s="13" t="s">
        <v>179</v>
      </c>
      <c r="F721" s="14" t="s">
        <v>378</v>
      </c>
      <c r="G721" s="14" t="s">
        <v>174</v>
      </c>
      <c r="H721" s="15">
        <v>3</v>
      </c>
      <c r="I721" s="11" t="b">
        <f t="shared" si="35"/>
        <v>0</v>
      </c>
      <c r="K721" s="16">
        <v>1900</v>
      </c>
      <c r="M721" s="17">
        <f t="shared" si="33"/>
        <v>141667.65000000011</v>
      </c>
      <c r="N721" s="11">
        <f t="shared" si="34"/>
        <v>9</v>
      </c>
    </row>
    <row r="722" spans="1:14" x14ac:dyDescent="0.25">
      <c r="A722" s="11" t="s">
        <v>0</v>
      </c>
      <c r="B722" s="12">
        <v>45181</v>
      </c>
      <c r="C722" s="11" t="s">
        <v>688</v>
      </c>
      <c r="D722" s="11" t="s">
        <v>692</v>
      </c>
      <c r="E722" s="13" t="s">
        <v>229</v>
      </c>
      <c r="F722" s="14" t="s">
        <v>134</v>
      </c>
      <c r="G722" s="14" t="s">
        <v>174</v>
      </c>
      <c r="H722" s="15">
        <v>2922</v>
      </c>
      <c r="I722" s="11" t="b">
        <f t="shared" si="35"/>
        <v>0</v>
      </c>
      <c r="K722" s="16">
        <v>1680</v>
      </c>
      <c r="M722" s="17">
        <f t="shared" si="33"/>
        <v>139987.65000000011</v>
      </c>
      <c r="N722" s="11">
        <f t="shared" si="34"/>
        <v>9</v>
      </c>
    </row>
    <row r="723" spans="1:14" x14ac:dyDescent="0.25">
      <c r="A723" s="11" t="s">
        <v>0</v>
      </c>
      <c r="B723" s="12">
        <v>45181</v>
      </c>
      <c r="C723" s="11" t="s">
        <v>688</v>
      </c>
      <c r="D723" s="11" t="s">
        <v>692</v>
      </c>
      <c r="E723" s="13" t="s">
        <v>725</v>
      </c>
      <c r="F723" s="14" t="s">
        <v>33</v>
      </c>
      <c r="G723" s="14" t="s">
        <v>404</v>
      </c>
      <c r="H723" s="15">
        <v>24351</v>
      </c>
      <c r="I723" s="11">
        <f t="shared" si="35"/>
        <v>5</v>
      </c>
      <c r="K723" s="16">
        <v>878.31</v>
      </c>
      <c r="M723" s="17">
        <f t="shared" si="33"/>
        <v>139109.34000000011</v>
      </c>
      <c r="N723" s="11">
        <f t="shared" si="34"/>
        <v>9</v>
      </c>
    </row>
    <row r="724" spans="1:14" x14ac:dyDescent="0.25">
      <c r="A724" s="11" t="s">
        <v>0</v>
      </c>
      <c r="B724" s="12">
        <v>45181</v>
      </c>
      <c r="C724" s="11" t="s">
        <v>688</v>
      </c>
      <c r="D724" s="11" t="s">
        <v>47</v>
      </c>
      <c r="E724" s="13" t="s">
        <v>136</v>
      </c>
      <c r="F724" s="14" t="s">
        <v>135</v>
      </c>
      <c r="G724" s="14" t="s">
        <v>404</v>
      </c>
      <c r="H724" s="15">
        <v>1</v>
      </c>
      <c r="I724" s="11">
        <f t="shared" si="35"/>
        <v>5</v>
      </c>
      <c r="K724" s="16">
        <v>1000</v>
      </c>
      <c r="M724" s="17">
        <f t="shared" si="33"/>
        <v>138109.34000000011</v>
      </c>
      <c r="N724" s="11">
        <f t="shared" si="34"/>
        <v>9</v>
      </c>
    </row>
    <row r="725" spans="1:14" x14ac:dyDescent="0.25">
      <c r="A725" s="11" t="s">
        <v>0</v>
      </c>
      <c r="B725" s="12">
        <v>45181</v>
      </c>
      <c r="C725" s="11" t="s">
        <v>688</v>
      </c>
      <c r="D725" s="11" t="s">
        <v>692</v>
      </c>
      <c r="E725" s="13" t="s">
        <v>725</v>
      </c>
      <c r="F725" s="14" t="s">
        <v>27</v>
      </c>
      <c r="G725" s="14" t="s">
        <v>404</v>
      </c>
      <c r="H725" s="15">
        <v>13307</v>
      </c>
      <c r="I725" s="11">
        <f t="shared" si="35"/>
        <v>5</v>
      </c>
      <c r="K725" s="16">
        <v>1020.61</v>
      </c>
      <c r="M725" s="17">
        <f t="shared" si="33"/>
        <v>137088.73000000013</v>
      </c>
      <c r="N725" s="11">
        <f t="shared" si="34"/>
        <v>9</v>
      </c>
    </row>
    <row r="726" spans="1:14" x14ac:dyDescent="0.25">
      <c r="A726" s="11" t="s">
        <v>0</v>
      </c>
      <c r="B726" s="12">
        <v>45181</v>
      </c>
      <c r="C726" s="11" t="s">
        <v>688</v>
      </c>
      <c r="D726" s="11" t="s">
        <v>694</v>
      </c>
      <c r="E726" s="13" t="s">
        <v>182</v>
      </c>
      <c r="F726" s="14" t="s">
        <v>93</v>
      </c>
      <c r="G726" s="14" t="s">
        <v>186</v>
      </c>
      <c r="I726" s="11" t="b">
        <f t="shared" si="35"/>
        <v>0</v>
      </c>
      <c r="K726" s="16">
        <v>1.96</v>
      </c>
      <c r="M726" s="17">
        <f t="shared" si="33"/>
        <v>137086.77000000014</v>
      </c>
      <c r="N726" s="11">
        <f t="shared" si="34"/>
        <v>9</v>
      </c>
    </row>
    <row r="727" spans="1:14" x14ac:dyDescent="0.25">
      <c r="A727" s="11" t="s">
        <v>0</v>
      </c>
      <c r="B727" s="12">
        <v>45181</v>
      </c>
      <c r="C727" s="11" t="s">
        <v>688</v>
      </c>
      <c r="D727" s="11" t="s">
        <v>694</v>
      </c>
      <c r="E727" s="13" t="s">
        <v>182</v>
      </c>
      <c r="F727" s="14" t="s">
        <v>23</v>
      </c>
      <c r="G727" s="14" t="s">
        <v>186</v>
      </c>
      <c r="I727" s="11" t="b">
        <f t="shared" si="35"/>
        <v>0</v>
      </c>
      <c r="K727" s="16">
        <v>53.77</v>
      </c>
      <c r="M727" s="17">
        <f t="shared" si="33"/>
        <v>137033.00000000015</v>
      </c>
      <c r="N727" s="11">
        <f t="shared" si="34"/>
        <v>9</v>
      </c>
    </row>
    <row r="728" spans="1:14" x14ac:dyDescent="0.25">
      <c r="A728" s="11" t="s">
        <v>207</v>
      </c>
      <c r="B728" s="12">
        <v>45181</v>
      </c>
      <c r="C728" s="11" t="s">
        <v>688</v>
      </c>
      <c r="D728" s="11" t="s">
        <v>43</v>
      </c>
      <c r="E728" s="13" t="s">
        <v>95</v>
      </c>
      <c r="F728" s="14" t="s">
        <v>137</v>
      </c>
      <c r="G728" s="14" t="s">
        <v>400</v>
      </c>
      <c r="I728" s="11">
        <f t="shared" si="35"/>
        <v>2</v>
      </c>
      <c r="J728" s="16">
        <v>286.64999999999998</v>
      </c>
      <c r="M728" s="17">
        <f t="shared" si="33"/>
        <v>137319.65000000014</v>
      </c>
      <c r="N728" s="11">
        <f t="shared" si="34"/>
        <v>9</v>
      </c>
    </row>
    <row r="729" spans="1:14" x14ac:dyDescent="0.25">
      <c r="A729" s="11" t="s">
        <v>207</v>
      </c>
      <c r="B729" s="12">
        <v>45182</v>
      </c>
      <c r="C729" s="11" t="s">
        <v>688</v>
      </c>
      <c r="D729" s="11" t="s">
        <v>43</v>
      </c>
      <c r="E729" s="13" t="s">
        <v>14</v>
      </c>
      <c r="F729" s="14" t="s">
        <v>13</v>
      </c>
      <c r="G729" s="14" t="s">
        <v>400</v>
      </c>
      <c r="I729" s="11">
        <f t="shared" si="35"/>
        <v>2</v>
      </c>
      <c r="J729" s="16">
        <v>210.17</v>
      </c>
      <c r="M729" s="17">
        <f t="shared" si="33"/>
        <v>137529.82000000015</v>
      </c>
      <c r="N729" s="11">
        <f t="shared" si="34"/>
        <v>9</v>
      </c>
    </row>
    <row r="730" spans="1:14" x14ac:dyDescent="0.25">
      <c r="A730" s="11" t="s">
        <v>207</v>
      </c>
      <c r="B730" s="12">
        <v>45182</v>
      </c>
      <c r="C730" s="11" t="s">
        <v>688</v>
      </c>
      <c r="D730" s="11" t="s">
        <v>43</v>
      </c>
      <c r="E730" s="13" t="s">
        <v>14</v>
      </c>
      <c r="F730" s="14" t="s">
        <v>13</v>
      </c>
      <c r="G730" s="14" t="s">
        <v>400</v>
      </c>
      <c r="I730" s="11">
        <f t="shared" si="35"/>
        <v>2</v>
      </c>
      <c r="J730" s="16">
        <v>41.35</v>
      </c>
      <c r="M730" s="17">
        <f t="shared" si="33"/>
        <v>137571.17000000016</v>
      </c>
      <c r="N730" s="11">
        <f t="shared" si="34"/>
        <v>9</v>
      </c>
    </row>
    <row r="731" spans="1:14" x14ac:dyDescent="0.25">
      <c r="A731" s="11" t="s">
        <v>207</v>
      </c>
      <c r="B731" s="12">
        <v>45182</v>
      </c>
      <c r="C731" s="11" t="s">
        <v>688</v>
      </c>
      <c r="D731" s="11" t="s">
        <v>43</v>
      </c>
      <c r="E731" s="13" t="s">
        <v>14</v>
      </c>
      <c r="F731" s="14" t="s">
        <v>13</v>
      </c>
      <c r="G731" s="14" t="s">
        <v>400</v>
      </c>
      <c r="I731" s="11">
        <f t="shared" si="35"/>
        <v>2</v>
      </c>
      <c r="J731" s="16">
        <v>399.58</v>
      </c>
      <c r="M731" s="17">
        <f t="shared" si="33"/>
        <v>137970.75000000015</v>
      </c>
      <c r="N731" s="11">
        <f t="shared" si="34"/>
        <v>9</v>
      </c>
    </row>
    <row r="732" spans="1:14" x14ac:dyDescent="0.25">
      <c r="A732" s="11" t="s">
        <v>207</v>
      </c>
      <c r="B732" s="12">
        <v>45182</v>
      </c>
      <c r="C732" s="11" t="s">
        <v>688</v>
      </c>
      <c r="D732" s="11" t="s">
        <v>43</v>
      </c>
      <c r="E732" s="13" t="s">
        <v>14</v>
      </c>
      <c r="F732" s="14" t="s">
        <v>13</v>
      </c>
      <c r="G732" s="14" t="s">
        <v>400</v>
      </c>
      <c r="I732" s="11">
        <f t="shared" si="35"/>
        <v>2</v>
      </c>
      <c r="J732" s="16">
        <v>179.65</v>
      </c>
      <c r="M732" s="17">
        <f t="shared" si="33"/>
        <v>138150.40000000014</v>
      </c>
      <c r="N732" s="11">
        <f t="shared" si="34"/>
        <v>9</v>
      </c>
    </row>
    <row r="733" spans="1:14" x14ac:dyDescent="0.25">
      <c r="A733" s="11" t="s">
        <v>207</v>
      </c>
      <c r="B733" s="12">
        <v>45182</v>
      </c>
      <c r="C733" s="11" t="s">
        <v>688</v>
      </c>
      <c r="D733" s="11" t="s">
        <v>43</v>
      </c>
      <c r="E733" s="13" t="s">
        <v>80</v>
      </c>
      <c r="F733" s="14" t="s">
        <v>79</v>
      </c>
      <c r="G733" s="14" t="s">
        <v>400</v>
      </c>
      <c r="I733" s="11">
        <f t="shared" si="35"/>
        <v>2</v>
      </c>
      <c r="J733" s="16">
        <v>1455.2</v>
      </c>
      <c r="M733" s="17">
        <f t="shared" si="33"/>
        <v>139605.60000000015</v>
      </c>
      <c r="N733" s="11">
        <f t="shared" si="34"/>
        <v>9</v>
      </c>
    </row>
    <row r="734" spans="1:14" x14ac:dyDescent="0.25">
      <c r="A734" s="11" t="s">
        <v>207</v>
      </c>
      <c r="B734" s="12">
        <v>45182</v>
      </c>
      <c r="C734" s="11" t="s">
        <v>688</v>
      </c>
      <c r="D734" s="11" t="s">
        <v>43</v>
      </c>
      <c r="E734" s="13" t="s">
        <v>81</v>
      </c>
      <c r="F734" s="14" t="s">
        <v>79</v>
      </c>
      <c r="G734" s="14" t="s">
        <v>400</v>
      </c>
      <c r="I734" s="11">
        <f t="shared" si="35"/>
        <v>2</v>
      </c>
      <c r="J734" s="16">
        <v>699.6</v>
      </c>
      <c r="M734" s="17">
        <f t="shared" si="33"/>
        <v>140305.20000000016</v>
      </c>
      <c r="N734" s="11">
        <f t="shared" si="34"/>
        <v>9</v>
      </c>
    </row>
    <row r="735" spans="1:14" x14ac:dyDescent="0.25">
      <c r="A735" s="11" t="s">
        <v>0</v>
      </c>
      <c r="B735" s="12">
        <v>45182</v>
      </c>
      <c r="C735" s="11" t="s">
        <v>688</v>
      </c>
      <c r="D735" s="11" t="s">
        <v>696</v>
      </c>
      <c r="E735" s="13" t="s">
        <v>139</v>
      </c>
      <c r="F735" s="14" t="s">
        <v>138</v>
      </c>
      <c r="G735" s="14" t="s">
        <v>174</v>
      </c>
      <c r="H735" s="15">
        <v>1</v>
      </c>
      <c r="I735" s="11" t="b">
        <f t="shared" si="35"/>
        <v>0</v>
      </c>
      <c r="K735" s="16">
        <v>390.95</v>
      </c>
      <c r="M735" s="17">
        <f t="shared" si="33"/>
        <v>139914.25000000015</v>
      </c>
      <c r="N735" s="11">
        <f t="shared" si="34"/>
        <v>9</v>
      </c>
    </row>
    <row r="736" spans="1:14" x14ac:dyDescent="0.25">
      <c r="A736" s="11" t="s">
        <v>0</v>
      </c>
      <c r="B736" s="12">
        <v>45182</v>
      </c>
      <c r="C736" s="11" t="s">
        <v>688</v>
      </c>
      <c r="D736" s="11" t="s">
        <v>692</v>
      </c>
      <c r="E736" s="13" t="s">
        <v>730</v>
      </c>
      <c r="F736" s="14" t="s">
        <v>34</v>
      </c>
      <c r="G736" s="14" t="s">
        <v>404</v>
      </c>
      <c r="H736" s="15" t="s">
        <v>20</v>
      </c>
      <c r="I736" s="11">
        <f t="shared" si="35"/>
        <v>5</v>
      </c>
      <c r="K736" s="16">
        <v>431.47</v>
      </c>
      <c r="M736" s="17">
        <f t="shared" si="33"/>
        <v>139482.78000000014</v>
      </c>
      <c r="N736" s="11">
        <f t="shared" si="34"/>
        <v>9</v>
      </c>
    </row>
    <row r="737" spans="1:14" x14ac:dyDescent="0.25">
      <c r="A737" s="11" t="s">
        <v>0</v>
      </c>
      <c r="B737" s="12">
        <v>45182</v>
      </c>
      <c r="C737" s="11" t="s">
        <v>688</v>
      </c>
      <c r="D737" s="11" t="s">
        <v>692</v>
      </c>
      <c r="E737" s="13" t="s">
        <v>730</v>
      </c>
      <c r="F737" s="14" t="s">
        <v>34</v>
      </c>
      <c r="G737" s="14" t="s">
        <v>404</v>
      </c>
      <c r="H737" s="15" t="s">
        <v>20</v>
      </c>
      <c r="I737" s="11">
        <f t="shared" si="35"/>
        <v>5</v>
      </c>
      <c r="K737" s="16">
        <v>106.81</v>
      </c>
      <c r="M737" s="17">
        <f t="shared" si="33"/>
        <v>139375.97000000015</v>
      </c>
      <c r="N737" s="11">
        <f t="shared" si="34"/>
        <v>9</v>
      </c>
    </row>
    <row r="738" spans="1:14" x14ac:dyDescent="0.25">
      <c r="A738" s="11" t="s">
        <v>0</v>
      </c>
      <c r="B738" s="12">
        <v>45182</v>
      </c>
      <c r="C738" s="11" t="s">
        <v>688</v>
      </c>
      <c r="D738" s="11" t="s">
        <v>696</v>
      </c>
      <c r="E738" s="13" t="s">
        <v>141</v>
      </c>
      <c r="F738" s="14" t="s">
        <v>140</v>
      </c>
      <c r="G738" s="14" t="s">
        <v>404</v>
      </c>
      <c r="H738" s="15" t="s">
        <v>20</v>
      </c>
      <c r="I738" s="11">
        <f t="shared" si="35"/>
        <v>5</v>
      </c>
      <c r="K738" s="16">
        <v>1000</v>
      </c>
      <c r="M738" s="17">
        <f t="shared" si="33"/>
        <v>138375.97000000015</v>
      </c>
      <c r="N738" s="11">
        <f t="shared" si="34"/>
        <v>9</v>
      </c>
    </row>
    <row r="739" spans="1:14" x14ac:dyDescent="0.25">
      <c r="A739" s="11" t="s">
        <v>0</v>
      </c>
      <c r="B739" s="12">
        <v>45182</v>
      </c>
      <c r="C739" s="11" t="s">
        <v>688</v>
      </c>
      <c r="D739" s="11" t="s">
        <v>692</v>
      </c>
      <c r="E739" s="13" t="s">
        <v>143</v>
      </c>
      <c r="F739" s="14" t="s">
        <v>35</v>
      </c>
      <c r="G739" s="14" t="s">
        <v>174</v>
      </c>
      <c r="H739" s="15">
        <v>866</v>
      </c>
      <c r="I739" s="11" t="b">
        <f t="shared" si="35"/>
        <v>0</v>
      </c>
      <c r="K739" s="16">
        <v>712.85</v>
      </c>
      <c r="M739" s="17">
        <f t="shared" si="33"/>
        <v>137663.12000000014</v>
      </c>
      <c r="N739" s="11">
        <f t="shared" si="34"/>
        <v>9</v>
      </c>
    </row>
    <row r="740" spans="1:14" x14ac:dyDescent="0.25">
      <c r="A740" s="11" t="s">
        <v>0</v>
      </c>
      <c r="B740" s="12">
        <v>45182</v>
      </c>
      <c r="C740" s="11" t="s">
        <v>688</v>
      </c>
      <c r="D740" s="11" t="s">
        <v>692</v>
      </c>
      <c r="E740" s="13" t="s">
        <v>725</v>
      </c>
      <c r="F740" s="14" t="s">
        <v>33</v>
      </c>
      <c r="G740" s="14" t="s">
        <v>404</v>
      </c>
      <c r="H740" s="15">
        <v>24370</v>
      </c>
      <c r="I740" s="11">
        <f t="shared" si="35"/>
        <v>5</v>
      </c>
      <c r="K740" s="16">
        <v>716.23</v>
      </c>
      <c r="M740" s="17">
        <f t="shared" si="33"/>
        <v>136946.89000000013</v>
      </c>
      <c r="N740" s="11">
        <f t="shared" si="34"/>
        <v>9</v>
      </c>
    </row>
    <row r="741" spans="1:14" x14ac:dyDescent="0.25">
      <c r="A741" s="11" t="s">
        <v>0</v>
      </c>
      <c r="B741" s="12">
        <v>45182</v>
      </c>
      <c r="C741" s="11" t="s">
        <v>688</v>
      </c>
      <c r="D741" s="11" t="s">
        <v>692</v>
      </c>
      <c r="E741" s="13" t="s">
        <v>730</v>
      </c>
      <c r="F741" s="14" t="s">
        <v>34</v>
      </c>
      <c r="G741" s="14" t="s">
        <v>404</v>
      </c>
      <c r="H741" s="15">
        <v>11083</v>
      </c>
      <c r="I741" s="11">
        <f t="shared" si="35"/>
        <v>5</v>
      </c>
      <c r="K741" s="16">
        <v>3727.2</v>
      </c>
      <c r="M741" s="17">
        <f t="shared" si="33"/>
        <v>133219.69000000012</v>
      </c>
      <c r="N741" s="11">
        <f t="shared" si="34"/>
        <v>9</v>
      </c>
    </row>
    <row r="742" spans="1:14" x14ac:dyDescent="0.25">
      <c r="A742" s="11" t="s">
        <v>0</v>
      </c>
      <c r="B742" s="12">
        <v>45182</v>
      </c>
      <c r="C742" s="11" t="s">
        <v>688</v>
      </c>
      <c r="D742" s="11" t="s">
        <v>692</v>
      </c>
      <c r="E742" s="62" t="s">
        <v>730</v>
      </c>
      <c r="F742" s="14" t="s">
        <v>142</v>
      </c>
      <c r="G742" s="14" t="s">
        <v>174</v>
      </c>
      <c r="H742" s="15" t="s">
        <v>20</v>
      </c>
      <c r="I742" s="11" t="b">
        <f t="shared" si="35"/>
        <v>0</v>
      </c>
      <c r="K742" s="16">
        <v>1381</v>
      </c>
      <c r="M742" s="17">
        <f t="shared" si="33"/>
        <v>131838.69000000012</v>
      </c>
      <c r="N742" s="11">
        <f t="shared" si="34"/>
        <v>9</v>
      </c>
    </row>
    <row r="743" spans="1:14" x14ac:dyDescent="0.25">
      <c r="A743" s="11" t="s">
        <v>0</v>
      </c>
      <c r="B743" s="12">
        <v>45182</v>
      </c>
      <c r="C743" s="11" t="s">
        <v>688</v>
      </c>
      <c r="D743" s="11" t="s">
        <v>692</v>
      </c>
      <c r="E743" s="13" t="s">
        <v>724</v>
      </c>
      <c r="F743" s="14" t="s">
        <v>119</v>
      </c>
      <c r="G743" s="14" t="s">
        <v>404</v>
      </c>
      <c r="H743" s="15">
        <v>1267429</v>
      </c>
      <c r="I743" s="11">
        <f t="shared" si="35"/>
        <v>5</v>
      </c>
      <c r="K743" s="16">
        <v>931.15</v>
      </c>
      <c r="M743" s="17">
        <f t="shared" si="33"/>
        <v>130907.54000000012</v>
      </c>
      <c r="N743" s="11">
        <f t="shared" si="34"/>
        <v>9</v>
      </c>
    </row>
    <row r="744" spans="1:14" x14ac:dyDescent="0.25">
      <c r="A744" s="11" t="s">
        <v>0</v>
      </c>
      <c r="B744" s="12">
        <v>45182</v>
      </c>
      <c r="C744" s="11" t="s">
        <v>688</v>
      </c>
      <c r="D744" s="11" t="s">
        <v>692</v>
      </c>
      <c r="E744" s="13" t="s">
        <v>724</v>
      </c>
      <c r="F744" s="14" t="s">
        <v>119</v>
      </c>
      <c r="G744" s="14" t="s">
        <v>404</v>
      </c>
      <c r="H744" s="15">
        <v>1267430</v>
      </c>
      <c r="I744" s="11">
        <f t="shared" si="35"/>
        <v>5</v>
      </c>
      <c r="K744" s="16">
        <v>1789.2</v>
      </c>
      <c r="M744" s="17">
        <f t="shared" si="33"/>
        <v>129118.34000000013</v>
      </c>
      <c r="N744" s="11">
        <f t="shared" si="34"/>
        <v>9</v>
      </c>
    </row>
    <row r="745" spans="1:14" x14ac:dyDescent="0.25">
      <c r="A745" s="11" t="s">
        <v>0</v>
      </c>
      <c r="B745" s="12">
        <v>45182</v>
      </c>
      <c r="C745" s="11" t="s">
        <v>688</v>
      </c>
      <c r="D745" s="11" t="s">
        <v>694</v>
      </c>
      <c r="E745" s="13" t="s">
        <v>182</v>
      </c>
      <c r="F745" s="14" t="s">
        <v>93</v>
      </c>
      <c r="G745" s="14" t="s">
        <v>186</v>
      </c>
      <c r="I745" s="11" t="b">
        <f t="shared" si="35"/>
        <v>0</v>
      </c>
      <c r="K745" s="16">
        <v>7.98</v>
      </c>
      <c r="M745" s="17">
        <f t="shared" si="33"/>
        <v>129110.36000000013</v>
      </c>
      <c r="N745" s="11">
        <f t="shared" si="34"/>
        <v>9</v>
      </c>
    </row>
    <row r="746" spans="1:14" x14ac:dyDescent="0.25">
      <c r="A746" s="11" t="s">
        <v>0</v>
      </c>
      <c r="B746" s="12">
        <v>45182</v>
      </c>
      <c r="C746" s="11" t="s">
        <v>688</v>
      </c>
      <c r="D746" s="11" t="s">
        <v>694</v>
      </c>
      <c r="E746" s="13" t="s">
        <v>182</v>
      </c>
      <c r="F746" s="14" t="s">
        <v>23</v>
      </c>
      <c r="G746" s="14" t="s">
        <v>186</v>
      </c>
      <c r="I746" s="11" t="b">
        <f t="shared" si="35"/>
        <v>0</v>
      </c>
      <c r="K746" s="16">
        <v>47.13</v>
      </c>
      <c r="M746" s="17">
        <f t="shared" si="33"/>
        <v>129063.23000000013</v>
      </c>
      <c r="N746" s="11">
        <f t="shared" si="34"/>
        <v>9</v>
      </c>
    </row>
    <row r="747" spans="1:14" x14ac:dyDescent="0.25">
      <c r="A747" s="11" t="s">
        <v>207</v>
      </c>
      <c r="B747" s="12">
        <v>45182</v>
      </c>
      <c r="C747" s="11" t="s">
        <v>688</v>
      </c>
      <c r="D747" s="11" t="s">
        <v>43</v>
      </c>
      <c r="E747" s="13" t="s">
        <v>95</v>
      </c>
      <c r="F747" s="14" t="s">
        <v>144</v>
      </c>
      <c r="G747" s="14" t="s">
        <v>400</v>
      </c>
      <c r="I747" s="11">
        <f t="shared" si="35"/>
        <v>2</v>
      </c>
      <c r="J747" s="16">
        <v>1166.0999999999999</v>
      </c>
      <c r="M747" s="17">
        <f t="shared" si="33"/>
        <v>130229.33000000013</v>
      </c>
      <c r="N747" s="11">
        <f t="shared" si="34"/>
        <v>9</v>
      </c>
    </row>
    <row r="748" spans="1:14" x14ac:dyDescent="0.25">
      <c r="A748" s="11" t="s">
        <v>207</v>
      </c>
      <c r="B748" s="12">
        <v>45182</v>
      </c>
      <c r="C748" s="11" t="s">
        <v>688</v>
      </c>
      <c r="D748" s="11" t="s">
        <v>43</v>
      </c>
      <c r="E748" s="14" t="s">
        <v>288</v>
      </c>
      <c r="F748" s="14" t="s">
        <v>288</v>
      </c>
      <c r="G748" s="14" t="s">
        <v>173</v>
      </c>
      <c r="I748" s="11">
        <f t="shared" si="35"/>
        <v>3</v>
      </c>
      <c r="J748" s="16">
        <v>170</v>
      </c>
      <c r="M748" s="17">
        <f t="shared" si="33"/>
        <v>130399.33000000013</v>
      </c>
      <c r="N748" s="11">
        <f t="shared" si="34"/>
        <v>9</v>
      </c>
    </row>
    <row r="749" spans="1:14" x14ac:dyDescent="0.25">
      <c r="A749" s="11" t="s">
        <v>207</v>
      </c>
      <c r="B749" s="12">
        <v>45183</v>
      </c>
      <c r="C749" s="11" t="s">
        <v>688</v>
      </c>
      <c r="D749" s="11" t="s">
        <v>43</v>
      </c>
      <c r="E749" s="13" t="s">
        <v>14</v>
      </c>
      <c r="F749" s="14" t="s">
        <v>13</v>
      </c>
      <c r="G749" s="14" t="s">
        <v>400</v>
      </c>
      <c r="I749" s="11">
        <f t="shared" si="35"/>
        <v>2</v>
      </c>
      <c r="J749" s="16">
        <v>470.35</v>
      </c>
      <c r="M749" s="17">
        <f t="shared" si="33"/>
        <v>130869.68000000014</v>
      </c>
      <c r="N749" s="11">
        <f t="shared" si="34"/>
        <v>9</v>
      </c>
    </row>
    <row r="750" spans="1:14" x14ac:dyDescent="0.25">
      <c r="A750" s="11" t="s">
        <v>207</v>
      </c>
      <c r="B750" s="12">
        <v>45183</v>
      </c>
      <c r="C750" s="11" t="s">
        <v>688</v>
      </c>
      <c r="D750" s="11" t="s">
        <v>43</v>
      </c>
      <c r="E750" s="13" t="s">
        <v>14</v>
      </c>
      <c r="F750" s="14" t="s">
        <v>13</v>
      </c>
      <c r="G750" s="14" t="s">
        <v>400</v>
      </c>
      <c r="I750" s="11">
        <f t="shared" si="35"/>
        <v>2</v>
      </c>
      <c r="J750" s="16">
        <v>91.61</v>
      </c>
      <c r="M750" s="17">
        <f t="shared" si="33"/>
        <v>130961.29000000014</v>
      </c>
      <c r="N750" s="11">
        <f t="shared" si="34"/>
        <v>9</v>
      </c>
    </row>
    <row r="751" spans="1:14" x14ac:dyDescent="0.25">
      <c r="A751" s="11" t="s">
        <v>207</v>
      </c>
      <c r="B751" s="12">
        <v>45183</v>
      </c>
      <c r="C751" s="11" t="s">
        <v>688</v>
      </c>
      <c r="D751" s="11" t="s">
        <v>43</v>
      </c>
      <c r="E751" s="13" t="s">
        <v>14</v>
      </c>
      <c r="F751" s="14" t="s">
        <v>13</v>
      </c>
      <c r="G751" s="14" t="s">
        <v>400</v>
      </c>
      <c r="I751" s="11">
        <f t="shared" si="35"/>
        <v>2</v>
      </c>
      <c r="J751" s="16">
        <v>681.35</v>
      </c>
      <c r="M751" s="17">
        <f t="shared" si="33"/>
        <v>131642.64000000013</v>
      </c>
      <c r="N751" s="11">
        <f t="shared" si="34"/>
        <v>9</v>
      </c>
    </row>
    <row r="752" spans="1:14" x14ac:dyDescent="0.25">
      <c r="A752" s="11" t="s">
        <v>207</v>
      </c>
      <c r="B752" s="12">
        <v>45183</v>
      </c>
      <c r="C752" s="11" t="s">
        <v>688</v>
      </c>
      <c r="D752" s="11" t="s">
        <v>43</v>
      </c>
      <c r="E752" s="13" t="s">
        <v>14</v>
      </c>
      <c r="F752" s="14" t="s">
        <v>13</v>
      </c>
      <c r="G752" s="14" t="s">
        <v>400</v>
      </c>
      <c r="I752" s="11">
        <f t="shared" si="35"/>
        <v>2</v>
      </c>
      <c r="J752" s="16">
        <v>18.059999999999999</v>
      </c>
      <c r="M752" s="17">
        <f t="shared" si="33"/>
        <v>131660.70000000013</v>
      </c>
      <c r="N752" s="11">
        <f t="shared" si="34"/>
        <v>9</v>
      </c>
    </row>
    <row r="753" spans="1:14" x14ac:dyDescent="0.25">
      <c r="A753" s="11" t="s">
        <v>207</v>
      </c>
      <c r="B753" s="12">
        <v>45183</v>
      </c>
      <c r="C753" s="11" t="s">
        <v>688</v>
      </c>
      <c r="D753" s="11" t="s">
        <v>43</v>
      </c>
      <c r="E753" s="13" t="s">
        <v>14</v>
      </c>
      <c r="F753" s="14" t="s">
        <v>13</v>
      </c>
      <c r="G753" s="14" t="s">
        <v>400</v>
      </c>
      <c r="I753" s="11">
        <f t="shared" si="35"/>
        <v>2</v>
      </c>
      <c r="J753" s="16">
        <v>24.74</v>
      </c>
      <c r="M753" s="17">
        <f t="shared" si="33"/>
        <v>131685.44000000012</v>
      </c>
      <c r="N753" s="11">
        <f t="shared" si="34"/>
        <v>9</v>
      </c>
    </row>
    <row r="754" spans="1:14" x14ac:dyDescent="0.25">
      <c r="A754" s="11" t="s">
        <v>207</v>
      </c>
      <c r="B754" s="12">
        <v>45183</v>
      </c>
      <c r="C754" s="11" t="s">
        <v>688</v>
      </c>
      <c r="D754" s="11" t="s">
        <v>43</v>
      </c>
      <c r="E754" s="13" t="s">
        <v>14</v>
      </c>
      <c r="F754" s="14" t="s">
        <v>13</v>
      </c>
      <c r="G754" s="14" t="s">
        <v>400</v>
      </c>
      <c r="I754" s="11">
        <f t="shared" si="35"/>
        <v>2</v>
      </c>
      <c r="J754" s="16">
        <v>163.02000000000001</v>
      </c>
      <c r="M754" s="17">
        <f t="shared" si="33"/>
        <v>131848.46000000011</v>
      </c>
      <c r="N754" s="11">
        <f t="shared" si="34"/>
        <v>9</v>
      </c>
    </row>
    <row r="755" spans="1:14" x14ac:dyDescent="0.25">
      <c r="A755" s="11" t="s">
        <v>207</v>
      </c>
      <c r="B755" s="12">
        <v>45183</v>
      </c>
      <c r="C755" s="11" t="s">
        <v>688</v>
      </c>
      <c r="D755" s="11" t="s">
        <v>43</v>
      </c>
      <c r="E755" s="13" t="s">
        <v>80</v>
      </c>
      <c r="F755" s="14" t="s">
        <v>79</v>
      </c>
      <c r="G755" s="14" t="s">
        <v>400</v>
      </c>
      <c r="I755" s="11">
        <f t="shared" si="35"/>
        <v>2</v>
      </c>
      <c r="J755" s="16">
        <v>1597.23</v>
      </c>
      <c r="M755" s="17">
        <f t="shared" si="33"/>
        <v>133445.69000000012</v>
      </c>
      <c r="N755" s="11">
        <f t="shared" si="34"/>
        <v>9</v>
      </c>
    </row>
    <row r="756" spans="1:14" x14ac:dyDescent="0.25">
      <c r="A756" s="11" t="s">
        <v>207</v>
      </c>
      <c r="B756" s="12">
        <v>45183</v>
      </c>
      <c r="C756" s="11" t="s">
        <v>688</v>
      </c>
      <c r="D756" s="11" t="s">
        <v>43</v>
      </c>
      <c r="E756" s="13" t="s">
        <v>81</v>
      </c>
      <c r="F756" s="14" t="s">
        <v>79</v>
      </c>
      <c r="G756" s="14" t="s">
        <v>400</v>
      </c>
      <c r="I756" s="11">
        <f t="shared" si="35"/>
        <v>2</v>
      </c>
      <c r="J756" s="16">
        <v>1222.47</v>
      </c>
      <c r="M756" s="17">
        <f t="shared" si="33"/>
        <v>134668.16000000012</v>
      </c>
      <c r="N756" s="11">
        <f t="shared" si="34"/>
        <v>9</v>
      </c>
    </row>
    <row r="757" spans="1:14" x14ac:dyDescent="0.25">
      <c r="A757" s="11" t="s">
        <v>207</v>
      </c>
      <c r="B757" s="12">
        <v>45183</v>
      </c>
      <c r="C757" s="11" t="s">
        <v>688</v>
      </c>
      <c r="D757" s="11" t="s">
        <v>43</v>
      </c>
      <c r="E757" s="13" t="s">
        <v>82</v>
      </c>
      <c r="F757" s="14" t="s">
        <v>79</v>
      </c>
      <c r="G757" s="14" t="s">
        <v>400</v>
      </c>
      <c r="I757" s="11">
        <f t="shared" si="35"/>
        <v>2</v>
      </c>
      <c r="J757" s="16">
        <v>174.84</v>
      </c>
      <c r="M757" s="17">
        <f t="shared" si="33"/>
        <v>134843.00000000012</v>
      </c>
      <c r="N757" s="11">
        <f t="shared" si="34"/>
        <v>9</v>
      </c>
    </row>
    <row r="758" spans="1:14" x14ac:dyDescent="0.25">
      <c r="A758" s="11" t="s">
        <v>207</v>
      </c>
      <c r="B758" s="12">
        <v>45183</v>
      </c>
      <c r="C758" s="11" t="s">
        <v>688</v>
      </c>
      <c r="D758" s="11" t="s">
        <v>43</v>
      </c>
      <c r="E758" s="13" t="s">
        <v>83</v>
      </c>
      <c r="F758" s="14" t="s">
        <v>79</v>
      </c>
      <c r="G758" s="14" t="s">
        <v>400</v>
      </c>
      <c r="I758" s="11">
        <f t="shared" si="35"/>
        <v>2</v>
      </c>
      <c r="J758" s="16">
        <v>543.89</v>
      </c>
      <c r="M758" s="17">
        <f t="shared" si="33"/>
        <v>135386.89000000013</v>
      </c>
      <c r="N758" s="11">
        <f t="shared" si="34"/>
        <v>9</v>
      </c>
    </row>
    <row r="759" spans="1:14" x14ac:dyDescent="0.25">
      <c r="A759" s="11" t="s">
        <v>0</v>
      </c>
      <c r="B759" s="12">
        <v>45183</v>
      </c>
      <c r="C759" s="11" t="s">
        <v>688</v>
      </c>
      <c r="D759" s="11" t="s">
        <v>696</v>
      </c>
      <c r="E759" s="13" t="s">
        <v>145</v>
      </c>
      <c r="F759" s="14" t="s">
        <v>62</v>
      </c>
      <c r="G759" s="14" t="s">
        <v>404</v>
      </c>
      <c r="H759" s="15" t="s">
        <v>20</v>
      </c>
      <c r="I759" s="11">
        <f t="shared" si="35"/>
        <v>5</v>
      </c>
      <c r="K759" s="16">
        <v>528</v>
      </c>
      <c r="M759" s="17">
        <f t="shared" si="33"/>
        <v>134858.89000000013</v>
      </c>
      <c r="N759" s="11">
        <f t="shared" si="34"/>
        <v>9</v>
      </c>
    </row>
    <row r="760" spans="1:14" ht="26.4" x14ac:dyDescent="0.25">
      <c r="A760" s="11" t="s">
        <v>0</v>
      </c>
      <c r="B760" s="12">
        <v>45183</v>
      </c>
      <c r="C760" s="11" t="s">
        <v>688</v>
      </c>
      <c r="D760" s="11" t="s">
        <v>692</v>
      </c>
      <c r="E760" s="13" t="s">
        <v>143</v>
      </c>
      <c r="F760" s="14" t="s">
        <v>29</v>
      </c>
      <c r="G760" s="14" t="s">
        <v>120</v>
      </c>
      <c r="H760" s="15" t="s">
        <v>369</v>
      </c>
      <c r="I760" s="11" t="b">
        <f t="shared" si="35"/>
        <v>0</v>
      </c>
      <c r="K760" s="16">
        <v>2159.4499999999998</v>
      </c>
      <c r="M760" s="17">
        <f t="shared" si="33"/>
        <v>132699.44000000012</v>
      </c>
      <c r="N760" s="11">
        <f t="shared" si="34"/>
        <v>9</v>
      </c>
    </row>
    <row r="761" spans="1:14" x14ac:dyDescent="0.25">
      <c r="A761" s="11" t="s">
        <v>0</v>
      </c>
      <c r="B761" s="12">
        <v>45183</v>
      </c>
      <c r="C761" s="11" t="s">
        <v>688</v>
      </c>
      <c r="D761" s="11" t="s">
        <v>701</v>
      </c>
      <c r="E761" s="13" t="s">
        <v>180</v>
      </c>
      <c r="F761" s="14" t="s">
        <v>37</v>
      </c>
      <c r="G761" s="14" t="s">
        <v>404</v>
      </c>
      <c r="H761" s="15" t="s">
        <v>102</v>
      </c>
      <c r="I761" s="11">
        <f t="shared" si="35"/>
        <v>5</v>
      </c>
      <c r="K761" s="16">
        <v>25.5</v>
      </c>
      <c r="M761" s="17">
        <f t="shared" si="33"/>
        <v>132673.94000000012</v>
      </c>
      <c r="N761" s="11">
        <f t="shared" si="34"/>
        <v>9</v>
      </c>
    </row>
    <row r="762" spans="1:14" x14ac:dyDescent="0.25">
      <c r="A762" s="11" t="s">
        <v>0</v>
      </c>
      <c r="B762" s="12">
        <v>45183</v>
      </c>
      <c r="C762" s="11" t="s">
        <v>688</v>
      </c>
      <c r="D762" s="11" t="s">
        <v>692</v>
      </c>
      <c r="E762" s="13" t="s">
        <v>725</v>
      </c>
      <c r="F762" s="14" t="s">
        <v>33</v>
      </c>
      <c r="G762" s="14" t="s">
        <v>404</v>
      </c>
      <c r="H762" s="15">
        <v>24410</v>
      </c>
      <c r="I762" s="11">
        <f t="shared" si="35"/>
        <v>5</v>
      </c>
      <c r="K762" s="16">
        <v>805.69</v>
      </c>
      <c r="M762" s="17">
        <f t="shared" si="33"/>
        <v>131868.25000000012</v>
      </c>
      <c r="N762" s="11">
        <f t="shared" si="34"/>
        <v>9</v>
      </c>
    </row>
    <row r="763" spans="1:14" x14ac:dyDescent="0.25">
      <c r="A763" s="11" t="s">
        <v>0</v>
      </c>
      <c r="B763" s="12">
        <v>45183</v>
      </c>
      <c r="C763" s="11" t="s">
        <v>688</v>
      </c>
      <c r="D763" s="11" t="s">
        <v>692</v>
      </c>
      <c r="E763" s="13" t="s">
        <v>725</v>
      </c>
      <c r="F763" s="14" t="s">
        <v>33</v>
      </c>
      <c r="G763" s="14" t="s">
        <v>404</v>
      </c>
      <c r="H763" s="15">
        <v>24411</v>
      </c>
      <c r="I763" s="11">
        <f t="shared" si="35"/>
        <v>5</v>
      </c>
      <c r="K763" s="16">
        <v>175.96</v>
      </c>
      <c r="M763" s="17">
        <f t="shared" si="33"/>
        <v>131692.29000000012</v>
      </c>
      <c r="N763" s="11">
        <f t="shared" si="34"/>
        <v>9</v>
      </c>
    </row>
    <row r="764" spans="1:14" x14ac:dyDescent="0.25">
      <c r="A764" s="11" t="s">
        <v>0</v>
      </c>
      <c r="B764" s="12">
        <v>45183</v>
      </c>
      <c r="C764" s="11" t="s">
        <v>688</v>
      </c>
      <c r="D764" s="11" t="s">
        <v>694</v>
      </c>
      <c r="E764" s="13" t="s">
        <v>182</v>
      </c>
      <c r="F764" s="14" t="s">
        <v>93</v>
      </c>
      <c r="G764" s="14" t="s">
        <v>186</v>
      </c>
      <c r="I764" s="11" t="b">
        <f t="shared" si="35"/>
        <v>0</v>
      </c>
      <c r="K764" s="16">
        <v>1.06</v>
      </c>
      <c r="M764" s="17">
        <f t="shared" si="33"/>
        <v>131691.23000000013</v>
      </c>
      <c r="N764" s="11">
        <f t="shared" si="34"/>
        <v>9</v>
      </c>
    </row>
    <row r="765" spans="1:14" x14ac:dyDescent="0.25">
      <c r="A765" s="11" t="s">
        <v>0</v>
      </c>
      <c r="B765" s="12">
        <v>45183</v>
      </c>
      <c r="C765" s="11" t="s">
        <v>688</v>
      </c>
      <c r="D765" s="11" t="s">
        <v>694</v>
      </c>
      <c r="E765" s="13" t="s">
        <v>182</v>
      </c>
      <c r="F765" s="14" t="s">
        <v>23</v>
      </c>
      <c r="G765" s="14" t="s">
        <v>186</v>
      </c>
      <c r="I765" s="11" t="b">
        <f t="shared" si="35"/>
        <v>0</v>
      </c>
      <c r="K765" s="16">
        <v>13.58</v>
      </c>
      <c r="M765" s="17">
        <f t="shared" si="33"/>
        <v>131677.65000000014</v>
      </c>
      <c r="N765" s="11">
        <f t="shared" si="34"/>
        <v>9</v>
      </c>
    </row>
    <row r="766" spans="1:14" x14ac:dyDescent="0.25">
      <c r="A766" s="11" t="s">
        <v>207</v>
      </c>
      <c r="B766" s="12">
        <v>45183</v>
      </c>
      <c r="C766" s="11" t="s">
        <v>688</v>
      </c>
      <c r="D766" s="11" t="s">
        <v>43</v>
      </c>
      <c r="E766" s="13" t="s">
        <v>95</v>
      </c>
      <c r="F766" s="14" t="s">
        <v>146</v>
      </c>
      <c r="G766" s="14" t="s">
        <v>400</v>
      </c>
      <c r="I766" s="11">
        <f t="shared" si="35"/>
        <v>2</v>
      </c>
      <c r="J766" s="16">
        <v>330</v>
      </c>
      <c r="M766" s="17">
        <f t="shared" si="33"/>
        <v>132007.65000000014</v>
      </c>
      <c r="N766" s="11">
        <f t="shared" si="34"/>
        <v>9</v>
      </c>
    </row>
    <row r="767" spans="1:14" x14ac:dyDescent="0.25">
      <c r="A767" s="11" t="s">
        <v>207</v>
      </c>
      <c r="B767" s="12">
        <v>45183</v>
      </c>
      <c r="C767" s="11" t="s">
        <v>662</v>
      </c>
      <c r="D767" s="11" t="s">
        <v>43</v>
      </c>
      <c r="E767" s="14" t="s">
        <v>288</v>
      </c>
      <c r="F767" s="14" t="s">
        <v>288</v>
      </c>
      <c r="G767" s="14" t="s">
        <v>173</v>
      </c>
      <c r="I767" s="11">
        <f t="shared" si="35"/>
        <v>3</v>
      </c>
      <c r="J767" s="16">
        <v>650</v>
      </c>
      <c r="M767" s="17">
        <f t="shared" si="33"/>
        <v>132657.65000000014</v>
      </c>
      <c r="N767" s="11">
        <f t="shared" si="34"/>
        <v>9</v>
      </c>
    </row>
    <row r="768" spans="1:14" x14ac:dyDescent="0.25">
      <c r="A768" s="11" t="s">
        <v>207</v>
      </c>
      <c r="B768" s="12">
        <v>45183</v>
      </c>
      <c r="C768" s="11" t="s">
        <v>688</v>
      </c>
      <c r="D768" s="11" t="s">
        <v>43</v>
      </c>
      <c r="E768" s="14" t="s">
        <v>288</v>
      </c>
      <c r="F768" s="14" t="s">
        <v>288</v>
      </c>
      <c r="G768" s="14" t="s">
        <v>173</v>
      </c>
      <c r="I768" s="11">
        <f t="shared" si="35"/>
        <v>3</v>
      </c>
      <c r="J768" s="16">
        <v>300</v>
      </c>
      <c r="M768" s="17">
        <f t="shared" si="33"/>
        <v>132957.65000000014</v>
      </c>
      <c r="N768" s="11">
        <f t="shared" si="34"/>
        <v>9</v>
      </c>
    </row>
    <row r="769" spans="1:14" x14ac:dyDescent="0.25">
      <c r="A769" s="11" t="s">
        <v>207</v>
      </c>
      <c r="B769" s="12">
        <v>45184</v>
      </c>
      <c r="C769" s="11" t="s">
        <v>688</v>
      </c>
      <c r="D769" s="11" t="s">
        <v>43</v>
      </c>
      <c r="E769" s="13" t="s">
        <v>14</v>
      </c>
      <c r="F769" s="14" t="s">
        <v>13</v>
      </c>
      <c r="G769" s="14" t="s">
        <v>400</v>
      </c>
      <c r="I769" s="11">
        <f t="shared" si="35"/>
        <v>2</v>
      </c>
      <c r="J769" s="16">
        <v>91.61</v>
      </c>
      <c r="M769" s="17">
        <f t="shared" si="33"/>
        <v>133049.26000000013</v>
      </c>
      <c r="N769" s="11">
        <f t="shared" si="34"/>
        <v>9</v>
      </c>
    </row>
    <row r="770" spans="1:14" x14ac:dyDescent="0.25">
      <c r="A770" s="11" t="s">
        <v>207</v>
      </c>
      <c r="B770" s="12">
        <v>45184</v>
      </c>
      <c r="C770" s="11" t="s">
        <v>688</v>
      </c>
      <c r="D770" s="11" t="s">
        <v>43</v>
      </c>
      <c r="E770" s="13" t="s">
        <v>14</v>
      </c>
      <c r="F770" s="14" t="s">
        <v>13</v>
      </c>
      <c r="G770" s="14" t="s">
        <v>400</v>
      </c>
      <c r="I770" s="11">
        <f t="shared" si="35"/>
        <v>2</v>
      </c>
      <c r="J770" s="16">
        <v>37.81</v>
      </c>
      <c r="M770" s="17">
        <f t="shared" si="33"/>
        <v>133087.07000000012</v>
      </c>
      <c r="N770" s="11">
        <f t="shared" si="34"/>
        <v>9</v>
      </c>
    </row>
    <row r="771" spans="1:14" x14ac:dyDescent="0.25">
      <c r="A771" s="11" t="s">
        <v>207</v>
      </c>
      <c r="B771" s="12">
        <v>45184</v>
      </c>
      <c r="C771" s="11" t="s">
        <v>688</v>
      </c>
      <c r="D771" s="11" t="s">
        <v>43</v>
      </c>
      <c r="E771" s="13" t="s">
        <v>14</v>
      </c>
      <c r="F771" s="14" t="s">
        <v>13</v>
      </c>
      <c r="G771" s="14" t="s">
        <v>400</v>
      </c>
      <c r="I771" s="11">
        <f t="shared" si="35"/>
        <v>2</v>
      </c>
      <c r="J771" s="16">
        <v>7.62</v>
      </c>
      <c r="M771" s="17">
        <f t="shared" ref="M771:M834" si="36">IF(B771=0, "",M770+ J771-K771)</f>
        <v>133094.69000000012</v>
      </c>
      <c r="N771" s="11">
        <f t="shared" ref="N771:N834" si="37">IF(B771=0, "", MONTH(B771))</f>
        <v>9</v>
      </c>
    </row>
    <row r="772" spans="1:14" x14ac:dyDescent="0.25">
      <c r="A772" s="11" t="s">
        <v>207</v>
      </c>
      <c r="B772" s="12">
        <v>45184</v>
      </c>
      <c r="C772" s="11" t="s">
        <v>688</v>
      </c>
      <c r="D772" s="11" t="s">
        <v>43</v>
      </c>
      <c r="E772" s="13" t="s">
        <v>80</v>
      </c>
      <c r="F772" s="14" t="s">
        <v>79</v>
      </c>
      <c r="G772" s="14" t="s">
        <v>400</v>
      </c>
      <c r="I772" s="11">
        <f t="shared" ref="I772:I835" si="38">IF(AND(G772="MERCADO PAGO",A772="FATURAMENTO"),1,IF(AND(OR(G772="MERCADO PAGO",G772="pix mercado pago",G772= "débito automático mercado pago", G772= "boleto mercado pago"),A772="DESPESAS"),4,IF(AND(G772="SAFRA",A772="FATURAMENTO"),2,IF(AND(OR(G772="SAFRA",G772="PIX SAFRA", G772="DÉBITO AUTOMÁTICO SAFRA", G772= "BOLETO SAFRA", G772= "transferência safra"), A772="DESPESAS"),5,IF(AND(G772="espécie",A772="FATURAMENTO"),3,IF(AND(G772="espécie",A772="DESPESAS"),6))))))</f>
        <v>2</v>
      </c>
      <c r="J772" s="16">
        <v>1280.27</v>
      </c>
      <c r="M772" s="17">
        <f t="shared" si="36"/>
        <v>134374.96000000011</v>
      </c>
      <c r="N772" s="11">
        <f t="shared" si="37"/>
        <v>9</v>
      </c>
    </row>
    <row r="773" spans="1:14" x14ac:dyDescent="0.25">
      <c r="A773" s="11" t="s">
        <v>207</v>
      </c>
      <c r="B773" s="12">
        <v>45184</v>
      </c>
      <c r="C773" s="11" t="s">
        <v>688</v>
      </c>
      <c r="D773" s="11" t="s">
        <v>43</v>
      </c>
      <c r="E773" s="13" t="s">
        <v>81</v>
      </c>
      <c r="F773" s="14" t="s">
        <v>79</v>
      </c>
      <c r="G773" s="14" t="s">
        <v>400</v>
      </c>
      <c r="I773" s="11">
        <f t="shared" si="38"/>
        <v>2</v>
      </c>
      <c r="J773" s="16">
        <v>1048.71</v>
      </c>
      <c r="M773" s="17">
        <f t="shared" si="36"/>
        <v>135423.6700000001</v>
      </c>
      <c r="N773" s="11">
        <f t="shared" si="37"/>
        <v>9</v>
      </c>
    </row>
    <row r="774" spans="1:14" x14ac:dyDescent="0.25">
      <c r="A774" s="11" t="s">
        <v>207</v>
      </c>
      <c r="B774" s="12">
        <v>45184</v>
      </c>
      <c r="C774" s="11" t="s">
        <v>688</v>
      </c>
      <c r="D774" s="11" t="s">
        <v>43</v>
      </c>
      <c r="E774" s="13" t="s">
        <v>83</v>
      </c>
      <c r="F774" s="14" t="s">
        <v>79</v>
      </c>
      <c r="G774" s="14" t="s">
        <v>400</v>
      </c>
      <c r="I774" s="11">
        <f t="shared" si="38"/>
        <v>2</v>
      </c>
      <c r="J774" s="16">
        <v>319.64</v>
      </c>
      <c r="M774" s="17">
        <f t="shared" si="36"/>
        <v>135743.31000000011</v>
      </c>
      <c r="N774" s="11">
        <f t="shared" si="37"/>
        <v>9</v>
      </c>
    </row>
    <row r="775" spans="1:14" x14ac:dyDescent="0.25">
      <c r="A775" s="11" t="s">
        <v>0</v>
      </c>
      <c r="B775" s="12">
        <v>45184</v>
      </c>
      <c r="C775" s="11" t="s">
        <v>688</v>
      </c>
      <c r="D775" s="11" t="s">
        <v>698</v>
      </c>
      <c r="E775" s="13" t="s">
        <v>148</v>
      </c>
      <c r="F775" s="14" t="s">
        <v>147</v>
      </c>
      <c r="G775" s="14" t="s">
        <v>174</v>
      </c>
      <c r="H775" s="15" t="s">
        <v>20</v>
      </c>
      <c r="I775" s="11" t="b">
        <f t="shared" si="38"/>
        <v>0</v>
      </c>
      <c r="K775" s="16">
        <v>65</v>
      </c>
      <c r="M775" s="17">
        <f t="shared" si="36"/>
        <v>135678.31000000011</v>
      </c>
      <c r="N775" s="11">
        <f t="shared" si="37"/>
        <v>9</v>
      </c>
    </row>
    <row r="776" spans="1:14" x14ac:dyDescent="0.25">
      <c r="A776" s="11" t="s">
        <v>0</v>
      </c>
      <c r="B776" s="12">
        <v>45184</v>
      </c>
      <c r="C776" s="11" t="s">
        <v>688</v>
      </c>
      <c r="D776" s="11" t="s">
        <v>696</v>
      </c>
      <c r="E776" s="13" t="s">
        <v>149</v>
      </c>
      <c r="F776" s="14" t="s">
        <v>62</v>
      </c>
      <c r="G776" s="14" t="s">
        <v>404</v>
      </c>
      <c r="H776" s="15" t="s">
        <v>20</v>
      </c>
      <c r="I776" s="11">
        <f t="shared" si="38"/>
        <v>5</v>
      </c>
      <c r="K776" s="16">
        <v>1150</v>
      </c>
      <c r="M776" s="17">
        <f t="shared" si="36"/>
        <v>134528.31000000011</v>
      </c>
      <c r="N776" s="11">
        <f t="shared" si="37"/>
        <v>9</v>
      </c>
    </row>
    <row r="777" spans="1:14" x14ac:dyDescent="0.25">
      <c r="A777" s="11" t="s">
        <v>0</v>
      </c>
      <c r="B777" s="12">
        <v>45184</v>
      </c>
      <c r="C777" s="11" t="s">
        <v>688</v>
      </c>
      <c r="D777" s="11" t="s">
        <v>696</v>
      </c>
      <c r="E777" s="13" t="s">
        <v>150</v>
      </c>
      <c r="F777" s="14" t="s">
        <v>62</v>
      </c>
      <c r="G777" s="14" t="s">
        <v>404</v>
      </c>
      <c r="H777" s="15" t="s">
        <v>20</v>
      </c>
      <c r="I777" s="11">
        <f t="shared" si="38"/>
        <v>5</v>
      </c>
      <c r="K777" s="16">
        <v>660</v>
      </c>
      <c r="M777" s="17">
        <f t="shared" si="36"/>
        <v>133868.31000000011</v>
      </c>
      <c r="N777" s="11">
        <f t="shared" si="37"/>
        <v>9</v>
      </c>
    </row>
    <row r="778" spans="1:14" x14ac:dyDescent="0.25">
      <c r="A778" s="11" t="s">
        <v>0</v>
      </c>
      <c r="B778" s="12">
        <v>45184</v>
      </c>
      <c r="C778" s="11" t="s">
        <v>688</v>
      </c>
      <c r="D778" s="11" t="s">
        <v>696</v>
      </c>
      <c r="E778" s="13" t="s">
        <v>151</v>
      </c>
      <c r="F778" s="14" t="s">
        <v>62</v>
      </c>
      <c r="G778" s="14" t="s">
        <v>404</v>
      </c>
      <c r="H778" s="15" t="s">
        <v>20</v>
      </c>
      <c r="I778" s="11">
        <f t="shared" si="38"/>
        <v>5</v>
      </c>
      <c r="K778" s="16">
        <v>1000</v>
      </c>
      <c r="M778" s="17">
        <f t="shared" si="36"/>
        <v>132868.31000000011</v>
      </c>
      <c r="N778" s="11">
        <f t="shared" si="37"/>
        <v>9</v>
      </c>
    </row>
    <row r="779" spans="1:14" x14ac:dyDescent="0.25">
      <c r="A779" s="11" t="s">
        <v>0</v>
      </c>
      <c r="B779" s="12">
        <v>45184</v>
      </c>
      <c r="C779" s="11" t="s">
        <v>688</v>
      </c>
      <c r="D779" s="11" t="s">
        <v>696</v>
      </c>
      <c r="E779" s="13" t="s">
        <v>152</v>
      </c>
      <c r="F779" s="14" t="s">
        <v>62</v>
      </c>
      <c r="G779" s="14" t="s">
        <v>404</v>
      </c>
      <c r="H779" s="15" t="s">
        <v>20</v>
      </c>
      <c r="I779" s="11">
        <f t="shared" si="38"/>
        <v>5</v>
      </c>
      <c r="K779" s="16">
        <v>1500</v>
      </c>
      <c r="M779" s="17">
        <f t="shared" si="36"/>
        <v>131368.31000000011</v>
      </c>
      <c r="N779" s="11">
        <f t="shared" si="37"/>
        <v>9</v>
      </c>
    </row>
    <row r="780" spans="1:14" x14ac:dyDescent="0.25">
      <c r="A780" s="11" t="s">
        <v>0</v>
      </c>
      <c r="B780" s="12">
        <v>45184</v>
      </c>
      <c r="C780" s="11" t="s">
        <v>688</v>
      </c>
      <c r="D780" s="11" t="s">
        <v>696</v>
      </c>
      <c r="E780" s="13" t="s">
        <v>153</v>
      </c>
      <c r="F780" s="14" t="s">
        <v>62</v>
      </c>
      <c r="G780" s="14" t="s">
        <v>404</v>
      </c>
      <c r="H780" s="15" t="s">
        <v>20</v>
      </c>
      <c r="I780" s="11">
        <f t="shared" si="38"/>
        <v>5</v>
      </c>
      <c r="K780" s="16">
        <v>750</v>
      </c>
      <c r="M780" s="17">
        <f t="shared" si="36"/>
        <v>130618.31000000011</v>
      </c>
      <c r="N780" s="11">
        <f t="shared" si="37"/>
        <v>9</v>
      </c>
    </row>
    <row r="781" spans="1:14" x14ac:dyDescent="0.25">
      <c r="A781" s="11" t="s">
        <v>0</v>
      </c>
      <c r="B781" s="12">
        <v>45184</v>
      </c>
      <c r="C781" s="11" t="s">
        <v>688</v>
      </c>
      <c r="D781" s="11" t="s">
        <v>696</v>
      </c>
      <c r="E781" s="13" t="s">
        <v>154</v>
      </c>
      <c r="F781" s="14" t="s">
        <v>62</v>
      </c>
      <c r="G781" s="14" t="s">
        <v>404</v>
      </c>
      <c r="H781" s="15" t="s">
        <v>20</v>
      </c>
      <c r="I781" s="11">
        <f t="shared" si="38"/>
        <v>5</v>
      </c>
      <c r="K781" s="16">
        <v>750</v>
      </c>
      <c r="M781" s="17">
        <f t="shared" si="36"/>
        <v>129868.31000000011</v>
      </c>
      <c r="N781" s="11">
        <f t="shared" si="37"/>
        <v>9</v>
      </c>
    </row>
    <row r="782" spans="1:14" x14ac:dyDescent="0.25">
      <c r="A782" s="11" t="s">
        <v>0</v>
      </c>
      <c r="B782" s="12">
        <v>45184</v>
      </c>
      <c r="C782" s="11" t="s">
        <v>688</v>
      </c>
      <c r="D782" s="11" t="s">
        <v>696</v>
      </c>
      <c r="E782" s="13" t="s">
        <v>155</v>
      </c>
      <c r="F782" s="14" t="s">
        <v>62</v>
      </c>
      <c r="G782" s="14" t="s">
        <v>404</v>
      </c>
      <c r="H782" s="15" t="s">
        <v>20</v>
      </c>
      <c r="I782" s="11">
        <f t="shared" si="38"/>
        <v>5</v>
      </c>
      <c r="K782" s="16">
        <v>1125</v>
      </c>
      <c r="M782" s="17">
        <f t="shared" si="36"/>
        <v>128743.31000000011</v>
      </c>
      <c r="N782" s="11">
        <f t="shared" si="37"/>
        <v>9</v>
      </c>
    </row>
    <row r="783" spans="1:14" x14ac:dyDescent="0.25">
      <c r="A783" s="11" t="s">
        <v>0</v>
      </c>
      <c r="B783" s="12">
        <v>45184</v>
      </c>
      <c r="C783" s="11" t="s">
        <v>688</v>
      </c>
      <c r="D783" s="11" t="s">
        <v>696</v>
      </c>
      <c r="E783" s="13" t="s">
        <v>156</v>
      </c>
      <c r="F783" s="14" t="s">
        <v>62</v>
      </c>
      <c r="G783" s="14" t="s">
        <v>404</v>
      </c>
      <c r="H783" s="15" t="s">
        <v>20</v>
      </c>
      <c r="I783" s="11">
        <f t="shared" si="38"/>
        <v>5</v>
      </c>
      <c r="K783" s="16">
        <v>700</v>
      </c>
      <c r="M783" s="17">
        <f t="shared" si="36"/>
        <v>128043.31000000011</v>
      </c>
      <c r="N783" s="11">
        <f t="shared" si="37"/>
        <v>9</v>
      </c>
    </row>
    <row r="784" spans="1:14" x14ac:dyDescent="0.25">
      <c r="A784" s="11" t="s">
        <v>0</v>
      </c>
      <c r="B784" s="12">
        <v>45184</v>
      </c>
      <c r="C784" s="11" t="s">
        <v>688</v>
      </c>
      <c r="D784" s="11" t="s">
        <v>692</v>
      </c>
      <c r="E784" s="13" t="s">
        <v>267</v>
      </c>
      <c r="F784" s="14" t="s">
        <v>104</v>
      </c>
      <c r="G784" s="14" t="s">
        <v>404</v>
      </c>
      <c r="H784" s="15">
        <v>2</v>
      </c>
      <c r="I784" s="11">
        <f t="shared" si="38"/>
        <v>5</v>
      </c>
      <c r="K784" s="16">
        <v>1406.7</v>
      </c>
      <c r="M784" s="17">
        <f t="shared" si="36"/>
        <v>126636.61000000012</v>
      </c>
      <c r="N784" s="11">
        <f t="shared" si="37"/>
        <v>9</v>
      </c>
    </row>
    <row r="785" spans="1:14" x14ac:dyDescent="0.25">
      <c r="A785" s="11" t="s">
        <v>0</v>
      </c>
      <c r="B785" s="12">
        <v>45184</v>
      </c>
      <c r="C785" s="11" t="s">
        <v>688</v>
      </c>
      <c r="D785" s="11" t="s">
        <v>696</v>
      </c>
      <c r="E785" s="13" t="s">
        <v>157</v>
      </c>
      <c r="F785" s="14" t="s">
        <v>62</v>
      </c>
      <c r="G785" s="14" t="s">
        <v>404</v>
      </c>
      <c r="H785" s="15" t="s">
        <v>20</v>
      </c>
      <c r="I785" s="11">
        <f t="shared" si="38"/>
        <v>5</v>
      </c>
      <c r="K785" s="16">
        <v>630</v>
      </c>
      <c r="M785" s="17">
        <f t="shared" si="36"/>
        <v>126006.61000000012</v>
      </c>
      <c r="N785" s="11">
        <f t="shared" si="37"/>
        <v>9</v>
      </c>
    </row>
    <row r="786" spans="1:14" x14ac:dyDescent="0.25">
      <c r="A786" s="11" t="s">
        <v>0</v>
      </c>
      <c r="B786" s="12">
        <v>45184</v>
      </c>
      <c r="C786" s="11" t="s">
        <v>688</v>
      </c>
      <c r="D786" s="11" t="s">
        <v>696</v>
      </c>
      <c r="E786" s="13" t="s">
        <v>158</v>
      </c>
      <c r="F786" s="14" t="s">
        <v>62</v>
      </c>
      <c r="G786" s="14" t="s">
        <v>404</v>
      </c>
      <c r="H786" s="15" t="s">
        <v>20</v>
      </c>
      <c r="I786" s="11">
        <f t="shared" si="38"/>
        <v>5</v>
      </c>
      <c r="K786" s="16">
        <v>420</v>
      </c>
      <c r="M786" s="17">
        <f t="shared" si="36"/>
        <v>125586.61000000012</v>
      </c>
      <c r="N786" s="11">
        <f t="shared" si="37"/>
        <v>9</v>
      </c>
    </row>
    <row r="787" spans="1:14" x14ac:dyDescent="0.25">
      <c r="A787" s="11" t="s">
        <v>0</v>
      </c>
      <c r="B787" s="12">
        <v>45184</v>
      </c>
      <c r="C787" s="11" t="s">
        <v>688</v>
      </c>
      <c r="D787" s="11" t="s">
        <v>696</v>
      </c>
      <c r="E787" s="13" t="s">
        <v>159</v>
      </c>
      <c r="F787" s="14" t="s">
        <v>62</v>
      </c>
      <c r="G787" s="14" t="s">
        <v>404</v>
      </c>
      <c r="H787" s="15" t="s">
        <v>20</v>
      </c>
      <c r="I787" s="11">
        <f t="shared" si="38"/>
        <v>5</v>
      </c>
      <c r="K787" s="16">
        <v>700</v>
      </c>
      <c r="M787" s="17">
        <f t="shared" si="36"/>
        <v>124886.61000000012</v>
      </c>
      <c r="N787" s="11">
        <f t="shared" si="37"/>
        <v>9</v>
      </c>
    </row>
    <row r="788" spans="1:14" x14ac:dyDescent="0.25">
      <c r="A788" s="11" t="s">
        <v>0</v>
      </c>
      <c r="B788" s="12">
        <v>45184</v>
      </c>
      <c r="C788" s="11" t="s">
        <v>688</v>
      </c>
      <c r="D788" s="11" t="s">
        <v>696</v>
      </c>
      <c r="E788" s="13" t="s">
        <v>160</v>
      </c>
      <c r="F788" s="14" t="s">
        <v>62</v>
      </c>
      <c r="G788" s="14" t="s">
        <v>404</v>
      </c>
      <c r="H788" s="15" t="s">
        <v>20</v>
      </c>
      <c r="I788" s="11">
        <f t="shared" si="38"/>
        <v>5</v>
      </c>
      <c r="K788" s="16">
        <v>800</v>
      </c>
      <c r="M788" s="17">
        <f t="shared" si="36"/>
        <v>124086.61000000012</v>
      </c>
      <c r="N788" s="11">
        <f t="shared" si="37"/>
        <v>9</v>
      </c>
    </row>
    <row r="789" spans="1:14" x14ac:dyDescent="0.25">
      <c r="A789" s="11" t="s">
        <v>0</v>
      </c>
      <c r="B789" s="12">
        <v>45184</v>
      </c>
      <c r="C789" s="11" t="s">
        <v>688</v>
      </c>
      <c r="D789" s="11" t="s">
        <v>696</v>
      </c>
      <c r="E789" s="13" t="s">
        <v>158</v>
      </c>
      <c r="F789" s="14" t="s">
        <v>62</v>
      </c>
      <c r="G789" s="14" t="s">
        <v>404</v>
      </c>
      <c r="H789" s="15" t="s">
        <v>20</v>
      </c>
      <c r="I789" s="11">
        <f t="shared" si="38"/>
        <v>5</v>
      </c>
      <c r="K789" s="16">
        <v>70</v>
      </c>
      <c r="M789" s="17">
        <f t="shared" si="36"/>
        <v>124016.61000000012</v>
      </c>
      <c r="N789" s="11">
        <f t="shared" si="37"/>
        <v>9</v>
      </c>
    </row>
    <row r="790" spans="1:14" x14ac:dyDescent="0.25">
      <c r="A790" s="11" t="s">
        <v>0</v>
      </c>
      <c r="B790" s="12">
        <v>45184</v>
      </c>
      <c r="C790" s="11" t="s">
        <v>688</v>
      </c>
      <c r="D790" s="11" t="s">
        <v>47</v>
      </c>
      <c r="E790" s="13" t="s">
        <v>162</v>
      </c>
      <c r="F790" s="14" t="s">
        <v>161</v>
      </c>
      <c r="G790" s="14" t="s">
        <v>404</v>
      </c>
      <c r="H790" s="15">
        <v>1</v>
      </c>
      <c r="I790" s="11">
        <f t="shared" si="38"/>
        <v>5</v>
      </c>
      <c r="K790" s="16">
        <v>800</v>
      </c>
      <c r="M790" s="17">
        <f t="shared" si="36"/>
        <v>123216.61000000012</v>
      </c>
      <c r="N790" s="11">
        <f t="shared" si="37"/>
        <v>9</v>
      </c>
    </row>
    <row r="791" spans="1:14" x14ac:dyDescent="0.25">
      <c r="A791" s="11" t="s">
        <v>0</v>
      </c>
      <c r="B791" s="12">
        <v>45184</v>
      </c>
      <c r="C791" s="11" t="s">
        <v>688</v>
      </c>
      <c r="D791" s="11" t="s">
        <v>692</v>
      </c>
      <c r="E791" s="13" t="s">
        <v>725</v>
      </c>
      <c r="F791" s="14" t="s">
        <v>27</v>
      </c>
      <c r="G791" s="14" t="s">
        <v>404</v>
      </c>
      <c r="H791" s="15">
        <v>13357</v>
      </c>
      <c r="I791" s="11">
        <f t="shared" si="38"/>
        <v>5</v>
      </c>
      <c r="K791" s="16">
        <v>2635.2</v>
      </c>
      <c r="M791" s="17">
        <f t="shared" si="36"/>
        <v>120581.41000000012</v>
      </c>
      <c r="N791" s="11">
        <f t="shared" si="37"/>
        <v>9</v>
      </c>
    </row>
    <row r="792" spans="1:14" x14ac:dyDescent="0.25">
      <c r="A792" s="11" t="s">
        <v>0</v>
      </c>
      <c r="B792" s="12">
        <v>45184</v>
      </c>
      <c r="C792" s="11" t="s">
        <v>688</v>
      </c>
      <c r="D792" s="11" t="s">
        <v>692</v>
      </c>
      <c r="E792" s="13" t="s">
        <v>143</v>
      </c>
      <c r="F792" s="14" t="s">
        <v>31</v>
      </c>
      <c r="G792" s="14" t="s">
        <v>120</v>
      </c>
      <c r="H792" s="15">
        <v>2851858</v>
      </c>
      <c r="I792" s="11" t="b">
        <f t="shared" si="38"/>
        <v>0</v>
      </c>
      <c r="K792" s="16">
        <v>1546.09</v>
      </c>
      <c r="M792" s="17">
        <f t="shared" si="36"/>
        <v>119035.32000000012</v>
      </c>
      <c r="N792" s="11">
        <f t="shared" si="37"/>
        <v>9</v>
      </c>
    </row>
    <row r="793" spans="1:14" x14ac:dyDescent="0.25">
      <c r="A793" s="11" t="s">
        <v>0</v>
      </c>
      <c r="B793" s="12">
        <v>45184</v>
      </c>
      <c r="C793" s="11" t="s">
        <v>688</v>
      </c>
      <c r="D793" s="11" t="s">
        <v>694</v>
      </c>
      <c r="E793" s="13" t="s">
        <v>182</v>
      </c>
      <c r="F793" s="14" t="s">
        <v>93</v>
      </c>
      <c r="G793" s="14" t="s">
        <v>186</v>
      </c>
      <c r="I793" s="11" t="b">
        <f t="shared" si="38"/>
        <v>0</v>
      </c>
      <c r="K793" s="16">
        <v>2.15</v>
      </c>
      <c r="M793" s="17">
        <f t="shared" si="36"/>
        <v>119033.17000000013</v>
      </c>
      <c r="N793" s="11">
        <f t="shared" si="37"/>
        <v>9</v>
      </c>
    </row>
    <row r="794" spans="1:14" x14ac:dyDescent="0.25">
      <c r="A794" s="11" t="s">
        <v>0</v>
      </c>
      <c r="B794" s="12">
        <v>45184</v>
      </c>
      <c r="C794" s="11" t="s">
        <v>688</v>
      </c>
      <c r="D794" s="11" t="s">
        <v>694</v>
      </c>
      <c r="E794" s="13" t="s">
        <v>182</v>
      </c>
      <c r="F794" s="14" t="s">
        <v>23</v>
      </c>
      <c r="G794" s="14" t="s">
        <v>186</v>
      </c>
      <c r="I794" s="11" t="b">
        <f t="shared" si="38"/>
        <v>0</v>
      </c>
      <c r="K794" s="16">
        <v>105.7</v>
      </c>
      <c r="M794" s="17">
        <f t="shared" si="36"/>
        <v>118927.47000000013</v>
      </c>
      <c r="N794" s="11">
        <f t="shared" si="37"/>
        <v>9</v>
      </c>
    </row>
    <row r="795" spans="1:14" x14ac:dyDescent="0.25">
      <c r="A795" s="11" t="s">
        <v>0</v>
      </c>
      <c r="B795" s="12">
        <v>45184</v>
      </c>
      <c r="C795" s="11" t="s">
        <v>688</v>
      </c>
      <c r="D795" s="11" t="s">
        <v>696</v>
      </c>
      <c r="E795" s="13" t="s">
        <v>435</v>
      </c>
      <c r="F795" s="14" t="s">
        <v>434</v>
      </c>
      <c r="G795" s="14" t="s">
        <v>173</v>
      </c>
      <c r="I795" s="11">
        <f t="shared" si="38"/>
        <v>6</v>
      </c>
      <c r="K795" s="16">
        <v>250</v>
      </c>
      <c r="M795" s="17">
        <f t="shared" si="36"/>
        <v>118677.47000000013</v>
      </c>
      <c r="N795" s="11">
        <f t="shared" si="37"/>
        <v>9</v>
      </c>
    </row>
    <row r="796" spans="1:14" x14ac:dyDescent="0.25">
      <c r="A796" s="11" t="s">
        <v>207</v>
      </c>
      <c r="B796" s="12">
        <v>45184</v>
      </c>
      <c r="C796" s="11" t="s">
        <v>688</v>
      </c>
      <c r="D796" s="11" t="s">
        <v>43</v>
      </c>
      <c r="E796" s="13" t="s">
        <v>95</v>
      </c>
      <c r="F796" s="14" t="s">
        <v>163</v>
      </c>
      <c r="G796" s="14" t="s">
        <v>400</v>
      </c>
      <c r="I796" s="11">
        <f t="shared" si="38"/>
        <v>2</v>
      </c>
      <c r="J796" s="16">
        <v>143.69999999999999</v>
      </c>
      <c r="M796" s="17">
        <f t="shared" si="36"/>
        <v>118821.17000000013</v>
      </c>
      <c r="N796" s="11">
        <f t="shared" si="37"/>
        <v>9</v>
      </c>
    </row>
    <row r="797" spans="1:14" x14ac:dyDescent="0.25">
      <c r="A797" s="11" t="s">
        <v>207</v>
      </c>
      <c r="B797" s="12">
        <v>45184</v>
      </c>
      <c r="C797" s="11" t="s">
        <v>688</v>
      </c>
      <c r="D797" s="11" t="s">
        <v>43</v>
      </c>
      <c r="E797" s="14" t="s">
        <v>288</v>
      </c>
      <c r="F797" s="14" t="s">
        <v>288</v>
      </c>
      <c r="G797" s="14" t="s">
        <v>173</v>
      </c>
      <c r="I797" s="11">
        <f t="shared" si="38"/>
        <v>3</v>
      </c>
      <c r="J797" s="16">
        <v>990</v>
      </c>
      <c r="M797" s="17">
        <f t="shared" si="36"/>
        <v>119811.17000000013</v>
      </c>
      <c r="N797" s="11">
        <f t="shared" si="37"/>
        <v>9</v>
      </c>
    </row>
    <row r="798" spans="1:14" x14ac:dyDescent="0.25">
      <c r="A798" s="11" t="s">
        <v>207</v>
      </c>
      <c r="B798" s="12">
        <v>45185</v>
      </c>
      <c r="C798" s="11" t="s">
        <v>688</v>
      </c>
      <c r="D798" s="11" t="s">
        <v>43</v>
      </c>
      <c r="E798" s="14" t="s">
        <v>288</v>
      </c>
      <c r="F798" s="14" t="s">
        <v>288</v>
      </c>
      <c r="G798" s="14" t="s">
        <v>173</v>
      </c>
      <c r="I798" s="11">
        <f t="shared" si="38"/>
        <v>3</v>
      </c>
      <c r="J798" s="16">
        <v>130</v>
      </c>
      <c r="M798" s="17">
        <f t="shared" si="36"/>
        <v>119941.17000000013</v>
      </c>
      <c r="N798" s="11">
        <f t="shared" si="37"/>
        <v>9</v>
      </c>
    </row>
    <row r="799" spans="1:14" x14ac:dyDescent="0.25">
      <c r="A799" s="11" t="s">
        <v>207</v>
      </c>
      <c r="B799" s="12">
        <v>45186</v>
      </c>
      <c r="C799" s="11" t="s">
        <v>688</v>
      </c>
      <c r="D799" s="11" t="s">
        <v>43</v>
      </c>
      <c r="E799" s="14" t="s">
        <v>288</v>
      </c>
      <c r="F799" s="14" t="s">
        <v>288</v>
      </c>
      <c r="G799" s="14" t="s">
        <v>173</v>
      </c>
      <c r="I799" s="11">
        <f t="shared" si="38"/>
        <v>3</v>
      </c>
      <c r="J799" s="16">
        <v>12</v>
      </c>
      <c r="M799" s="17">
        <f t="shared" si="36"/>
        <v>119953.17000000013</v>
      </c>
      <c r="N799" s="11">
        <f t="shared" si="37"/>
        <v>9</v>
      </c>
    </row>
    <row r="800" spans="1:14" x14ac:dyDescent="0.25">
      <c r="A800" s="11" t="s">
        <v>0</v>
      </c>
      <c r="B800" s="12">
        <v>45187</v>
      </c>
      <c r="C800" s="11" t="s">
        <v>688</v>
      </c>
      <c r="D800" s="11" t="s">
        <v>692</v>
      </c>
      <c r="E800" s="13" t="s">
        <v>179</v>
      </c>
      <c r="F800" s="14" t="s">
        <v>28</v>
      </c>
      <c r="G800" s="14" t="s">
        <v>174</v>
      </c>
      <c r="H800" s="15">
        <v>25</v>
      </c>
      <c r="I800" s="11" t="b">
        <f t="shared" si="38"/>
        <v>0</v>
      </c>
      <c r="K800" s="16">
        <v>1690</v>
      </c>
      <c r="M800" s="17">
        <f t="shared" si="36"/>
        <v>118263.17000000013</v>
      </c>
      <c r="N800" s="11">
        <f t="shared" si="37"/>
        <v>9</v>
      </c>
    </row>
    <row r="801" spans="1:14" x14ac:dyDescent="0.25">
      <c r="A801" s="11" t="s">
        <v>0</v>
      </c>
      <c r="B801" s="12">
        <v>45187</v>
      </c>
      <c r="C801" s="11" t="s">
        <v>688</v>
      </c>
      <c r="D801" s="11" t="s">
        <v>692</v>
      </c>
      <c r="E801" s="13" t="s">
        <v>179</v>
      </c>
      <c r="F801" s="14" t="s">
        <v>378</v>
      </c>
      <c r="G801" s="14" t="s">
        <v>174</v>
      </c>
      <c r="H801" s="15">
        <v>3</v>
      </c>
      <c r="I801" s="11" t="b">
        <f t="shared" si="38"/>
        <v>0</v>
      </c>
      <c r="K801" s="16">
        <v>450</v>
      </c>
      <c r="M801" s="17">
        <f t="shared" si="36"/>
        <v>117813.17000000013</v>
      </c>
      <c r="N801" s="11">
        <f t="shared" si="37"/>
        <v>9</v>
      </c>
    </row>
    <row r="802" spans="1:14" x14ac:dyDescent="0.25">
      <c r="A802" s="11" t="s">
        <v>0</v>
      </c>
      <c r="B802" s="12">
        <v>45187</v>
      </c>
      <c r="C802" s="11" t="s">
        <v>688</v>
      </c>
      <c r="D802" s="11" t="s">
        <v>692</v>
      </c>
      <c r="E802" s="13" t="s">
        <v>725</v>
      </c>
      <c r="F802" s="14" t="s">
        <v>33</v>
      </c>
      <c r="G802" s="14" t="s">
        <v>404</v>
      </c>
      <c r="H802" s="15">
        <v>24434</v>
      </c>
      <c r="I802" s="11">
        <f t="shared" si="38"/>
        <v>5</v>
      </c>
      <c r="K802" s="16">
        <v>170.2</v>
      </c>
      <c r="M802" s="17">
        <f t="shared" si="36"/>
        <v>117642.97000000013</v>
      </c>
      <c r="N802" s="11">
        <f t="shared" si="37"/>
        <v>9</v>
      </c>
    </row>
    <row r="803" spans="1:14" x14ac:dyDescent="0.25">
      <c r="A803" s="11" t="s">
        <v>0</v>
      </c>
      <c r="B803" s="12">
        <v>45187</v>
      </c>
      <c r="C803" s="11" t="s">
        <v>688</v>
      </c>
      <c r="D803" s="11" t="s">
        <v>692</v>
      </c>
      <c r="E803" s="13" t="s">
        <v>725</v>
      </c>
      <c r="F803" s="14" t="s">
        <v>33</v>
      </c>
      <c r="G803" s="14" t="s">
        <v>404</v>
      </c>
      <c r="H803" s="15">
        <v>24435</v>
      </c>
      <c r="I803" s="11">
        <f t="shared" si="38"/>
        <v>5</v>
      </c>
      <c r="K803" s="16">
        <v>43.77</v>
      </c>
      <c r="M803" s="17">
        <f t="shared" si="36"/>
        <v>117599.20000000013</v>
      </c>
      <c r="N803" s="11">
        <f t="shared" si="37"/>
        <v>9</v>
      </c>
    </row>
    <row r="804" spans="1:14" x14ac:dyDescent="0.25">
      <c r="A804" s="11" t="s">
        <v>0</v>
      </c>
      <c r="B804" s="12">
        <v>45187</v>
      </c>
      <c r="C804" s="11" t="s">
        <v>688</v>
      </c>
      <c r="D804" s="11" t="s">
        <v>692</v>
      </c>
      <c r="E804" s="13" t="s">
        <v>725</v>
      </c>
      <c r="F804" s="14" t="s">
        <v>33</v>
      </c>
      <c r="G804" s="14" t="s">
        <v>404</v>
      </c>
      <c r="H804" s="15">
        <v>24433</v>
      </c>
      <c r="I804" s="11">
        <f t="shared" si="38"/>
        <v>5</v>
      </c>
      <c r="K804" s="16">
        <v>627.44000000000005</v>
      </c>
      <c r="M804" s="17">
        <f t="shared" si="36"/>
        <v>116971.76000000013</v>
      </c>
      <c r="N804" s="11">
        <f t="shared" si="37"/>
        <v>9</v>
      </c>
    </row>
    <row r="805" spans="1:14" ht="26.4" x14ac:dyDescent="0.25">
      <c r="A805" s="11" t="s">
        <v>0</v>
      </c>
      <c r="B805" s="12">
        <v>45187</v>
      </c>
      <c r="C805" s="11" t="s">
        <v>688</v>
      </c>
      <c r="D805" s="11" t="s">
        <v>692</v>
      </c>
      <c r="E805" s="13" t="s">
        <v>725</v>
      </c>
      <c r="F805" s="14" t="s">
        <v>27</v>
      </c>
      <c r="G805" s="14" t="s">
        <v>404</v>
      </c>
      <c r="H805" s="15" t="s">
        <v>164</v>
      </c>
      <c r="I805" s="11">
        <f t="shared" si="38"/>
        <v>5</v>
      </c>
      <c r="K805" s="16">
        <v>1557.2</v>
      </c>
      <c r="M805" s="17">
        <f t="shared" si="36"/>
        <v>115414.56000000013</v>
      </c>
      <c r="N805" s="11">
        <f t="shared" si="37"/>
        <v>9</v>
      </c>
    </row>
    <row r="806" spans="1:14" x14ac:dyDescent="0.25">
      <c r="A806" s="11" t="s">
        <v>0</v>
      </c>
      <c r="B806" s="12">
        <v>45187</v>
      </c>
      <c r="C806" s="11" t="s">
        <v>688</v>
      </c>
      <c r="D806" s="11" t="s">
        <v>699</v>
      </c>
      <c r="E806" s="13" t="s">
        <v>98</v>
      </c>
      <c r="F806" s="14" t="s">
        <v>576</v>
      </c>
      <c r="G806" s="14" t="s">
        <v>174</v>
      </c>
      <c r="H806" s="15" t="s">
        <v>20</v>
      </c>
      <c r="I806" s="11" t="b">
        <f t="shared" si="38"/>
        <v>0</v>
      </c>
      <c r="K806" s="16">
        <v>320.68</v>
      </c>
      <c r="M806" s="17">
        <f t="shared" si="36"/>
        <v>115093.88000000014</v>
      </c>
      <c r="N806" s="11">
        <f t="shared" si="37"/>
        <v>9</v>
      </c>
    </row>
    <row r="807" spans="1:14" x14ac:dyDescent="0.25">
      <c r="A807" s="11" t="s">
        <v>0</v>
      </c>
      <c r="B807" s="12">
        <v>45187</v>
      </c>
      <c r="C807" s="11" t="s">
        <v>688</v>
      </c>
      <c r="D807" s="11" t="s">
        <v>696</v>
      </c>
      <c r="E807" s="13" t="s">
        <v>165</v>
      </c>
      <c r="F807" s="14" t="s">
        <v>62</v>
      </c>
      <c r="G807" s="14" t="s">
        <v>404</v>
      </c>
      <c r="H807" s="15" t="s">
        <v>20</v>
      </c>
      <c r="I807" s="11">
        <f t="shared" si="38"/>
        <v>5</v>
      </c>
      <c r="K807" s="16">
        <v>1000</v>
      </c>
      <c r="M807" s="17">
        <f t="shared" si="36"/>
        <v>114093.88000000014</v>
      </c>
      <c r="N807" s="11">
        <f t="shared" si="37"/>
        <v>9</v>
      </c>
    </row>
    <row r="808" spans="1:14" x14ac:dyDescent="0.25">
      <c r="A808" s="11" t="s">
        <v>0</v>
      </c>
      <c r="B808" s="12">
        <v>45187</v>
      </c>
      <c r="C808" s="11" t="s">
        <v>688</v>
      </c>
      <c r="D808" s="11" t="s">
        <v>696</v>
      </c>
      <c r="E808" s="13" t="s">
        <v>165</v>
      </c>
      <c r="F808" s="14" t="s">
        <v>62</v>
      </c>
      <c r="G808" s="14" t="s">
        <v>404</v>
      </c>
      <c r="H808" s="15" t="s">
        <v>20</v>
      </c>
      <c r="I808" s="11">
        <f t="shared" si="38"/>
        <v>5</v>
      </c>
      <c r="K808" s="16">
        <v>200</v>
      </c>
      <c r="M808" s="17">
        <f t="shared" si="36"/>
        <v>113893.88000000014</v>
      </c>
      <c r="N808" s="11">
        <f t="shared" si="37"/>
        <v>9</v>
      </c>
    </row>
    <row r="809" spans="1:14" x14ac:dyDescent="0.25">
      <c r="A809" s="11" t="s">
        <v>0</v>
      </c>
      <c r="B809" s="12">
        <v>45187</v>
      </c>
      <c r="C809" s="11" t="s">
        <v>688</v>
      </c>
      <c r="D809" s="11" t="s">
        <v>701</v>
      </c>
      <c r="E809" s="13" t="s">
        <v>166</v>
      </c>
      <c r="F809" s="14" t="s">
        <v>35</v>
      </c>
      <c r="G809" s="14" t="s">
        <v>174</v>
      </c>
      <c r="H809" s="15">
        <v>638</v>
      </c>
      <c r="I809" s="11" t="b">
        <f t="shared" si="38"/>
        <v>0</v>
      </c>
      <c r="K809" s="16">
        <v>604.82000000000005</v>
      </c>
      <c r="M809" s="17">
        <f t="shared" si="36"/>
        <v>113289.06000000013</v>
      </c>
      <c r="N809" s="11">
        <f t="shared" si="37"/>
        <v>9</v>
      </c>
    </row>
    <row r="810" spans="1:14" x14ac:dyDescent="0.25">
      <c r="A810" s="11" t="s">
        <v>0</v>
      </c>
      <c r="B810" s="12">
        <v>45187</v>
      </c>
      <c r="C810" s="11" t="s">
        <v>688</v>
      </c>
      <c r="D810" s="11" t="s">
        <v>692</v>
      </c>
      <c r="E810" s="13" t="s">
        <v>725</v>
      </c>
      <c r="F810" s="14" t="s">
        <v>27</v>
      </c>
      <c r="G810" s="14" t="s">
        <v>404</v>
      </c>
      <c r="H810" s="15">
        <v>13370</v>
      </c>
      <c r="I810" s="11">
        <f t="shared" si="38"/>
        <v>5</v>
      </c>
      <c r="K810" s="16">
        <v>265.56</v>
      </c>
      <c r="M810" s="17">
        <f t="shared" si="36"/>
        <v>113023.50000000013</v>
      </c>
      <c r="N810" s="11">
        <f t="shared" si="37"/>
        <v>9</v>
      </c>
    </row>
    <row r="811" spans="1:14" x14ac:dyDescent="0.25">
      <c r="A811" s="11" t="s">
        <v>207</v>
      </c>
      <c r="B811" s="12">
        <v>45187</v>
      </c>
      <c r="C811" s="11" t="s">
        <v>688</v>
      </c>
      <c r="D811" s="11" t="s">
        <v>43</v>
      </c>
      <c r="E811" s="13" t="s">
        <v>14</v>
      </c>
      <c r="F811" s="14" t="s">
        <v>13</v>
      </c>
      <c r="G811" s="14" t="s">
        <v>400</v>
      </c>
      <c r="I811" s="11">
        <f t="shared" si="38"/>
        <v>2</v>
      </c>
      <c r="J811" s="16">
        <v>12.74</v>
      </c>
      <c r="M811" s="17">
        <f t="shared" si="36"/>
        <v>113036.24000000014</v>
      </c>
      <c r="N811" s="11">
        <f t="shared" si="37"/>
        <v>9</v>
      </c>
    </row>
    <row r="812" spans="1:14" x14ac:dyDescent="0.25">
      <c r="A812" s="11" t="s">
        <v>207</v>
      </c>
      <c r="B812" s="12">
        <v>45187</v>
      </c>
      <c r="C812" s="11" t="s">
        <v>688</v>
      </c>
      <c r="D812" s="11" t="s">
        <v>43</v>
      </c>
      <c r="E812" s="13" t="s">
        <v>14</v>
      </c>
      <c r="F812" s="14" t="s">
        <v>13</v>
      </c>
      <c r="G812" s="14" t="s">
        <v>400</v>
      </c>
      <c r="I812" s="11">
        <f t="shared" si="38"/>
        <v>2</v>
      </c>
      <c r="J812" s="16">
        <v>293.55</v>
      </c>
      <c r="M812" s="17">
        <f t="shared" si="36"/>
        <v>113329.79000000014</v>
      </c>
      <c r="N812" s="11">
        <f t="shared" si="37"/>
        <v>9</v>
      </c>
    </row>
    <row r="813" spans="1:14" x14ac:dyDescent="0.25">
      <c r="A813" s="11" t="s">
        <v>207</v>
      </c>
      <c r="B813" s="12">
        <v>45187</v>
      </c>
      <c r="C813" s="11" t="s">
        <v>688</v>
      </c>
      <c r="D813" s="11" t="s">
        <v>43</v>
      </c>
      <c r="E813" s="13" t="s">
        <v>14</v>
      </c>
      <c r="F813" s="14" t="s">
        <v>13</v>
      </c>
      <c r="G813" s="14" t="s">
        <v>400</v>
      </c>
      <c r="I813" s="11">
        <f t="shared" si="38"/>
        <v>2</v>
      </c>
      <c r="J813" s="16">
        <v>179.11</v>
      </c>
      <c r="M813" s="17">
        <f t="shared" si="36"/>
        <v>113508.90000000014</v>
      </c>
      <c r="N813" s="11">
        <f t="shared" si="37"/>
        <v>9</v>
      </c>
    </row>
    <row r="814" spans="1:14" x14ac:dyDescent="0.25">
      <c r="A814" s="11" t="s">
        <v>207</v>
      </c>
      <c r="B814" s="12">
        <v>45187</v>
      </c>
      <c r="C814" s="11" t="s">
        <v>688</v>
      </c>
      <c r="D814" s="11" t="s">
        <v>43</v>
      </c>
      <c r="E814" s="13" t="s">
        <v>14</v>
      </c>
      <c r="F814" s="14" t="s">
        <v>13</v>
      </c>
      <c r="G814" s="14" t="s">
        <v>400</v>
      </c>
      <c r="I814" s="11">
        <f t="shared" si="38"/>
        <v>2</v>
      </c>
      <c r="J814" s="16">
        <v>326.32</v>
      </c>
      <c r="M814" s="17">
        <f t="shared" si="36"/>
        <v>113835.22000000015</v>
      </c>
      <c r="N814" s="11">
        <f t="shared" si="37"/>
        <v>9</v>
      </c>
    </row>
    <row r="815" spans="1:14" x14ac:dyDescent="0.25">
      <c r="A815" s="11" t="s">
        <v>207</v>
      </c>
      <c r="B815" s="12">
        <v>45187</v>
      </c>
      <c r="C815" s="11" t="s">
        <v>688</v>
      </c>
      <c r="D815" s="11" t="s">
        <v>43</v>
      </c>
      <c r="E815" s="13" t="s">
        <v>14</v>
      </c>
      <c r="F815" s="14" t="s">
        <v>13</v>
      </c>
      <c r="G815" s="14" t="s">
        <v>400</v>
      </c>
      <c r="I815" s="11">
        <f t="shared" si="38"/>
        <v>2</v>
      </c>
      <c r="J815" s="16">
        <v>143.34</v>
      </c>
      <c r="M815" s="17">
        <f t="shared" si="36"/>
        <v>113978.56000000014</v>
      </c>
      <c r="N815" s="11">
        <f t="shared" si="37"/>
        <v>9</v>
      </c>
    </row>
    <row r="816" spans="1:14" x14ac:dyDescent="0.25">
      <c r="A816" s="11" t="s">
        <v>207</v>
      </c>
      <c r="B816" s="12">
        <v>45187</v>
      </c>
      <c r="C816" s="11" t="s">
        <v>688</v>
      </c>
      <c r="D816" s="11" t="s">
        <v>43</v>
      </c>
      <c r="E816" s="13" t="s">
        <v>14</v>
      </c>
      <c r="F816" s="14" t="s">
        <v>13</v>
      </c>
      <c r="G816" s="14" t="s">
        <v>400</v>
      </c>
      <c r="I816" s="11">
        <f t="shared" si="38"/>
        <v>2</v>
      </c>
      <c r="J816" s="16">
        <v>632.19000000000005</v>
      </c>
      <c r="M816" s="17">
        <f t="shared" si="36"/>
        <v>114610.75000000015</v>
      </c>
      <c r="N816" s="11">
        <f t="shared" si="37"/>
        <v>9</v>
      </c>
    </row>
    <row r="817" spans="1:14" x14ac:dyDescent="0.25">
      <c r="A817" s="11" t="s">
        <v>207</v>
      </c>
      <c r="B817" s="12">
        <v>45187</v>
      </c>
      <c r="C817" s="11" t="s">
        <v>688</v>
      </c>
      <c r="D817" s="11" t="s">
        <v>43</v>
      </c>
      <c r="E817" s="13" t="s">
        <v>14</v>
      </c>
      <c r="F817" s="14" t="s">
        <v>13</v>
      </c>
      <c r="G817" s="14" t="s">
        <v>400</v>
      </c>
      <c r="I817" s="11">
        <f t="shared" si="38"/>
        <v>2</v>
      </c>
      <c r="J817" s="16">
        <v>545.08000000000004</v>
      </c>
      <c r="M817" s="17">
        <f t="shared" si="36"/>
        <v>115155.83000000015</v>
      </c>
      <c r="N817" s="11">
        <f t="shared" si="37"/>
        <v>9</v>
      </c>
    </row>
    <row r="818" spans="1:14" x14ac:dyDescent="0.25">
      <c r="A818" s="11" t="s">
        <v>207</v>
      </c>
      <c r="B818" s="12">
        <v>45187</v>
      </c>
      <c r="C818" s="11" t="s">
        <v>688</v>
      </c>
      <c r="D818" s="11" t="s">
        <v>43</v>
      </c>
      <c r="E818" s="13" t="s">
        <v>14</v>
      </c>
      <c r="F818" s="14" t="s">
        <v>13</v>
      </c>
      <c r="G818" s="14" t="s">
        <v>400</v>
      </c>
      <c r="I818" s="11">
        <f t="shared" si="38"/>
        <v>2</v>
      </c>
      <c r="J818" s="16">
        <v>556.36</v>
      </c>
      <c r="M818" s="17">
        <f t="shared" si="36"/>
        <v>115712.19000000015</v>
      </c>
      <c r="N818" s="11">
        <f t="shared" si="37"/>
        <v>9</v>
      </c>
    </row>
    <row r="819" spans="1:14" x14ac:dyDescent="0.25">
      <c r="A819" s="11" t="s">
        <v>207</v>
      </c>
      <c r="B819" s="12">
        <v>45187</v>
      </c>
      <c r="C819" s="11" t="s">
        <v>688</v>
      </c>
      <c r="D819" s="11" t="s">
        <v>43</v>
      </c>
      <c r="E819" s="13" t="s">
        <v>14</v>
      </c>
      <c r="F819" s="14" t="s">
        <v>13</v>
      </c>
      <c r="G819" s="14" t="s">
        <v>400</v>
      </c>
      <c r="I819" s="11">
        <f t="shared" si="38"/>
        <v>2</v>
      </c>
      <c r="J819" s="16">
        <v>1124.3699999999999</v>
      </c>
      <c r="M819" s="17">
        <f t="shared" si="36"/>
        <v>116836.56000000014</v>
      </c>
      <c r="N819" s="11">
        <f t="shared" si="37"/>
        <v>9</v>
      </c>
    </row>
    <row r="820" spans="1:14" x14ac:dyDescent="0.25">
      <c r="A820" s="11" t="s">
        <v>207</v>
      </c>
      <c r="B820" s="12">
        <v>45187</v>
      </c>
      <c r="C820" s="11" t="s">
        <v>688</v>
      </c>
      <c r="D820" s="11" t="s">
        <v>43</v>
      </c>
      <c r="E820" s="13" t="s">
        <v>14</v>
      </c>
      <c r="F820" s="14" t="s">
        <v>13</v>
      </c>
      <c r="G820" s="14" t="s">
        <v>400</v>
      </c>
      <c r="I820" s="11">
        <f t="shared" si="38"/>
        <v>2</v>
      </c>
      <c r="J820" s="16">
        <v>293.97000000000003</v>
      </c>
      <c r="M820" s="17">
        <f t="shared" si="36"/>
        <v>117130.53000000014</v>
      </c>
      <c r="N820" s="11">
        <f t="shared" si="37"/>
        <v>9</v>
      </c>
    </row>
    <row r="821" spans="1:14" x14ac:dyDescent="0.25">
      <c r="A821" s="11" t="s">
        <v>207</v>
      </c>
      <c r="B821" s="12">
        <v>45187</v>
      </c>
      <c r="C821" s="11" t="s">
        <v>688</v>
      </c>
      <c r="D821" s="11" t="s">
        <v>43</v>
      </c>
      <c r="E821" s="13" t="s">
        <v>14</v>
      </c>
      <c r="F821" s="14" t="s">
        <v>13</v>
      </c>
      <c r="G821" s="14" t="s">
        <v>400</v>
      </c>
      <c r="I821" s="11">
        <f t="shared" si="38"/>
        <v>2</v>
      </c>
      <c r="J821" s="16">
        <v>345.14</v>
      </c>
      <c r="M821" s="17">
        <f t="shared" si="36"/>
        <v>117475.67000000014</v>
      </c>
      <c r="N821" s="11">
        <f t="shared" si="37"/>
        <v>9</v>
      </c>
    </row>
    <row r="822" spans="1:14" x14ac:dyDescent="0.25">
      <c r="A822" s="11" t="s">
        <v>207</v>
      </c>
      <c r="B822" s="12">
        <v>45187</v>
      </c>
      <c r="C822" s="11" t="s">
        <v>688</v>
      </c>
      <c r="D822" s="11" t="s">
        <v>43</v>
      </c>
      <c r="E822" s="13" t="s">
        <v>14</v>
      </c>
      <c r="F822" s="14" t="s">
        <v>13</v>
      </c>
      <c r="G822" s="14" t="s">
        <v>400</v>
      </c>
      <c r="I822" s="11">
        <f t="shared" si="38"/>
        <v>2</v>
      </c>
      <c r="J822" s="16">
        <v>1266.3499999999999</v>
      </c>
      <c r="M822" s="17">
        <f t="shared" si="36"/>
        <v>118742.02000000015</v>
      </c>
      <c r="N822" s="11">
        <f t="shared" si="37"/>
        <v>9</v>
      </c>
    </row>
    <row r="823" spans="1:14" x14ac:dyDescent="0.25">
      <c r="A823" s="11" t="s">
        <v>207</v>
      </c>
      <c r="B823" s="12">
        <v>45187</v>
      </c>
      <c r="C823" s="11" t="s">
        <v>688</v>
      </c>
      <c r="D823" s="11" t="s">
        <v>43</v>
      </c>
      <c r="E823" s="13" t="s">
        <v>14</v>
      </c>
      <c r="F823" s="14" t="s">
        <v>13</v>
      </c>
      <c r="G823" s="14" t="s">
        <v>400</v>
      </c>
      <c r="I823" s="11">
        <f t="shared" si="38"/>
        <v>2</v>
      </c>
      <c r="J823" s="16">
        <v>582.4</v>
      </c>
      <c r="M823" s="17">
        <f t="shared" si="36"/>
        <v>119324.42000000014</v>
      </c>
      <c r="N823" s="11">
        <f t="shared" si="37"/>
        <v>9</v>
      </c>
    </row>
    <row r="824" spans="1:14" x14ac:dyDescent="0.25">
      <c r="A824" s="11" t="s">
        <v>207</v>
      </c>
      <c r="B824" s="12">
        <v>45187</v>
      </c>
      <c r="C824" s="11" t="s">
        <v>688</v>
      </c>
      <c r="D824" s="11" t="s">
        <v>43</v>
      </c>
      <c r="E824" s="13" t="s">
        <v>14</v>
      </c>
      <c r="F824" s="14" t="s">
        <v>13</v>
      </c>
      <c r="G824" s="14" t="s">
        <v>400</v>
      </c>
      <c r="I824" s="11">
        <f t="shared" si="38"/>
        <v>2</v>
      </c>
      <c r="J824" s="16">
        <v>1442.93</v>
      </c>
      <c r="M824" s="17">
        <f t="shared" si="36"/>
        <v>120767.35000000014</v>
      </c>
      <c r="N824" s="11">
        <f t="shared" si="37"/>
        <v>9</v>
      </c>
    </row>
    <row r="825" spans="1:14" x14ac:dyDescent="0.25">
      <c r="A825" s="11" t="s">
        <v>207</v>
      </c>
      <c r="B825" s="12">
        <v>45187</v>
      </c>
      <c r="C825" s="11" t="s">
        <v>688</v>
      </c>
      <c r="D825" s="11" t="s">
        <v>43</v>
      </c>
      <c r="E825" s="13" t="s">
        <v>14</v>
      </c>
      <c r="F825" s="14" t="s">
        <v>13</v>
      </c>
      <c r="G825" s="14" t="s">
        <v>400</v>
      </c>
      <c r="I825" s="11">
        <f t="shared" si="38"/>
        <v>2</v>
      </c>
      <c r="J825" s="16">
        <v>69.290000000000006</v>
      </c>
      <c r="M825" s="17">
        <f t="shared" si="36"/>
        <v>120836.64000000013</v>
      </c>
      <c r="N825" s="11">
        <f t="shared" si="37"/>
        <v>9</v>
      </c>
    </row>
    <row r="826" spans="1:14" x14ac:dyDescent="0.25">
      <c r="A826" s="11" t="s">
        <v>207</v>
      </c>
      <c r="B826" s="12">
        <v>45187</v>
      </c>
      <c r="C826" s="11" t="s">
        <v>688</v>
      </c>
      <c r="D826" s="11" t="s">
        <v>43</v>
      </c>
      <c r="E826" s="13" t="s">
        <v>14</v>
      </c>
      <c r="F826" s="14" t="s">
        <v>13</v>
      </c>
      <c r="G826" s="14" t="s">
        <v>400</v>
      </c>
      <c r="I826" s="11">
        <f t="shared" si="38"/>
        <v>2</v>
      </c>
      <c r="J826" s="16">
        <v>28.31</v>
      </c>
      <c r="M826" s="17">
        <f t="shared" si="36"/>
        <v>120864.95000000013</v>
      </c>
      <c r="N826" s="11">
        <f t="shared" si="37"/>
        <v>9</v>
      </c>
    </row>
    <row r="827" spans="1:14" x14ac:dyDescent="0.25">
      <c r="A827" s="11" t="s">
        <v>207</v>
      </c>
      <c r="B827" s="12">
        <v>45187</v>
      </c>
      <c r="C827" s="11" t="s">
        <v>688</v>
      </c>
      <c r="D827" s="11" t="s">
        <v>43</v>
      </c>
      <c r="E827" s="13" t="s">
        <v>14</v>
      </c>
      <c r="F827" s="14" t="s">
        <v>13</v>
      </c>
      <c r="G827" s="14" t="s">
        <v>400</v>
      </c>
      <c r="I827" s="11">
        <f t="shared" si="38"/>
        <v>2</v>
      </c>
      <c r="J827" s="16">
        <v>42.46</v>
      </c>
      <c r="M827" s="17">
        <f t="shared" si="36"/>
        <v>120907.41000000013</v>
      </c>
      <c r="N827" s="11">
        <f t="shared" si="37"/>
        <v>9</v>
      </c>
    </row>
    <row r="828" spans="1:14" x14ac:dyDescent="0.25">
      <c r="A828" s="11" t="s">
        <v>207</v>
      </c>
      <c r="B828" s="12">
        <v>45187</v>
      </c>
      <c r="C828" s="11" t="s">
        <v>688</v>
      </c>
      <c r="D828" s="11" t="s">
        <v>43</v>
      </c>
      <c r="E828" s="13" t="s">
        <v>80</v>
      </c>
      <c r="F828" s="14" t="s">
        <v>79</v>
      </c>
      <c r="G828" s="14" t="s">
        <v>400</v>
      </c>
      <c r="I828" s="11">
        <f t="shared" si="38"/>
        <v>2</v>
      </c>
      <c r="J828" s="16">
        <v>9997.2000000000007</v>
      </c>
      <c r="M828" s="17">
        <f t="shared" si="36"/>
        <v>130904.61000000013</v>
      </c>
      <c r="N828" s="11">
        <f t="shared" si="37"/>
        <v>9</v>
      </c>
    </row>
    <row r="829" spans="1:14" x14ac:dyDescent="0.25">
      <c r="A829" s="11" t="s">
        <v>207</v>
      </c>
      <c r="B829" s="12">
        <v>45187</v>
      </c>
      <c r="C829" s="11" t="s">
        <v>688</v>
      </c>
      <c r="D829" s="11" t="s">
        <v>43</v>
      </c>
      <c r="E829" s="13" t="s">
        <v>81</v>
      </c>
      <c r="F829" s="14" t="s">
        <v>79</v>
      </c>
      <c r="G829" s="14" t="s">
        <v>400</v>
      </c>
      <c r="I829" s="11">
        <f t="shared" si="38"/>
        <v>2</v>
      </c>
      <c r="J829" s="16">
        <v>7205.85</v>
      </c>
      <c r="M829" s="17">
        <f t="shared" si="36"/>
        <v>138110.46000000014</v>
      </c>
      <c r="N829" s="11">
        <f t="shared" si="37"/>
        <v>9</v>
      </c>
    </row>
    <row r="830" spans="1:14" x14ac:dyDescent="0.25">
      <c r="A830" s="11" t="s">
        <v>207</v>
      </c>
      <c r="B830" s="12">
        <v>45187</v>
      </c>
      <c r="C830" s="11" t="s">
        <v>688</v>
      </c>
      <c r="D830" s="11" t="s">
        <v>43</v>
      </c>
      <c r="E830" s="13" t="s">
        <v>82</v>
      </c>
      <c r="F830" s="14" t="s">
        <v>79</v>
      </c>
      <c r="G830" s="14" t="s">
        <v>400</v>
      </c>
      <c r="I830" s="11">
        <f t="shared" si="38"/>
        <v>2</v>
      </c>
      <c r="J830" s="16">
        <v>710.27</v>
      </c>
      <c r="M830" s="17">
        <f t="shared" si="36"/>
        <v>138820.73000000013</v>
      </c>
      <c r="N830" s="11">
        <f t="shared" si="37"/>
        <v>9</v>
      </c>
    </row>
    <row r="831" spans="1:14" x14ac:dyDescent="0.25">
      <c r="A831" s="11" t="s">
        <v>0</v>
      </c>
      <c r="B831" s="12">
        <v>45187</v>
      </c>
      <c r="C831" s="11" t="s">
        <v>688</v>
      </c>
      <c r="D831" s="11" t="s">
        <v>692</v>
      </c>
      <c r="E831" s="13" t="s">
        <v>169</v>
      </c>
      <c r="F831" s="14" t="s">
        <v>50</v>
      </c>
      <c r="G831" s="14" t="s">
        <v>404</v>
      </c>
      <c r="H831" s="15">
        <v>1173139</v>
      </c>
      <c r="I831" s="11">
        <f t="shared" si="38"/>
        <v>5</v>
      </c>
      <c r="K831" s="16">
        <v>1200</v>
      </c>
      <c r="M831" s="17">
        <f t="shared" si="36"/>
        <v>137620.73000000013</v>
      </c>
      <c r="N831" s="11">
        <f t="shared" si="37"/>
        <v>9</v>
      </c>
    </row>
    <row r="832" spans="1:14" x14ac:dyDescent="0.25">
      <c r="A832" s="11" t="s">
        <v>0</v>
      </c>
      <c r="B832" s="12">
        <v>45187</v>
      </c>
      <c r="C832" s="11" t="s">
        <v>688</v>
      </c>
      <c r="D832" s="11" t="s">
        <v>692</v>
      </c>
      <c r="E832" s="13" t="s">
        <v>725</v>
      </c>
      <c r="F832" s="14" t="s">
        <v>33</v>
      </c>
      <c r="G832" s="14" t="s">
        <v>404</v>
      </c>
      <c r="H832" s="15">
        <v>24446</v>
      </c>
      <c r="I832" s="11">
        <f t="shared" si="38"/>
        <v>5</v>
      </c>
      <c r="K832" s="16">
        <v>547.79</v>
      </c>
      <c r="M832" s="17">
        <f t="shared" si="36"/>
        <v>137072.94000000012</v>
      </c>
      <c r="N832" s="11">
        <f t="shared" si="37"/>
        <v>9</v>
      </c>
    </row>
    <row r="833" spans="1:14" x14ac:dyDescent="0.25">
      <c r="A833" s="11" t="s">
        <v>0</v>
      </c>
      <c r="B833" s="12">
        <v>45187</v>
      </c>
      <c r="C833" s="11" t="s">
        <v>688</v>
      </c>
      <c r="D833" s="11" t="s">
        <v>692</v>
      </c>
      <c r="E833" s="13" t="s">
        <v>725</v>
      </c>
      <c r="F833" s="14" t="s">
        <v>27</v>
      </c>
      <c r="G833" s="14" t="s">
        <v>404</v>
      </c>
      <c r="H833" s="15">
        <v>13387</v>
      </c>
      <c r="I833" s="11">
        <f t="shared" si="38"/>
        <v>5</v>
      </c>
      <c r="K833" s="16">
        <v>986.44</v>
      </c>
      <c r="M833" s="17">
        <f t="shared" si="36"/>
        <v>136086.50000000012</v>
      </c>
      <c r="N833" s="11">
        <f t="shared" si="37"/>
        <v>9</v>
      </c>
    </row>
    <row r="834" spans="1:14" x14ac:dyDescent="0.25">
      <c r="A834" s="11" t="s">
        <v>0</v>
      </c>
      <c r="B834" s="12">
        <v>45187</v>
      </c>
      <c r="C834" s="11" t="s">
        <v>688</v>
      </c>
      <c r="D834" s="11" t="s">
        <v>694</v>
      </c>
      <c r="E834" s="13" t="s">
        <v>182</v>
      </c>
      <c r="F834" s="14" t="s">
        <v>93</v>
      </c>
      <c r="G834" s="14" t="s">
        <v>186</v>
      </c>
      <c r="I834" s="11" t="b">
        <f t="shared" si="38"/>
        <v>0</v>
      </c>
      <c r="K834" s="16">
        <v>13.27</v>
      </c>
      <c r="M834" s="17">
        <f t="shared" si="36"/>
        <v>136073.23000000013</v>
      </c>
      <c r="N834" s="11">
        <f t="shared" si="37"/>
        <v>9</v>
      </c>
    </row>
    <row r="835" spans="1:14" x14ac:dyDescent="0.25">
      <c r="A835" s="11" t="s">
        <v>0</v>
      </c>
      <c r="B835" s="12">
        <v>45187</v>
      </c>
      <c r="C835" s="11" t="s">
        <v>688</v>
      </c>
      <c r="D835" s="11" t="s">
        <v>694</v>
      </c>
      <c r="E835" s="13" t="s">
        <v>182</v>
      </c>
      <c r="F835" s="14" t="s">
        <v>23</v>
      </c>
      <c r="G835" s="14" t="s">
        <v>186</v>
      </c>
      <c r="I835" s="11" t="b">
        <f t="shared" si="38"/>
        <v>0</v>
      </c>
      <c r="K835" s="16">
        <v>69.44</v>
      </c>
      <c r="M835" s="17">
        <f t="shared" ref="M835:M898" si="39">IF(B835=0, "",M834+ J835-K835)</f>
        <v>136003.79000000012</v>
      </c>
      <c r="N835" s="11">
        <f t="shared" ref="N835:N898" si="40">IF(B835=0, "", MONTH(B835))</f>
        <v>9</v>
      </c>
    </row>
    <row r="836" spans="1:14" x14ac:dyDescent="0.25">
      <c r="A836" s="11" t="s">
        <v>207</v>
      </c>
      <c r="B836" s="12">
        <v>45187</v>
      </c>
      <c r="C836" s="11" t="s">
        <v>688</v>
      </c>
      <c r="D836" s="11" t="s">
        <v>43</v>
      </c>
      <c r="E836" s="13" t="s">
        <v>95</v>
      </c>
      <c r="F836" s="14" t="s">
        <v>170</v>
      </c>
      <c r="G836" s="14" t="s">
        <v>400</v>
      </c>
      <c r="I836" s="11">
        <f t="shared" ref="I836:I899" si="41">IF(AND(G836="MERCADO PAGO",A836="FATURAMENTO"),1,IF(AND(OR(G836="MERCADO PAGO",G836="pix mercado pago",G836= "débito automático mercado pago", G836= "boleto mercado pago"),A836="DESPESAS"),4,IF(AND(G836="SAFRA",A836="FATURAMENTO"),2,IF(AND(OR(G836="SAFRA",G836="PIX SAFRA", G836="DÉBITO AUTOMÁTICO SAFRA", G836= "BOLETO SAFRA", G836= "transferência safra"), A836="DESPESAS"),5,IF(AND(G836="espécie",A836="FATURAMENTO"),3,IF(AND(G836="espécie",A836="DESPESAS"),6))))))</f>
        <v>2</v>
      </c>
      <c r="J836" s="16">
        <v>1927.8</v>
      </c>
      <c r="M836" s="17">
        <f t="shared" si="39"/>
        <v>137931.59000000011</v>
      </c>
      <c r="N836" s="11">
        <f t="shared" si="40"/>
        <v>9</v>
      </c>
    </row>
    <row r="837" spans="1:14" x14ac:dyDescent="0.25">
      <c r="A837" s="11" t="s">
        <v>207</v>
      </c>
      <c r="B837" s="12">
        <v>45187</v>
      </c>
      <c r="C837" s="11" t="s">
        <v>688</v>
      </c>
      <c r="D837" s="11" t="s">
        <v>43</v>
      </c>
      <c r="E837" s="14" t="s">
        <v>288</v>
      </c>
      <c r="F837" s="14" t="s">
        <v>288</v>
      </c>
      <c r="G837" s="14" t="s">
        <v>173</v>
      </c>
      <c r="I837" s="11">
        <f t="shared" si="41"/>
        <v>3</v>
      </c>
      <c r="J837" s="16">
        <v>1312</v>
      </c>
      <c r="M837" s="17">
        <f t="shared" si="39"/>
        <v>139243.59000000011</v>
      </c>
      <c r="N837" s="11">
        <f t="shared" si="40"/>
        <v>9</v>
      </c>
    </row>
    <row r="838" spans="1:14" x14ac:dyDescent="0.25">
      <c r="A838" s="11" t="s">
        <v>207</v>
      </c>
      <c r="B838" s="12">
        <v>45188</v>
      </c>
      <c r="C838" s="11" t="s">
        <v>688</v>
      </c>
      <c r="D838" s="11" t="s">
        <v>43</v>
      </c>
      <c r="E838" s="13" t="s">
        <v>14</v>
      </c>
      <c r="F838" s="14" t="s">
        <v>13</v>
      </c>
      <c r="G838" s="14" t="s">
        <v>400</v>
      </c>
      <c r="I838" s="11">
        <f t="shared" si="41"/>
        <v>2</v>
      </c>
      <c r="J838" s="16">
        <v>14.4</v>
      </c>
      <c r="M838" s="17">
        <f t="shared" si="39"/>
        <v>139257.99000000011</v>
      </c>
      <c r="N838" s="11">
        <f t="shared" si="40"/>
        <v>9</v>
      </c>
    </row>
    <row r="839" spans="1:14" x14ac:dyDescent="0.25">
      <c r="A839" s="11" t="s">
        <v>207</v>
      </c>
      <c r="B839" s="12">
        <v>45188</v>
      </c>
      <c r="C839" s="11" t="s">
        <v>688</v>
      </c>
      <c r="D839" s="11" t="s">
        <v>43</v>
      </c>
      <c r="E839" s="13" t="s">
        <v>14</v>
      </c>
      <c r="F839" s="14" t="s">
        <v>13</v>
      </c>
      <c r="G839" s="14" t="s">
        <v>400</v>
      </c>
      <c r="I839" s="11">
        <f t="shared" si="41"/>
        <v>2</v>
      </c>
      <c r="J839" s="16">
        <v>107.78</v>
      </c>
      <c r="M839" s="17">
        <f t="shared" si="39"/>
        <v>139365.77000000011</v>
      </c>
      <c r="N839" s="11">
        <f t="shared" si="40"/>
        <v>9</v>
      </c>
    </row>
    <row r="840" spans="1:14" x14ac:dyDescent="0.25">
      <c r="A840" s="11" t="s">
        <v>207</v>
      </c>
      <c r="B840" s="12">
        <v>45188</v>
      </c>
      <c r="C840" s="11" t="s">
        <v>688</v>
      </c>
      <c r="D840" s="11" t="s">
        <v>43</v>
      </c>
      <c r="E840" s="13" t="s">
        <v>14</v>
      </c>
      <c r="F840" s="14" t="s">
        <v>13</v>
      </c>
      <c r="G840" s="14" t="s">
        <v>400</v>
      </c>
      <c r="I840" s="11">
        <f t="shared" si="41"/>
        <v>2</v>
      </c>
      <c r="J840" s="16">
        <v>178.91</v>
      </c>
      <c r="M840" s="17">
        <f t="shared" si="39"/>
        <v>139544.68000000011</v>
      </c>
      <c r="N840" s="11">
        <f t="shared" si="40"/>
        <v>9</v>
      </c>
    </row>
    <row r="841" spans="1:14" x14ac:dyDescent="0.25">
      <c r="A841" s="11" t="s">
        <v>207</v>
      </c>
      <c r="B841" s="12">
        <v>45188</v>
      </c>
      <c r="C841" s="11" t="s">
        <v>688</v>
      </c>
      <c r="D841" s="11" t="s">
        <v>43</v>
      </c>
      <c r="E841" s="13" t="s">
        <v>14</v>
      </c>
      <c r="F841" s="14" t="s">
        <v>13</v>
      </c>
      <c r="G841" s="14" t="s">
        <v>400</v>
      </c>
      <c r="I841" s="11">
        <f t="shared" si="41"/>
        <v>2</v>
      </c>
      <c r="J841" s="16">
        <v>41.15</v>
      </c>
      <c r="M841" s="17">
        <f t="shared" si="39"/>
        <v>139585.8300000001</v>
      </c>
      <c r="N841" s="11">
        <f t="shared" si="40"/>
        <v>9</v>
      </c>
    </row>
    <row r="842" spans="1:14" x14ac:dyDescent="0.25">
      <c r="A842" s="11" t="s">
        <v>207</v>
      </c>
      <c r="B842" s="12">
        <v>45188</v>
      </c>
      <c r="C842" s="11" t="s">
        <v>688</v>
      </c>
      <c r="D842" s="11" t="s">
        <v>43</v>
      </c>
      <c r="E842" s="13" t="s">
        <v>14</v>
      </c>
      <c r="F842" s="14" t="s">
        <v>13</v>
      </c>
      <c r="G842" s="14" t="s">
        <v>400</v>
      </c>
      <c r="I842" s="11">
        <f t="shared" si="41"/>
        <v>2</v>
      </c>
      <c r="J842" s="16">
        <v>59.24</v>
      </c>
      <c r="M842" s="17">
        <f t="shared" si="39"/>
        <v>139645.07000000009</v>
      </c>
      <c r="N842" s="11">
        <f t="shared" si="40"/>
        <v>9</v>
      </c>
    </row>
    <row r="843" spans="1:14" x14ac:dyDescent="0.25">
      <c r="A843" s="11" t="s">
        <v>207</v>
      </c>
      <c r="B843" s="12">
        <v>45188</v>
      </c>
      <c r="C843" s="11" t="s">
        <v>688</v>
      </c>
      <c r="D843" s="11" t="s">
        <v>43</v>
      </c>
      <c r="E843" s="13" t="s">
        <v>14</v>
      </c>
      <c r="F843" s="14" t="s">
        <v>13</v>
      </c>
      <c r="G843" s="14" t="s">
        <v>400</v>
      </c>
      <c r="I843" s="11">
        <f t="shared" si="41"/>
        <v>2</v>
      </c>
      <c r="J843" s="16">
        <v>173.12</v>
      </c>
      <c r="M843" s="17">
        <f t="shared" si="39"/>
        <v>139818.19000000009</v>
      </c>
      <c r="N843" s="11">
        <f t="shared" si="40"/>
        <v>9</v>
      </c>
    </row>
    <row r="844" spans="1:14" x14ac:dyDescent="0.25">
      <c r="A844" s="11" t="s">
        <v>207</v>
      </c>
      <c r="B844" s="12">
        <v>45188</v>
      </c>
      <c r="C844" s="11" t="s">
        <v>688</v>
      </c>
      <c r="D844" s="11" t="s">
        <v>43</v>
      </c>
      <c r="E844" s="13" t="s">
        <v>80</v>
      </c>
      <c r="F844" s="14" t="s">
        <v>79</v>
      </c>
      <c r="G844" s="14" t="s">
        <v>400</v>
      </c>
      <c r="I844" s="11">
        <f t="shared" si="41"/>
        <v>2</v>
      </c>
      <c r="J844" s="16">
        <v>1906.67</v>
      </c>
      <c r="M844" s="17">
        <f t="shared" si="39"/>
        <v>141724.8600000001</v>
      </c>
      <c r="N844" s="11">
        <f t="shared" si="40"/>
        <v>9</v>
      </c>
    </row>
    <row r="845" spans="1:14" x14ac:dyDescent="0.25">
      <c r="A845" s="11" t="s">
        <v>207</v>
      </c>
      <c r="B845" s="12">
        <v>45188</v>
      </c>
      <c r="C845" s="11" t="s">
        <v>688</v>
      </c>
      <c r="D845" s="11" t="s">
        <v>43</v>
      </c>
      <c r="E845" s="13" t="s">
        <v>81</v>
      </c>
      <c r="F845" s="14" t="s">
        <v>79</v>
      </c>
      <c r="G845" s="14" t="s">
        <v>400</v>
      </c>
      <c r="I845" s="11">
        <f t="shared" si="41"/>
        <v>2</v>
      </c>
      <c r="J845" s="16">
        <v>1459.31</v>
      </c>
      <c r="M845" s="17">
        <f t="shared" si="39"/>
        <v>143184.1700000001</v>
      </c>
      <c r="N845" s="11">
        <f t="shared" si="40"/>
        <v>9</v>
      </c>
    </row>
    <row r="846" spans="1:14" x14ac:dyDescent="0.25">
      <c r="A846" s="11" t="s">
        <v>207</v>
      </c>
      <c r="B846" s="12">
        <v>45188</v>
      </c>
      <c r="C846" s="11" t="s">
        <v>688</v>
      </c>
      <c r="D846" s="11" t="s">
        <v>43</v>
      </c>
      <c r="E846" s="13" t="s">
        <v>82</v>
      </c>
      <c r="F846" s="14" t="s">
        <v>79</v>
      </c>
      <c r="G846" s="14" t="s">
        <v>400</v>
      </c>
      <c r="I846" s="11">
        <f t="shared" si="41"/>
        <v>2</v>
      </c>
      <c r="J846" s="16">
        <v>33.6</v>
      </c>
      <c r="M846" s="17">
        <f t="shared" si="39"/>
        <v>143217.77000000011</v>
      </c>
      <c r="N846" s="11">
        <f t="shared" si="40"/>
        <v>9</v>
      </c>
    </row>
    <row r="847" spans="1:14" x14ac:dyDescent="0.25">
      <c r="A847" s="11" t="s">
        <v>207</v>
      </c>
      <c r="B847" s="12">
        <v>45188</v>
      </c>
      <c r="C847" s="11" t="s">
        <v>688</v>
      </c>
      <c r="D847" s="11" t="s">
        <v>43</v>
      </c>
      <c r="E847" s="13" t="s">
        <v>83</v>
      </c>
      <c r="F847" s="14" t="s">
        <v>79</v>
      </c>
      <c r="G847" s="14" t="s">
        <v>400</v>
      </c>
      <c r="I847" s="11">
        <f t="shared" si="41"/>
        <v>2</v>
      </c>
      <c r="J847" s="16">
        <v>148.41</v>
      </c>
      <c r="M847" s="17">
        <f t="shared" si="39"/>
        <v>143366.18000000011</v>
      </c>
      <c r="N847" s="11">
        <f t="shared" si="40"/>
        <v>9</v>
      </c>
    </row>
    <row r="848" spans="1:14" x14ac:dyDescent="0.25">
      <c r="A848" s="11" t="s">
        <v>0</v>
      </c>
      <c r="B848" s="12">
        <v>45188</v>
      </c>
      <c r="C848" s="11" t="s">
        <v>688</v>
      </c>
      <c r="D848" s="11" t="s">
        <v>697</v>
      </c>
      <c r="E848" s="13" t="s">
        <v>171</v>
      </c>
      <c r="F848" s="14" t="s">
        <v>721</v>
      </c>
      <c r="G848" s="14" t="s">
        <v>403</v>
      </c>
      <c r="I848" s="11">
        <f t="shared" si="41"/>
        <v>5</v>
      </c>
      <c r="K848" s="16">
        <v>739.85</v>
      </c>
      <c r="M848" s="17">
        <f t="shared" si="39"/>
        <v>142626.3300000001</v>
      </c>
      <c r="N848" s="11">
        <f t="shared" si="40"/>
        <v>9</v>
      </c>
    </row>
    <row r="849" spans="1:14" x14ac:dyDescent="0.25">
      <c r="A849" s="11" t="s">
        <v>0</v>
      </c>
      <c r="B849" s="12">
        <v>45188</v>
      </c>
      <c r="C849" s="11" t="s">
        <v>688</v>
      </c>
      <c r="D849" s="11" t="s">
        <v>692</v>
      </c>
      <c r="E849" s="13" t="s">
        <v>730</v>
      </c>
      <c r="F849" s="14" t="s">
        <v>34</v>
      </c>
      <c r="G849" s="14" t="s">
        <v>404</v>
      </c>
      <c r="H849" s="15">
        <v>2346</v>
      </c>
      <c r="I849" s="11">
        <f t="shared" si="41"/>
        <v>5</v>
      </c>
      <c r="K849" s="16">
        <v>1352.44</v>
      </c>
      <c r="M849" s="17">
        <f t="shared" si="39"/>
        <v>141273.8900000001</v>
      </c>
      <c r="N849" s="11">
        <f t="shared" si="40"/>
        <v>9</v>
      </c>
    </row>
    <row r="850" spans="1:14" x14ac:dyDescent="0.25">
      <c r="A850" s="11" t="s">
        <v>0</v>
      </c>
      <c r="B850" s="12">
        <v>45188</v>
      </c>
      <c r="C850" s="11" t="s">
        <v>688</v>
      </c>
      <c r="D850" s="11" t="s">
        <v>700</v>
      </c>
      <c r="E850" s="13" t="s">
        <v>185</v>
      </c>
      <c r="F850" s="14" t="s">
        <v>184</v>
      </c>
      <c r="G850" s="14" t="s">
        <v>174</v>
      </c>
      <c r="H850" s="15" t="s">
        <v>20</v>
      </c>
      <c r="I850" s="11" t="b">
        <f t="shared" si="41"/>
        <v>0</v>
      </c>
      <c r="K850" s="16">
        <v>394.46</v>
      </c>
      <c r="M850" s="17">
        <f t="shared" si="39"/>
        <v>140879.43000000011</v>
      </c>
      <c r="N850" s="11">
        <f t="shared" si="40"/>
        <v>9</v>
      </c>
    </row>
    <row r="851" spans="1:14" x14ac:dyDescent="0.25">
      <c r="A851" s="11" t="s">
        <v>0</v>
      </c>
      <c r="B851" s="12">
        <v>45188</v>
      </c>
      <c r="C851" s="11" t="s">
        <v>688</v>
      </c>
      <c r="D851" s="11" t="s">
        <v>692</v>
      </c>
      <c r="E851" s="13" t="s">
        <v>725</v>
      </c>
      <c r="F851" s="14" t="s">
        <v>27</v>
      </c>
      <c r="G851" s="14" t="s">
        <v>404</v>
      </c>
      <c r="H851" s="15">
        <v>13422</v>
      </c>
      <c r="I851" s="11">
        <f t="shared" si="41"/>
        <v>5</v>
      </c>
      <c r="K851" s="16">
        <v>328.25</v>
      </c>
      <c r="M851" s="17">
        <f t="shared" si="39"/>
        <v>140551.18000000011</v>
      </c>
      <c r="N851" s="11">
        <f t="shared" si="40"/>
        <v>9</v>
      </c>
    </row>
    <row r="852" spans="1:14" x14ac:dyDescent="0.25">
      <c r="A852" s="11" t="s">
        <v>0</v>
      </c>
      <c r="B852" s="12">
        <v>45188</v>
      </c>
      <c r="C852" s="11" t="s">
        <v>688</v>
      </c>
      <c r="D852" s="11" t="s">
        <v>692</v>
      </c>
      <c r="E852" s="13" t="s">
        <v>726</v>
      </c>
      <c r="F852" s="14" t="s">
        <v>91</v>
      </c>
      <c r="G852" s="14" t="s">
        <v>403</v>
      </c>
      <c r="H852" s="15">
        <v>388783</v>
      </c>
      <c r="I852" s="11">
        <f t="shared" si="41"/>
        <v>5</v>
      </c>
      <c r="K852" s="16">
        <v>10876.66</v>
      </c>
      <c r="M852" s="17">
        <f t="shared" si="39"/>
        <v>129674.52000000011</v>
      </c>
      <c r="N852" s="11">
        <f t="shared" si="40"/>
        <v>9</v>
      </c>
    </row>
    <row r="853" spans="1:14" x14ac:dyDescent="0.25">
      <c r="A853" s="11" t="s">
        <v>0</v>
      </c>
      <c r="B853" s="12">
        <v>45188</v>
      </c>
      <c r="C853" s="11" t="s">
        <v>688</v>
      </c>
      <c r="D853" s="11" t="s">
        <v>692</v>
      </c>
      <c r="E853" s="13" t="s">
        <v>726</v>
      </c>
      <c r="F853" s="14" t="s">
        <v>91</v>
      </c>
      <c r="G853" s="14" t="s">
        <v>403</v>
      </c>
      <c r="H853" s="15">
        <v>389692</v>
      </c>
      <c r="I853" s="11">
        <f t="shared" si="41"/>
        <v>5</v>
      </c>
      <c r="K853" s="16">
        <v>597.20000000000005</v>
      </c>
      <c r="M853" s="17">
        <f t="shared" si="39"/>
        <v>129077.32000000011</v>
      </c>
      <c r="N853" s="11">
        <f t="shared" si="40"/>
        <v>9</v>
      </c>
    </row>
    <row r="854" spans="1:14" x14ac:dyDescent="0.25">
      <c r="A854" s="11" t="s">
        <v>0</v>
      </c>
      <c r="B854" s="12">
        <v>45188</v>
      </c>
      <c r="C854" s="11" t="s">
        <v>688</v>
      </c>
      <c r="D854" s="11" t="s">
        <v>694</v>
      </c>
      <c r="E854" s="13" t="s">
        <v>182</v>
      </c>
      <c r="F854" s="14" t="s">
        <v>93</v>
      </c>
      <c r="G854" s="14" t="s">
        <v>186</v>
      </c>
      <c r="I854" s="11" t="b">
        <f t="shared" si="41"/>
        <v>0</v>
      </c>
      <c r="K854" s="16">
        <v>5.51</v>
      </c>
      <c r="M854" s="17">
        <f t="shared" si="39"/>
        <v>129071.81000000011</v>
      </c>
      <c r="N854" s="11">
        <f t="shared" si="40"/>
        <v>9</v>
      </c>
    </row>
    <row r="855" spans="1:14" x14ac:dyDescent="0.25">
      <c r="A855" s="11" t="s">
        <v>0</v>
      </c>
      <c r="B855" s="12">
        <v>45188</v>
      </c>
      <c r="C855" s="11" t="s">
        <v>688</v>
      </c>
      <c r="D855" s="11" t="s">
        <v>694</v>
      </c>
      <c r="E855" s="13" t="s">
        <v>182</v>
      </c>
      <c r="F855" s="14" t="s">
        <v>23</v>
      </c>
      <c r="G855" s="14" t="s">
        <v>186</v>
      </c>
      <c r="I855" s="11" t="b">
        <f t="shared" si="41"/>
        <v>0</v>
      </c>
      <c r="K855" s="16">
        <v>8.8699999999999992</v>
      </c>
      <c r="M855" s="17">
        <f t="shared" si="39"/>
        <v>129062.94000000012</v>
      </c>
      <c r="N855" s="11">
        <f t="shared" si="40"/>
        <v>9</v>
      </c>
    </row>
    <row r="856" spans="1:14" x14ac:dyDescent="0.25">
      <c r="A856" s="11" t="s">
        <v>0</v>
      </c>
      <c r="B856" s="12">
        <v>45188</v>
      </c>
      <c r="C856" s="11" t="s">
        <v>688</v>
      </c>
      <c r="D856" s="11" t="s">
        <v>692</v>
      </c>
      <c r="E856" s="13" t="s">
        <v>108</v>
      </c>
      <c r="F856" s="14" t="s">
        <v>107</v>
      </c>
      <c r="G856" s="14" t="s">
        <v>173</v>
      </c>
      <c r="H856" s="15" t="s">
        <v>426</v>
      </c>
      <c r="I856" s="11">
        <f t="shared" si="41"/>
        <v>6</v>
      </c>
      <c r="K856" s="16">
        <v>450</v>
      </c>
      <c r="M856" s="17">
        <f t="shared" si="39"/>
        <v>128612.94000000012</v>
      </c>
      <c r="N856" s="11">
        <f t="shared" si="40"/>
        <v>9</v>
      </c>
    </row>
    <row r="857" spans="1:14" x14ac:dyDescent="0.25">
      <c r="A857" s="11" t="s">
        <v>207</v>
      </c>
      <c r="B857" s="12">
        <v>45188</v>
      </c>
      <c r="C857" s="11" t="s">
        <v>662</v>
      </c>
      <c r="D857" s="11" t="s">
        <v>43</v>
      </c>
      <c r="E857" s="13" t="s">
        <v>95</v>
      </c>
      <c r="F857" s="14" t="s">
        <v>187</v>
      </c>
      <c r="G857" s="14" t="s">
        <v>400</v>
      </c>
      <c r="I857" s="11">
        <f t="shared" si="41"/>
        <v>2</v>
      </c>
      <c r="J857" s="16">
        <v>170</v>
      </c>
      <c r="M857" s="17">
        <f t="shared" si="39"/>
        <v>128782.94000000012</v>
      </c>
      <c r="N857" s="11">
        <f t="shared" si="40"/>
        <v>9</v>
      </c>
    </row>
    <row r="858" spans="1:14" x14ac:dyDescent="0.25">
      <c r="A858" s="11" t="s">
        <v>207</v>
      </c>
      <c r="B858" s="12">
        <v>45188</v>
      </c>
      <c r="C858" s="11" t="s">
        <v>688</v>
      </c>
      <c r="D858" s="11" t="s">
        <v>43</v>
      </c>
      <c r="E858" s="13" t="s">
        <v>95</v>
      </c>
      <c r="F858" s="14" t="s">
        <v>187</v>
      </c>
      <c r="G858" s="14" t="s">
        <v>400</v>
      </c>
      <c r="I858" s="11">
        <f t="shared" si="41"/>
        <v>2</v>
      </c>
      <c r="J858" s="16">
        <v>637.79999999999995</v>
      </c>
      <c r="M858" s="17">
        <f t="shared" si="39"/>
        <v>129420.74000000012</v>
      </c>
      <c r="N858" s="11">
        <f t="shared" si="40"/>
        <v>9</v>
      </c>
    </row>
    <row r="859" spans="1:14" x14ac:dyDescent="0.25">
      <c r="A859" s="11" t="s">
        <v>207</v>
      </c>
      <c r="B859" s="12">
        <v>45188</v>
      </c>
      <c r="C859" s="11" t="s">
        <v>662</v>
      </c>
      <c r="D859" s="11" t="s">
        <v>43</v>
      </c>
      <c r="E859" s="14" t="s">
        <v>288</v>
      </c>
      <c r="F859" s="14" t="s">
        <v>288</v>
      </c>
      <c r="G859" s="14" t="s">
        <v>173</v>
      </c>
      <c r="I859" s="11">
        <f t="shared" si="41"/>
        <v>3</v>
      </c>
      <c r="J859" s="16">
        <v>1130</v>
      </c>
      <c r="M859" s="17">
        <f t="shared" si="39"/>
        <v>130550.74000000012</v>
      </c>
      <c r="N859" s="11">
        <f t="shared" si="40"/>
        <v>9</v>
      </c>
    </row>
    <row r="860" spans="1:14" x14ac:dyDescent="0.25">
      <c r="A860" s="11" t="s">
        <v>207</v>
      </c>
      <c r="B860" s="12">
        <v>45189</v>
      </c>
      <c r="C860" s="11" t="s">
        <v>688</v>
      </c>
      <c r="D860" s="11" t="s">
        <v>43</v>
      </c>
      <c r="E860" s="13" t="s">
        <v>14</v>
      </c>
      <c r="F860" s="14" t="s">
        <v>13</v>
      </c>
      <c r="G860" s="14" t="s">
        <v>400</v>
      </c>
      <c r="I860" s="11">
        <f t="shared" si="41"/>
        <v>2</v>
      </c>
      <c r="J860" s="16">
        <v>63.69</v>
      </c>
      <c r="M860" s="17">
        <f t="shared" si="39"/>
        <v>130614.43000000012</v>
      </c>
      <c r="N860" s="11">
        <f t="shared" si="40"/>
        <v>9</v>
      </c>
    </row>
    <row r="861" spans="1:14" x14ac:dyDescent="0.25">
      <c r="A861" s="11" t="s">
        <v>207</v>
      </c>
      <c r="B861" s="12">
        <v>45189</v>
      </c>
      <c r="C861" s="11" t="s">
        <v>688</v>
      </c>
      <c r="D861" s="11" t="s">
        <v>43</v>
      </c>
      <c r="E861" s="13" t="s">
        <v>14</v>
      </c>
      <c r="F861" s="14" t="s">
        <v>13</v>
      </c>
      <c r="G861" s="14" t="s">
        <v>400</v>
      </c>
      <c r="I861" s="11">
        <f t="shared" si="41"/>
        <v>2</v>
      </c>
      <c r="J861" s="16">
        <v>670.88</v>
      </c>
      <c r="M861" s="17">
        <f t="shared" si="39"/>
        <v>131285.31000000011</v>
      </c>
      <c r="N861" s="11">
        <f t="shared" si="40"/>
        <v>9</v>
      </c>
    </row>
    <row r="862" spans="1:14" x14ac:dyDescent="0.25">
      <c r="A862" s="11" t="s">
        <v>207</v>
      </c>
      <c r="B862" s="12">
        <v>45189</v>
      </c>
      <c r="C862" s="11" t="s">
        <v>688</v>
      </c>
      <c r="D862" s="11" t="s">
        <v>43</v>
      </c>
      <c r="E862" s="13" t="s">
        <v>14</v>
      </c>
      <c r="F862" s="14" t="s">
        <v>13</v>
      </c>
      <c r="G862" s="14" t="s">
        <v>400</v>
      </c>
      <c r="I862" s="11">
        <f t="shared" si="41"/>
        <v>2</v>
      </c>
      <c r="J862" s="16">
        <v>13.07</v>
      </c>
      <c r="M862" s="17">
        <f t="shared" si="39"/>
        <v>131298.38000000012</v>
      </c>
      <c r="N862" s="11">
        <f t="shared" si="40"/>
        <v>9</v>
      </c>
    </row>
    <row r="863" spans="1:14" x14ac:dyDescent="0.25">
      <c r="A863" s="11" t="s">
        <v>207</v>
      </c>
      <c r="B863" s="12">
        <v>45189</v>
      </c>
      <c r="C863" s="11" t="s">
        <v>688</v>
      </c>
      <c r="D863" s="11" t="s">
        <v>43</v>
      </c>
      <c r="E863" s="13" t="s">
        <v>14</v>
      </c>
      <c r="F863" s="14" t="s">
        <v>13</v>
      </c>
      <c r="G863" s="14" t="s">
        <v>400</v>
      </c>
      <c r="I863" s="11">
        <f t="shared" si="41"/>
        <v>2</v>
      </c>
      <c r="J863" s="16">
        <v>1089.77</v>
      </c>
      <c r="M863" s="17">
        <f t="shared" si="39"/>
        <v>132388.15000000011</v>
      </c>
      <c r="N863" s="11">
        <f t="shared" si="40"/>
        <v>9</v>
      </c>
    </row>
    <row r="864" spans="1:14" x14ac:dyDescent="0.25">
      <c r="A864" s="11" t="s">
        <v>207</v>
      </c>
      <c r="B864" s="12">
        <v>45189</v>
      </c>
      <c r="C864" s="11" t="s">
        <v>688</v>
      </c>
      <c r="D864" s="11" t="s">
        <v>43</v>
      </c>
      <c r="E864" s="13" t="s">
        <v>14</v>
      </c>
      <c r="F864" s="14" t="s">
        <v>13</v>
      </c>
      <c r="G864" s="14" t="s">
        <v>400</v>
      </c>
      <c r="I864" s="11">
        <f t="shared" si="41"/>
        <v>2</v>
      </c>
      <c r="J864" s="16">
        <v>42.07</v>
      </c>
      <c r="M864" s="17">
        <f t="shared" si="39"/>
        <v>132430.22000000012</v>
      </c>
      <c r="N864" s="11">
        <f t="shared" si="40"/>
        <v>9</v>
      </c>
    </row>
    <row r="865" spans="1:14" x14ac:dyDescent="0.25">
      <c r="A865" s="11" t="s">
        <v>207</v>
      </c>
      <c r="B865" s="12">
        <v>45189</v>
      </c>
      <c r="C865" s="11" t="s">
        <v>688</v>
      </c>
      <c r="D865" s="11" t="s">
        <v>43</v>
      </c>
      <c r="E865" s="13" t="s">
        <v>80</v>
      </c>
      <c r="F865" s="14" t="s">
        <v>79</v>
      </c>
      <c r="G865" s="14" t="s">
        <v>400</v>
      </c>
      <c r="I865" s="11">
        <f t="shared" si="41"/>
        <v>2</v>
      </c>
      <c r="J865" s="16">
        <v>2756.55</v>
      </c>
      <c r="M865" s="17">
        <f t="shared" si="39"/>
        <v>135186.77000000011</v>
      </c>
      <c r="N865" s="11">
        <f t="shared" si="40"/>
        <v>9</v>
      </c>
    </row>
    <row r="866" spans="1:14" x14ac:dyDescent="0.25">
      <c r="A866" s="11" t="s">
        <v>207</v>
      </c>
      <c r="B866" s="12">
        <v>45189</v>
      </c>
      <c r="C866" s="11" t="s">
        <v>688</v>
      </c>
      <c r="D866" s="11" t="s">
        <v>43</v>
      </c>
      <c r="E866" s="13" t="s">
        <v>81</v>
      </c>
      <c r="F866" s="14" t="s">
        <v>79</v>
      </c>
      <c r="G866" s="14" t="s">
        <v>400</v>
      </c>
      <c r="I866" s="11">
        <f t="shared" si="41"/>
        <v>2</v>
      </c>
      <c r="J866" s="16">
        <v>1253.96</v>
      </c>
      <c r="M866" s="17">
        <f t="shared" si="39"/>
        <v>136440.7300000001</v>
      </c>
      <c r="N866" s="11">
        <f t="shared" si="40"/>
        <v>9</v>
      </c>
    </row>
    <row r="867" spans="1:14" x14ac:dyDescent="0.25">
      <c r="A867" s="11" t="s">
        <v>207</v>
      </c>
      <c r="B867" s="12">
        <v>45189</v>
      </c>
      <c r="C867" s="11" t="s">
        <v>688</v>
      </c>
      <c r="D867" s="11" t="s">
        <v>43</v>
      </c>
      <c r="E867" s="13" t="s">
        <v>83</v>
      </c>
      <c r="F867" s="14" t="s">
        <v>79</v>
      </c>
      <c r="G867" s="14" t="s">
        <v>400</v>
      </c>
      <c r="I867" s="11">
        <f t="shared" si="41"/>
        <v>2</v>
      </c>
      <c r="J867" s="16">
        <v>237.26</v>
      </c>
      <c r="M867" s="17">
        <f t="shared" si="39"/>
        <v>136677.99000000011</v>
      </c>
      <c r="N867" s="11">
        <f t="shared" si="40"/>
        <v>9</v>
      </c>
    </row>
    <row r="868" spans="1:14" x14ac:dyDescent="0.25">
      <c r="A868" s="11" t="s">
        <v>0</v>
      </c>
      <c r="B868" s="12">
        <v>45189</v>
      </c>
      <c r="C868" s="11" t="s">
        <v>688</v>
      </c>
      <c r="D868" s="11" t="s">
        <v>697</v>
      </c>
      <c r="E868" s="13" t="s">
        <v>188</v>
      </c>
      <c r="F868" s="14" t="s">
        <v>188</v>
      </c>
      <c r="G868" s="14" t="s">
        <v>120</v>
      </c>
      <c r="H868" s="15" t="s">
        <v>20</v>
      </c>
      <c r="I868" s="11" t="b">
        <f t="shared" si="41"/>
        <v>0</v>
      </c>
      <c r="K868" s="16">
        <v>96.62</v>
      </c>
      <c r="M868" s="17">
        <f t="shared" si="39"/>
        <v>136581.37000000011</v>
      </c>
      <c r="N868" s="11">
        <f t="shared" si="40"/>
        <v>9</v>
      </c>
    </row>
    <row r="869" spans="1:14" x14ac:dyDescent="0.25">
      <c r="A869" s="11" t="s">
        <v>0</v>
      </c>
      <c r="B869" s="12">
        <v>45189</v>
      </c>
      <c r="C869" s="11" t="s">
        <v>688</v>
      </c>
      <c r="D869" s="11" t="s">
        <v>692</v>
      </c>
      <c r="E869" s="13" t="s">
        <v>717</v>
      </c>
      <c r="F869" s="14" t="s">
        <v>76</v>
      </c>
      <c r="G869" s="14" t="s">
        <v>404</v>
      </c>
      <c r="H869" s="15">
        <v>1185523</v>
      </c>
      <c r="I869" s="11">
        <f t="shared" si="41"/>
        <v>5</v>
      </c>
      <c r="K869" s="16">
        <v>479.96</v>
      </c>
      <c r="M869" s="17">
        <f t="shared" si="39"/>
        <v>136101.41000000012</v>
      </c>
      <c r="N869" s="11">
        <f t="shared" si="40"/>
        <v>9</v>
      </c>
    </row>
    <row r="870" spans="1:14" x14ac:dyDescent="0.25">
      <c r="A870" s="11" t="s">
        <v>0</v>
      </c>
      <c r="B870" s="12">
        <v>45189</v>
      </c>
      <c r="C870" s="11" t="s">
        <v>688</v>
      </c>
      <c r="D870" s="11" t="s">
        <v>692</v>
      </c>
      <c r="E870" s="13" t="s">
        <v>179</v>
      </c>
      <c r="F870" s="14" t="s">
        <v>51</v>
      </c>
      <c r="G870" s="14" t="s">
        <v>404</v>
      </c>
      <c r="H870" s="15">
        <v>5</v>
      </c>
      <c r="I870" s="11">
        <f t="shared" si="41"/>
        <v>5</v>
      </c>
      <c r="K870" s="16">
        <v>725</v>
      </c>
      <c r="M870" s="17">
        <f t="shared" si="39"/>
        <v>135376.41000000012</v>
      </c>
      <c r="N870" s="11">
        <f t="shared" si="40"/>
        <v>9</v>
      </c>
    </row>
    <row r="871" spans="1:14" x14ac:dyDescent="0.25">
      <c r="A871" s="11" t="s">
        <v>0</v>
      </c>
      <c r="B871" s="12">
        <v>45189</v>
      </c>
      <c r="C871" s="11" t="s">
        <v>688</v>
      </c>
      <c r="D871" s="11" t="s">
        <v>692</v>
      </c>
      <c r="E871" s="13" t="s">
        <v>179</v>
      </c>
      <c r="F871" s="14" t="s">
        <v>51</v>
      </c>
      <c r="G871" s="14" t="s">
        <v>404</v>
      </c>
      <c r="H871" s="15">
        <v>5</v>
      </c>
      <c r="I871" s="11">
        <f t="shared" si="41"/>
        <v>5</v>
      </c>
      <c r="K871" s="16">
        <v>2075</v>
      </c>
      <c r="M871" s="17">
        <f t="shared" si="39"/>
        <v>133301.41000000012</v>
      </c>
      <c r="N871" s="11">
        <f t="shared" si="40"/>
        <v>9</v>
      </c>
    </row>
    <row r="872" spans="1:14" x14ac:dyDescent="0.25">
      <c r="A872" s="11" t="s">
        <v>0</v>
      </c>
      <c r="B872" s="12">
        <v>45189</v>
      </c>
      <c r="C872" s="11" t="s">
        <v>688</v>
      </c>
      <c r="D872" s="11" t="s">
        <v>692</v>
      </c>
      <c r="E872" s="13" t="s">
        <v>725</v>
      </c>
      <c r="F872" s="14" t="s">
        <v>33</v>
      </c>
      <c r="G872" s="14" t="s">
        <v>404</v>
      </c>
      <c r="H872" s="15">
        <v>24474</v>
      </c>
      <c r="I872" s="11">
        <f t="shared" si="41"/>
        <v>5</v>
      </c>
      <c r="K872" s="16">
        <v>259.2</v>
      </c>
      <c r="M872" s="17">
        <f t="shared" si="39"/>
        <v>133042.21000000011</v>
      </c>
      <c r="N872" s="11">
        <f t="shared" si="40"/>
        <v>9</v>
      </c>
    </row>
    <row r="873" spans="1:14" x14ac:dyDescent="0.25">
      <c r="A873" s="11" t="s">
        <v>0</v>
      </c>
      <c r="B873" s="12">
        <v>45189</v>
      </c>
      <c r="C873" s="11" t="s">
        <v>688</v>
      </c>
      <c r="D873" s="11" t="s">
        <v>720</v>
      </c>
      <c r="E873" s="13" t="s">
        <v>183</v>
      </c>
      <c r="F873" s="14" t="s">
        <v>366</v>
      </c>
      <c r="G873" s="14" t="s">
        <v>174</v>
      </c>
      <c r="H873" s="15">
        <v>58</v>
      </c>
      <c r="I873" s="11" t="b">
        <f t="shared" si="41"/>
        <v>0</v>
      </c>
      <c r="K873" s="16">
        <v>370</v>
      </c>
      <c r="M873" s="17">
        <f t="shared" si="39"/>
        <v>132672.21000000011</v>
      </c>
      <c r="N873" s="11">
        <f t="shared" si="40"/>
        <v>9</v>
      </c>
    </row>
    <row r="874" spans="1:14" x14ac:dyDescent="0.25">
      <c r="A874" s="11" t="s">
        <v>0</v>
      </c>
      <c r="B874" s="12">
        <v>45189</v>
      </c>
      <c r="C874" s="11" t="s">
        <v>688</v>
      </c>
      <c r="D874" s="11" t="s">
        <v>692</v>
      </c>
      <c r="E874" s="13" t="s">
        <v>725</v>
      </c>
      <c r="F874" s="14" t="s">
        <v>33</v>
      </c>
      <c r="G874" s="14" t="s">
        <v>404</v>
      </c>
      <c r="H874" s="15">
        <v>24483</v>
      </c>
      <c r="I874" s="11">
        <f t="shared" si="41"/>
        <v>5</v>
      </c>
      <c r="K874" s="16">
        <v>817.44</v>
      </c>
      <c r="M874" s="17">
        <f t="shared" si="39"/>
        <v>131854.77000000011</v>
      </c>
      <c r="N874" s="11">
        <f t="shared" si="40"/>
        <v>9</v>
      </c>
    </row>
    <row r="875" spans="1:14" x14ac:dyDescent="0.25">
      <c r="A875" s="11" t="s">
        <v>0</v>
      </c>
      <c r="B875" s="12">
        <v>45189</v>
      </c>
      <c r="C875" s="11" t="s">
        <v>688</v>
      </c>
      <c r="D875" s="11" t="s">
        <v>697</v>
      </c>
      <c r="E875" s="13" t="s">
        <v>171</v>
      </c>
      <c r="F875" s="62" t="s">
        <v>721</v>
      </c>
      <c r="G875" s="14" t="s">
        <v>403</v>
      </c>
      <c r="I875" s="11">
        <f t="shared" si="41"/>
        <v>5</v>
      </c>
      <c r="K875" s="16">
        <v>37.5</v>
      </c>
      <c r="M875" s="17">
        <f t="shared" si="39"/>
        <v>131817.27000000011</v>
      </c>
      <c r="N875" s="11">
        <f t="shared" si="40"/>
        <v>9</v>
      </c>
    </row>
    <row r="876" spans="1:14" x14ac:dyDescent="0.25">
      <c r="A876" s="11" t="s">
        <v>0</v>
      </c>
      <c r="B876" s="12">
        <v>45189</v>
      </c>
      <c r="C876" s="11" t="s">
        <v>688</v>
      </c>
      <c r="D876" s="11" t="s">
        <v>697</v>
      </c>
      <c r="E876" s="13" t="s">
        <v>190</v>
      </c>
      <c r="F876" s="14" t="s">
        <v>190</v>
      </c>
      <c r="G876" s="14" t="s">
        <v>120</v>
      </c>
      <c r="I876" s="11" t="b">
        <f t="shared" si="41"/>
        <v>0</v>
      </c>
      <c r="K876" s="16">
        <v>379.59</v>
      </c>
      <c r="M876" s="17">
        <f t="shared" si="39"/>
        <v>131437.68000000011</v>
      </c>
      <c r="N876" s="11">
        <f t="shared" si="40"/>
        <v>9</v>
      </c>
    </row>
    <row r="877" spans="1:14" x14ac:dyDescent="0.25">
      <c r="A877" s="11" t="s">
        <v>0</v>
      </c>
      <c r="B877" s="12">
        <v>45189</v>
      </c>
      <c r="C877" s="11" t="s">
        <v>688</v>
      </c>
      <c r="D877" s="11" t="s">
        <v>692</v>
      </c>
      <c r="E877" s="13" t="s">
        <v>724</v>
      </c>
      <c r="F877" s="14" t="s">
        <v>119</v>
      </c>
      <c r="G877" s="14" t="s">
        <v>404</v>
      </c>
      <c r="H877" s="15">
        <v>1269845</v>
      </c>
      <c r="I877" s="11">
        <f t="shared" si="41"/>
        <v>5</v>
      </c>
      <c r="K877" s="16">
        <v>1625.08</v>
      </c>
      <c r="M877" s="17">
        <f t="shared" si="39"/>
        <v>129812.60000000011</v>
      </c>
      <c r="N877" s="11">
        <f t="shared" si="40"/>
        <v>9</v>
      </c>
    </row>
    <row r="878" spans="1:14" x14ac:dyDescent="0.25">
      <c r="A878" s="11" t="s">
        <v>0</v>
      </c>
      <c r="B878" s="12">
        <v>45189</v>
      </c>
      <c r="C878" s="11" t="s">
        <v>688</v>
      </c>
      <c r="D878" s="11" t="s">
        <v>692</v>
      </c>
      <c r="E878" s="13" t="s">
        <v>725</v>
      </c>
      <c r="F878" s="14" t="s">
        <v>27</v>
      </c>
      <c r="G878" s="14" t="s">
        <v>404</v>
      </c>
      <c r="H878" s="15">
        <v>13429</v>
      </c>
      <c r="I878" s="11">
        <f t="shared" si="41"/>
        <v>5</v>
      </c>
      <c r="K878" s="16">
        <v>478.73</v>
      </c>
      <c r="M878" s="17">
        <f t="shared" si="39"/>
        <v>129333.87000000011</v>
      </c>
      <c r="N878" s="11">
        <f t="shared" si="40"/>
        <v>9</v>
      </c>
    </row>
    <row r="879" spans="1:14" x14ac:dyDescent="0.25">
      <c r="A879" s="11" t="s">
        <v>0</v>
      </c>
      <c r="B879" s="12">
        <v>45189</v>
      </c>
      <c r="C879" s="11" t="s">
        <v>688</v>
      </c>
      <c r="D879" s="11" t="s">
        <v>692</v>
      </c>
      <c r="E879" s="13" t="s">
        <v>725</v>
      </c>
      <c r="F879" s="14" t="s">
        <v>27</v>
      </c>
      <c r="G879" s="14" t="s">
        <v>404</v>
      </c>
      <c r="H879" s="15">
        <v>13430</v>
      </c>
      <c r="I879" s="11">
        <f t="shared" si="41"/>
        <v>5</v>
      </c>
      <c r="K879" s="16">
        <v>49.95</v>
      </c>
      <c r="M879" s="17">
        <f t="shared" si="39"/>
        <v>129283.92000000011</v>
      </c>
      <c r="N879" s="11">
        <f t="shared" si="40"/>
        <v>9</v>
      </c>
    </row>
    <row r="880" spans="1:14" x14ac:dyDescent="0.25">
      <c r="A880" s="11" t="s">
        <v>207</v>
      </c>
      <c r="B880" s="12">
        <v>45189</v>
      </c>
      <c r="C880" s="11" t="s">
        <v>688</v>
      </c>
      <c r="D880" s="11" t="s">
        <v>43</v>
      </c>
      <c r="E880" s="13" t="s">
        <v>95</v>
      </c>
      <c r="F880" s="14" t="s">
        <v>191</v>
      </c>
      <c r="G880" s="14" t="s">
        <v>400</v>
      </c>
      <c r="I880" s="11">
        <f t="shared" si="41"/>
        <v>2</v>
      </c>
      <c r="J880" s="16">
        <v>434.7</v>
      </c>
      <c r="M880" s="17">
        <f t="shared" si="39"/>
        <v>129718.62000000011</v>
      </c>
      <c r="N880" s="11">
        <f t="shared" si="40"/>
        <v>9</v>
      </c>
    </row>
    <row r="881" spans="1:14" x14ac:dyDescent="0.25">
      <c r="A881" s="11" t="s">
        <v>207</v>
      </c>
      <c r="B881" s="12">
        <v>45189</v>
      </c>
      <c r="C881" s="11" t="s">
        <v>688</v>
      </c>
      <c r="D881" s="11" t="s">
        <v>43</v>
      </c>
      <c r="E881" s="14" t="s">
        <v>288</v>
      </c>
      <c r="F881" s="14" t="s">
        <v>288</v>
      </c>
      <c r="G881" s="14" t="s">
        <v>173</v>
      </c>
      <c r="I881" s="11">
        <f t="shared" si="41"/>
        <v>3</v>
      </c>
      <c r="J881" s="16">
        <v>684</v>
      </c>
      <c r="M881" s="17">
        <f t="shared" si="39"/>
        <v>130402.62000000011</v>
      </c>
      <c r="N881" s="11">
        <f t="shared" si="40"/>
        <v>9</v>
      </c>
    </row>
    <row r="882" spans="1:14" x14ac:dyDescent="0.25">
      <c r="A882" s="11" t="s">
        <v>207</v>
      </c>
      <c r="B882" s="12">
        <v>45190</v>
      </c>
      <c r="C882" s="11" t="s">
        <v>688</v>
      </c>
      <c r="D882" s="11" t="s">
        <v>43</v>
      </c>
      <c r="E882" s="13" t="s">
        <v>14</v>
      </c>
      <c r="F882" s="14" t="s">
        <v>13</v>
      </c>
      <c r="G882" s="14" t="s">
        <v>400</v>
      </c>
      <c r="I882" s="11">
        <f t="shared" si="41"/>
        <v>2</v>
      </c>
      <c r="J882" s="16">
        <v>82.01</v>
      </c>
      <c r="M882" s="17">
        <f t="shared" si="39"/>
        <v>130484.63000000011</v>
      </c>
      <c r="N882" s="11">
        <f t="shared" si="40"/>
        <v>9</v>
      </c>
    </row>
    <row r="883" spans="1:14" x14ac:dyDescent="0.25">
      <c r="A883" s="11" t="s">
        <v>207</v>
      </c>
      <c r="B883" s="12">
        <v>45190</v>
      </c>
      <c r="C883" s="11" t="s">
        <v>688</v>
      </c>
      <c r="D883" s="11" t="s">
        <v>43</v>
      </c>
      <c r="E883" s="13" t="s">
        <v>14</v>
      </c>
      <c r="F883" s="14" t="s">
        <v>13</v>
      </c>
      <c r="G883" s="14" t="s">
        <v>400</v>
      </c>
      <c r="I883" s="11">
        <f t="shared" si="41"/>
        <v>2</v>
      </c>
      <c r="J883" s="16">
        <v>596.79999999999995</v>
      </c>
      <c r="M883" s="17">
        <f t="shared" si="39"/>
        <v>131081.43000000011</v>
      </c>
      <c r="N883" s="11">
        <f t="shared" si="40"/>
        <v>9</v>
      </c>
    </row>
    <row r="884" spans="1:14" x14ac:dyDescent="0.25">
      <c r="A884" s="11" t="s">
        <v>207</v>
      </c>
      <c r="B884" s="12">
        <v>45190</v>
      </c>
      <c r="C884" s="11" t="s">
        <v>688</v>
      </c>
      <c r="D884" s="11" t="s">
        <v>43</v>
      </c>
      <c r="E884" s="13" t="s">
        <v>14</v>
      </c>
      <c r="F884" s="14" t="s">
        <v>13</v>
      </c>
      <c r="G884" s="14" t="s">
        <v>400</v>
      </c>
      <c r="I884" s="11">
        <f t="shared" si="41"/>
        <v>2</v>
      </c>
      <c r="J884" s="16">
        <v>178.56</v>
      </c>
      <c r="M884" s="17">
        <f t="shared" si="39"/>
        <v>131259.99000000011</v>
      </c>
      <c r="N884" s="11">
        <f t="shared" si="40"/>
        <v>9</v>
      </c>
    </row>
    <row r="885" spans="1:14" x14ac:dyDescent="0.25">
      <c r="A885" s="11" t="s">
        <v>207</v>
      </c>
      <c r="B885" s="12">
        <v>45190</v>
      </c>
      <c r="C885" s="11" t="s">
        <v>688</v>
      </c>
      <c r="D885" s="11" t="s">
        <v>43</v>
      </c>
      <c r="E885" s="13" t="s">
        <v>80</v>
      </c>
      <c r="F885" s="14" t="s">
        <v>79</v>
      </c>
      <c r="G885" s="14" t="s">
        <v>400</v>
      </c>
      <c r="I885" s="11">
        <f t="shared" si="41"/>
        <v>2</v>
      </c>
      <c r="J885" s="16">
        <v>2423.37</v>
      </c>
      <c r="M885" s="17">
        <f t="shared" si="39"/>
        <v>133683.3600000001</v>
      </c>
      <c r="N885" s="11">
        <f t="shared" si="40"/>
        <v>9</v>
      </c>
    </row>
    <row r="886" spans="1:14" x14ac:dyDescent="0.25">
      <c r="A886" s="11" t="s">
        <v>207</v>
      </c>
      <c r="B886" s="12">
        <v>45190</v>
      </c>
      <c r="C886" s="11" t="s">
        <v>688</v>
      </c>
      <c r="D886" s="11" t="s">
        <v>43</v>
      </c>
      <c r="E886" s="13" t="s">
        <v>81</v>
      </c>
      <c r="F886" s="14" t="s">
        <v>79</v>
      </c>
      <c r="G886" s="14" t="s">
        <v>400</v>
      </c>
      <c r="I886" s="11">
        <f t="shared" si="41"/>
        <v>2</v>
      </c>
      <c r="J886" s="16">
        <v>2325.59</v>
      </c>
      <c r="M886" s="17">
        <f t="shared" si="39"/>
        <v>136008.9500000001</v>
      </c>
      <c r="N886" s="11">
        <f t="shared" si="40"/>
        <v>9</v>
      </c>
    </row>
    <row r="887" spans="1:14" x14ac:dyDescent="0.25">
      <c r="A887" s="11" t="s">
        <v>0</v>
      </c>
      <c r="B887" s="12">
        <v>45190</v>
      </c>
      <c r="C887" s="11" t="s">
        <v>688</v>
      </c>
      <c r="D887" s="11" t="s">
        <v>692</v>
      </c>
      <c r="E887" s="13" t="s">
        <v>492</v>
      </c>
      <c r="F887" s="14" t="s">
        <v>111</v>
      </c>
      <c r="G887" s="14" t="s">
        <v>174</v>
      </c>
      <c r="H887" s="15" t="s">
        <v>228</v>
      </c>
      <c r="I887" s="11" t="b">
        <f t="shared" si="41"/>
        <v>0</v>
      </c>
      <c r="K887" s="16">
        <v>4765</v>
      </c>
      <c r="M887" s="17">
        <f t="shared" si="39"/>
        <v>131243.9500000001</v>
      </c>
      <c r="N887" s="11">
        <f t="shared" si="40"/>
        <v>9</v>
      </c>
    </row>
    <row r="888" spans="1:14" x14ac:dyDescent="0.25">
      <c r="A888" s="11" t="s">
        <v>0</v>
      </c>
      <c r="B888" s="12">
        <v>45190</v>
      </c>
      <c r="C888" s="11" t="s">
        <v>688</v>
      </c>
      <c r="D888" s="11" t="s">
        <v>692</v>
      </c>
      <c r="E888" s="13" t="s">
        <v>179</v>
      </c>
      <c r="F888" s="14" t="s">
        <v>378</v>
      </c>
      <c r="G888" s="14" t="s">
        <v>174</v>
      </c>
      <c r="H888" s="15">
        <v>3</v>
      </c>
      <c r="I888" s="11" t="b">
        <f t="shared" si="41"/>
        <v>0</v>
      </c>
      <c r="K888" s="16">
        <v>127</v>
      </c>
      <c r="M888" s="17">
        <f t="shared" si="39"/>
        <v>131116.9500000001</v>
      </c>
      <c r="N888" s="11">
        <f t="shared" si="40"/>
        <v>9</v>
      </c>
    </row>
    <row r="889" spans="1:14" x14ac:dyDescent="0.25">
      <c r="A889" s="11" t="s">
        <v>0</v>
      </c>
      <c r="B889" s="12">
        <v>45190</v>
      </c>
      <c r="C889" s="11" t="s">
        <v>688</v>
      </c>
      <c r="D889" s="11" t="s">
        <v>701</v>
      </c>
      <c r="E889" s="13" t="s">
        <v>193</v>
      </c>
      <c r="F889" s="14" t="s">
        <v>192</v>
      </c>
      <c r="G889" s="14" t="s">
        <v>174</v>
      </c>
      <c r="H889" s="15">
        <v>6450</v>
      </c>
      <c r="I889" s="11" t="b">
        <f t="shared" si="41"/>
        <v>0</v>
      </c>
      <c r="K889" s="16">
        <v>464</v>
      </c>
      <c r="M889" s="17">
        <f t="shared" si="39"/>
        <v>130652.9500000001</v>
      </c>
      <c r="N889" s="11">
        <f t="shared" si="40"/>
        <v>9</v>
      </c>
    </row>
    <row r="890" spans="1:14" x14ac:dyDescent="0.25">
      <c r="A890" s="11" t="s">
        <v>0</v>
      </c>
      <c r="B890" s="12">
        <v>45190</v>
      </c>
      <c r="C890" s="11" t="s">
        <v>688</v>
      </c>
      <c r="D890" s="11" t="s">
        <v>692</v>
      </c>
      <c r="E890" s="13" t="s">
        <v>179</v>
      </c>
      <c r="F890" s="14" t="s">
        <v>378</v>
      </c>
      <c r="G890" s="14" t="s">
        <v>174</v>
      </c>
      <c r="H890" s="15">
        <v>3</v>
      </c>
      <c r="I890" s="11" t="b">
        <f t="shared" si="41"/>
        <v>0</v>
      </c>
      <c r="K890" s="16">
        <v>438</v>
      </c>
      <c r="M890" s="17">
        <f t="shared" si="39"/>
        <v>130214.9500000001</v>
      </c>
      <c r="N890" s="11">
        <f t="shared" si="40"/>
        <v>9</v>
      </c>
    </row>
    <row r="891" spans="1:14" ht="26.4" x14ac:dyDescent="0.25">
      <c r="A891" s="11" t="s">
        <v>0</v>
      </c>
      <c r="B891" s="12">
        <v>45190</v>
      </c>
      <c r="C891" s="11" t="s">
        <v>688</v>
      </c>
      <c r="D891" s="11" t="s">
        <v>692</v>
      </c>
      <c r="E891" s="13" t="s">
        <v>143</v>
      </c>
      <c r="F891" s="14" t="s">
        <v>59</v>
      </c>
      <c r="G891" s="14" t="s">
        <v>174</v>
      </c>
      <c r="H891" s="15" t="s">
        <v>194</v>
      </c>
      <c r="I891" s="11" t="b">
        <f t="shared" si="41"/>
        <v>0</v>
      </c>
      <c r="K891" s="16">
        <v>1624.76</v>
      </c>
      <c r="M891" s="17">
        <f t="shared" si="39"/>
        <v>128590.1900000001</v>
      </c>
      <c r="N891" s="11">
        <f t="shared" si="40"/>
        <v>9</v>
      </c>
    </row>
    <row r="892" spans="1:14" x14ac:dyDescent="0.25">
      <c r="A892" s="11" t="s">
        <v>0</v>
      </c>
      <c r="B892" s="12">
        <v>45190</v>
      </c>
      <c r="C892" s="11" t="s">
        <v>688</v>
      </c>
      <c r="D892" s="11" t="s">
        <v>694</v>
      </c>
      <c r="E892" s="13" t="s">
        <v>181</v>
      </c>
      <c r="F892" s="14" t="s">
        <v>195</v>
      </c>
      <c r="G892" s="14" t="s">
        <v>120</v>
      </c>
      <c r="H892" s="15">
        <v>2287930</v>
      </c>
      <c r="I892" s="11" t="b">
        <f t="shared" si="41"/>
        <v>0</v>
      </c>
      <c r="K892" s="16">
        <v>1828.04</v>
      </c>
      <c r="M892" s="17">
        <f t="shared" si="39"/>
        <v>126762.15000000011</v>
      </c>
      <c r="N892" s="11">
        <f t="shared" si="40"/>
        <v>9</v>
      </c>
    </row>
    <row r="893" spans="1:14" x14ac:dyDescent="0.25">
      <c r="A893" s="11" t="s">
        <v>0</v>
      </c>
      <c r="B893" s="12">
        <v>45190</v>
      </c>
      <c r="C893" s="11" t="s">
        <v>688</v>
      </c>
      <c r="D893" s="11" t="s">
        <v>692</v>
      </c>
      <c r="E893" s="13" t="s">
        <v>143</v>
      </c>
      <c r="F893" s="14" t="s">
        <v>31</v>
      </c>
      <c r="G893" s="14" t="s">
        <v>120</v>
      </c>
      <c r="H893" s="15">
        <v>2857082</v>
      </c>
      <c r="I893" s="11" t="b">
        <f t="shared" si="41"/>
        <v>0</v>
      </c>
      <c r="K893" s="16">
        <v>737.35</v>
      </c>
      <c r="M893" s="17">
        <f t="shared" si="39"/>
        <v>126024.8000000001</v>
      </c>
      <c r="N893" s="11">
        <f t="shared" si="40"/>
        <v>9</v>
      </c>
    </row>
    <row r="894" spans="1:14" x14ac:dyDescent="0.25">
      <c r="A894" s="11" t="s">
        <v>207</v>
      </c>
      <c r="B894" s="12">
        <v>45190</v>
      </c>
      <c r="C894" s="11" t="s">
        <v>688</v>
      </c>
      <c r="D894" s="11" t="s">
        <v>43</v>
      </c>
      <c r="E894" s="13" t="s">
        <v>95</v>
      </c>
      <c r="F894" s="14" t="s">
        <v>196</v>
      </c>
      <c r="G894" s="14" t="s">
        <v>400</v>
      </c>
      <c r="I894" s="11">
        <f t="shared" si="41"/>
        <v>2</v>
      </c>
      <c r="J894" s="16">
        <v>493.95</v>
      </c>
      <c r="M894" s="17">
        <f t="shared" si="39"/>
        <v>126518.7500000001</v>
      </c>
      <c r="N894" s="11">
        <f t="shared" si="40"/>
        <v>9</v>
      </c>
    </row>
    <row r="895" spans="1:14" x14ac:dyDescent="0.25">
      <c r="A895" s="11" t="s">
        <v>207</v>
      </c>
      <c r="B895" s="12">
        <v>45190</v>
      </c>
      <c r="C895" s="11" t="s">
        <v>688</v>
      </c>
      <c r="D895" s="11" t="s">
        <v>43</v>
      </c>
      <c r="E895" s="14" t="s">
        <v>288</v>
      </c>
      <c r="F895" s="14" t="s">
        <v>288</v>
      </c>
      <c r="G895" s="14" t="s">
        <v>173</v>
      </c>
      <c r="I895" s="11">
        <f t="shared" si="41"/>
        <v>3</v>
      </c>
      <c r="J895" s="16">
        <v>115</v>
      </c>
      <c r="M895" s="17">
        <f t="shared" si="39"/>
        <v>126633.7500000001</v>
      </c>
      <c r="N895" s="11">
        <f t="shared" si="40"/>
        <v>9</v>
      </c>
    </row>
    <row r="896" spans="1:14" x14ac:dyDescent="0.25">
      <c r="A896" s="11" t="s">
        <v>0</v>
      </c>
      <c r="B896" s="12">
        <v>45190</v>
      </c>
      <c r="C896" s="11" t="s">
        <v>688</v>
      </c>
      <c r="D896" s="11" t="s">
        <v>692</v>
      </c>
      <c r="E896" s="13" t="s">
        <v>108</v>
      </c>
      <c r="F896" s="14" t="s">
        <v>107</v>
      </c>
      <c r="G896" s="14" t="s">
        <v>173</v>
      </c>
      <c r="H896" s="15">
        <v>6</v>
      </c>
      <c r="I896" s="11">
        <f t="shared" si="41"/>
        <v>6</v>
      </c>
      <c r="K896" s="16">
        <v>600</v>
      </c>
      <c r="M896" s="17">
        <f t="shared" si="39"/>
        <v>126033.7500000001</v>
      </c>
      <c r="N896" s="11">
        <f t="shared" si="40"/>
        <v>9</v>
      </c>
    </row>
    <row r="897" spans="1:14" x14ac:dyDescent="0.25">
      <c r="A897" s="11" t="s">
        <v>207</v>
      </c>
      <c r="B897" s="12">
        <v>45191</v>
      </c>
      <c r="C897" s="11" t="s">
        <v>688</v>
      </c>
      <c r="D897" s="11" t="s">
        <v>43</v>
      </c>
      <c r="E897" s="13" t="s">
        <v>14</v>
      </c>
      <c r="F897" s="14" t="s">
        <v>13</v>
      </c>
      <c r="G897" s="14" t="s">
        <v>400</v>
      </c>
      <c r="I897" s="11">
        <f t="shared" si="41"/>
        <v>2</v>
      </c>
      <c r="J897" s="16">
        <v>53.69</v>
      </c>
      <c r="M897" s="17">
        <f t="shared" si="39"/>
        <v>126087.4400000001</v>
      </c>
      <c r="N897" s="11">
        <f t="shared" si="40"/>
        <v>9</v>
      </c>
    </row>
    <row r="898" spans="1:14" x14ac:dyDescent="0.25">
      <c r="A898" s="11" t="s">
        <v>207</v>
      </c>
      <c r="B898" s="12">
        <v>45191</v>
      </c>
      <c r="C898" s="11" t="s">
        <v>688</v>
      </c>
      <c r="D898" s="11" t="s">
        <v>43</v>
      </c>
      <c r="E898" s="13" t="s">
        <v>14</v>
      </c>
      <c r="F898" s="14" t="s">
        <v>13</v>
      </c>
      <c r="G898" s="14" t="s">
        <v>400</v>
      </c>
      <c r="I898" s="11">
        <f t="shared" si="41"/>
        <v>2</v>
      </c>
      <c r="J898" s="16">
        <v>5.2</v>
      </c>
      <c r="M898" s="17">
        <f t="shared" si="39"/>
        <v>126092.6400000001</v>
      </c>
      <c r="N898" s="11">
        <f t="shared" si="40"/>
        <v>9</v>
      </c>
    </row>
    <row r="899" spans="1:14" x14ac:dyDescent="0.25">
      <c r="A899" s="11" t="s">
        <v>207</v>
      </c>
      <c r="B899" s="12">
        <v>45191</v>
      </c>
      <c r="C899" s="11" t="s">
        <v>688</v>
      </c>
      <c r="D899" s="11" t="s">
        <v>43</v>
      </c>
      <c r="E899" s="13" t="s">
        <v>14</v>
      </c>
      <c r="F899" s="14" t="s">
        <v>13</v>
      </c>
      <c r="G899" s="14" t="s">
        <v>400</v>
      </c>
      <c r="I899" s="11">
        <f t="shared" si="41"/>
        <v>2</v>
      </c>
      <c r="J899" s="16">
        <v>111.85</v>
      </c>
      <c r="M899" s="17">
        <f t="shared" ref="M899:M962" si="42">IF(B899=0, "",M898+ J899-K899)</f>
        <v>126204.49000000011</v>
      </c>
      <c r="N899" s="11">
        <f t="shared" ref="N899:N962" si="43">IF(B899=0, "", MONTH(B899))</f>
        <v>9</v>
      </c>
    </row>
    <row r="900" spans="1:14" x14ac:dyDescent="0.25">
      <c r="A900" s="11" t="s">
        <v>207</v>
      </c>
      <c r="B900" s="12">
        <v>45191</v>
      </c>
      <c r="C900" s="11" t="s">
        <v>688</v>
      </c>
      <c r="D900" s="11" t="s">
        <v>43</v>
      </c>
      <c r="E900" s="13" t="s">
        <v>80</v>
      </c>
      <c r="F900" s="14" t="s">
        <v>79</v>
      </c>
      <c r="G900" s="14" t="s">
        <v>400</v>
      </c>
      <c r="I900" s="11">
        <f t="shared" ref="I900:I963" si="44">IF(AND(G900="MERCADO PAGO",A900="FATURAMENTO"),1,IF(AND(OR(G900="MERCADO PAGO",G900="pix mercado pago",G900= "débito automático mercado pago", G900= "boleto mercado pago"),A900="DESPESAS"),4,IF(AND(G900="SAFRA",A900="FATURAMENTO"),2,IF(AND(OR(G900="SAFRA",G900="PIX SAFRA", G900="DÉBITO AUTOMÁTICO SAFRA", G900= "BOLETO SAFRA", G900= "transferência safra"), A900="DESPESAS"),5,IF(AND(G900="espécie",A900="FATURAMENTO"),3,IF(AND(G900="espécie",A900="DESPESAS"),6))))))</f>
        <v>2</v>
      </c>
      <c r="J900" s="16">
        <v>1749.4</v>
      </c>
      <c r="M900" s="17">
        <f t="shared" si="42"/>
        <v>127953.8900000001</v>
      </c>
      <c r="N900" s="11">
        <f t="shared" si="43"/>
        <v>9</v>
      </c>
    </row>
    <row r="901" spans="1:14" x14ac:dyDescent="0.25">
      <c r="A901" s="11" t="s">
        <v>207</v>
      </c>
      <c r="B901" s="12">
        <v>45191</v>
      </c>
      <c r="C901" s="11" t="s">
        <v>688</v>
      </c>
      <c r="D901" s="11" t="s">
        <v>43</v>
      </c>
      <c r="E901" s="13" t="s">
        <v>81</v>
      </c>
      <c r="F901" s="14" t="s">
        <v>79</v>
      </c>
      <c r="G901" s="14" t="s">
        <v>400</v>
      </c>
      <c r="I901" s="11">
        <f t="shared" si="44"/>
        <v>2</v>
      </c>
      <c r="J901" s="16">
        <v>2561.5</v>
      </c>
      <c r="M901" s="17">
        <f t="shared" si="42"/>
        <v>130515.3900000001</v>
      </c>
      <c r="N901" s="11">
        <f t="shared" si="43"/>
        <v>9</v>
      </c>
    </row>
    <row r="902" spans="1:14" x14ac:dyDescent="0.25">
      <c r="A902" s="11" t="s">
        <v>207</v>
      </c>
      <c r="B902" s="12">
        <v>45191</v>
      </c>
      <c r="C902" s="11" t="s">
        <v>688</v>
      </c>
      <c r="D902" s="11" t="s">
        <v>43</v>
      </c>
      <c r="E902" s="13" t="s">
        <v>82</v>
      </c>
      <c r="F902" s="14" t="s">
        <v>79</v>
      </c>
      <c r="G902" s="14" t="s">
        <v>400</v>
      </c>
      <c r="I902" s="11">
        <f t="shared" si="44"/>
        <v>2</v>
      </c>
      <c r="J902" s="16">
        <v>57.23</v>
      </c>
      <c r="M902" s="17">
        <f t="shared" si="42"/>
        <v>130572.6200000001</v>
      </c>
      <c r="N902" s="11">
        <f t="shared" si="43"/>
        <v>9</v>
      </c>
    </row>
    <row r="903" spans="1:14" x14ac:dyDescent="0.25">
      <c r="A903" s="11" t="s">
        <v>0</v>
      </c>
      <c r="B903" s="12">
        <v>45191</v>
      </c>
      <c r="C903" s="11" t="s">
        <v>688</v>
      </c>
      <c r="D903" s="11" t="s">
        <v>47</v>
      </c>
      <c r="E903" s="13" t="s">
        <v>209</v>
      </c>
      <c r="F903" s="14" t="s">
        <v>208</v>
      </c>
      <c r="G903" s="14" t="s">
        <v>174</v>
      </c>
      <c r="H903" s="15">
        <v>3</v>
      </c>
      <c r="I903" s="11" t="b">
        <f t="shared" si="44"/>
        <v>0</v>
      </c>
      <c r="K903" s="16">
        <v>250</v>
      </c>
      <c r="M903" s="17">
        <f t="shared" si="42"/>
        <v>130322.6200000001</v>
      </c>
      <c r="N903" s="11">
        <f t="shared" si="43"/>
        <v>9</v>
      </c>
    </row>
    <row r="904" spans="1:14" x14ac:dyDescent="0.25">
      <c r="A904" s="11" t="s">
        <v>0</v>
      </c>
      <c r="B904" s="12">
        <v>45191</v>
      </c>
      <c r="C904" s="11" t="s">
        <v>688</v>
      </c>
      <c r="D904" s="11" t="s">
        <v>701</v>
      </c>
      <c r="E904" s="13" t="s">
        <v>38</v>
      </c>
      <c r="F904" s="14" t="s">
        <v>71</v>
      </c>
      <c r="G904" s="14" t="s">
        <v>174</v>
      </c>
      <c r="H904" s="15">
        <v>3</v>
      </c>
      <c r="I904" s="11" t="b">
        <f t="shared" si="44"/>
        <v>0</v>
      </c>
      <c r="K904" s="16">
        <v>270.89999999999998</v>
      </c>
      <c r="M904" s="17">
        <f t="shared" si="42"/>
        <v>130051.7200000001</v>
      </c>
      <c r="N904" s="11">
        <f t="shared" si="43"/>
        <v>9</v>
      </c>
    </row>
    <row r="905" spans="1:14" x14ac:dyDescent="0.25">
      <c r="A905" s="11" t="s">
        <v>0</v>
      </c>
      <c r="B905" s="12">
        <v>45191</v>
      </c>
      <c r="C905" s="11" t="s">
        <v>688</v>
      </c>
      <c r="D905" s="11" t="s">
        <v>696</v>
      </c>
      <c r="E905" s="13" t="s">
        <v>727</v>
      </c>
      <c r="F905" s="14" t="s">
        <v>210</v>
      </c>
      <c r="G905" s="14" t="s">
        <v>404</v>
      </c>
      <c r="H905" s="15" t="s">
        <v>20</v>
      </c>
      <c r="I905" s="11">
        <f t="shared" si="44"/>
        <v>5</v>
      </c>
      <c r="K905" s="16">
        <v>1300</v>
      </c>
      <c r="M905" s="17">
        <f t="shared" si="42"/>
        <v>128751.7200000001</v>
      </c>
      <c r="N905" s="11">
        <f t="shared" si="43"/>
        <v>9</v>
      </c>
    </row>
    <row r="906" spans="1:14" x14ac:dyDescent="0.25">
      <c r="A906" s="11" t="s">
        <v>0</v>
      </c>
      <c r="B906" s="12">
        <v>45191</v>
      </c>
      <c r="C906" s="11" t="s">
        <v>688</v>
      </c>
      <c r="D906" s="11" t="s">
        <v>692</v>
      </c>
      <c r="E906" s="13" t="s">
        <v>143</v>
      </c>
      <c r="F906" s="14" t="s">
        <v>36</v>
      </c>
      <c r="G906" s="14" t="s">
        <v>403</v>
      </c>
      <c r="H906" s="15">
        <v>213200</v>
      </c>
      <c r="I906" s="11">
        <f t="shared" si="44"/>
        <v>5</v>
      </c>
      <c r="K906" s="16">
        <v>1499.94</v>
      </c>
      <c r="M906" s="17">
        <f t="shared" si="42"/>
        <v>127251.7800000001</v>
      </c>
      <c r="N906" s="11">
        <f t="shared" si="43"/>
        <v>9</v>
      </c>
    </row>
    <row r="907" spans="1:14" x14ac:dyDescent="0.25">
      <c r="A907" s="11" t="s">
        <v>0</v>
      </c>
      <c r="B907" s="12">
        <v>45191</v>
      </c>
      <c r="C907" s="11" t="s">
        <v>688</v>
      </c>
      <c r="D907" s="11" t="s">
        <v>692</v>
      </c>
      <c r="E907" s="13" t="s">
        <v>725</v>
      </c>
      <c r="F907" s="14" t="s">
        <v>33</v>
      </c>
      <c r="G907" s="14" t="s">
        <v>404</v>
      </c>
      <c r="H907" s="15">
        <v>365</v>
      </c>
      <c r="I907" s="11">
        <f t="shared" si="44"/>
        <v>5</v>
      </c>
      <c r="K907" s="16">
        <v>215.91</v>
      </c>
      <c r="M907" s="17">
        <f t="shared" si="42"/>
        <v>127035.8700000001</v>
      </c>
      <c r="N907" s="11">
        <f t="shared" si="43"/>
        <v>9</v>
      </c>
    </row>
    <row r="908" spans="1:14" x14ac:dyDescent="0.25">
      <c r="A908" s="11" t="s">
        <v>0</v>
      </c>
      <c r="B908" s="12">
        <v>45191</v>
      </c>
      <c r="C908" s="11" t="s">
        <v>688</v>
      </c>
      <c r="D908" s="11" t="s">
        <v>697</v>
      </c>
      <c r="E908" s="13" t="s">
        <v>751</v>
      </c>
      <c r="F908" s="14" t="s">
        <v>226</v>
      </c>
      <c r="G908" s="14" t="s">
        <v>404</v>
      </c>
      <c r="I908" s="11">
        <f t="shared" si="44"/>
        <v>5</v>
      </c>
      <c r="K908" s="16">
        <v>5381.99</v>
      </c>
      <c r="M908" s="17">
        <f t="shared" si="42"/>
        <v>121653.88000000009</v>
      </c>
      <c r="N908" s="11">
        <f t="shared" si="43"/>
        <v>9</v>
      </c>
    </row>
    <row r="909" spans="1:14" x14ac:dyDescent="0.25">
      <c r="A909" s="11" t="s">
        <v>0</v>
      </c>
      <c r="B909" s="12">
        <v>45191</v>
      </c>
      <c r="C909" s="11" t="s">
        <v>688</v>
      </c>
      <c r="D909" s="11" t="s">
        <v>692</v>
      </c>
      <c r="E909" s="13" t="s">
        <v>725</v>
      </c>
      <c r="F909" s="14" t="s">
        <v>33</v>
      </c>
      <c r="G909" s="14" t="s">
        <v>404</v>
      </c>
      <c r="H909" s="15">
        <v>24530</v>
      </c>
      <c r="I909" s="11">
        <f t="shared" si="44"/>
        <v>5</v>
      </c>
      <c r="K909" s="16">
        <v>180.52</v>
      </c>
      <c r="M909" s="17">
        <f t="shared" si="42"/>
        <v>121473.36000000009</v>
      </c>
      <c r="N909" s="11">
        <f t="shared" si="43"/>
        <v>9</v>
      </c>
    </row>
    <row r="910" spans="1:14" x14ac:dyDescent="0.25">
      <c r="A910" s="11" t="s">
        <v>0</v>
      </c>
      <c r="B910" s="12">
        <v>45191</v>
      </c>
      <c r="C910" s="11" t="s">
        <v>688</v>
      </c>
      <c r="D910" s="11" t="s">
        <v>692</v>
      </c>
      <c r="E910" s="13" t="s">
        <v>725</v>
      </c>
      <c r="F910" s="14" t="s">
        <v>27</v>
      </c>
      <c r="G910" s="14" t="s">
        <v>404</v>
      </c>
      <c r="H910" s="15">
        <v>13447</v>
      </c>
      <c r="I910" s="11">
        <f t="shared" si="44"/>
        <v>5</v>
      </c>
      <c r="K910" s="16">
        <v>2651.51</v>
      </c>
      <c r="M910" s="17">
        <f t="shared" si="42"/>
        <v>118821.85000000009</v>
      </c>
      <c r="N910" s="11">
        <f t="shared" si="43"/>
        <v>9</v>
      </c>
    </row>
    <row r="911" spans="1:14" x14ac:dyDescent="0.25">
      <c r="A911" s="11" t="s">
        <v>0</v>
      </c>
      <c r="B911" s="12">
        <v>45191</v>
      </c>
      <c r="C911" s="11" t="s">
        <v>688</v>
      </c>
      <c r="D911" s="11" t="s">
        <v>694</v>
      </c>
      <c r="E911" s="13" t="s">
        <v>182</v>
      </c>
      <c r="F911" s="14" t="s">
        <v>93</v>
      </c>
      <c r="G911" s="14" t="s">
        <v>186</v>
      </c>
      <c r="I911" s="11" t="b">
        <f t="shared" si="44"/>
        <v>0</v>
      </c>
      <c r="K911" s="16">
        <v>4.2699999999999996</v>
      </c>
      <c r="M911" s="17">
        <f t="shared" si="42"/>
        <v>118817.58000000009</v>
      </c>
      <c r="N911" s="11">
        <f t="shared" si="43"/>
        <v>9</v>
      </c>
    </row>
    <row r="912" spans="1:14" x14ac:dyDescent="0.25">
      <c r="A912" s="11" t="s">
        <v>0</v>
      </c>
      <c r="B912" s="12">
        <v>45191</v>
      </c>
      <c r="C912" s="11" t="s">
        <v>688</v>
      </c>
      <c r="D912" s="11" t="s">
        <v>694</v>
      </c>
      <c r="E912" s="13" t="s">
        <v>182</v>
      </c>
      <c r="F912" s="14" t="s">
        <v>23</v>
      </c>
      <c r="G912" s="14" t="s">
        <v>186</v>
      </c>
      <c r="I912" s="11" t="b">
        <f t="shared" si="44"/>
        <v>0</v>
      </c>
      <c r="K912" s="16">
        <v>18.14</v>
      </c>
      <c r="M912" s="17">
        <f t="shared" si="42"/>
        <v>118799.44000000009</v>
      </c>
      <c r="N912" s="11">
        <f t="shared" si="43"/>
        <v>9</v>
      </c>
    </row>
    <row r="913" spans="1:15" x14ac:dyDescent="0.25">
      <c r="A913" s="11" t="s">
        <v>207</v>
      </c>
      <c r="B913" s="12">
        <v>45191</v>
      </c>
      <c r="C913" s="11" t="s">
        <v>688</v>
      </c>
      <c r="D913" s="11" t="s">
        <v>43</v>
      </c>
      <c r="E913" s="13" t="s">
        <v>95</v>
      </c>
      <c r="F913" s="14" t="s">
        <v>227</v>
      </c>
      <c r="G913" s="14" t="s">
        <v>400</v>
      </c>
      <c r="I913" s="11">
        <f t="shared" si="44"/>
        <v>2</v>
      </c>
      <c r="J913" s="16">
        <v>626.20000000000005</v>
      </c>
      <c r="M913" s="17">
        <f t="shared" si="42"/>
        <v>119425.64000000009</v>
      </c>
      <c r="N913" s="11">
        <f t="shared" si="43"/>
        <v>9</v>
      </c>
    </row>
    <row r="914" spans="1:15" x14ac:dyDescent="0.25">
      <c r="A914" s="11" t="s">
        <v>207</v>
      </c>
      <c r="B914" s="12">
        <v>45191</v>
      </c>
      <c r="C914" s="11" t="s">
        <v>688</v>
      </c>
      <c r="D914" s="11" t="s">
        <v>43</v>
      </c>
      <c r="E914" s="14" t="s">
        <v>288</v>
      </c>
      <c r="F914" s="14" t="s">
        <v>288</v>
      </c>
      <c r="G914" s="14" t="s">
        <v>173</v>
      </c>
      <c r="I914" s="11">
        <f t="shared" si="44"/>
        <v>3</v>
      </c>
      <c r="J914" s="16">
        <v>290</v>
      </c>
      <c r="M914" s="17">
        <f t="shared" si="42"/>
        <v>119715.64000000009</v>
      </c>
      <c r="N914" s="11">
        <f t="shared" si="43"/>
        <v>9</v>
      </c>
    </row>
    <row r="915" spans="1:15" x14ac:dyDescent="0.25">
      <c r="A915" s="11" t="s">
        <v>0</v>
      </c>
      <c r="B915" s="12">
        <v>45192</v>
      </c>
      <c r="C915" s="11" t="s">
        <v>688</v>
      </c>
      <c r="D915" s="11" t="s">
        <v>697</v>
      </c>
      <c r="E915" s="13" t="s">
        <v>431</v>
      </c>
      <c r="F915" s="14" t="s">
        <v>431</v>
      </c>
      <c r="G915" s="14" t="s">
        <v>173</v>
      </c>
      <c r="I915" s="11">
        <f t="shared" si="44"/>
        <v>6</v>
      </c>
      <c r="K915" s="16">
        <v>285</v>
      </c>
      <c r="M915" s="17">
        <f t="shared" si="42"/>
        <v>119430.64000000009</v>
      </c>
      <c r="N915" s="11">
        <f t="shared" si="43"/>
        <v>9</v>
      </c>
    </row>
    <row r="916" spans="1:15" x14ac:dyDescent="0.25">
      <c r="A916" s="11" t="s">
        <v>207</v>
      </c>
      <c r="B916" s="12">
        <v>45192</v>
      </c>
      <c r="C916" s="11" t="s">
        <v>688</v>
      </c>
      <c r="D916" s="11" t="s">
        <v>43</v>
      </c>
      <c r="E916" s="14" t="s">
        <v>429</v>
      </c>
      <c r="F916" s="14" t="s">
        <v>429</v>
      </c>
      <c r="G916" s="14" t="s">
        <v>428</v>
      </c>
      <c r="I916" s="11">
        <f t="shared" si="44"/>
        <v>1</v>
      </c>
      <c r="J916" s="16">
        <v>8754.67</v>
      </c>
      <c r="M916" s="17">
        <f t="shared" si="42"/>
        <v>128185.31000000008</v>
      </c>
      <c r="N916" s="11">
        <f t="shared" si="43"/>
        <v>9</v>
      </c>
    </row>
    <row r="917" spans="1:15" x14ac:dyDescent="0.25">
      <c r="A917" s="11" t="s">
        <v>207</v>
      </c>
      <c r="B917" s="12">
        <v>45192</v>
      </c>
      <c r="C917" s="11" t="s">
        <v>688</v>
      </c>
      <c r="D917" s="11" t="s">
        <v>43</v>
      </c>
      <c r="E917" s="14" t="s">
        <v>288</v>
      </c>
      <c r="F917" s="14" t="s">
        <v>288</v>
      </c>
      <c r="G917" s="14" t="s">
        <v>173</v>
      </c>
      <c r="I917" s="11">
        <f t="shared" si="44"/>
        <v>3</v>
      </c>
      <c r="J917" s="16">
        <v>280</v>
      </c>
      <c r="M917" s="17">
        <f t="shared" si="42"/>
        <v>128465.31000000008</v>
      </c>
      <c r="N917" s="11">
        <f t="shared" si="43"/>
        <v>9</v>
      </c>
    </row>
    <row r="918" spans="1:15" x14ac:dyDescent="0.25">
      <c r="A918" s="11" t="s">
        <v>207</v>
      </c>
      <c r="B918" s="12">
        <v>45193</v>
      </c>
      <c r="C918" s="11" t="s">
        <v>688</v>
      </c>
      <c r="D918" s="11" t="s">
        <v>43</v>
      </c>
      <c r="E918" s="14" t="s">
        <v>429</v>
      </c>
      <c r="F918" s="14" t="s">
        <v>429</v>
      </c>
      <c r="G918" s="14" t="s">
        <v>428</v>
      </c>
      <c r="I918" s="11">
        <f t="shared" si="44"/>
        <v>1</v>
      </c>
      <c r="J918" s="16">
        <v>5462.45</v>
      </c>
      <c r="M918" s="17">
        <f t="shared" si="42"/>
        <v>133927.7600000001</v>
      </c>
      <c r="N918" s="11">
        <f t="shared" si="43"/>
        <v>9</v>
      </c>
    </row>
    <row r="919" spans="1:15" x14ac:dyDescent="0.25">
      <c r="A919" s="11" t="s">
        <v>207</v>
      </c>
      <c r="B919" s="12">
        <v>45193</v>
      </c>
      <c r="C919" s="11" t="s">
        <v>688</v>
      </c>
      <c r="D919" s="11" t="s">
        <v>43</v>
      </c>
      <c r="E919" s="14" t="s">
        <v>288</v>
      </c>
      <c r="F919" s="14" t="s">
        <v>288</v>
      </c>
      <c r="G919" s="14" t="s">
        <v>173</v>
      </c>
      <c r="I919" s="11">
        <f t="shared" si="44"/>
        <v>3</v>
      </c>
      <c r="J919" s="16">
        <v>1107</v>
      </c>
      <c r="M919" s="17">
        <f t="shared" si="42"/>
        <v>135034.7600000001</v>
      </c>
      <c r="N919" s="11">
        <f t="shared" si="43"/>
        <v>9</v>
      </c>
    </row>
    <row r="920" spans="1:15" x14ac:dyDescent="0.25">
      <c r="A920" s="11" t="s">
        <v>0</v>
      </c>
      <c r="B920" s="12">
        <v>45193</v>
      </c>
      <c r="C920" s="11" t="s">
        <v>688</v>
      </c>
      <c r="D920" s="11" t="s">
        <v>696</v>
      </c>
      <c r="E920" s="13" t="s">
        <v>432</v>
      </c>
      <c r="F920" s="14" t="s">
        <v>433</v>
      </c>
      <c r="G920" s="14" t="s">
        <v>173</v>
      </c>
      <c r="I920" s="11">
        <f t="shared" si="44"/>
        <v>6</v>
      </c>
      <c r="K920" s="16">
        <v>285</v>
      </c>
      <c r="M920" s="17">
        <f t="shared" si="42"/>
        <v>134749.7600000001</v>
      </c>
      <c r="N920" s="11">
        <f t="shared" si="43"/>
        <v>9</v>
      </c>
    </row>
    <row r="921" spans="1:15" ht="39.6" x14ac:dyDescent="0.25">
      <c r="A921" s="11" t="s">
        <v>0</v>
      </c>
      <c r="B921" s="12">
        <v>45194</v>
      </c>
      <c r="C921" s="11" t="s">
        <v>688</v>
      </c>
      <c r="D921" s="11" t="s">
        <v>692</v>
      </c>
      <c r="E921" s="13" t="s">
        <v>725</v>
      </c>
      <c r="F921" s="14" t="s">
        <v>27</v>
      </c>
      <c r="G921" s="14" t="s">
        <v>404</v>
      </c>
      <c r="H921" s="15" t="s">
        <v>235</v>
      </c>
      <c r="I921" s="11">
        <f t="shared" si="44"/>
        <v>5</v>
      </c>
      <c r="K921" s="16">
        <v>406.57</v>
      </c>
      <c r="M921" s="17">
        <f t="shared" si="42"/>
        <v>134343.19000000009</v>
      </c>
      <c r="N921" s="11">
        <f t="shared" si="43"/>
        <v>9</v>
      </c>
    </row>
    <row r="922" spans="1:15" x14ac:dyDescent="0.25">
      <c r="A922" s="11" t="s">
        <v>0</v>
      </c>
      <c r="B922" s="12">
        <v>45194</v>
      </c>
      <c r="C922" s="11" t="s">
        <v>688</v>
      </c>
      <c r="D922" s="11" t="s">
        <v>692</v>
      </c>
      <c r="E922" s="13" t="s">
        <v>179</v>
      </c>
      <c r="F922" s="14" t="s">
        <v>28</v>
      </c>
      <c r="G922" s="14" t="s">
        <v>174</v>
      </c>
      <c r="H922" s="15">
        <v>28</v>
      </c>
      <c r="I922" s="11" t="b">
        <f t="shared" si="44"/>
        <v>0</v>
      </c>
      <c r="K922" s="16">
        <v>3338</v>
      </c>
      <c r="M922" s="17">
        <f t="shared" si="42"/>
        <v>131005.19000000009</v>
      </c>
      <c r="N922" s="11">
        <f t="shared" si="43"/>
        <v>9</v>
      </c>
    </row>
    <row r="923" spans="1:15" ht="26.4" x14ac:dyDescent="0.25">
      <c r="A923" s="11" t="s">
        <v>0</v>
      </c>
      <c r="B923" s="12">
        <v>45194</v>
      </c>
      <c r="C923" s="11" t="s">
        <v>688</v>
      </c>
      <c r="D923" s="11" t="s">
        <v>692</v>
      </c>
      <c r="E923" s="13" t="s">
        <v>143</v>
      </c>
      <c r="F923" s="14" t="s">
        <v>35</v>
      </c>
      <c r="G923" s="14" t="s">
        <v>174</v>
      </c>
      <c r="H923" s="15" t="s">
        <v>362</v>
      </c>
      <c r="I923" s="11" t="b">
        <f t="shared" si="44"/>
        <v>0</v>
      </c>
      <c r="K923" s="16">
        <v>217.27</v>
      </c>
      <c r="M923" s="17">
        <f t="shared" si="42"/>
        <v>130787.92000000009</v>
      </c>
      <c r="N923" s="11">
        <f t="shared" si="43"/>
        <v>9</v>
      </c>
    </row>
    <row r="924" spans="1:15" x14ac:dyDescent="0.25">
      <c r="A924" s="11" t="s">
        <v>0</v>
      </c>
      <c r="B924" s="12">
        <v>45194</v>
      </c>
      <c r="C924" s="11" t="s">
        <v>688</v>
      </c>
      <c r="D924" s="11" t="s">
        <v>692</v>
      </c>
      <c r="E924" s="13" t="s">
        <v>229</v>
      </c>
      <c r="F924" s="14" t="s">
        <v>116</v>
      </c>
      <c r="G924" s="14" t="s">
        <v>404</v>
      </c>
      <c r="H924" s="15">
        <v>10066</v>
      </c>
      <c r="I924" s="11">
        <f t="shared" si="44"/>
        <v>5</v>
      </c>
      <c r="K924" s="16">
        <v>1632</v>
      </c>
      <c r="M924" s="17">
        <f t="shared" si="42"/>
        <v>129155.92000000009</v>
      </c>
      <c r="N924" s="11">
        <f t="shared" si="43"/>
        <v>9</v>
      </c>
    </row>
    <row r="925" spans="1:15" x14ac:dyDescent="0.25">
      <c r="A925" s="11" t="s">
        <v>0</v>
      </c>
      <c r="B925" s="12">
        <v>45194</v>
      </c>
      <c r="C925" s="11" t="s">
        <v>688</v>
      </c>
      <c r="D925" s="11" t="s">
        <v>697</v>
      </c>
      <c r="E925" s="13" t="s">
        <v>751</v>
      </c>
      <c r="F925" s="14" t="s">
        <v>230</v>
      </c>
      <c r="G925" s="14" t="s">
        <v>403</v>
      </c>
      <c r="I925" s="11">
        <f t="shared" si="44"/>
        <v>5</v>
      </c>
      <c r="K925" s="16">
        <v>5073.53</v>
      </c>
      <c r="M925" s="17">
        <f t="shared" si="42"/>
        <v>124082.39000000009</v>
      </c>
      <c r="N925" s="11">
        <f t="shared" si="43"/>
        <v>9</v>
      </c>
      <c r="O925" s="191"/>
    </row>
    <row r="926" spans="1:15" x14ac:dyDescent="0.25">
      <c r="A926" s="11" t="s">
        <v>0</v>
      </c>
      <c r="B926" s="12">
        <v>45194</v>
      </c>
      <c r="C926" s="11" t="s">
        <v>688</v>
      </c>
      <c r="D926" s="11" t="s">
        <v>697</v>
      </c>
      <c r="E926" s="13" t="s">
        <v>751</v>
      </c>
      <c r="F926" s="14" t="s">
        <v>231</v>
      </c>
      <c r="G926" s="14" t="s">
        <v>403</v>
      </c>
      <c r="I926" s="11">
        <f t="shared" si="44"/>
        <v>5</v>
      </c>
      <c r="K926" s="16">
        <v>1101.49</v>
      </c>
      <c r="M926" s="17">
        <f t="shared" si="42"/>
        <v>122980.90000000008</v>
      </c>
      <c r="N926" s="11">
        <f t="shared" si="43"/>
        <v>9</v>
      </c>
    </row>
    <row r="927" spans="1:15" x14ac:dyDescent="0.25">
      <c r="A927" s="11" t="s">
        <v>0</v>
      </c>
      <c r="B927" s="12">
        <v>45194</v>
      </c>
      <c r="C927" s="11" t="s">
        <v>688</v>
      </c>
      <c r="D927" s="11" t="s">
        <v>700</v>
      </c>
      <c r="E927" s="13" t="s">
        <v>233</v>
      </c>
      <c r="F927" s="14" t="s">
        <v>232</v>
      </c>
      <c r="G927" s="14" t="s">
        <v>174</v>
      </c>
      <c r="H927" s="15" t="s">
        <v>234</v>
      </c>
      <c r="I927" s="11" t="b">
        <f t="shared" si="44"/>
        <v>0</v>
      </c>
      <c r="K927" s="16">
        <v>1550</v>
      </c>
      <c r="M927" s="17">
        <f t="shared" si="42"/>
        <v>121430.90000000008</v>
      </c>
      <c r="N927" s="11">
        <f t="shared" si="43"/>
        <v>9</v>
      </c>
    </row>
    <row r="928" spans="1:15" x14ac:dyDescent="0.25">
      <c r="A928" s="11" t="s">
        <v>0</v>
      </c>
      <c r="B928" s="12">
        <v>45194</v>
      </c>
      <c r="C928" s="11" t="s">
        <v>688</v>
      </c>
      <c r="D928" s="11" t="s">
        <v>692</v>
      </c>
      <c r="E928" s="13" t="s">
        <v>725</v>
      </c>
      <c r="F928" s="14" t="s">
        <v>33</v>
      </c>
      <c r="G928" s="14" t="s">
        <v>404</v>
      </c>
      <c r="H928" s="15">
        <v>24557</v>
      </c>
      <c r="I928" s="11">
        <f t="shared" si="44"/>
        <v>5</v>
      </c>
      <c r="K928" s="16">
        <v>682.93</v>
      </c>
      <c r="M928" s="17">
        <f t="shared" si="42"/>
        <v>120747.97000000009</v>
      </c>
      <c r="N928" s="11">
        <f t="shared" si="43"/>
        <v>9</v>
      </c>
    </row>
    <row r="929" spans="1:14" x14ac:dyDescent="0.25">
      <c r="A929" s="11" t="s">
        <v>0</v>
      </c>
      <c r="B929" s="12">
        <v>45194</v>
      </c>
      <c r="C929" s="11" t="s">
        <v>688</v>
      </c>
      <c r="D929" s="11" t="s">
        <v>692</v>
      </c>
      <c r="E929" s="13" t="s">
        <v>108</v>
      </c>
      <c r="F929" s="14" t="s">
        <v>107</v>
      </c>
      <c r="G929" s="14" t="s">
        <v>404</v>
      </c>
      <c r="H929" s="15">
        <v>6</v>
      </c>
      <c r="I929" s="11">
        <f t="shared" si="44"/>
        <v>5</v>
      </c>
      <c r="K929" s="16">
        <v>450</v>
      </c>
      <c r="M929" s="17">
        <f t="shared" si="42"/>
        <v>120297.97000000009</v>
      </c>
      <c r="N929" s="11">
        <f t="shared" si="43"/>
        <v>9</v>
      </c>
    </row>
    <row r="930" spans="1:14" x14ac:dyDescent="0.25">
      <c r="A930" s="11" t="s">
        <v>0</v>
      </c>
      <c r="B930" s="12">
        <v>45194</v>
      </c>
      <c r="C930" s="11" t="s">
        <v>688</v>
      </c>
      <c r="D930" s="11" t="s">
        <v>692</v>
      </c>
      <c r="E930" s="13" t="s">
        <v>725</v>
      </c>
      <c r="F930" s="14" t="s">
        <v>27</v>
      </c>
      <c r="G930" s="14" t="s">
        <v>404</v>
      </c>
      <c r="H930" s="15">
        <v>13493</v>
      </c>
      <c r="I930" s="11">
        <f t="shared" si="44"/>
        <v>5</v>
      </c>
      <c r="K930" s="16">
        <v>500.58</v>
      </c>
      <c r="M930" s="17">
        <f t="shared" si="42"/>
        <v>119797.39000000009</v>
      </c>
      <c r="N930" s="11">
        <f t="shared" si="43"/>
        <v>9</v>
      </c>
    </row>
    <row r="931" spans="1:14" x14ac:dyDescent="0.25">
      <c r="A931" s="11" t="s">
        <v>207</v>
      </c>
      <c r="B931" s="12">
        <v>45194</v>
      </c>
      <c r="C931" s="11" t="s">
        <v>688</v>
      </c>
      <c r="D931" s="11" t="s">
        <v>43</v>
      </c>
      <c r="E931" s="13" t="s">
        <v>14</v>
      </c>
      <c r="F931" s="14" t="s">
        <v>13</v>
      </c>
      <c r="G931" s="14" t="s">
        <v>400</v>
      </c>
      <c r="I931" s="11">
        <f t="shared" si="44"/>
        <v>2</v>
      </c>
      <c r="J931" s="16">
        <v>109.93</v>
      </c>
      <c r="M931" s="17">
        <f t="shared" si="42"/>
        <v>119907.32000000008</v>
      </c>
      <c r="N931" s="11">
        <f t="shared" si="43"/>
        <v>9</v>
      </c>
    </row>
    <row r="932" spans="1:14" x14ac:dyDescent="0.25">
      <c r="A932" s="11" t="s">
        <v>207</v>
      </c>
      <c r="B932" s="12">
        <v>45194</v>
      </c>
      <c r="C932" s="11" t="s">
        <v>688</v>
      </c>
      <c r="D932" s="11" t="s">
        <v>43</v>
      </c>
      <c r="E932" s="13" t="s">
        <v>14</v>
      </c>
      <c r="F932" s="14" t="s">
        <v>13</v>
      </c>
      <c r="G932" s="14" t="s">
        <v>400</v>
      </c>
      <c r="I932" s="11">
        <f t="shared" si="44"/>
        <v>2</v>
      </c>
      <c r="J932" s="16">
        <v>162.4</v>
      </c>
      <c r="M932" s="17">
        <f t="shared" si="42"/>
        <v>120069.72000000007</v>
      </c>
      <c r="N932" s="11">
        <f t="shared" si="43"/>
        <v>9</v>
      </c>
    </row>
    <row r="933" spans="1:14" x14ac:dyDescent="0.25">
      <c r="A933" s="11" t="s">
        <v>207</v>
      </c>
      <c r="B933" s="12">
        <v>45194</v>
      </c>
      <c r="C933" s="11" t="s">
        <v>688</v>
      </c>
      <c r="D933" s="11" t="s">
        <v>43</v>
      </c>
      <c r="E933" s="13" t="s">
        <v>14</v>
      </c>
      <c r="F933" s="14" t="s">
        <v>13</v>
      </c>
      <c r="G933" s="14" t="s">
        <v>400</v>
      </c>
      <c r="I933" s="11">
        <f t="shared" si="44"/>
        <v>2</v>
      </c>
      <c r="J933" s="16">
        <v>73.83</v>
      </c>
      <c r="M933" s="17">
        <f t="shared" si="42"/>
        <v>120143.55000000008</v>
      </c>
      <c r="N933" s="11">
        <f t="shared" si="43"/>
        <v>9</v>
      </c>
    </row>
    <row r="934" spans="1:14" x14ac:dyDescent="0.25">
      <c r="A934" s="11" t="s">
        <v>207</v>
      </c>
      <c r="B934" s="12">
        <v>45194</v>
      </c>
      <c r="C934" s="11" t="s">
        <v>688</v>
      </c>
      <c r="D934" s="11" t="s">
        <v>43</v>
      </c>
      <c r="E934" s="13" t="s">
        <v>14</v>
      </c>
      <c r="F934" s="14" t="s">
        <v>13</v>
      </c>
      <c r="G934" s="14" t="s">
        <v>400</v>
      </c>
      <c r="I934" s="11">
        <f t="shared" si="44"/>
        <v>2</v>
      </c>
      <c r="J934" s="16">
        <v>777.39</v>
      </c>
      <c r="M934" s="17">
        <f t="shared" si="42"/>
        <v>120920.94000000008</v>
      </c>
      <c r="N934" s="11">
        <f t="shared" si="43"/>
        <v>9</v>
      </c>
    </row>
    <row r="935" spans="1:14" x14ac:dyDescent="0.25">
      <c r="A935" s="11" t="s">
        <v>207</v>
      </c>
      <c r="B935" s="12">
        <v>45194</v>
      </c>
      <c r="C935" s="11" t="s">
        <v>662</v>
      </c>
      <c r="D935" s="11" t="s">
        <v>43</v>
      </c>
      <c r="E935" s="13" t="s">
        <v>14</v>
      </c>
      <c r="F935" s="14" t="s">
        <v>13</v>
      </c>
      <c r="G935" s="14" t="s">
        <v>400</v>
      </c>
      <c r="I935" s="11">
        <f t="shared" si="44"/>
        <v>2</v>
      </c>
      <c r="J935" s="16">
        <v>1142.53</v>
      </c>
      <c r="M935" s="17">
        <f t="shared" si="42"/>
        <v>122063.47000000007</v>
      </c>
      <c r="N935" s="11">
        <f t="shared" si="43"/>
        <v>9</v>
      </c>
    </row>
    <row r="936" spans="1:14" x14ac:dyDescent="0.25">
      <c r="A936" s="11" t="s">
        <v>207</v>
      </c>
      <c r="B936" s="12">
        <v>45194</v>
      </c>
      <c r="C936" s="11" t="s">
        <v>662</v>
      </c>
      <c r="D936" s="11" t="s">
        <v>43</v>
      </c>
      <c r="E936" s="13" t="s">
        <v>14</v>
      </c>
      <c r="F936" s="14" t="s">
        <v>13</v>
      </c>
      <c r="G936" s="14" t="s">
        <v>400</v>
      </c>
      <c r="I936" s="11">
        <f t="shared" si="44"/>
        <v>2</v>
      </c>
      <c r="J936" s="16">
        <v>457.47</v>
      </c>
      <c r="M936" s="17">
        <f t="shared" si="42"/>
        <v>122520.94000000008</v>
      </c>
      <c r="N936" s="11">
        <f t="shared" si="43"/>
        <v>9</v>
      </c>
    </row>
    <row r="937" spans="1:14" x14ac:dyDescent="0.25">
      <c r="A937" s="11" t="s">
        <v>207</v>
      </c>
      <c r="B937" s="12">
        <v>45194</v>
      </c>
      <c r="C937" s="11" t="s">
        <v>688</v>
      </c>
      <c r="D937" s="11" t="s">
        <v>43</v>
      </c>
      <c r="E937" s="13" t="s">
        <v>14</v>
      </c>
      <c r="F937" s="14" t="s">
        <v>13</v>
      </c>
      <c r="G937" s="14" t="s">
        <v>400</v>
      </c>
      <c r="I937" s="11">
        <f t="shared" si="44"/>
        <v>2</v>
      </c>
      <c r="J937" s="16">
        <v>378.42</v>
      </c>
      <c r="M937" s="17">
        <f t="shared" si="42"/>
        <v>122899.36000000007</v>
      </c>
      <c r="N937" s="11">
        <f t="shared" si="43"/>
        <v>9</v>
      </c>
    </row>
    <row r="938" spans="1:14" x14ac:dyDescent="0.25">
      <c r="A938" s="11" t="s">
        <v>207</v>
      </c>
      <c r="B938" s="12">
        <v>45194</v>
      </c>
      <c r="C938" s="11" t="s">
        <v>688</v>
      </c>
      <c r="D938" s="11" t="s">
        <v>43</v>
      </c>
      <c r="E938" s="13" t="s">
        <v>14</v>
      </c>
      <c r="F938" s="14" t="s">
        <v>13</v>
      </c>
      <c r="G938" s="14" t="s">
        <v>400</v>
      </c>
      <c r="I938" s="11">
        <f t="shared" si="44"/>
        <v>2</v>
      </c>
      <c r="J938" s="16">
        <v>305.06</v>
      </c>
      <c r="M938" s="17">
        <f t="shared" si="42"/>
        <v>123204.42000000007</v>
      </c>
      <c r="N938" s="11">
        <f t="shared" si="43"/>
        <v>9</v>
      </c>
    </row>
    <row r="939" spans="1:14" x14ac:dyDescent="0.25">
      <c r="A939" s="11" t="s">
        <v>207</v>
      </c>
      <c r="B939" s="12">
        <v>45194</v>
      </c>
      <c r="C939" s="11" t="s">
        <v>688</v>
      </c>
      <c r="D939" s="11" t="s">
        <v>43</v>
      </c>
      <c r="E939" s="13" t="s">
        <v>14</v>
      </c>
      <c r="F939" s="14" t="s">
        <v>13</v>
      </c>
      <c r="G939" s="14" t="s">
        <v>400</v>
      </c>
      <c r="I939" s="11">
        <f t="shared" si="44"/>
        <v>2</v>
      </c>
      <c r="J939" s="16">
        <v>76.91</v>
      </c>
      <c r="M939" s="17">
        <f t="shared" si="42"/>
        <v>123281.33000000007</v>
      </c>
      <c r="N939" s="11">
        <f t="shared" si="43"/>
        <v>9</v>
      </c>
    </row>
    <row r="940" spans="1:14" x14ac:dyDescent="0.25">
      <c r="A940" s="11" t="s">
        <v>207</v>
      </c>
      <c r="B940" s="12">
        <v>45194</v>
      </c>
      <c r="C940" s="11" t="s">
        <v>688</v>
      </c>
      <c r="D940" s="11" t="s">
        <v>43</v>
      </c>
      <c r="E940" s="13" t="s">
        <v>14</v>
      </c>
      <c r="F940" s="14" t="s">
        <v>13</v>
      </c>
      <c r="G940" s="14" t="s">
        <v>400</v>
      </c>
      <c r="I940" s="11">
        <f t="shared" si="44"/>
        <v>2</v>
      </c>
      <c r="J940" s="16">
        <v>19.8</v>
      </c>
      <c r="M940" s="17">
        <f t="shared" si="42"/>
        <v>123301.13000000008</v>
      </c>
      <c r="N940" s="11">
        <f t="shared" si="43"/>
        <v>9</v>
      </c>
    </row>
    <row r="941" spans="1:14" x14ac:dyDescent="0.25">
      <c r="A941" s="11" t="s">
        <v>207</v>
      </c>
      <c r="B941" s="12">
        <v>45194</v>
      </c>
      <c r="C941" s="11" t="s">
        <v>688</v>
      </c>
      <c r="D941" s="11" t="s">
        <v>43</v>
      </c>
      <c r="E941" s="13" t="s">
        <v>14</v>
      </c>
      <c r="F941" s="14" t="s">
        <v>13</v>
      </c>
      <c r="G941" s="14" t="s">
        <v>400</v>
      </c>
      <c r="I941" s="11">
        <f t="shared" si="44"/>
        <v>2</v>
      </c>
      <c r="J941" s="16">
        <v>369.29</v>
      </c>
      <c r="M941" s="17">
        <f t="shared" si="42"/>
        <v>123670.42000000007</v>
      </c>
      <c r="N941" s="11">
        <f t="shared" si="43"/>
        <v>9</v>
      </c>
    </row>
    <row r="942" spans="1:14" x14ac:dyDescent="0.25">
      <c r="A942" s="11" t="s">
        <v>207</v>
      </c>
      <c r="B942" s="12">
        <v>45194</v>
      </c>
      <c r="C942" s="11" t="s">
        <v>688</v>
      </c>
      <c r="D942" s="11" t="s">
        <v>43</v>
      </c>
      <c r="E942" s="13" t="s">
        <v>14</v>
      </c>
      <c r="F942" s="14" t="s">
        <v>13</v>
      </c>
      <c r="G942" s="14" t="s">
        <v>400</v>
      </c>
      <c r="I942" s="11">
        <f t="shared" si="44"/>
        <v>2</v>
      </c>
      <c r="J942" s="16">
        <v>470.61</v>
      </c>
      <c r="M942" s="17">
        <f t="shared" si="42"/>
        <v>124141.03000000007</v>
      </c>
      <c r="N942" s="11">
        <f t="shared" si="43"/>
        <v>9</v>
      </c>
    </row>
    <row r="943" spans="1:14" x14ac:dyDescent="0.25">
      <c r="A943" s="11" t="s">
        <v>207</v>
      </c>
      <c r="B943" s="12">
        <v>45194</v>
      </c>
      <c r="C943" s="11" t="s">
        <v>688</v>
      </c>
      <c r="D943" s="11" t="s">
        <v>43</v>
      </c>
      <c r="E943" s="13" t="s">
        <v>14</v>
      </c>
      <c r="F943" s="14" t="s">
        <v>13</v>
      </c>
      <c r="G943" s="14" t="s">
        <v>400</v>
      </c>
      <c r="I943" s="11">
        <f t="shared" si="44"/>
        <v>2</v>
      </c>
      <c r="J943" s="16">
        <v>577.35</v>
      </c>
      <c r="M943" s="17">
        <f t="shared" si="42"/>
        <v>124718.38000000008</v>
      </c>
      <c r="N943" s="11">
        <f t="shared" si="43"/>
        <v>9</v>
      </c>
    </row>
    <row r="944" spans="1:14" x14ac:dyDescent="0.25">
      <c r="A944" s="11" t="s">
        <v>207</v>
      </c>
      <c r="B944" s="12">
        <v>45194</v>
      </c>
      <c r="C944" s="11" t="s">
        <v>688</v>
      </c>
      <c r="D944" s="11" t="s">
        <v>43</v>
      </c>
      <c r="E944" s="13" t="s">
        <v>80</v>
      </c>
      <c r="F944" s="14" t="s">
        <v>79</v>
      </c>
      <c r="G944" s="14" t="s">
        <v>400</v>
      </c>
      <c r="I944" s="11">
        <f t="shared" si="44"/>
        <v>2</v>
      </c>
      <c r="J944" s="16">
        <v>6383.15</v>
      </c>
      <c r="M944" s="17">
        <f t="shared" si="42"/>
        <v>131101.53000000009</v>
      </c>
      <c r="N944" s="11">
        <f t="shared" si="43"/>
        <v>9</v>
      </c>
    </row>
    <row r="945" spans="1:14" x14ac:dyDescent="0.25">
      <c r="A945" s="11" t="s">
        <v>207</v>
      </c>
      <c r="B945" s="12">
        <v>45194</v>
      </c>
      <c r="C945" s="11" t="s">
        <v>688</v>
      </c>
      <c r="D945" s="11" t="s">
        <v>43</v>
      </c>
      <c r="E945" s="13" t="s">
        <v>81</v>
      </c>
      <c r="F945" s="14" t="s">
        <v>79</v>
      </c>
      <c r="G945" s="14" t="s">
        <v>400</v>
      </c>
      <c r="I945" s="11">
        <f t="shared" si="44"/>
        <v>2</v>
      </c>
      <c r="J945" s="16">
        <v>5478.67</v>
      </c>
      <c r="M945" s="17">
        <f t="shared" si="42"/>
        <v>136580.2000000001</v>
      </c>
      <c r="N945" s="11">
        <f t="shared" si="43"/>
        <v>9</v>
      </c>
    </row>
    <row r="946" spans="1:14" x14ac:dyDescent="0.25">
      <c r="A946" s="11" t="s">
        <v>207</v>
      </c>
      <c r="B946" s="12">
        <v>45194</v>
      </c>
      <c r="C946" s="11" t="s">
        <v>688</v>
      </c>
      <c r="D946" s="11" t="s">
        <v>43</v>
      </c>
      <c r="E946" s="13" t="s">
        <v>82</v>
      </c>
      <c r="F946" s="14" t="s">
        <v>79</v>
      </c>
      <c r="G946" s="14" t="s">
        <v>400</v>
      </c>
      <c r="I946" s="11">
        <f t="shared" si="44"/>
        <v>2</v>
      </c>
      <c r="J946" s="16">
        <v>890.75</v>
      </c>
      <c r="M946" s="17">
        <f t="shared" si="42"/>
        <v>137470.9500000001</v>
      </c>
      <c r="N946" s="11">
        <f t="shared" si="43"/>
        <v>9</v>
      </c>
    </row>
    <row r="947" spans="1:14" x14ac:dyDescent="0.25">
      <c r="A947" s="11" t="s">
        <v>207</v>
      </c>
      <c r="B947" s="12">
        <v>45194</v>
      </c>
      <c r="C947" s="11" t="s">
        <v>688</v>
      </c>
      <c r="D947" s="11" t="s">
        <v>43</v>
      </c>
      <c r="E947" s="13" t="s">
        <v>83</v>
      </c>
      <c r="F947" s="14" t="s">
        <v>79</v>
      </c>
      <c r="G947" s="14" t="s">
        <v>400</v>
      </c>
      <c r="I947" s="11">
        <f t="shared" si="44"/>
        <v>2</v>
      </c>
      <c r="J947" s="16">
        <v>310.75</v>
      </c>
      <c r="M947" s="17">
        <f t="shared" si="42"/>
        <v>137781.7000000001</v>
      </c>
      <c r="N947" s="11">
        <f t="shared" si="43"/>
        <v>9</v>
      </c>
    </row>
    <row r="948" spans="1:14" x14ac:dyDescent="0.25">
      <c r="A948" s="11" t="s">
        <v>207</v>
      </c>
      <c r="B948" s="12">
        <v>45194</v>
      </c>
      <c r="C948" s="11" t="s">
        <v>688</v>
      </c>
      <c r="D948" s="11" t="s">
        <v>43</v>
      </c>
      <c r="E948" s="13" t="s">
        <v>95</v>
      </c>
      <c r="F948" s="14" t="s">
        <v>236</v>
      </c>
      <c r="G948" s="14" t="s">
        <v>400</v>
      </c>
      <c r="I948" s="11">
        <f t="shared" si="44"/>
        <v>2</v>
      </c>
      <c r="J948" s="16">
        <v>4180.21</v>
      </c>
      <c r="M948" s="17">
        <f t="shared" si="42"/>
        <v>141961.91000000009</v>
      </c>
      <c r="N948" s="11">
        <f t="shared" si="43"/>
        <v>9</v>
      </c>
    </row>
    <row r="949" spans="1:14" x14ac:dyDescent="0.25">
      <c r="A949" s="11" t="s">
        <v>207</v>
      </c>
      <c r="B949" s="12">
        <v>45194</v>
      </c>
      <c r="C949" s="11" t="s">
        <v>688</v>
      </c>
      <c r="D949" s="11" t="s">
        <v>43</v>
      </c>
      <c r="E949" s="14" t="s">
        <v>429</v>
      </c>
      <c r="F949" s="14" t="s">
        <v>429</v>
      </c>
      <c r="G949" s="14" t="s">
        <v>428</v>
      </c>
      <c r="I949" s="11">
        <f t="shared" si="44"/>
        <v>1</v>
      </c>
      <c r="J949" s="16">
        <v>1600</v>
      </c>
      <c r="M949" s="17">
        <f t="shared" si="42"/>
        <v>143561.91000000009</v>
      </c>
      <c r="N949" s="11">
        <f t="shared" si="43"/>
        <v>9</v>
      </c>
    </row>
    <row r="950" spans="1:14" x14ac:dyDescent="0.25">
      <c r="A950" s="11" t="s">
        <v>0</v>
      </c>
      <c r="B950" s="12">
        <v>45194</v>
      </c>
      <c r="C950" s="11" t="s">
        <v>688</v>
      </c>
      <c r="D950" s="11" t="s">
        <v>694</v>
      </c>
      <c r="E950" s="13" t="s">
        <v>182</v>
      </c>
      <c r="F950" s="14" t="s">
        <v>93</v>
      </c>
      <c r="G950" s="14" t="s">
        <v>186</v>
      </c>
      <c r="I950" s="11" t="b">
        <f t="shared" si="44"/>
        <v>0</v>
      </c>
      <c r="K950" s="16">
        <v>7.17</v>
      </c>
      <c r="M950" s="17">
        <f t="shared" si="42"/>
        <v>143554.74000000008</v>
      </c>
      <c r="N950" s="11">
        <f t="shared" si="43"/>
        <v>9</v>
      </c>
    </row>
    <row r="951" spans="1:14" x14ac:dyDescent="0.25">
      <c r="A951" s="11" t="s">
        <v>0</v>
      </c>
      <c r="B951" s="12">
        <v>45194</v>
      </c>
      <c r="C951" s="11" t="s">
        <v>688</v>
      </c>
      <c r="D951" s="11" t="s">
        <v>694</v>
      </c>
      <c r="E951" s="13" t="s">
        <v>182</v>
      </c>
      <c r="F951" s="14" t="s">
        <v>23</v>
      </c>
      <c r="G951" s="14" t="s">
        <v>186</v>
      </c>
      <c r="I951" s="11" t="b">
        <f t="shared" si="44"/>
        <v>0</v>
      </c>
      <c r="K951" s="16">
        <v>53.44</v>
      </c>
      <c r="M951" s="17">
        <f t="shared" si="42"/>
        <v>143501.30000000008</v>
      </c>
      <c r="N951" s="11">
        <f t="shared" si="43"/>
        <v>9</v>
      </c>
    </row>
    <row r="952" spans="1:14" x14ac:dyDescent="0.25">
      <c r="A952" s="11" t="s">
        <v>207</v>
      </c>
      <c r="B952" s="12">
        <v>45195</v>
      </c>
      <c r="C952" s="11" t="s">
        <v>688</v>
      </c>
      <c r="D952" s="11" t="s">
        <v>43</v>
      </c>
      <c r="E952" s="13" t="s">
        <v>14</v>
      </c>
      <c r="F952" s="14" t="s">
        <v>13</v>
      </c>
      <c r="G952" s="14" t="s">
        <v>400</v>
      </c>
      <c r="I952" s="11">
        <f t="shared" si="44"/>
        <v>2</v>
      </c>
      <c r="J952" s="16">
        <v>162.74</v>
      </c>
      <c r="M952" s="17">
        <f t="shared" si="42"/>
        <v>143664.04000000007</v>
      </c>
      <c r="N952" s="11">
        <f t="shared" si="43"/>
        <v>9</v>
      </c>
    </row>
    <row r="953" spans="1:14" x14ac:dyDescent="0.25">
      <c r="A953" s="11" t="s">
        <v>207</v>
      </c>
      <c r="B953" s="12">
        <v>45195</v>
      </c>
      <c r="C953" s="11" t="s">
        <v>688</v>
      </c>
      <c r="D953" s="11" t="s">
        <v>43</v>
      </c>
      <c r="E953" s="13" t="s">
        <v>14</v>
      </c>
      <c r="F953" s="14" t="s">
        <v>13</v>
      </c>
      <c r="G953" s="14" t="s">
        <v>400</v>
      </c>
      <c r="I953" s="11">
        <f t="shared" si="44"/>
        <v>2</v>
      </c>
      <c r="J953" s="16">
        <v>165.49</v>
      </c>
      <c r="M953" s="17">
        <f t="shared" si="42"/>
        <v>143829.53000000006</v>
      </c>
      <c r="N953" s="11">
        <f t="shared" si="43"/>
        <v>9</v>
      </c>
    </row>
    <row r="954" spans="1:14" x14ac:dyDescent="0.25">
      <c r="A954" s="11" t="s">
        <v>207</v>
      </c>
      <c r="B954" s="12">
        <v>45195</v>
      </c>
      <c r="C954" s="11" t="s">
        <v>688</v>
      </c>
      <c r="D954" s="11" t="s">
        <v>43</v>
      </c>
      <c r="E954" s="13" t="s">
        <v>14</v>
      </c>
      <c r="F954" s="14" t="s">
        <v>13</v>
      </c>
      <c r="G954" s="14" t="s">
        <v>400</v>
      </c>
      <c r="I954" s="11">
        <f t="shared" si="44"/>
        <v>2</v>
      </c>
      <c r="J954" s="16">
        <v>22.17</v>
      </c>
      <c r="M954" s="17">
        <f t="shared" si="42"/>
        <v>143851.70000000007</v>
      </c>
      <c r="N954" s="11">
        <f t="shared" si="43"/>
        <v>9</v>
      </c>
    </row>
    <row r="955" spans="1:14" x14ac:dyDescent="0.25">
      <c r="A955" s="11" t="s">
        <v>207</v>
      </c>
      <c r="B955" s="12">
        <v>45195</v>
      </c>
      <c r="C955" s="11" t="s">
        <v>688</v>
      </c>
      <c r="D955" s="11" t="s">
        <v>43</v>
      </c>
      <c r="E955" s="13" t="s">
        <v>14</v>
      </c>
      <c r="F955" s="14" t="s">
        <v>13</v>
      </c>
      <c r="G955" s="14" t="s">
        <v>400</v>
      </c>
      <c r="I955" s="11">
        <f t="shared" si="44"/>
        <v>2</v>
      </c>
      <c r="J955" s="16">
        <v>122.93</v>
      </c>
      <c r="M955" s="17">
        <f t="shared" si="42"/>
        <v>143974.63000000006</v>
      </c>
      <c r="N955" s="11">
        <f t="shared" si="43"/>
        <v>9</v>
      </c>
    </row>
    <row r="956" spans="1:14" x14ac:dyDescent="0.25">
      <c r="A956" s="11" t="s">
        <v>207</v>
      </c>
      <c r="B956" s="12">
        <v>45195</v>
      </c>
      <c r="C956" s="11" t="s">
        <v>688</v>
      </c>
      <c r="D956" s="11" t="s">
        <v>43</v>
      </c>
      <c r="E956" s="13" t="s">
        <v>80</v>
      </c>
      <c r="F956" s="14" t="s">
        <v>79</v>
      </c>
      <c r="G956" s="14" t="s">
        <v>400</v>
      </c>
      <c r="I956" s="11">
        <f t="shared" si="44"/>
        <v>2</v>
      </c>
      <c r="J956" s="16">
        <v>1857.94</v>
      </c>
      <c r="M956" s="17">
        <f t="shared" si="42"/>
        <v>145832.57000000007</v>
      </c>
      <c r="N956" s="11">
        <f t="shared" si="43"/>
        <v>9</v>
      </c>
    </row>
    <row r="957" spans="1:14" x14ac:dyDescent="0.25">
      <c r="A957" s="11" t="s">
        <v>207</v>
      </c>
      <c r="B957" s="12">
        <v>45195</v>
      </c>
      <c r="C957" s="11" t="s">
        <v>688</v>
      </c>
      <c r="D957" s="11" t="s">
        <v>43</v>
      </c>
      <c r="E957" s="13" t="s">
        <v>81</v>
      </c>
      <c r="F957" s="14" t="s">
        <v>79</v>
      </c>
      <c r="G957" s="14" t="s">
        <v>400</v>
      </c>
      <c r="I957" s="11">
        <f t="shared" si="44"/>
        <v>2</v>
      </c>
      <c r="J957" s="16">
        <v>175.3</v>
      </c>
      <c r="M957" s="17">
        <f t="shared" si="42"/>
        <v>146007.87000000005</v>
      </c>
      <c r="N957" s="11">
        <f t="shared" si="43"/>
        <v>9</v>
      </c>
    </row>
    <row r="958" spans="1:14" x14ac:dyDescent="0.25">
      <c r="A958" s="11" t="s">
        <v>207</v>
      </c>
      <c r="B958" s="12">
        <v>45195</v>
      </c>
      <c r="C958" s="11" t="s">
        <v>662</v>
      </c>
      <c r="D958" s="11" t="s">
        <v>43</v>
      </c>
      <c r="E958" s="13" t="s">
        <v>81</v>
      </c>
      <c r="F958" s="14" t="s">
        <v>79</v>
      </c>
      <c r="G958" s="14" t="s">
        <v>400</v>
      </c>
      <c r="I958" s="11">
        <f t="shared" si="44"/>
        <v>2</v>
      </c>
      <c r="J958" s="16">
        <v>2000</v>
      </c>
      <c r="M958" s="17">
        <f t="shared" si="42"/>
        <v>148007.87000000005</v>
      </c>
      <c r="N958" s="11">
        <f t="shared" si="43"/>
        <v>9</v>
      </c>
    </row>
    <row r="959" spans="1:14" x14ac:dyDescent="0.25">
      <c r="A959" s="11" t="s">
        <v>207</v>
      </c>
      <c r="B959" s="12">
        <v>45195</v>
      </c>
      <c r="C959" s="11" t="s">
        <v>688</v>
      </c>
      <c r="D959" s="11" t="s">
        <v>43</v>
      </c>
      <c r="E959" s="13" t="s">
        <v>82</v>
      </c>
      <c r="F959" s="14" t="s">
        <v>79</v>
      </c>
      <c r="G959" s="14" t="s">
        <v>400</v>
      </c>
      <c r="I959" s="11">
        <f t="shared" si="44"/>
        <v>2</v>
      </c>
      <c r="J959" s="16">
        <v>190.88</v>
      </c>
      <c r="M959" s="17">
        <f t="shared" si="42"/>
        <v>148198.75000000006</v>
      </c>
      <c r="N959" s="11">
        <f t="shared" si="43"/>
        <v>9</v>
      </c>
    </row>
    <row r="960" spans="1:14" x14ac:dyDescent="0.25">
      <c r="A960" s="11" t="s">
        <v>0</v>
      </c>
      <c r="B960" s="12">
        <v>45195</v>
      </c>
      <c r="C960" s="11" t="s">
        <v>688</v>
      </c>
      <c r="D960" s="11" t="s">
        <v>692</v>
      </c>
      <c r="E960" s="13" t="s">
        <v>169</v>
      </c>
      <c r="F960" s="14" t="s">
        <v>50</v>
      </c>
      <c r="G960" s="14" t="s">
        <v>404</v>
      </c>
      <c r="H960" s="15">
        <v>1177568</v>
      </c>
      <c r="I960" s="11">
        <f t="shared" si="44"/>
        <v>5</v>
      </c>
      <c r="K960" s="16">
        <v>750</v>
      </c>
      <c r="M960" s="17">
        <f t="shared" si="42"/>
        <v>147448.75000000006</v>
      </c>
      <c r="N960" s="11">
        <f t="shared" si="43"/>
        <v>9</v>
      </c>
    </row>
    <row r="961" spans="1:14" x14ac:dyDescent="0.25">
      <c r="A961" s="11" t="s">
        <v>0</v>
      </c>
      <c r="B961" s="12">
        <v>45195</v>
      </c>
      <c r="C961" s="11" t="s">
        <v>688</v>
      </c>
      <c r="D961" s="11" t="s">
        <v>692</v>
      </c>
      <c r="E961" s="13" t="s">
        <v>725</v>
      </c>
      <c r="F961" s="14" t="s">
        <v>33</v>
      </c>
      <c r="G961" s="14" t="s">
        <v>404</v>
      </c>
      <c r="H961" s="15">
        <v>24558</v>
      </c>
      <c r="I961" s="11">
        <f t="shared" si="44"/>
        <v>5</v>
      </c>
      <c r="K961" s="16">
        <v>152.56</v>
      </c>
      <c r="M961" s="17">
        <f t="shared" si="42"/>
        <v>147296.19000000006</v>
      </c>
      <c r="N961" s="11">
        <f t="shared" si="43"/>
        <v>9</v>
      </c>
    </row>
    <row r="962" spans="1:14" ht="26.4" x14ac:dyDescent="0.25">
      <c r="A962" s="11" t="s">
        <v>0</v>
      </c>
      <c r="B962" s="12">
        <v>45195</v>
      </c>
      <c r="C962" s="11" t="s">
        <v>688</v>
      </c>
      <c r="D962" s="11" t="s">
        <v>692</v>
      </c>
      <c r="E962" s="13" t="s">
        <v>725</v>
      </c>
      <c r="F962" s="14" t="s">
        <v>27</v>
      </c>
      <c r="G962" s="14" t="s">
        <v>404</v>
      </c>
      <c r="H962" s="15" t="s">
        <v>285</v>
      </c>
      <c r="I962" s="11">
        <f t="shared" si="44"/>
        <v>5</v>
      </c>
      <c r="K962" s="16">
        <v>1409.78</v>
      </c>
      <c r="M962" s="17">
        <f t="shared" si="42"/>
        <v>145886.41000000006</v>
      </c>
      <c r="N962" s="11">
        <f t="shared" si="43"/>
        <v>9</v>
      </c>
    </row>
    <row r="963" spans="1:14" x14ac:dyDescent="0.25">
      <c r="A963" s="11" t="s">
        <v>207</v>
      </c>
      <c r="B963" s="12">
        <v>45195</v>
      </c>
      <c r="C963" s="11" t="s">
        <v>688</v>
      </c>
      <c r="D963" s="11" t="s">
        <v>43</v>
      </c>
      <c r="E963" s="13" t="s">
        <v>95</v>
      </c>
      <c r="F963" s="14" t="s">
        <v>237</v>
      </c>
      <c r="G963" s="14" t="s">
        <v>400</v>
      </c>
      <c r="I963" s="11">
        <f t="shared" si="44"/>
        <v>2</v>
      </c>
      <c r="J963" s="16">
        <v>51.53</v>
      </c>
      <c r="M963" s="17">
        <f t="shared" ref="M963:M1026" si="45">IF(B963=0, "",M962+ J963-K963)</f>
        <v>145937.94000000006</v>
      </c>
      <c r="N963" s="11">
        <f t="shared" ref="N963:N1026" si="46">IF(B963=0, "", MONTH(B963))</f>
        <v>9</v>
      </c>
    </row>
    <row r="964" spans="1:14" x14ac:dyDescent="0.25">
      <c r="A964" s="11" t="s">
        <v>207</v>
      </c>
      <c r="B964" s="12">
        <v>45195</v>
      </c>
      <c r="C964" s="11" t="s">
        <v>688</v>
      </c>
      <c r="D964" s="11" t="s">
        <v>43</v>
      </c>
      <c r="E964" s="14" t="s">
        <v>288</v>
      </c>
      <c r="F964" s="14" t="s">
        <v>288</v>
      </c>
      <c r="G964" s="14" t="s">
        <v>173</v>
      </c>
      <c r="I964" s="11">
        <f t="shared" ref="I964:I1027" si="47">IF(AND(G964="MERCADO PAGO",A964="FATURAMENTO"),1,IF(AND(OR(G964="MERCADO PAGO",G964="pix mercado pago",G964= "débito automático mercado pago", G964= "boleto mercado pago"),A964="DESPESAS"),4,IF(AND(G964="SAFRA",A964="FATURAMENTO"),2,IF(AND(OR(G964="SAFRA",G964="PIX SAFRA", G964="DÉBITO AUTOMÁTICO SAFRA", G964= "BOLETO SAFRA", G964= "transferência safra"), A964="DESPESAS"),5,IF(AND(G964="espécie",A964="FATURAMENTO"),3,IF(AND(G964="espécie",A964="DESPESAS"),6))))))</f>
        <v>3</v>
      </c>
      <c r="J964" s="16">
        <v>355</v>
      </c>
      <c r="M964" s="17">
        <f t="shared" si="45"/>
        <v>146292.94000000006</v>
      </c>
      <c r="N964" s="11">
        <f t="shared" si="46"/>
        <v>9</v>
      </c>
    </row>
    <row r="965" spans="1:14" x14ac:dyDescent="0.25">
      <c r="A965" s="11" t="s">
        <v>0</v>
      </c>
      <c r="B965" s="12">
        <v>45195</v>
      </c>
      <c r="C965" s="11" t="s">
        <v>688</v>
      </c>
      <c r="D965" s="11" t="s">
        <v>694</v>
      </c>
      <c r="E965" s="13" t="s">
        <v>182</v>
      </c>
      <c r="F965" s="14" t="s">
        <v>93</v>
      </c>
      <c r="G965" s="14" t="s">
        <v>186</v>
      </c>
      <c r="I965" s="11" t="b">
        <f t="shared" si="47"/>
        <v>0</v>
      </c>
      <c r="K965" s="16">
        <v>0.36</v>
      </c>
      <c r="M965" s="17">
        <f t="shared" si="45"/>
        <v>146292.58000000007</v>
      </c>
      <c r="N965" s="11">
        <f t="shared" si="46"/>
        <v>9</v>
      </c>
    </row>
    <row r="966" spans="1:14" x14ac:dyDescent="0.25">
      <c r="A966" s="11" t="s">
        <v>0</v>
      </c>
      <c r="B966" s="12">
        <v>45195</v>
      </c>
      <c r="C966" s="11" t="s">
        <v>688</v>
      </c>
      <c r="D966" s="11" t="s">
        <v>694</v>
      </c>
      <c r="E966" s="13" t="s">
        <v>182</v>
      </c>
      <c r="F966" s="14" t="s">
        <v>23</v>
      </c>
      <c r="G966" s="14" t="s">
        <v>186</v>
      </c>
      <c r="I966" s="11" t="b">
        <f t="shared" si="47"/>
        <v>0</v>
      </c>
      <c r="K966" s="16">
        <v>12.62</v>
      </c>
      <c r="M966" s="17">
        <f t="shared" si="45"/>
        <v>146279.96000000008</v>
      </c>
      <c r="N966" s="11">
        <f t="shared" si="46"/>
        <v>9</v>
      </c>
    </row>
    <row r="967" spans="1:14" x14ac:dyDescent="0.25">
      <c r="A967" s="11" t="s">
        <v>207</v>
      </c>
      <c r="B967" s="12">
        <v>45195</v>
      </c>
      <c r="C967" s="11" t="s">
        <v>688</v>
      </c>
      <c r="D967" s="11" t="s">
        <v>43</v>
      </c>
      <c r="E967" s="14" t="s">
        <v>429</v>
      </c>
      <c r="F967" s="14" t="s">
        <v>429</v>
      </c>
      <c r="G967" s="14" t="s">
        <v>428</v>
      </c>
      <c r="I967" s="11">
        <f t="shared" si="47"/>
        <v>1</v>
      </c>
      <c r="J967" s="16">
        <v>4695.2</v>
      </c>
      <c r="M967" s="17">
        <f t="shared" si="45"/>
        <v>150975.16000000009</v>
      </c>
      <c r="N967" s="11">
        <f t="shared" si="46"/>
        <v>9</v>
      </c>
    </row>
    <row r="968" spans="1:14" x14ac:dyDescent="0.25">
      <c r="A968" s="11" t="s">
        <v>207</v>
      </c>
      <c r="B968" s="12">
        <v>45196</v>
      </c>
      <c r="C968" s="11" t="s">
        <v>688</v>
      </c>
      <c r="D968" s="11" t="s">
        <v>43</v>
      </c>
      <c r="E968" s="14" t="s">
        <v>429</v>
      </c>
      <c r="F968" s="14" t="s">
        <v>429</v>
      </c>
      <c r="G968" s="14" t="s">
        <v>428</v>
      </c>
      <c r="I968" s="11">
        <f t="shared" si="47"/>
        <v>1</v>
      </c>
      <c r="J968" s="16">
        <v>1904.28</v>
      </c>
      <c r="M968" s="17">
        <f t="shared" si="45"/>
        <v>152879.44000000009</v>
      </c>
      <c r="N968" s="11">
        <f t="shared" si="46"/>
        <v>9</v>
      </c>
    </row>
    <row r="969" spans="1:14" x14ac:dyDescent="0.25">
      <c r="A969" s="11" t="s">
        <v>0</v>
      </c>
      <c r="B969" s="12">
        <v>45196</v>
      </c>
      <c r="C969" s="11" t="s">
        <v>688</v>
      </c>
      <c r="D969" s="11" t="s">
        <v>696</v>
      </c>
      <c r="E969" s="13" t="s">
        <v>430</v>
      </c>
      <c r="F969" s="14" t="s">
        <v>62</v>
      </c>
      <c r="G969" s="14" t="s">
        <v>407</v>
      </c>
      <c r="H969" s="15" t="s">
        <v>426</v>
      </c>
      <c r="I969" s="11">
        <f t="shared" si="47"/>
        <v>4</v>
      </c>
      <c r="K969" s="16">
        <v>1000</v>
      </c>
      <c r="M969" s="17">
        <f t="shared" si="45"/>
        <v>151879.44000000009</v>
      </c>
      <c r="N969" s="11">
        <f t="shared" si="46"/>
        <v>9</v>
      </c>
    </row>
    <row r="970" spans="1:14" x14ac:dyDescent="0.25">
      <c r="A970" s="11" t="s">
        <v>207</v>
      </c>
      <c r="B970" s="12">
        <v>45196</v>
      </c>
      <c r="C970" s="11" t="s">
        <v>688</v>
      </c>
      <c r="D970" s="11" t="s">
        <v>43</v>
      </c>
      <c r="E970" s="13" t="s">
        <v>14</v>
      </c>
      <c r="F970" s="14" t="s">
        <v>13</v>
      </c>
      <c r="G970" s="14" t="s">
        <v>400</v>
      </c>
      <c r="I970" s="11">
        <f t="shared" si="47"/>
        <v>2</v>
      </c>
      <c r="J970" s="16">
        <v>98.91</v>
      </c>
      <c r="M970" s="17">
        <f t="shared" si="45"/>
        <v>151978.35000000009</v>
      </c>
      <c r="N970" s="11">
        <f t="shared" si="46"/>
        <v>9</v>
      </c>
    </row>
    <row r="971" spans="1:14" x14ac:dyDescent="0.25">
      <c r="A971" s="11" t="s">
        <v>207</v>
      </c>
      <c r="B971" s="12">
        <v>45196</v>
      </c>
      <c r="C971" s="11" t="s">
        <v>688</v>
      </c>
      <c r="D971" s="11" t="s">
        <v>43</v>
      </c>
      <c r="E971" s="13" t="s">
        <v>14</v>
      </c>
      <c r="F971" s="14" t="s">
        <v>13</v>
      </c>
      <c r="G971" s="14" t="s">
        <v>400</v>
      </c>
      <c r="I971" s="11">
        <f t="shared" si="47"/>
        <v>2</v>
      </c>
      <c r="J971" s="16">
        <v>167.67</v>
      </c>
      <c r="M971" s="17">
        <f t="shared" si="45"/>
        <v>152146.02000000011</v>
      </c>
      <c r="N971" s="11">
        <f t="shared" si="46"/>
        <v>9</v>
      </c>
    </row>
    <row r="972" spans="1:14" x14ac:dyDescent="0.25">
      <c r="A972" s="11" t="s">
        <v>207</v>
      </c>
      <c r="B972" s="12">
        <v>45196</v>
      </c>
      <c r="C972" s="11" t="s">
        <v>688</v>
      </c>
      <c r="D972" s="11" t="s">
        <v>43</v>
      </c>
      <c r="E972" s="13" t="s">
        <v>14</v>
      </c>
      <c r="F972" s="14" t="s">
        <v>13</v>
      </c>
      <c r="G972" s="14" t="s">
        <v>400</v>
      </c>
      <c r="I972" s="11">
        <f t="shared" si="47"/>
        <v>2</v>
      </c>
      <c r="J972" s="16">
        <v>162.22999999999999</v>
      </c>
      <c r="M972" s="17">
        <f t="shared" si="45"/>
        <v>152308.25000000012</v>
      </c>
      <c r="N972" s="11">
        <f t="shared" si="46"/>
        <v>9</v>
      </c>
    </row>
    <row r="973" spans="1:14" x14ac:dyDescent="0.25">
      <c r="A973" s="11" t="s">
        <v>0</v>
      </c>
      <c r="B973" s="12">
        <v>45196</v>
      </c>
      <c r="C973" s="11" t="s">
        <v>688</v>
      </c>
      <c r="D973" s="11" t="s">
        <v>699</v>
      </c>
      <c r="E973" s="13" t="s">
        <v>98</v>
      </c>
      <c r="F973" s="14" t="s">
        <v>206</v>
      </c>
      <c r="G973" s="14" t="s">
        <v>404</v>
      </c>
      <c r="H973" s="15">
        <v>7411</v>
      </c>
      <c r="I973" s="11">
        <f t="shared" si="47"/>
        <v>5</v>
      </c>
      <c r="K973" s="16">
        <v>291.70999999999998</v>
      </c>
      <c r="M973" s="17">
        <f t="shared" si="45"/>
        <v>152016.54000000012</v>
      </c>
      <c r="N973" s="11">
        <f t="shared" si="46"/>
        <v>9</v>
      </c>
    </row>
    <row r="974" spans="1:14" x14ac:dyDescent="0.25">
      <c r="A974" s="11" t="s">
        <v>207</v>
      </c>
      <c r="B974" s="12">
        <v>45196</v>
      </c>
      <c r="C974" s="11" t="s">
        <v>688</v>
      </c>
      <c r="D974" s="11" t="s">
        <v>43</v>
      </c>
      <c r="E974" s="13" t="s">
        <v>80</v>
      </c>
      <c r="F974" s="14" t="s">
        <v>79</v>
      </c>
      <c r="G974" s="14" t="s">
        <v>400</v>
      </c>
      <c r="I974" s="11">
        <f t="shared" si="47"/>
        <v>2</v>
      </c>
      <c r="J974" s="16">
        <v>370.16</v>
      </c>
      <c r="M974" s="17">
        <f t="shared" si="45"/>
        <v>152386.70000000013</v>
      </c>
      <c r="N974" s="11">
        <f t="shared" si="46"/>
        <v>9</v>
      </c>
    </row>
    <row r="975" spans="1:14" x14ac:dyDescent="0.25">
      <c r="A975" s="11" t="s">
        <v>207</v>
      </c>
      <c r="B975" s="12">
        <v>45196</v>
      </c>
      <c r="C975" s="11" t="s">
        <v>688</v>
      </c>
      <c r="D975" s="11" t="s">
        <v>43</v>
      </c>
      <c r="E975" s="13" t="s">
        <v>81</v>
      </c>
      <c r="F975" s="14" t="s">
        <v>79</v>
      </c>
      <c r="G975" s="14" t="s">
        <v>400</v>
      </c>
      <c r="I975" s="11">
        <f t="shared" si="47"/>
        <v>2</v>
      </c>
      <c r="J975" s="16">
        <v>241.82</v>
      </c>
      <c r="M975" s="17">
        <f t="shared" si="45"/>
        <v>152628.52000000014</v>
      </c>
      <c r="N975" s="11">
        <f t="shared" si="46"/>
        <v>9</v>
      </c>
    </row>
    <row r="976" spans="1:14" x14ac:dyDescent="0.25">
      <c r="A976" s="11" t="s">
        <v>0</v>
      </c>
      <c r="B976" s="12">
        <v>45196</v>
      </c>
      <c r="C976" s="11" t="s">
        <v>688</v>
      </c>
      <c r="D976" s="11" t="s">
        <v>701</v>
      </c>
      <c r="E976" s="13" t="s">
        <v>238</v>
      </c>
      <c r="F976" s="14" t="s">
        <v>71</v>
      </c>
      <c r="G976" s="14" t="s">
        <v>174</v>
      </c>
      <c r="H976" s="15">
        <v>4</v>
      </c>
      <c r="I976" s="11" t="b">
        <f t="shared" si="47"/>
        <v>0</v>
      </c>
      <c r="K976" s="16">
        <v>198</v>
      </c>
      <c r="M976" s="17">
        <f t="shared" si="45"/>
        <v>152430.52000000014</v>
      </c>
      <c r="N976" s="11">
        <f t="shared" si="46"/>
        <v>9</v>
      </c>
    </row>
    <row r="977" spans="1:14" x14ac:dyDescent="0.25">
      <c r="A977" s="11" t="s">
        <v>0</v>
      </c>
      <c r="B977" s="12">
        <v>45196</v>
      </c>
      <c r="C977" s="11" t="s">
        <v>688</v>
      </c>
      <c r="D977" s="11" t="s">
        <v>692</v>
      </c>
      <c r="E977" s="13" t="s">
        <v>717</v>
      </c>
      <c r="F977" s="14" t="s">
        <v>76</v>
      </c>
      <c r="G977" s="14" t="s">
        <v>404</v>
      </c>
      <c r="H977" s="15">
        <v>1178291</v>
      </c>
      <c r="I977" s="11">
        <f t="shared" si="47"/>
        <v>5</v>
      </c>
      <c r="K977" s="16">
        <v>702.95</v>
      </c>
      <c r="M977" s="17">
        <f t="shared" si="45"/>
        <v>151727.57000000012</v>
      </c>
      <c r="N977" s="11">
        <f t="shared" si="46"/>
        <v>9</v>
      </c>
    </row>
    <row r="978" spans="1:14" x14ac:dyDescent="0.25">
      <c r="A978" s="11" t="s">
        <v>0</v>
      </c>
      <c r="B978" s="12">
        <v>45196</v>
      </c>
      <c r="C978" s="11" t="s">
        <v>688</v>
      </c>
      <c r="D978" s="11" t="s">
        <v>692</v>
      </c>
      <c r="E978" s="13" t="s">
        <v>725</v>
      </c>
      <c r="F978" s="14" t="s">
        <v>33</v>
      </c>
      <c r="G978" s="14" t="s">
        <v>404</v>
      </c>
      <c r="H978" s="15">
        <v>24591</v>
      </c>
      <c r="I978" s="11">
        <f t="shared" si="47"/>
        <v>5</v>
      </c>
      <c r="K978" s="16">
        <v>1090.56</v>
      </c>
      <c r="M978" s="17">
        <f t="shared" si="45"/>
        <v>150637.01000000013</v>
      </c>
      <c r="N978" s="11">
        <f t="shared" si="46"/>
        <v>9</v>
      </c>
    </row>
    <row r="979" spans="1:14" x14ac:dyDescent="0.25">
      <c r="A979" s="11" t="s">
        <v>0</v>
      </c>
      <c r="B979" s="12">
        <v>45196</v>
      </c>
      <c r="C979" s="11" t="s">
        <v>688</v>
      </c>
      <c r="D979" s="11" t="s">
        <v>692</v>
      </c>
      <c r="E979" s="13" t="s">
        <v>724</v>
      </c>
      <c r="F979" s="14" t="s">
        <v>119</v>
      </c>
      <c r="G979" s="14" t="s">
        <v>404</v>
      </c>
      <c r="H979" s="15">
        <v>1272193</v>
      </c>
      <c r="I979" s="11">
        <f t="shared" si="47"/>
        <v>5</v>
      </c>
      <c r="K979" s="16">
        <v>1366.39</v>
      </c>
      <c r="M979" s="17">
        <f t="shared" si="45"/>
        <v>149270.62000000011</v>
      </c>
      <c r="N979" s="11">
        <f t="shared" si="46"/>
        <v>9</v>
      </c>
    </row>
    <row r="980" spans="1:14" x14ac:dyDescent="0.25">
      <c r="A980" s="11" t="s">
        <v>0</v>
      </c>
      <c r="B980" s="12">
        <v>45196</v>
      </c>
      <c r="C980" s="11" t="s">
        <v>688</v>
      </c>
      <c r="D980" s="11" t="s">
        <v>692</v>
      </c>
      <c r="E980" s="13" t="s">
        <v>724</v>
      </c>
      <c r="F980" s="14" t="s">
        <v>119</v>
      </c>
      <c r="G980" s="14" t="s">
        <v>404</v>
      </c>
      <c r="H980" s="15">
        <v>1272194</v>
      </c>
      <c r="I980" s="11">
        <f t="shared" si="47"/>
        <v>5</v>
      </c>
      <c r="K980" s="16">
        <v>1996.86</v>
      </c>
      <c r="M980" s="17">
        <f t="shared" si="45"/>
        <v>147273.76000000013</v>
      </c>
      <c r="N980" s="11">
        <f t="shared" si="46"/>
        <v>9</v>
      </c>
    </row>
    <row r="981" spans="1:14" x14ac:dyDescent="0.25">
      <c r="A981" s="11" t="s">
        <v>0</v>
      </c>
      <c r="B981" s="12">
        <v>45196</v>
      </c>
      <c r="C981" s="11" t="s">
        <v>688</v>
      </c>
      <c r="D981" s="11" t="s">
        <v>692</v>
      </c>
      <c r="E981" s="13" t="s">
        <v>726</v>
      </c>
      <c r="F981" s="14" t="s">
        <v>91</v>
      </c>
      <c r="G981" s="14" t="s">
        <v>403</v>
      </c>
      <c r="H981" s="15">
        <v>393347</v>
      </c>
      <c r="I981" s="11">
        <f t="shared" si="47"/>
        <v>5</v>
      </c>
      <c r="K981" s="16">
        <v>873.71</v>
      </c>
      <c r="M981" s="17">
        <f t="shared" si="45"/>
        <v>146400.05000000013</v>
      </c>
      <c r="N981" s="11">
        <f t="shared" si="46"/>
        <v>9</v>
      </c>
    </row>
    <row r="982" spans="1:14" x14ac:dyDescent="0.25">
      <c r="A982" s="11" t="s">
        <v>0</v>
      </c>
      <c r="B982" s="12">
        <v>45196</v>
      </c>
      <c r="C982" s="11" t="s">
        <v>688</v>
      </c>
      <c r="D982" s="11" t="s">
        <v>694</v>
      </c>
      <c r="E982" s="13" t="s">
        <v>182</v>
      </c>
      <c r="F982" s="14" t="s">
        <v>93</v>
      </c>
      <c r="G982" s="14" t="s">
        <v>186</v>
      </c>
      <c r="I982" s="11" t="b">
        <f t="shared" si="47"/>
        <v>0</v>
      </c>
      <c r="K982" s="16">
        <v>2.37</v>
      </c>
      <c r="M982" s="17">
        <f t="shared" si="45"/>
        <v>146397.68000000014</v>
      </c>
      <c r="N982" s="11">
        <f t="shared" si="46"/>
        <v>9</v>
      </c>
    </row>
    <row r="983" spans="1:14" x14ac:dyDescent="0.25">
      <c r="A983" s="11" t="s">
        <v>0</v>
      </c>
      <c r="B983" s="12">
        <v>45196</v>
      </c>
      <c r="C983" s="11" t="s">
        <v>688</v>
      </c>
      <c r="D983" s="11" t="s">
        <v>694</v>
      </c>
      <c r="E983" s="13" t="s">
        <v>182</v>
      </c>
      <c r="F983" s="14" t="s">
        <v>23</v>
      </c>
      <c r="G983" s="14" t="s">
        <v>186</v>
      </c>
      <c r="I983" s="11" t="b">
        <f t="shared" si="47"/>
        <v>0</v>
      </c>
      <c r="K983" s="16">
        <v>50.23</v>
      </c>
      <c r="M983" s="17">
        <f t="shared" si="45"/>
        <v>146347.45000000013</v>
      </c>
      <c r="N983" s="11">
        <f t="shared" si="46"/>
        <v>9</v>
      </c>
    </row>
    <row r="984" spans="1:14" x14ac:dyDescent="0.25">
      <c r="A984" s="11" t="s">
        <v>207</v>
      </c>
      <c r="B984" s="12">
        <v>45196</v>
      </c>
      <c r="C984" s="11" t="s">
        <v>688</v>
      </c>
      <c r="D984" s="11" t="s">
        <v>43</v>
      </c>
      <c r="E984" s="13" t="s">
        <v>95</v>
      </c>
      <c r="F984" s="14" t="s">
        <v>282</v>
      </c>
      <c r="G984" s="14" t="s">
        <v>400</v>
      </c>
      <c r="I984" s="11">
        <f t="shared" si="47"/>
        <v>2</v>
      </c>
      <c r="J984" s="16">
        <v>344.3</v>
      </c>
      <c r="M984" s="17">
        <f t="shared" si="45"/>
        <v>146691.75000000012</v>
      </c>
      <c r="N984" s="11">
        <f t="shared" si="46"/>
        <v>9</v>
      </c>
    </row>
    <row r="985" spans="1:14" x14ac:dyDescent="0.25">
      <c r="A985" s="11" t="s">
        <v>207</v>
      </c>
      <c r="B985" s="12">
        <v>45196</v>
      </c>
      <c r="C985" s="11" t="s">
        <v>688</v>
      </c>
      <c r="D985" s="11" t="s">
        <v>43</v>
      </c>
      <c r="E985" s="14" t="s">
        <v>288</v>
      </c>
      <c r="F985" s="14" t="s">
        <v>288</v>
      </c>
      <c r="G985" s="14" t="s">
        <v>173</v>
      </c>
      <c r="I985" s="11">
        <f t="shared" si="47"/>
        <v>3</v>
      </c>
      <c r="J985" s="16">
        <v>180</v>
      </c>
      <c r="M985" s="17">
        <f t="shared" si="45"/>
        <v>146871.75000000012</v>
      </c>
      <c r="N985" s="11">
        <f t="shared" si="46"/>
        <v>9</v>
      </c>
    </row>
    <row r="986" spans="1:14" x14ac:dyDescent="0.25">
      <c r="A986" s="11" t="s">
        <v>207</v>
      </c>
      <c r="B986" s="12">
        <v>45197</v>
      </c>
      <c r="C986" s="11" t="s">
        <v>688</v>
      </c>
      <c r="D986" s="11" t="s">
        <v>43</v>
      </c>
      <c r="E986" s="14" t="s">
        <v>429</v>
      </c>
      <c r="F986" s="14" t="s">
        <v>429</v>
      </c>
      <c r="G986" s="14" t="s">
        <v>428</v>
      </c>
      <c r="I986" s="11">
        <f t="shared" si="47"/>
        <v>1</v>
      </c>
      <c r="J986" s="16">
        <v>800</v>
      </c>
      <c r="M986" s="17">
        <f t="shared" si="45"/>
        <v>147671.75000000012</v>
      </c>
      <c r="N986" s="11">
        <f t="shared" si="46"/>
        <v>9</v>
      </c>
    </row>
    <row r="987" spans="1:14" x14ac:dyDescent="0.25">
      <c r="A987" s="11" t="s">
        <v>207</v>
      </c>
      <c r="B987" s="12">
        <v>45197</v>
      </c>
      <c r="C987" s="11" t="s">
        <v>688</v>
      </c>
      <c r="D987" s="11" t="s">
        <v>43</v>
      </c>
      <c r="E987" s="13" t="s">
        <v>14</v>
      </c>
      <c r="F987" s="14" t="s">
        <v>13</v>
      </c>
      <c r="G987" s="14" t="s">
        <v>400</v>
      </c>
      <c r="I987" s="11">
        <f t="shared" si="47"/>
        <v>2</v>
      </c>
      <c r="J987" s="16">
        <v>59.18</v>
      </c>
      <c r="M987" s="17">
        <f t="shared" si="45"/>
        <v>147730.93000000011</v>
      </c>
      <c r="N987" s="11">
        <f t="shared" si="46"/>
        <v>9</v>
      </c>
    </row>
    <row r="988" spans="1:14" x14ac:dyDescent="0.25">
      <c r="A988" s="11" t="s">
        <v>207</v>
      </c>
      <c r="B988" s="12">
        <v>45197</v>
      </c>
      <c r="C988" s="11" t="s">
        <v>688</v>
      </c>
      <c r="D988" s="11" t="s">
        <v>43</v>
      </c>
      <c r="E988" s="13" t="s">
        <v>14</v>
      </c>
      <c r="F988" s="14" t="s">
        <v>13</v>
      </c>
      <c r="G988" s="14" t="s">
        <v>400</v>
      </c>
      <c r="I988" s="11">
        <f t="shared" si="47"/>
        <v>2</v>
      </c>
      <c r="J988" s="16">
        <v>131.15</v>
      </c>
      <c r="M988" s="17">
        <f t="shared" si="45"/>
        <v>147862.0800000001</v>
      </c>
      <c r="N988" s="11">
        <f t="shared" si="46"/>
        <v>9</v>
      </c>
    </row>
    <row r="989" spans="1:14" ht="52.8" x14ac:dyDescent="0.25">
      <c r="A989" s="11" t="s">
        <v>0</v>
      </c>
      <c r="B989" s="12">
        <v>45197</v>
      </c>
      <c r="C989" s="11" t="s">
        <v>688</v>
      </c>
      <c r="D989" s="11" t="s">
        <v>700</v>
      </c>
      <c r="E989" s="13" t="s">
        <v>283</v>
      </c>
      <c r="F989" s="14" t="s">
        <v>35</v>
      </c>
      <c r="G989" s="14" t="s">
        <v>174</v>
      </c>
      <c r="H989" s="15" t="s">
        <v>352</v>
      </c>
      <c r="I989" s="11" t="b">
        <f t="shared" si="47"/>
        <v>0</v>
      </c>
      <c r="K989" s="16">
        <v>602.57000000000005</v>
      </c>
      <c r="M989" s="17">
        <f t="shared" si="45"/>
        <v>147259.5100000001</v>
      </c>
      <c r="N989" s="11">
        <f t="shared" si="46"/>
        <v>9</v>
      </c>
    </row>
    <row r="990" spans="1:14" ht="26.4" x14ac:dyDescent="0.25">
      <c r="A990" s="11" t="s">
        <v>0</v>
      </c>
      <c r="B990" s="12">
        <v>45197</v>
      </c>
      <c r="C990" s="11" t="s">
        <v>688</v>
      </c>
      <c r="D990" s="11" t="s">
        <v>701</v>
      </c>
      <c r="E990" s="13" t="s">
        <v>284</v>
      </c>
      <c r="F990" s="14" t="s">
        <v>35</v>
      </c>
      <c r="G990" s="14" t="s">
        <v>174</v>
      </c>
      <c r="H990" s="15" t="s">
        <v>351</v>
      </c>
      <c r="I990" s="11" t="b">
        <f t="shared" si="47"/>
        <v>0</v>
      </c>
      <c r="K990" s="16">
        <v>591.6</v>
      </c>
      <c r="M990" s="17">
        <f t="shared" si="45"/>
        <v>146667.91000000009</v>
      </c>
      <c r="N990" s="11">
        <f t="shared" si="46"/>
        <v>9</v>
      </c>
    </row>
    <row r="991" spans="1:14" x14ac:dyDescent="0.25">
      <c r="A991" s="11" t="s">
        <v>207</v>
      </c>
      <c r="B991" s="12">
        <v>45197</v>
      </c>
      <c r="C991" s="11" t="s">
        <v>688</v>
      </c>
      <c r="D991" s="11" t="s">
        <v>43</v>
      </c>
      <c r="E991" s="13" t="s">
        <v>80</v>
      </c>
      <c r="F991" s="14" t="s">
        <v>79</v>
      </c>
      <c r="G991" s="14" t="s">
        <v>400</v>
      </c>
      <c r="I991" s="11">
        <f t="shared" si="47"/>
        <v>2</v>
      </c>
      <c r="J991" s="16">
        <v>487.66</v>
      </c>
      <c r="M991" s="17">
        <f t="shared" si="45"/>
        <v>147155.57000000009</v>
      </c>
      <c r="N991" s="11">
        <f t="shared" si="46"/>
        <v>9</v>
      </c>
    </row>
    <row r="992" spans="1:14" x14ac:dyDescent="0.25">
      <c r="A992" s="11" t="s">
        <v>207</v>
      </c>
      <c r="B992" s="12">
        <v>45197</v>
      </c>
      <c r="C992" s="11" t="s">
        <v>688</v>
      </c>
      <c r="D992" s="11" t="s">
        <v>43</v>
      </c>
      <c r="E992" s="13" t="s">
        <v>81</v>
      </c>
      <c r="F992" s="14" t="s">
        <v>79</v>
      </c>
      <c r="G992" s="14" t="s">
        <v>400</v>
      </c>
      <c r="I992" s="11">
        <f t="shared" si="47"/>
        <v>2</v>
      </c>
      <c r="J992" s="16">
        <v>253.61</v>
      </c>
      <c r="M992" s="17">
        <f t="shared" si="45"/>
        <v>147409.18000000008</v>
      </c>
      <c r="N992" s="11">
        <f t="shared" si="46"/>
        <v>9</v>
      </c>
    </row>
    <row r="993" spans="1:14" x14ac:dyDescent="0.25">
      <c r="A993" s="11" t="s">
        <v>207</v>
      </c>
      <c r="B993" s="12">
        <v>45197</v>
      </c>
      <c r="C993" s="11" t="s">
        <v>662</v>
      </c>
      <c r="D993" s="11" t="s">
        <v>43</v>
      </c>
      <c r="E993" s="13" t="s">
        <v>82</v>
      </c>
      <c r="F993" s="14" t="s">
        <v>79</v>
      </c>
      <c r="G993" s="14" t="s">
        <v>400</v>
      </c>
      <c r="I993" s="11">
        <f t="shared" si="47"/>
        <v>2</v>
      </c>
      <c r="J993" s="16">
        <v>586.22</v>
      </c>
      <c r="M993" s="17">
        <f t="shared" si="45"/>
        <v>147995.40000000008</v>
      </c>
      <c r="N993" s="11">
        <f t="shared" si="46"/>
        <v>9</v>
      </c>
    </row>
    <row r="994" spans="1:14" x14ac:dyDescent="0.25">
      <c r="A994" s="11" t="s">
        <v>207</v>
      </c>
      <c r="B994" s="12">
        <v>45197</v>
      </c>
      <c r="C994" s="11" t="s">
        <v>662</v>
      </c>
      <c r="D994" s="11" t="s">
        <v>43</v>
      </c>
      <c r="E994" s="13" t="s">
        <v>83</v>
      </c>
      <c r="F994" s="14" t="s">
        <v>79</v>
      </c>
      <c r="G994" s="14" t="s">
        <v>400</v>
      </c>
      <c r="I994" s="11">
        <f t="shared" si="47"/>
        <v>2</v>
      </c>
      <c r="J994" s="16">
        <v>13.63</v>
      </c>
      <c r="M994" s="17">
        <f t="shared" si="45"/>
        <v>148009.03000000009</v>
      </c>
      <c r="N994" s="11">
        <f t="shared" si="46"/>
        <v>9</v>
      </c>
    </row>
    <row r="995" spans="1:14" x14ac:dyDescent="0.25">
      <c r="A995" s="11" t="s">
        <v>0</v>
      </c>
      <c r="B995" s="12">
        <v>45197</v>
      </c>
      <c r="C995" s="11" t="s">
        <v>688</v>
      </c>
      <c r="D995" s="11" t="s">
        <v>701</v>
      </c>
      <c r="E995" s="13" t="s">
        <v>839</v>
      </c>
      <c r="F995" s="14" t="s">
        <v>114</v>
      </c>
      <c r="G995" s="14" t="s">
        <v>174</v>
      </c>
      <c r="H995" s="15">
        <v>1141</v>
      </c>
      <c r="I995" s="11" t="b">
        <f t="shared" si="47"/>
        <v>0</v>
      </c>
      <c r="K995" s="16">
        <v>55.5</v>
      </c>
      <c r="M995" s="17">
        <f t="shared" si="45"/>
        <v>147953.53000000009</v>
      </c>
      <c r="N995" s="11">
        <f t="shared" si="46"/>
        <v>9</v>
      </c>
    </row>
    <row r="996" spans="1:14" x14ac:dyDescent="0.25">
      <c r="A996" s="11" t="s">
        <v>0</v>
      </c>
      <c r="B996" s="12">
        <v>45197</v>
      </c>
      <c r="C996" s="11" t="s">
        <v>688</v>
      </c>
      <c r="D996" s="11" t="s">
        <v>720</v>
      </c>
      <c r="E996" s="13" t="s">
        <v>183</v>
      </c>
      <c r="F996" s="14" t="s">
        <v>366</v>
      </c>
      <c r="G996" s="14" t="s">
        <v>174</v>
      </c>
      <c r="H996" s="15">
        <v>58</v>
      </c>
      <c r="I996" s="11" t="b">
        <f t="shared" si="47"/>
        <v>0</v>
      </c>
      <c r="K996" s="16">
        <v>650</v>
      </c>
      <c r="M996" s="17">
        <f t="shared" si="45"/>
        <v>147303.53000000009</v>
      </c>
      <c r="N996" s="11">
        <f t="shared" si="46"/>
        <v>9</v>
      </c>
    </row>
    <row r="997" spans="1:14" x14ac:dyDescent="0.25">
      <c r="A997" s="11" t="s">
        <v>0</v>
      </c>
      <c r="B997" s="12">
        <v>45197</v>
      </c>
      <c r="C997" s="11" t="s">
        <v>688</v>
      </c>
      <c r="D997" s="11" t="s">
        <v>692</v>
      </c>
      <c r="E997" s="13" t="s">
        <v>143</v>
      </c>
      <c r="F997" s="14" t="s">
        <v>59</v>
      </c>
      <c r="G997" s="14" t="s">
        <v>174</v>
      </c>
      <c r="H997" s="15">
        <v>396593</v>
      </c>
      <c r="I997" s="11" t="b">
        <f t="shared" si="47"/>
        <v>0</v>
      </c>
      <c r="K997" s="16">
        <v>2418.88</v>
      </c>
      <c r="M997" s="17">
        <f t="shared" si="45"/>
        <v>144884.65000000008</v>
      </c>
      <c r="N997" s="11">
        <f t="shared" si="46"/>
        <v>9</v>
      </c>
    </row>
    <row r="998" spans="1:14" x14ac:dyDescent="0.25">
      <c r="A998" s="11" t="s">
        <v>0</v>
      </c>
      <c r="B998" s="12">
        <v>45197</v>
      </c>
      <c r="C998" s="11" t="s">
        <v>688</v>
      </c>
      <c r="D998" s="11" t="s">
        <v>692</v>
      </c>
      <c r="E998" s="13" t="s">
        <v>730</v>
      </c>
      <c r="F998" s="14" t="s">
        <v>34</v>
      </c>
      <c r="G998" s="14" t="s">
        <v>404</v>
      </c>
      <c r="H998" s="15">
        <v>2596</v>
      </c>
      <c r="I998" s="11">
        <f t="shared" si="47"/>
        <v>5</v>
      </c>
      <c r="K998" s="16">
        <v>979.47</v>
      </c>
      <c r="M998" s="17">
        <f t="shared" si="45"/>
        <v>143905.18000000008</v>
      </c>
      <c r="N998" s="11">
        <f t="shared" si="46"/>
        <v>9</v>
      </c>
    </row>
    <row r="999" spans="1:14" x14ac:dyDescent="0.25">
      <c r="A999" s="11" t="s">
        <v>0</v>
      </c>
      <c r="B999" s="12">
        <v>45197</v>
      </c>
      <c r="C999" s="11" t="s">
        <v>688</v>
      </c>
      <c r="D999" s="11" t="s">
        <v>701</v>
      </c>
      <c r="E999" s="13" t="s">
        <v>728</v>
      </c>
      <c r="F999" s="14" t="s">
        <v>204</v>
      </c>
      <c r="G999" s="14" t="s">
        <v>174</v>
      </c>
      <c r="H999" s="15">
        <v>26979</v>
      </c>
      <c r="I999" s="11" t="b">
        <f t="shared" si="47"/>
        <v>0</v>
      </c>
      <c r="K999" s="16">
        <v>364.01</v>
      </c>
      <c r="M999" s="17">
        <f t="shared" si="45"/>
        <v>143541.17000000007</v>
      </c>
      <c r="N999" s="11">
        <f t="shared" si="46"/>
        <v>9</v>
      </c>
    </row>
    <row r="1000" spans="1:14" x14ac:dyDescent="0.25">
      <c r="A1000" s="11" t="s">
        <v>0</v>
      </c>
      <c r="B1000" s="12">
        <v>45197</v>
      </c>
      <c r="C1000" s="11" t="s">
        <v>688</v>
      </c>
      <c r="D1000" s="11" t="s">
        <v>694</v>
      </c>
      <c r="E1000" s="13" t="s">
        <v>182</v>
      </c>
      <c r="F1000" s="14" t="s">
        <v>93</v>
      </c>
      <c r="G1000" s="14" t="s">
        <v>186</v>
      </c>
      <c r="I1000" s="11" t="b">
        <f t="shared" si="47"/>
        <v>0</v>
      </c>
      <c r="K1000" s="16">
        <v>3.74</v>
      </c>
      <c r="M1000" s="17">
        <f t="shared" si="45"/>
        <v>143537.43000000008</v>
      </c>
      <c r="N1000" s="11">
        <f t="shared" si="46"/>
        <v>9</v>
      </c>
    </row>
    <row r="1001" spans="1:14" x14ac:dyDescent="0.25">
      <c r="A1001" s="11" t="s">
        <v>0</v>
      </c>
      <c r="B1001" s="12">
        <v>45197</v>
      </c>
      <c r="C1001" s="11" t="s">
        <v>688</v>
      </c>
      <c r="D1001" s="11" t="s">
        <v>694</v>
      </c>
      <c r="E1001" s="13" t="s">
        <v>182</v>
      </c>
      <c r="F1001" s="14" t="s">
        <v>23</v>
      </c>
      <c r="G1001" s="14" t="s">
        <v>186</v>
      </c>
      <c r="I1001" s="11" t="b">
        <f t="shared" si="47"/>
        <v>0</v>
      </c>
      <c r="K1001" s="16">
        <v>6.35</v>
      </c>
      <c r="M1001" s="17">
        <f t="shared" si="45"/>
        <v>143531.08000000007</v>
      </c>
      <c r="N1001" s="11">
        <f t="shared" si="46"/>
        <v>9</v>
      </c>
    </row>
    <row r="1002" spans="1:14" x14ac:dyDescent="0.25">
      <c r="A1002" s="11" t="s">
        <v>207</v>
      </c>
      <c r="B1002" s="12">
        <v>45197</v>
      </c>
      <c r="C1002" s="11" t="s">
        <v>688</v>
      </c>
      <c r="D1002" s="11" t="s">
        <v>43</v>
      </c>
      <c r="E1002" s="13" t="s">
        <v>95</v>
      </c>
      <c r="F1002" s="14" t="s">
        <v>353</v>
      </c>
      <c r="G1002" s="14" t="s">
        <v>400</v>
      </c>
      <c r="I1002" s="11">
        <f t="shared" si="47"/>
        <v>2</v>
      </c>
      <c r="J1002" s="16">
        <v>546.25</v>
      </c>
      <c r="M1002" s="17">
        <f t="shared" si="45"/>
        <v>144077.33000000007</v>
      </c>
      <c r="N1002" s="11">
        <f t="shared" si="46"/>
        <v>9</v>
      </c>
    </row>
    <row r="1003" spans="1:14" x14ac:dyDescent="0.25">
      <c r="A1003" s="11" t="s">
        <v>207</v>
      </c>
      <c r="B1003" s="12">
        <v>45198</v>
      </c>
      <c r="C1003" s="11" t="s">
        <v>688</v>
      </c>
      <c r="D1003" s="11" t="s">
        <v>43</v>
      </c>
      <c r="E1003" s="13" t="s">
        <v>80</v>
      </c>
      <c r="F1003" s="14" t="s">
        <v>79</v>
      </c>
      <c r="G1003" s="14" t="s">
        <v>400</v>
      </c>
      <c r="I1003" s="11">
        <f t="shared" si="47"/>
        <v>2</v>
      </c>
      <c r="J1003" s="16">
        <v>2208.52</v>
      </c>
      <c r="M1003" s="17">
        <f t="shared" si="45"/>
        <v>146285.85000000006</v>
      </c>
      <c r="N1003" s="11">
        <f t="shared" si="46"/>
        <v>9</v>
      </c>
    </row>
    <row r="1004" spans="1:14" x14ac:dyDescent="0.25">
      <c r="A1004" s="11" t="s">
        <v>207</v>
      </c>
      <c r="B1004" s="12">
        <v>45198</v>
      </c>
      <c r="C1004" s="11" t="s">
        <v>688</v>
      </c>
      <c r="D1004" s="11" t="s">
        <v>43</v>
      </c>
      <c r="E1004" s="13" t="s">
        <v>81</v>
      </c>
      <c r="F1004" s="14" t="s">
        <v>79</v>
      </c>
      <c r="G1004" s="14" t="s">
        <v>400</v>
      </c>
      <c r="I1004" s="11">
        <f t="shared" si="47"/>
        <v>2</v>
      </c>
      <c r="J1004" s="16">
        <v>1920.85</v>
      </c>
      <c r="M1004" s="17">
        <f t="shared" si="45"/>
        <v>148206.70000000007</v>
      </c>
      <c r="N1004" s="11">
        <f t="shared" si="46"/>
        <v>9</v>
      </c>
    </row>
    <row r="1005" spans="1:14" x14ac:dyDescent="0.25">
      <c r="A1005" s="11" t="s">
        <v>207</v>
      </c>
      <c r="B1005" s="12">
        <v>45198</v>
      </c>
      <c r="C1005" s="11" t="s">
        <v>688</v>
      </c>
      <c r="D1005" s="11" t="s">
        <v>43</v>
      </c>
      <c r="E1005" s="13" t="s">
        <v>82</v>
      </c>
      <c r="F1005" s="14" t="s">
        <v>79</v>
      </c>
      <c r="G1005" s="14" t="s">
        <v>400</v>
      </c>
      <c r="I1005" s="11">
        <f t="shared" si="47"/>
        <v>2</v>
      </c>
      <c r="J1005" s="16">
        <v>322.12</v>
      </c>
      <c r="M1005" s="17">
        <f t="shared" si="45"/>
        <v>148528.82000000007</v>
      </c>
      <c r="N1005" s="11">
        <f t="shared" si="46"/>
        <v>9</v>
      </c>
    </row>
    <row r="1006" spans="1:14" x14ac:dyDescent="0.25">
      <c r="A1006" s="11" t="s">
        <v>207</v>
      </c>
      <c r="B1006" s="12">
        <v>45198</v>
      </c>
      <c r="C1006" s="11" t="s">
        <v>688</v>
      </c>
      <c r="D1006" s="11" t="s">
        <v>43</v>
      </c>
      <c r="E1006" s="13" t="s">
        <v>83</v>
      </c>
      <c r="F1006" s="14" t="s">
        <v>79</v>
      </c>
      <c r="G1006" s="14" t="s">
        <v>400</v>
      </c>
      <c r="I1006" s="11">
        <f t="shared" si="47"/>
        <v>2</v>
      </c>
      <c r="J1006" s="16">
        <v>181.52</v>
      </c>
      <c r="M1006" s="17">
        <f t="shared" si="45"/>
        <v>148710.34000000005</v>
      </c>
      <c r="N1006" s="11">
        <f t="shared" si="46"/>
        <v>9</v>
      </c>
    </row>
    <row r="1007" spans="1:14" x14ac:dyDescent="0.25">
      <c r="A1007" s="11" t="s">
        <v>207</v>
      </c>
      <c r="B1007" s="12">
        <v>45198</v>
      </c>
      <c r="C1007" s="11" t="s">
        <v>688</v>
      </c>
      <c r="D1007" s="11" t="s">
        <v>43</v>
      </c>
      <c r="E1007" s="13" t="s">
        <v>14</v>
      </c>
      <c r="F1007" s="14" t="s">
        <v>13</v>
      </c>
      <c r="G1007" s="14" t="s">
        <v>400</v>
      </c>
      <c r="I1007" s="11">
        <f t="shared" si="47"/>
        <v>2</v>
      </c>
      <c r="J1007" s="16">
        <v>435.51</v>
      </c>
      <c r="M1007" s="17">
        <f t="shared" si="45"/>
        <v>149145.85000000006</v>
      </c>
      <c r="N1007" s="11">
        <f t="shared" si="46"/>
        <v>9</v>
      </c>
    </row>
    <row r="1008" spans="1:14" x14ac:dyDescent="0.25">
      <c r="A1008" s="11" t="s">
        <v>207</v>
      </c>
      <c r="B1008" s="12">
        <v>45198</v>
      </c>
      <c r="C1008" s="11" t="s">
        <v>688</v>
      </c>
      <c r="D1008" s="11" t="s">
        <v>43</v>
      </c>
      <c r="E1008" s="13" t="s">
        <v>14</v>
      </c>
      <c r="F1008" s="14" t="s">
        <v>13</v>
      </c>
      <c r="G1008" s="14" t="s">
        <v>400</v>
      </c>
      <c r="I1008" s="11">
        <f t="shared" si="47"/>
        <v>2</v>
      </c>
      <c r="J1008" s="16">
        <v>60.84</v>
      </c>
      <c r="M1008" s="17">
        <f t="shared" si="45"/>
        <v>149206.69000000006</v>
      </c>
      <c r="N1008" s="11">
        <f t="shared" si="46"/>
        <v>9</v>
      </c>
    </row>
    <row r="1009" spans="1:14" x14ac:dyDescent="0.25">
      <c r="A1009" s="11" t="s">
        <v>207</v>
      </c>
      <c r="B1009" s="12">
        <v>45198</v>
      </c>
      <c r="C1009" s="11" t="s">
        <v>688</v>
      </c>
      <c r="D1009" s="11" t="s">
        <v>43</v>
      </c>
      <c r="E1009" s="13" t="s">
        <v>14</v>
      </c>
      <c r="F1009" s="14" t="s">
        <v>13</v>
      </c>
      <c r="G1009" s="14" t="s">
        <v>400</v>
      </c>
      <c r="I1009" s="11">
        <f t="shared" si="47"/>
        <v>2</v>
      </c>
      <c r="J1009" s="16">
        <v>178.16</v>
      </c>
      <c r="M1009" s="17">
        <f t="shared" si="45"/>
        <v>149384.85000000006</v>
      </c>
      <c r="N1009" s="11">
        <f t="shared" si="46"/>
        <v>9</v>
      </c>
    </row>
    <row r="1010" spans="1:14" x14ac:dyDescent="0.25">
      <c r="A1010" s="11" t="s">
        <v>207</v>
      </c>
      <c r="B1010" s="12">
        <v>45198</v>
      </c>
      <c r="C1010" s="11" t="s">
        <v>688</v>
      </c>
      <c r="D1010" s="11" t="s">
        <v>43</v>
      </c>
      <c r="E1010" s="14" t="s">
        <v>429</v>
      </c>
      <c r="F1010" s="14" t="s">
        <v>429</v>
      </c>
      <c r="G1010" s="14" t="s">
        <v>428</v>
      </c>
      <c r="I1010" s="11">
        <f t="shared" si="47"/>
        <v>1</v>
      </c>
      <c r="J1010" s="16">
        <v>4016.35</v>
      </c>
      <c r="M1010" s="17">
        <f t="shared" si="45"/>
        <v>153401.20000000007</v>
      </c>
      <c r="N1010" s="11">
        <f t="shared" si="46"/>
        <v>9</v>
      </c>
    </row>
    <row r="1011" spans="1:14" x14ac:dyDescent="0.25">
      <c r="A1011" s="11" t="s">
        <v>0</v>
      </c>
      <c r="B1011" s="12">
        <v>45198</v>
      </c>
      <c r="C1011" s="11" t="s">
        <v>688</v>
      </c>
      <c r="D1011" s="11" t="s">
        <v>694</v>
      </c>
      <c r="E1011" s="13" t="s">
        <v>182</v>
      </c>
      <c r="F1011" s="14" t="s">
        <v>93</v>
      </c>
      <c r="G1011" s="14" t="s">
        <v>186</v>
      </c>
      <c r="I1011" s="11" t="b">
        <f t="shared" si="47"/>
        <v>0</v>
      </c>
      <c r="K1011" s="16">
        <v>2.58</v>
      </c>
      <c r="M1011" s="17">
        <f t="shared" si="45"/>
        <v>153398.62000000008</v>
      </c>
      <c r="N1011" s="11">
        <f t="shared" si="46"/>
        <v>9</v>
      </c>
    </row>
    <row r="1012" spans="1:14" x14ac:dyDescent="0.25">
      <c r="A1012" s="11" t="s">
        <v>0</v>
      </c>
      <c r="B1012" s="12">
        <v>45198</v>
      </c>
      <c r="C1012" s="11" t="s">
        <v>688</v>
      </c>
      <c r="D1012" s="11" t="s">
        <v>694</v>
      </c>
      <c r="E1012" s="13" t="s">
        <v>182</v>
      </c>
      <c r="F1012" s="14" t="s">
        <v>23</v>
      </c>
      <c r="G1012" s="14" t="s">
        <v>186</v>
      </c>
      <c r="I1012" s="11" t="b">
        <f t="shared" si="47"/>
        <v>0</v>
      </c>
      <c r="K1012" s="16">
        <v>67.319999999999993</v>
      </c>
      <c r="M1012" s="17">
        <f t="shared" si="45"/>
        <v>153331.30000000008</v>
      </c>
      <c r="N1012" s="11">
        <f t="shared" si="46"/>
        <v>9</v>
      </c>
    </row>
    <row r="1013" spans="1:14" x14ac:dyDescent="0.25">
      <c r="A1013" s="11" t="s">
        <v>0</v>
      </c>
      <c r="B1013" s="12">
        <v>45198</v>
      </c>
      <c r="C1013" s="11" t="s">
        <v>688</v>
      </c>
      <c r="D1013" s="11" t="s">
        <v>696</v>
      </c>
      <c r="E1013" s="13" t="s">
        <v>153</v>
      </c>
      <c r="F1013" s="14" t="s">
        <v>62</v>
      </c>
      <c r="G1013" s="14" t="s">
        <v>404</v>
      </c>
      <c r="H1013" s="15" t="s">
        <v>20</v>
      </c>
      <c r="I1013" s="11">
        <f t="shared" si="47"/>
        <v>5</v>
      </c>
      <c r="K1013" s="16">
        <v>750</v>
      </c>
      <c r="M1013" s="17">
        <f t="shared" si="45"/>
        <v>152581.30000000008</v>
      </c>
      <c r="N1013" s="11">
        <f t="shared" si="46"/>
        <v>9</v>
      </c>
    </row>
    <row r="1014" spans="1:14" x14ac:dyDescent="0.25">
      <c r="A1014" s="11" t="s">
        <v>0</v>
      </c>
      <c r="B1014" s="12">
        <v>45198</v>
      </c>
      <c r="C1014" s="11" t="s">
        <v>688</v>
      </c>
      <c r="D1014" s="11" t="s">
        <v>696</v>
      </c>
      <c r="E1014" s="13" t="s">
        <v>154</v>
      </c>
      <c r="F1014" s="14" t="s">
        <v>62</v>
      </c>
      <c r="G1014" s="14" t="s">
        <v>404</v>
      </c>
      <c r="H1014" s="15" t="s">
        <v>20</v>
      </c>
      <c r="I1014" s="11">
        <f t="shared" si="47"/>
        <v>5</v>
      </c>
      <c r="K1014" s="16">
        <v>750</v>
      </c>
      <c r="M1014" s="17">
        <f t="shared" si="45"/>
        <v>151831.30000000008</v>
      </c>
      <c r="N1014" s="11">
        <f t="shared" si="46"/>
        <v>9</v>
      </c>
    </row>
    <row r="1015" spans="1:14" x14ac:dyDescent="0.25">
      <c r="A1015" s="11" t="s">
        <v>0</v>
      </c>
      <c r="B1015" s="12">
        <v>45198</v>
      </c>
      <c r="C1015" s="11" t="s">
        <v>688</v>
      </c>
      <c r="D1015" s="11" t="s">
        <v>696</v>
      </c>
      <c r="E1015" s="13" t="s">
        <v>155</v>
      </c>
      <c r="F1015" s="14" t="s">
        <v>62</v>
      </c>
      <c r="G1015" s="14" t="s">
        <v>404</v>
      </c>
      <c r="H1015" s="15" t="s">
        <v>20</v>
      </c>
      <c r="I1015" s="11">
        <f t="shared" si="47"/>
        <v>5</v>
      </c>
      <c r="K1015" s="16">
        <v>1125</v>
      </c>
      <c r="M1015" s="17">
        <f t="shared" si="45"/>
        <v>150706.30000000008</v>
      </c>
      <c r="N1015" s="11">
        <f t="shared" si="46"/>
        <v>9</v>
      </c>
    </row>
    <row r="1016" spans="1:14" x14ac:dyDescent="0.25">
      <c r="A1016" s="11" t="s">
        <v>0</v>
      </c>
      <c r="B1016" s="12">
        <v>45198</v>
      </c>
      <c r="C1016" s="11" t="s">
        <v>688</v>
      </c>
      <c r="D1016" s="11" t="s">
        <v>696</v>
      </c>
      <c r="E1016" s="13" t="s">
        <v>156</v>
      </c>
      <c r="F1016" s="14" t="s">
        <v>62</v>
      </c>
      <c r="G1016" s="14" t="s">
        <v>404</v>
      </c>
      <c r="H1016" s="15" t="s">
        <v>20</v>
      </c>
      <c r="I1016" s="11">
        <f t="shared" si="47"/>
        <v>5</v>
      </c>
      <c r="K1016" s="16">
        <v>700</v>
      </c>
      <c r="M1016" s="17">
        <f t="shared" si="45"/>
        <v>150006.30000000008</v>
      </c>
      <c r="N1016" s="11">
        <f t="shared" si="46"/>
        <v>9</v>
      </c>
    </row>
    <row r="1017" spans="1:14" x14ac:dyDescent="0.25">
      <c r="A1017" s="11" t="s">
        <v>0</v>
      </c>
      <c r="B1017" s="12">
        <v>45198</v>
      </c>
      <c r="C1017" s="11" t="s">
        <v>688</v>
      </c>
      <c r="D1017" s="11" t="s">
        <v>696</v>
      </c>
      <c r="E1017" s="13" t="s">
        <v>157</v>
      </c>
      <c r="F1017" s="14" t="s">
        <v>62</v>
      </c>
      <c r="G1017" s="14" t="s">
        <v>404</v>
      </c>
      <c r="H1017" s="15" t="s">
        <v>20</v>
      </c>
      <c r="I1017" s="11">
        <f t="shared" si="47"/>
        <v>5</v>
      </c>
      <c r="K1017" s="16">
        <v>660</v>
      </c>
      <c r="M1017" s="17">
        <f t="shared" si="45"/>
        <v>149346.30000000008</v>
      </c>
      <c r="N1017" s="11">
        <f t="shared" si="46"/>
        <v>9</v>
      </c>
    </row>
    <row r="1018" spans="1:14" x14ac:dyDescent="0.25">
      <c r="A1018" s="11" t="s">
        <v>0</v>
      </c>
      <c r="B1018" s="12">
        <v>45198</v>
      </c>
      <c r="C1018" s="11" t="s">
        <v>688</v>
      </c>
      <c r="D1018" s="11" t="s">
        <v>696</v>
      </c>
      <c r="E1018" s="13" t="s">
        <v>158</v>
      </c>
      <c r="F1018" s="14" t="s">
        <v>62</v>
      </c>
      <c r="G1018" s="14" t="s">
        <v>404</v>
      </c>
      <c r="H1018" s="15" t="s">
        <v>20</v>
      </c>
      <c r="I1018" s="11">
        <f t="shared" si="47"/>
        <v>5</v>
      </c>
      <c r="K1018" s="16">
        <v>490</v>
      </c>
      <c r="M1018" s="17">
        <f t="shared" si="45"/>
        <v>148856.30000000008</v>
      </c>
      <c r="N1018" s="11">
        <f t="shared" si="46"/>
        <v>9</v>
      </c>
    </row>
    <row r="1019" spans="1:14" x14ac:dyDescent="0.25">
      <c r="A1019" s="11" t="s">
        <v>0</v>
      </c>
      <c r="B1019" s="12">
        <v>45198</v>
      </c>
      <c r="C1019" s="11" t="s">
        <v>688</v>
      </c>
      <c r="D1019" s="11" t="s">
        <v>696</v>
      </c>
      <c r="E1019" s="13" t="s">
        <v>159</v>
      </c>
      <c r="F1019" s="14" t="s">
        <v>62</v>
      </c>
      <c r="G1019" s="14" t="s">
        <v>404</v>
      </c>
      <c r="H1019" s="15" t="s">
        <v>20</v>
      </c>
      <c r="I1019" s="11">
        <f t="shared" si="47"/>
        <v>5</v>
      </c>
      <c r="K1019" s="16">
        <v>280</v>
      </c>
      <c r="M1019" s="17">
        <f t="shared" si="45"/>
        <v>148576.30000000008</v>
      </c>
      <c r="N1019" s="11">
        <f t="shared" si="46"/>
        <v>9</v>
      </c>
    </row>
    <row r="1020" spans="1:14" x14ac:dyDescent="0.25">
      <c r="A1020" s="11" t="s">
        <v>0</v>
      </c>
      <c r="B1020" s="12">
        <v>45198</v>
      </c>
      <c r="C1020" s="11" t="s">
        <v>688</v>
      </c>
      <c r="D1020" s="11" t="s">
        <v>696</v>
      </c>
      <c r="E1020" s="13" t="s">
        <v>160</v>
      </c>
      <c r="F1020" s="14" t="s">
        <v>62</v>
      </c>
      <c r="G1020" s="14" t="s">
        <v>404</v>
      </c>
      <c r="H1020" s="15" t="s">
        <v>20</v>
      </c>
      <c r="I1020" s="11">
        <f t="shared" si="47"/>
        <v>5</v>
      </c>
      <c r="K1020" s="16">
        <v>1000</v>
      </c>
      <c r="M1020" s="17">
        <f t="shared" si="45"/>
        <v>147576.30000000008</v>
      </c>
      <c r="N1020" s="11">
        <f t="shared" si="46"/>
        <v>9</v>
      </c>
    </row>
    <row r="1021" spans="1:14" x14ac:dyDescent="0.25">
      <c r="A1021" s="11" t="s">
        <v>0</v>
      </c>
      <c r="B1021" s="12">
        <v>45198</v>
      </c>
      <c r="C1021" s="11" t="s">
        <v>688</v>
      </c>
      <c r="D1021" s="11" t="s">
        <v>692</v>
      </c>
      <c r="E1021" s="13" t="s">
        <v>108</v>
      </c>
      <c r="F1021" s="14" t="s">
        <v>107</v>
      </c>
      <c r="G1021" s="14" t="s">
        <v>404</v>
      </c>
      <c r="H1021" s="15">
        <v>6</v>
      </c>
      <c r="I1021" s="11">
        <f t="shared" si="47"/>
        <v>5</v>
      </c>
      <c r="K1021" s="16">
        <v>450</v>
      </c>
      <c r="M1021" s="17">
        <f t="shared" si="45"/>
        <v>147126.30000000008</v>
      </c>
      <c r="N1021" s="11">
        <f t="shared" si="46"/>
        <v>9</v>
      </c>
    </row>
    <row r="1022" spans="1:14" x14ac:dyDescent="0.25">
      <c r="A1022" s="11" t="s">
        <v>0</v>
      </c>
      <c r="B1022" s="12">
        <v>45198</v>
      </c>
      <c r="C1022" s="11" t="s">
        <v>688</v>
      </c>
      <c r="D1022" s="11" t="s">
        <v>692</v>
      </c>
      <c r="E1022" s="13" t="s">
        <v>179</v>
      </c>
      <c r="F1022" s="14" t="s">
        <v>378</v>
      </c>
      <c r="G1022" s="14" t="s">
        <v>174</v>
      </c>
      <c r="H1022" s="15">
        <v>3</v>
      </c>
      <c r="I1022" s="11" t="b">
        <f t="shared" si="47"/>
        <v>0</v>
      </c>
      <c r="K1022" s="16">
        <v>1000</v>
      </c>
      <c r="M1022" s="17">
        <f t="shared" si="45"/>
        <v>146126.30000000008</v>
      </c>
      <c r="N1022" s="11">
        <f t="shared" si="46"/>
        <v>9</v>
      </c>
    </row>
    <row r="1023" spans="1:14" x14ac:dyDescent="0.25">
      <c r="A1023" s="11" t="s">
        <v>0</v>
      </c>
      <c r="B1023" s="12">
        <v>45198</v>
      </c>
      <c r="C1023" s="11" t="s">
        <v>688</v>
      </c>
      <c r="D1023" s="11" t="s">
        <v>47</v>
      </c>
      <c r="E1023" s="13" t="s">
        <v>354</v>
      </c>
      <c r="F1023" s="14" t="s">
        <v>354</v>
      </c>
      <c r="G1023" s="14" t="s">
        <v>174</v>
      </c>
      <c r="H1023" s="15">
        <v>2</v>
      </c>
      <c r="I1023" s="11" t="b">
        <f t="shared" si="47"/>
        <v>0</v>
      </c>
      <c r="K1023" s="16">
        <v>300</v>
      </c>
      <c r="M1023" s="17">
        <f t="shared" si="45"/>
        <v>145826.30000000008</v>
      </c>
      <c r="N1023" s="11">
        <f t="shared" si="46"/>
        <v>9</v>
      </c>
    </row>
    <row r="1024" spans="1:14" x14ac:dyDescent="0.25">
      <c r="A1024" s="11" t="s">
        <v>0</v>
      </c>
      <c r="B1024" s="12">
        <v>45198</v>
      </c>
      <c r="C1024" s="11" t="s">
        <v>688</v>
      </c>
      <c r="D1024" s="11" t="s">
        <v>692</v>
      </c>
      <c r="E1024" s="13" t="s">
        <v>725</v>
      </c>
      <c r="F1024" s="14" t="s">
        <v>27</v>
      </c>
      <c r="G1024" s="14" t="s">
        <v>404</v>
      </c>
      <c r="H1024" s="15">
        <v>13562</v>
      </c>
      <c r="I1024" s="11">
        <f t="shared" si="47"/>
        <v>5</v>
      </c>
      <c r="K1024" s="16">
        <v>622.03</v>
      </c>
      <c r="M1024" s="17">
        <f t="shared" si="45"/>
        <v>145204.27000000008</v>
      </c>
      <c r="N1024" s="11">
        <f t="shared" si="46"/>
        <v>9</v>
      </c>
    </row>
    <row r="1025" spans="1:14" x14ac:dyDescent="0.25">
      <c r="A1025" s="11" t="s">
        <v>0</v>
      </c>
      <c r="B1025" s="12">
        <v>45198</v>
      </c>
      <c r="C1025" s="11" t="s">
        <v>688</v>
      </c>
      <c r="D1025" s="11" t="s">
        <v>699</v>
      </c>
      <c r="E1025" s="13" t="s">
        <v>98</v>
      </c>
      <c r="F1025" s="14" t="s">
        <v>206</v>
      </c>
      <c r="G1025" s="14" t="s">
        <v>404</v>
      </c>
      <c r="H1025" s="15">
        <v>7414</v>
      </c>
      <c r="I1025" s="11">
        <f t="shared" si="47"/>
        <v>5</v>
      </c>
      <c r="K1025" s="16">
        <v>250</v>
      </c>
      <c r="M1025" s="17">
        <f t="shared" si="45"/>
        <v>144954.27000000008</v>
      </c>
      <c r="N1025" s="11">
        <f t="shared" si="46"/>
        <v>9</v>
      </c>
    </row>
    <row r="1026" spans="1:14" x14ac:dyDescent="0.25">
      <c r="A1026" s="11" t="s">
        <v>207</v>
      </c>
      <c r="B1026" s="12">
        <v>45198</v>
      </c>
      <c r="C1026" s="11" t="s">
        <v>688</v>
      </c>
      <c r="D1026" s="11" t="s">
        <v>43</v>
      </c>
      <c r="E1026" s="13" t="s">
        <v>95</v>
      </c>
      <c r="F1026" s="14" t="s">
        <v>355</v>
      </c>
      <c r="G1026" s="14" t="s">
        <v>400</v>
      </c>
      <c r="I1026" s="11">
        <f t="shared" si="47"/>
        <v>2</v>
      </c>
      <c r="J1026" s="16">
        <v>374.55</v>
      </c>
      <c r="M1026" s="17">
        <f t="shared" si="45"/>
        <v>145328.82000000007</v>
      </c>
      <c r="N1026" s="11">
        <f t="shared" si="46"/>
        <v>9</v>
      </c>
    </row>
    <row r="1027" spans="1:14" x14ac:dyDescent="0.25">
      <c r="A1027" s="11" t="s">
        <v>0</v>
      </c>
      <c r="B1027" s="12">
        <v>45198</v>
      </c>
      <c r="C1027" s="11" t="s">
        <v>688</v>
      </c>
      <c r="D1027" s="11" t="s">
        <v>696</v>
      </c>
      <c r="E1027" s="13" t="s">
        <v>149</v>
      </c>
      <c r="F1027" s="14" t="s">
        <v>62</v>
      </c>
      <c r="G1027" s="14" t="s">
        <v>407</v>
      </c>
      <c r="H1027" s="15" t="s">
        <v>426</v>
      </c>
      <c r="I1027" s="11">
        <f t="shared" si="47"/>
        <v>4</v>
      </c>
      <c r="K1027" s="16">
        <v>1150</v>
      </c>
      <c r="M1027" s="17">
        <f t="shared" ref="M1027:M1090" si="48">IF(B1027=0, "",M1026+ J1027-K1027)</f>
        <v>144178.82000000007</v>
      </c>
      <c r="N1027" s="11">
        <f t="shared" ref="N1027:N1090" si="49">IF(B1027=0, "", MONTH(B1027))</f>
        <v>9</v>
      </c>
    </row>
    <row r="1028" spans="1:14" x14ac:dyDescent="0.25">
      <c r="A1028" s="11" t="s">
        <v>0</v>
      </c>
      <c r="B1028" s="12">
        <v>45198</v>
      </c>
      <c r="C1028" s="11" t="s">
        <v>688</v>
      </c>
      <c r="D1028" s="11" t="s">
        <v>696</v>
      </c>
      <c r="E1028" s="13" t="s">
        <v>150</v>
      </c>
      <c r="F1028" s="14" t="s">
        <v>62</v>
      </c>
      <c r="G1028" s="14" t="s">
        <v>407</v>
      </c>
      <c r="H1028" s="15" t="s">
        <v>426</v>
      </c>
      <c r="I1028" s="11">
        <f t="shared" ref="I1028:I1093" si="50">IF(AND(G1028="MERCADO PAGO",A1028="FATURAMENTO"),1,IF(AND(OR(G1028="MERCADO PAGO",G1028="pix mercado pago",G1028= "débito automático mercado pago", G1028= "boleto mercado pago"),A1028="DESPESAS"),4,IF(AND(G1028="SAFRA",A1028="FATURAMENTO"),2,IF(AND(OR(G1028="SAFRA",G1028="PIX SAFRA", G1028="DÉBITO AUTOMÁTICO SAFRA", G1028= "BOLETO SAFRA", G1028= "transferência safra"), A1028="DESPESAS"),5,IF(AND(G1028="espécie",A1028="FATURAMENTO"),3,IF(AND(G1028="espécie",A1028="DESPESAS"),6))))))</f>
        <v>4</v>
      </c>
      <c r="K1028" s="16">
        <v>660</v>
      </c>
      <c r="M1028" s="17">
        <f t="shared" si="48"/>
        <v>143518.82000000007</v>
      </c>
      <c r="N1028" s="11">
        <f t="shared" si="49"/>
        <v>9</v>
      </c>
    </row>
    <row r="1029" spans="1:14" x14ac:dyDescent="0.25">
      <c r="A1029" s="11" t="s">
        <v>748</v>
      </c>
      <c r="B1029" s="12">
        <v>45198</v>
      </c>
      <c r="C1029" s="11" t="s">
        <v>688</v>
      </c>
      <c r="D1029" s="11" t="s">
        <v>696</v>
      </c>
      <c r="E1029" s="13" t="s">
        <v>165</v>
      </c>
      <c r="F1029" s="14" t="s">
        <v>62</v>
      </c>
      <c r="G1029" s="14" t="s">
        <v>407</v>
      </c>
      <c r="H1029" s="15" t="s">
        <v>426</v>
      </c>
      <c r="I1029" s="11" t="b">
        <f t="shared" si="50"/>
        <v>0</v>
      </c>
      <c r="K1029" s="16">
        <v>1200</v>
      </c>
      <c r="M1029" s="17">
        <f t="shared" si="48"/>
        <v>142318.82000000007</v>
      </c>
      <c r="N1029" s="11">
        <f t="shared" si="49"/>
        <v>9</v>
      </c>
    </row>
    <row r="1030" spans="1:14" x14ac:dyDescent="0.25">
      <c r="A1030" s="11" t="s">
        <v>748</v>
      </c>
      <c r="B1030" s="12">
        <v>45198</v>
      </c>
      <c r="C1030" s="11" t="s">
        <v>688</v>
      </c>
      <c r="D1030" s="11" t="s">
        <v>696</v>
      </c>
      <c r="E1030" s="13" t="s">
        <v>165</v>
      </c>
      <c r="F1030" s="14" t="s">
        <v>62</v>
      </c>
      <c r="G1030" s="14" t="s">
        <v>428</v>
      </c>
      <c r="I1030" s="11" t="b">
        <f t="shared" si="50"/>
        <v>0</v>
      </c>
      <c r="J1030" s="16">
        <v>1200</v>
      </c>
      <c r="M1030" s="17">
        <f t="shared" si="48"/>
        <v>143518.82000000007</v>
      </c>
      <c r="N1030" s="11">
        <f t="shared" si="49"/>
        <v>9</v>
      </c>
    </row>
    <row r="1031" spans="1:14" x14ac:dyDescent="0.25">
      <c r="A1031" s="11" t="s">
        <v>0</v>
      </c>
      <c r="B1031" s="12">
        <v>45198</v>
      </c>
      <c r="C1031" s="11" t="s">
        <v>688</v>
      </c>
      <c r="D1031" s="11" t="s">
        <v>696</v>
      </c>
      <c r="E1031" s="13" t="s">
        <v>165</v>
      </c>
      <c r="F1031" s="14" t="s">
        <v>62</v>
      </c>
      <c r="G1031" s="14" t="s">
        <v>407</v>
      </c>
      <c r="H1031" s="15" t="s">
        <v>426</v>
      </c>
      <c r="I1031" s="11">
        <f t="shared" si="50"/>
        <v>4</v>
      </c>
      <c r="K1031" s="16">
        <v>1200</v>
      </c>
      <c r="M1031" s="17">
        <f t="shared" si="48"/>
        <v>142318.82000000007</v>
      </c>
      <c r="N1031" s="11">
        <f t="shared" si="49"/>
        <v>9</v>
      </c>
    </row>
    <row r="1032" spans="1:14" x14ac:dyDescent="0.25">
      <c r="A1032" s="11" t="s">
        <v>0</v>
      </c>
      <c r="B1032" s="12">
        <v>45198</v>
      </c>
      <c r="C1032" s="11" t="s">
        <v>688</v>
      </c>
      <c r="D1032" s="11" t="s">
        <v>696</v>
      </c>
      <c r="E1032" s="13" t="s">
        <v>151</v>
      </c>
      <c r="F1032" s="14" t="s">
        <v>62</v>
      </c>
      <c r="G1032" s="14" t="s">
        <v>407</v>
      </c>
      <c r="H1032" s="15" t="s">
        <v>426</v>
      </c>
      <c r="I1032" s="11">
        <f t="shared" si="50"/>
        <v>4</v>
      </c>
      <c r="K1032" s="16">
        <v>1000</v>
      </c>
      <c r="M1032" s="17">
        <f t="shared" si="48"/>
        <v>141318.82000000007</v>
      </c>
      <c r="N1032" s="11">
        <f t="shared" si="49"/>
        <v>9</v>
      </c>
    </row>
    <row r="1033" spans="1:14" x14ac:dyDescent="0.25">
      <c r="A1033" s="11" t="s">
        <v>0</v>
      </c>
      <c r="B1033" s="12">
        <v>45198</v>
      </c>
      <c r="C1033" s="11" t="s">
        <v>688</v>
      </c>
      <c r="D1033" s="11" t="s">
        <v>696</v>
      </c>
      <c r="E1033" s="13" t="s">
        <v>152</v>
      </c>
      <c r="F1033" s="14" t="s">
        <v>62</v>
      </c>
      <c r="G1033" s="14" t="s">
        <v>407</v>
      </c>
      <c r="H1033" s="15" t="s">
        <v>426</v>
      </c>
      <c r="I1033" s="11">
        <f t="shared" si="50"/>
        <v>4</v>
      </c>
      <c r="K1033" s="16">
        <v>1500</v>
      </c>
      <c r="M1033" s="17">
        <f t="shared" si="48"/>
        <v>139818.82000000007</v>
      </c>
      <c r="N1033" s="11">
        <f t="shared" si="49"/>
        <v>9</v>
      </c>
    </row>
    <row r="1034" spans="1:14" x14ac:dyDescent="0.25">
      <c r="A1034" s="11" t="s">
        <v>207</v>
      </c>
      <c r="B1034" s="12">
        <v>45198</v>
      </c>
      <c r="C1034" s="11" t="s">
        <v>688</v>
      </c>
      <c r="D1034" s="11" t="s">
        <v>43</v>
      </c>
      <c r="E1034" s="14" t="s">
        <v>288</v>
      </c>
      <c r="F1034" s="14" t="s">
        <v>288</v>
      </c>
      <c r="G1034" s="14" t="s">
        <v>173</v>
      </c>
      <c r="I1034" s="11">
        <f t="shared" si="50"/>
        <v>3</v>
      </c>
      <c r="J1034" s="16">
        <v>190</v>
      </c>
      <c r="M1034" s="17">
        <f t="shared" si="48"/>
        <v>140008.82000000007</v>
      </c>
      <c r="N1034" s="11">
        <f t="shared" si="49"/>
        <v>9</v>
      </c>
    </row>
    <row r="1035" spans="1:14" x14ac:dyDescent="0.25">
      <c r="A1035" s="11" t="s">
        <v>207</v>
      </c>
      <c r="B1035" s="12">
        <v>45199</v>
      </c>
      <c r="C1035" s="11" t="s">
        <v>688</v>
      </c>
      <c r="D1035" s="11" t="s">
        <v>43</v>
      </c>
      <c r="E1035" s="14" t="s">
        <v>429</v>
      </c>
      <c r="F1035" s="14" t="s">
        <v>429</v>
      </c>
      <c r="G1035" s="14" t="s">
        <v>428</v>
      </c>
      <c r="I1035" s="11">
        <f t="shared" si="50"/>
        <v>1</v>
      </c>
      <c r="J1035" s="16">
        <v>5993.8</v>
      </c>
      <c r="M1035" s="17">
        <f t="shared" si="48"/>
        <v>146002.62000000005</v>
      </c>
      <c r="N1035" s="11">
        <f t="shared" si="49"/>
        <v>9</v>
      </c>
    </row>
    <row r="1036" spans="1:14" x14ac:dyDescent="0.25">
      <c r="A1036" s="11" t="s">
        <v>207</v>
      </c>
      <c r="B1036" s="12">
        <v>45199</v>
      </c>
      <c r="C1036" s="11" t="s">
        <v>688</v>
      </c>
      <c r="D1036" s="11" t="s">
        <v>43</v>
      </c>
      <c r="E1036" s="14" t="s">
        <v>288</v>
      </c>
      <c r="F1036" s="14" t="s">
        <v>288</v>
      </c>
      <c r="G1036" s="14" t="s">
        <v>173</v>
      </c>
      <c r="I1036" s="11">
        <f t="shared" si="50"/>
        <v>3</v>
      </c>
      <c r="J1036" s="16">
        <v>530</v>
      </c>
      <c r="M1036" s="17">
        <f t="shared" si="48"/>
        <v>146532.62000000005</v>
      </c>
      <c r="N1036" s="11">
        <f t="shared" si="49"/>
        <v>9</v>
      </c>
    </row>
    <row r="1037" spans="1:14" x14ac:dyDescent="0.25">
      <c r="A1037" s="11" t="s">
        <v>0</v>
      </c>
      <c r="B1037" s="12">
        <v>45199</v>
      </c>
      <c r="C1037" s="11" t="s">
        <v>688</v>
      </c>
      <c r="D1037" s="11" t="s">
        <v>1</v>
      </c>
      <c r="E1037" s="13" t="s">
        <v>424</v>
      </c>
      <c r="F1037" s="14" t="s">
        <v>423</v>
      </c>
      <c r="G1037" s="14" t="s">
        <v>425</v>
      </c>
      <c r="H1037" s="15" t="s">
        <v>426</v>
      </c>
      <c r="I1037" s="11">
        <f>IF(AND(G1037="MERCADO PAGO",A1037="FATURAMENTO"),1,IF(AND(OR(G1037="MERCADO PAGO",G1037="pix mercado pago",G1037= "débito automático mercado pago", G1037= "boleto mercado pago"),A1037="DESPESAS"),4,IF(AND(G1037="SAFRA",A1037="FATURAMENTO"),2,IF(AND(OR(G1037="SAFRA",G1037="PIX SAFRA", G1037="DÉBITO AUTOMÁTICO SAFRA", G1037= "BOLETO SAFRA", G1037= "transferência safra"), A1037="DESPESAS"),5,IF(AND(G1037="espécie",A1037="FATURAMENTO"),3,IF(AND(G1037="espécie",A1037="DESPESAS"),6))))))</f>
        <v>5</v>
      </c>
      <c r="K1037" s="16">
        <v>30000</v>
      </c>
      <c r="M1037" s="17">
        <f t="shared" si="48"/>
        <v>116532.62000000005</v>
      </c>
      <c r="N1037" s="11">
        <f t="shared" si="49"/>
        <v>9</v>
      </c>
    </row>
    <row r="1038" spans="1:14" x14ac:dyDescent="0.25">
      <c r="A1038" s="11" t="s">
        <v>0</v>
      </c>
      <c r="B1038" s="12">
        <v>45199</v>
      </c>
      <c r="C1038" s="11" t="s">
        <v>688</v>
      </c>
      <c r="D1038" s="11" t="s">
        <v>694</v>
      </c>
      <c r="E1038" s="13" t="s">
        <v>718</v>
      </c>
      <c r="F1038" s="14" t="s">
        <v>263</v>
      </c>
      <c r="G1038" s="14" t="s">
        <v>403</v>
      </c>
      <c r="H1038" s="15">
        <v>80879658</v>
      </c>
      <c r="I1038" s="11">
        <f>IF(AND(G1038="MERCADO PAGO",A1038="FATURAMENTO"),1,IF(AND(OR(G1038="MERCADO PAGO",G1038="pix mercado pago",G1038= "débito automático mercado pago", G1038= "boleto mercado pago"),A1038="DESPESAS"),4,IF(AND(G1038="SAFRA",A1038="FATURAMENTO"),2,IF(AND(OR(G1038="SAFRA",G1038="PIX SAFRA", G1038="DÉBITO AUTOMÁTICO SAFRA", G1038= "BOLETO SAFRA", G1038= "transferência safra"), A1038="DESPESAS"),5,IF(AND(G1038="espécie",A1038="FATURAMENTO"),3,IF(AND(G1038="espécie",A1038="DESPESAS"),6))))))</f>
        <v>5</v>
      </c>
      <c r="K1038" s="16">
        <v>8116.11</v>
      </c>
      <c r="M1038" s="17">
        <f t="shared" si="48"/>
        <v>108416.51000000005</v>
      </c>
      <c r="N1038" s="11">
        <f t="shared" si="49"/>
        <v>9</v>
      </c>
    </row>
    <row r="1039" spans="1:14" x14ac:dyDescent="0.25">
      <c r="A1039" s="11" t="s">
        <v>0</v>
      </c>
      <c r="B1039" s="12">
        <v>45200</v>
      </c>
      <c r="C1039" s="11" t="s">
        <v>688</v>
      </c>
      <c r="D1039" s="11" t="s">
        <v>692</v>
      </c>
      <c r="E1039" s="13" t="s">
        <v>108</v>
      </c>
      <c r="F1039" s="14" t="s">
        <v>107</v>
      </c>
      <c r="G1039" s="14" t="s">
        <v>173</v>
      </c>
      <c r="H1039" s="15">
        <v>6</v>
      </c>
      <c r="I1039" s="11">
        <f t="shared" si="50"/>
        <v>6</v>
      </c>
      <c r="K1039" s="16">
        <v>450</v>
      </c>
      <c r="M1039" s="17">
        <f t="shared" si="48"/>
        <v>107966.51000000005</v>
      </c>
      <c r="N1039" s="11">
        <f t="shared" si="49"/>
        <v>10</v>
      </c>
    </row>
    <row r="1040" spans="1:14" x14ac:dyDescent="0.25">
      <c r="A1040" s="11" t="s">
        <v>207</v>
      </c>
      <c r="B1040" s="12">
        <v>45200</v>
      </c>
      <c r="C1040" s="11" t="s">
        <v>688</v>
      </c>
      <c r="D1040" s="11" t="s">
        <v>43</v>
      </c>
      <c r="E1040" s="14" t="s">
        <v>288</v>
      </c>
      <c r="F1040" s="14" t="s">
        <v>288</v>
      </c>
      <c r="G1040" s="14" t="s">
        <v>173</v>
      </c>
      <c r="I1040" s="11">
        <f t="shared" si="50"/>
        <v>3</v>
      </c>
      <c r="J1040" s="16">
        <v>1325</v>
      </c>
      <c r="M1040" s="17">
        <f t="shared" si="48"/>
        <v>109291.51000000005</v>
      </c>
      <c r="N1040" s="11">
        <f t="shared" si="49"/>
        <v>10</v>
      </c>
    </row>
    <row r="1041" spans="1:14" x14ac:dyDescent="0.25">
      <c r="A1041" s="11" t="s">
        <v>0</v>
      </c>
      <c r="B1041" s="12">
        <v>45201</v>
      </c>
      <c r="C1041" s="11" t="s">
        <v>688</v>
      </c>
      <c r="D1041" s="11" t="s">
        <v>692</v>
      </c>
      <c r="E1041" s="13" t="s">
        <v>725</v>
      </c>
      <c r="F1041" s="14" t="s">
        <v>33</v>
      </c>
      <c r="G1041" s="14" t="s">
        <v>404</v>
      </c>
      <c r="H1041" s="15">
        <v>24644</v>
      </c>
      <c r="I1041" s="11">
        <f t="shared" si="50"/>
        <v>5</v>
      </c>
      <c r="K1041" s="16">
        <v>485.39</v>
      </c>
      <c r="M1041" s="17">
        <f t="shared" si="48"/>
        <v>108806.12000000005</v>
      </c>
      <c r="N1041" s="11">
        <f t="shared" si="49"/>
        <v>10</v>
      </c>
    </row>
    <row r="1042" spans="1:14" x14ac:dyDescent="0.25">
      <c r="A1042" s="11" t="s">
        <v>0</v>
      </c>
      <c r="B1042" s="12">
        <v>45201</v>
      </c>
      <c r="C1042" s="11" t="s">
        <v>688</v>
      </c>
      <c r="D1042" s="11" t="s">
        <v>692</v>
      </c>
      <c r="E1042" s="13" t="s">
        <v>719</v>
      </c>
      <c r="F1042" s="14" t="s">
        <v>58</v>
      </c>
      <c r="G1042" s="14" t="s">
        <v>404</v>
      </c>
      <c r="H1042" s="15">
        <v>2</v>
      </c>
      <c r="I1042" s="11">
        <f t="shared" si="50"/>
        <v>5</v>
      </c>
      <c r="K1042" s="16">
        <v>1812.3</v>
      </c>
      <c r="M1042" s="17">
        <f t="shared" si="48"/>
        <v>106993.82000000005</v>
      </c>
      <c r="N1042" s="11">
        <f t="shared" si="49"/>
        <v>10</v>
      </c>
    </row>
    <row r="1043" spans="1:14" x14ac:dyDescent="0.25">
      <c r="A1043" s="11" t="s">
        <v>0</v>
      </c>
      <c r="B1043" s="12">
        <v>45201</v>
      </c>
      <c r="C1043" s="11" t="s">
        <v>688</v>
      </c>
      <c r="D1043" s="11" t="s">
        <v>692</v>
      </c>
      <c r="E1043" s="13" t="s">
        <v>730</v>
      </c>
      <c r="F1043" s="14" t="s">
        <v>34</v>
      </c>
      <c r="G1043" s="14" t="s">
        <v>404</v>
      </c>
      <c r="H1043" s="15">
        <v>11137</v>
      </c>
      <c r="I1043" s="11">
        <f t="shared" si="50"/>
        <v>5</v>
      </c>
      <c r="K1043" s="16">
        <v>338.7</v>
      </c>
      <c r="M1043" s="17">
        <f t="shared" si="48"/>
        <v>106655.12000000005</v>
      </c>
      <c r="N1043" s="11">
        <f t="shared" si="49"/>
        <v>10</v>
      </c>
    </row>
    <row r="1044" spans="1:14" x14ac:dyDescent="0.25">
      <c r="A1044" s="11" t="s">
        <v>0</v>
      </c>
      <c r="B1044" s="12">
        <v>45201</v>
      </c>
      <c r="C1044" s="11" t="s">
        <v>688</v>
      </c>
      <c r="D1044" s="11" t="s">
        <v>692</v>
      </c>
      <c r="E1044" s="13" t="s">
        <v>725</v>
      </c>
      <c r="F1044" s="14" t="s">
        <v>33</v>
      </c>
      <c r="G1044" s="14" t="s">
        <v>404</v>
      </c>
      <c r="H1044" s="15">
        <v>24643</v>
      </c>
      <c r="I1044" s="11">
        <f t="shared" si="50"/>
        <v>5</v>
      </c>
      <c r="K1044" s="16">
        <v>273.12</v>
      </c>
      <c r="M1044" s="17">
        <f t="shared" si="48"/>
        <v>106382.00000000006</v>
      </c>
      <c r="N1044" s="11">
        <f t="shared" si="49"/>
        <v>10</v>
      </c>
    </row>
    <row r="1045" spans="1:14" x14ac:dyDescent="0.25">
      <c r="A1045" s="11" t="s">
        <v>0</v>
      </c>
      <c r="B1045" s="12">
        <v>45201</v>
      </c>
      <c r="C1045" s="11" t="s">
        <v>688</v>
      </c>
      <c r="D1045" s="11" t="s">
        <v>692</v>
      </c>
      <c r="E1045" s="13" t="s">
        <v>725</v>
      </c>
      <c r="F1045" s="14" t="s">
        <v>27</v>
      </c>
      <c r="G1045" s="14" t="s">
        <v>404</v>
      </c>
      <c r="H1045" s="15">
        <v>13589</v>
      </c>
      <c r="I1045" s="11">
        <f t="shared" si="50"/>
        <v>5</v>
      </c>
      <c r="K1045" s="16">
        <v>737.97</v>
      </c>
      <c r="M1045" s="17">
        <f t="shared" si="48"/>
        <v>105644.03000000006</v>
      </c>
      <c r="N1045" s="11">
        <f t="shared" si="49"/>
        <v>10</v>
      </c>
    </row>
    <row r="1046" spans="1:14" x14ac:dyDescent="0.25">
      <c r="A1046" s="11" t="s">
        <v>0</v>
      </c>
      <c r="B1046" s="12">
        <v>45201</v>
      </c>
      <c r="C1046" s="11" t="s">
        <v>688</v>
      </c>
      <c r="D1046" s="11" t="s">
        <v>47</v>
      </c>
      <c r="E1046" s="13" t="s">
        <v>356</v>
      </c>
      <c r="F1046" s="14" t="s">
        <v>356</v>
      </c>
      <c r="G1046" s="14" t="s">
        <v>404</v>
      </c>
      <c r="H1046" s="15">
        <v>1</v>
      </c>
      <c r="I1046" s="11">
        <f t="shared" si="50"/>
        <v>5</v>
      </c>
      <c r="K1046" s="16">
        <v>1000</v>
      </c>
      <c r="M1046" s="17">
        <f t="shared" si="48"/>
        <v>104644.03000000006</v>
      </c>
      <c r="N1046" s="11">
        <f t="shared" si="49"/>
        <v>10</v>
      </c>
    </row>
    <row r="1047" spans="1:14" x14ac:dyDescent="0.25">
      <c r="A1047" s="11" t="s">
        <v>0</v>
      </c>
      <c r="B1047" s="12">
        <v>45201</v>
      </c>
      <c r="C1047" s="11" t="s">
        <v>688</v>
      </c>
      <c r="D1047" s="11" t="s">
        <v>692</v>
      </c>
      <c r="E1047" s="13" t="s">
        <v>725</v>
      </c>
      <c r="F1047" s="14" t="s">
        <v>27</v>
      </c>
      <c r="G1047" s="14" t="s">
        <v>404</v>
      </c>
      <c r="H1047" s="15">
        <v>13593</v>
      </c>
      <c r="I1047" s="11">
        <f t="shared" si="50"/>
        <v>5</v>
      </c>
      <c r="K1047" s="16">
        <v>106.99</v>
      </c>
      <c r="M1047" s="17">
        <f t="shared" si="48"/>
        <v>104537.04000000005</v>
      </c>
      <c r="N1047" s="11">
        <f t="shared" si="49"/>
        <v>10</v>
      </c>
    </row>
    <row r="1048" spans="1:14" x14ac:dyDescent="0.25">
      <c r="A1048" s="11" t="s">
        <v>207</v>
      </c>
      <c r="B1048" s="12">
        <v>45200</v>
      </c>
      <c r="C1048" s="11" t="s">
        <v>688</v>
      </c>
      <c r="D1048" s="11" t="s">
        <v>43</v>
      </c>
      <c r="E1048" s="14" t="s">
        <v>429</v>
      </c>
      <c r="F1048" s="14" t="s">
        <v>429</v>
      </c>
      <c r="G1048" s="14" t="s">
        <v>428</v>
      </c>
      <c r="I1048" s="11">
        <f t="shared" si="50"/>
        <v>1</v>
      </c>
      <c r="J1048" s="16">
        <v>7447</v>
      </c>
      <c r="M1048" s="17">
        <f t="shared" si="48"/>
        <v>111984.04000000005</v>
      </c>
      <c r="N1048" s="11">
        <f t="shared" si="49"/>
        <v>10</v>
      </c>
    </row>
    <row r="1049" spans="1:14" x14ac:dyDescent="0.25">
      <c r="A1049" s="11" t="s">
        <v>207</v>
      </c>
      <c r="B1049" s="12">
        <v>45201</v>
      </c>
      <c r="C1049" s="11" t="s">
        <v>688</v>
      </c>
      <c r="D1049" s="11" t="s">
        <v>43</v>
      </c>
      <c r="E1049" s="13" t="s">
        <v>357</v>
      </c>
      <c r="F1049" s="14" t="s">
        <v>13</v>
      </c>
      <c r="G1049" s="14" t="s">
        <v>400</v>
      </c>
      <c r="I1049" s="11">
        <f t="shared" si="50"/>
        <v>2</v>
      </c>
      <c r="J1049" s="16">
        <v>160.59</v>
      </c>
      <c r="M1049" s="17">
        <f t="shared" si="48"/>
        <v>112144.63000000005</v>
      </c>
      <c r="N1049" s="11">
        <f t="shared" si="49"/>
        <v>10</v>
      </c>
    </row>
    <row r="1050" spans="1:14" x14ac:dyDescent="0.25">
      <c r="A1050" s="11" t="s">
        <v>207</v>
      </c>
      <c r="B1050" s="12">
        <v>45201</v>
      </c>
      <c r="C1050" s="11" t="s">
        <v>688</v>
      </c>
      <c r="D1050" s="11" t="s">
        <v>43</v>
      </c>
      <c r="E1050" s="13" t="s">
        <v>357</v>
      </c>
      <c r="F1050" s="14" t="s">
        <v>13</v>
      </c>
      <c r="G1050" s="14" t="s">
        <v>400</v>
      </c>
      <c r="I1050" s="11">
        <f t="shared" si="50"/>
        <v>2</v>
      </c>
      <c r="J1050" s="16">
        <v>74.37</v>
      </c>
      <c r="M1050" s="17">
        <f t="shared" si="48"/>
        <v>112219.00000000004</v>
      </c>
      <c r="N1050" s="11">
        <f t="shared" si="49"/>
        <v>10</v>
      </c>
    </row>
    <row r="1051" spans="1:14" x14ac:dyDescent="0.25">
      <c r="A1051" s="11" t="s">
        <v>207</v>
      </c>
      <c r="B1051" s="12">
        <v>45201</v>
      </c>
      <c r="C1051" s="11" t="s">
        <v>688</v>
      </c>
      <c r="D1051" s="11" t="s">
        <v>43</v>
      </c>
      <c r="E1051" s="13" t="s">
        <v>357</v>
      </c>
      <c r="F1051" s="14" t="s">
        <v>13</v>
      </c>
      <c r="G1051" s="14" t="s">
        <v>400</v>
      </c>
      <c r="I1051" s="11">
        <f t="shared" si="50"/>
        <v>2</v>
      </c>
      <c r="J1051" s="16">
        <v>412.1</v>
      </c>
      <c r="M1051" s="17">
        <f t="shared" si="48"/>
        <v>112631.10000000005</v>
      </c>
      <c r="N1051" s="11">
        <f t="shared" si="49"/>
        <v>10</v>
      </c>
    </row>
    <row r="1052" spans="1:14" x14ac:dyDescent="0.25">
      <c r="A1052" s="11" t="s">
        <v>207</v>
      </c>
      <c r="B1052" s="12">
        <v>45201</v>
      </c>
      <c r="C1052" s="11" t="s">
        <v>688</v>
      </c>
      <c r="D1052" s="11" t="s">
        <v>43</v>
      </c>
      <c r="E1052" s="13" t="s">
        <v>357</v>
      </c>
      <c r="F1052" s="14" t="s">
        <v>13</v>
      </c>
      <c r="G1052" s="14" t="s">
        <v>400</v>
      </c>
      <c r="I1052" s="11">
        <f t="shared" si="50"/>
        <v>2</v>
      </c>
      <c r="J1052" s="16">
        <v>308.22000000000003</v>
      </c>
      <c r="M1052" s="17">
        <f t="shared" si="48"/>
        <v>112939.32000000005</v>
      </c>
      <c r="N1052" s="11">
        <f t="shared" si="49"/>
        <v>10</v>
      </c>
    </row>
    <row r="1053" spans="1:14" x14ac:dyDescent="0.25">
      <c r="A1053" s="11" t="s">
        <v>207</v>
      </c>
      <c r="B1053" s="12">
        <v>45201</v>
      </c>
      <c r="C1053" s="11" t="s">
        <v>688</v>
      </c>
      <c r="D1053" s="11" t="s">
        <v>43</v>
      </c>
      <c r="E1053" s="13" t="s">
        <v>357</v>
      </c>
      <c r="F1053" s="14" t="s">
        <v>13</v>
      </c>
      <c r="G1053" s="14" t="s">
        <v>400</v>
      </c>
      <c r="I1053" s="11">
        <f t="shared" si="50"/>
        <v>2</v>
      </c>
      <c r="J1053" s="16">
        <v>170.25</v>
      </c>
      <c r="M1053" s="17">
        <f t="shared" si="48"/>
        <v>113109.57000000005</v>
      </c>
      <c r="N1053" s="11">
        <f t="shared" si="49"/>
        <v>10</v>
      </c>
    </row>
    <row r="1054" spans="1:14" x14ac:dyDescent="0.25">
      <c r="A1054" s="11" t="s">
        <v>207</v>
      </c>
      <c r="B1054" s="12">
        <v>45201</v>
      </c>
      <c r="C1054" s="11" t="s">
        <v>688</v>
      </c>
      <c r="D1054" s="11" t="s">
        <v>43</v>
      </c>
      <c r="E1054" s="13" t="s">
        <v>357</v>
      </c>
      <c r="F1054" s="14" t="s">
        <v>13</v>
      </c>
      <c r="G1054" s="14" t="s">
        <v>400</v>
      </c>
      <c r="I1054" s="11">
        <f t="shared" si="50"/>
        <v>2</v>
      </c>
      <c r="J1054" s="16">
        <v>11.88</v>
      </c>
      <c r="M1054" s="17">
        <f t="shared" si="48"/>
        <v>113121.45000000006</v>
      </c>
      <c r="N1054" s="11">
        <f t="shared" si="49"/>
        <v>10</v>
      </c>
    </row>
    <row r="1055" spans="1:14" x14ac:dyDescent="0.25">
      <c r="A1055" s="11" t="s">
        <v>207</v>
      </c>
      <c r="B1055" s="12">
        <v>45201</v>
      </c>
      <c r="C1055" s="11" t="s">
        <v>662</v>
      </c>
      <c r="D1055" s="11" t="s">
        <v>43</v>
      </c>
      <c r="E1055" s="13" t="s">
        <v>357</v>
      </c>
      <c r="F1055" s="14" t="s">
        <v>13</v>
      </c>
      <c r="G1055" s="14" t="s">
        <v>400</v>
      </c>
      <c r="I1055" s="11">
        <f t="shared" si="50"/>
        <v>2</v>
      </c>
      <c r="J1055" s="16">
        <v>192.71</v>
      </c>
      <c r="M1055" s="17">
        <f t="shared" si="48"/>
        <v>113314.16000000006</v>
      </c>
      <c r="N1055" s="11">
        <f t="shared" si="49"/>
        <v>10</v>
      </c>
    </row>
    <row r="1056" spans="1:14" x14ac:dyDescent="0.25">
      <c r="A1056" s="11" t="s">
        <v>207</v>
      </c>
      <c r="B1056" s="12">
        <v>45201</v>
      </c>
      <c r="C1056" s="11" t="s">
        <v>662</v>
      </c>
      <c r="D1056" s="11" t="s">
        <v>43</v>
      </c>
      <c r="E1056" s="13" t="s">
        <v>357</v>
      </c>
      <c r="F1056" s="14" t="s">
        <v>13</v>
      </c>
      <c r="G1056" s="14" t="s">
        <v>400</v>
      </c>
      <c r="I1056" s="11">
        <f t="shared" si="50"/>
        <v>2</v>
      </c>
      <c r="J1056" s="16">
        <v>779.17</v>
      </c>
      <c r="M1056" s="17">
        <f t="shared" si="48"/>
        <v>114093.33000000006</v>
      </c>
      <c r="N1056" s="11">
        <f t="shared" si="49"/>
        <v>10</v>
      </c>
    </row>
    <row r="1057" spans="1:14" x14ac:dyDescent="0.25">
      <c r="A1057" s="11" t="s">
        <v>207</v>
      </c>
      <c r="B1057" s="12">
        <v>45201</v>
      </c>
      <c r="C1057" s="11" t="s">
        <v>688</v>
      </c>
      <c r="D1057" s="11" t="s">
        <v>43</v>
      </c>
      <c r="E1057" s="13" t="s">
        <v>357</v>
      </c>
      <c r="F1057" s="14" t="s">
        <v>13</v>
      </c>
      <c r="G1057" s="14" t="s">
        <v>400</v>
      </c>
      <c r="I1057" s="11">
        <f t="shared" si="50"/>
        <v>2</v>
      </c>
      <c r="J1057" s="16">
        <v>470.84</v>
      </c>
      <c r="M1057" s="17">
        <f t="shared" si="48"/>
        <v>114564.17000000006</v>
      </c>
      <c r="N1057" s="11">
        <f t="shared" si="49"/>
        <v>10</v>
      </c>
    </row>
    <row r="1058" spans="1:14" x14ac:dyDescent="0.25">
      <c r="A1058" s="11" t="s">
        <v>207</v>
      </c>
      <c r="B1058" s="12">
        <v>45201</v>
      </c>
      <c r="C1058" s="11" t="s">
        <v>688</v>
      </c>
      <c r="D1058" s="11" t="s">
        <v>43</v>
      </c>
      <c r="E1058" s="13" t="s">
        <v>357</v>
      </c>
      <c r="F1058" s="14" t="s">
        <v>13</v>
      </c>
      <c r="G1058" s="14" t="s">
        <v>400</v>
      </c>
      <c r="I1058" s="11">
        <f t="shared" si="50"/>
        <v>2</v>
      </c>
      <c r="J1058" s="16">
        <v>648.82000000000005</v>
      </c>
      <c r="M1058" s="17">
        <f t="shared" si="48"/>
        <v>115212.99000000006</v>
      </c>
      <c r="N1058" s="11">
        <f t="shared" si="49"/>
        <v>10</v>
      </c>
    </row>
    <row r="1059" spans="1:14" x14ac:dyDescent="0.25">
      <c r="A1059" s="11" t="s">
        <v>207</v>
      </c>
      <c r="B1059" s="12">
        <v>45201</v>
      </c>
      <c r="C1059" s="11" t="s">
        <v>688</v>
      </c>
      <c r="D1059" s="11" t="s">
        <v>43</v>
      </c>
      <c r="E1059" s="13" t="s">
        <v>79</v>
      </c>
      <c r="F1059" s="14" t="s">
        <v>79</v>
      </c>
      <c r="G1059" s="14" t="s">
        <v>400</v>
      </c>
      <c r="I1059" s="11">
        <f t="shared" si="50"/>
        <v>2</v>
      </c>
      <c r="J1059" s="16">
        <v>3541.83</v>
      </c>
      <c r="M1059" s="17">
        <f t="shared" si="48"/>
        <v>118754.82000000007</v>
      </c>
      <c r="N1059" s="11">
        <f t="shared" si="49"/>
        <v>10</v>
      </c>
    </row>
    <row r="1060" spans="1:14" x14ac:dyDescent="0.25">
      <c r="A1060" s="11" t="s">
        <v>207</v>
      </c>
      <c r="B1060" s="12">
        <v>45201</v>
      </c>
      <c r="C1060" s="11" t="s">
        <v>688</v>
      </c>
      <c r="D1060" s="11" t="s">
        <v>43</v>
      </c>
      <c r="E1060" s="13" t="s">
        <v>79</v>
      </c>
      <c r="F1060" s="14" t="s">
        <v>79</v>
      </c>
      <c r="G1060" s="14" t="s">
        <v>400</v>
      </c>
      <c r="I1060" s="11">
        <f t="shared" si="50"/>
        <v>2</v>
      </c>
      <c r="J1060" s="16">
        <v>4066.89</v>
      </c>
      <c r="M1060" s="17">
        <f t="shared" si="48"/>
        <v>122821.71000000006</v>
      </c>
      <c r="N1060" s="11">
        <f t="shared" si="49"/>
        <v>10</v>
      </c>
    </row>
    <row r="1061" spans="1:14" x14ac:dyDescent="0.25">
      <c r="A1061" s="11" t="s">
        <v>207</v>
      </c>
      <c r="B1061" s="12">
        <v>45201</v>
      </c>
      <c r="C1061" s="11" t="s">
        <v>688</v>
      </c>
      <c r="D1061" s="11" t="s">
        <v>43</v>
      </c>
      <c r="E1061" s="13" t="s">
        <v>79</v>
      </c>
      <c r="F1061" s="14" t="s">
        <v>79</v>
      </c>
      <c r="G1061" s="14" t="s">
        <v>400</v>
      </c>
      <c r="I1061" s="11">
        <f t="shared" si="50"/>
        <v>2</v>
      </c>
      <c r="J1061" s="16">
        <v>203.34</v>
      </c>
      <c r="M1061" s="17">
        <f t="shared" si="48"/>
        <v>123025.05000000006</v>
      </c>
      <c r="N1061" s="11">
        <f t="shared" si="49"/>
        <v>10</v>
      </c>
    </row>
    <row r="1062" spans="1:14" x14ac:dyDescent="0.25">
      <c r="A1062" s="11" t="s">
        <v>207</v>
      </c>
      <c r="B1062" s="12">
        <v>45201</v>
      </c>
      <c r="C1062" s="11" t="s">
        <v>688</v>
      </c>
      <c r="D1062" s="11" t="s">
        <v>43</v>
      </c>
      <c r="E1062" s="13" t="s">
        <v>79</v>
      </c>
      <c r="F1062" s="14" t="s">
        <v>79</v>
      </c>
      <c r="G1062" s="14" t="s">
        <v>400</v>
      </c>
      <c r="I1062" s="11">
        <f t="shared" si="50"/>
        <v>2</v>
      </c>
      <c r="J1062" s="16">
        <v>306.62</v>
      </c>
      <c r="M1062" s="17">
        <f t="shared" si="48"/>
        <v>123331.67000000006</v>
      </c>
      <c r="N1062" s="11">
        <f t="shared" si="49"/>
        <v>10</v>
      </c>
    </row>
    <row r="1063" spans="1:14" x14ac:dyDescent="0.25">
      <c r="A1063" s="11" t="s">
        <v>0</v>
      </c>
      <c r="B1063" s="12">
        <v>45201</v>
      </c>
      <c r="C1063" s="11" t="s">
        <v>688</v>
      </c>
      <c r="D1063" s="11" t="s">
        <v>701</v>
      </c>
      <c r="E1063" s="13" t="s">
        <v>728</v>
      </c>
      <c r="F1063" s="14" t="s">
        <v>204</v>
      </c>
      <c r="G1063" s="14" t="s">
        <v>404</v>
      </c>
      <c r="H1063" s="15">
        <v>102606</v>
      </c>
      <c r="I1063" s="11">
        <f t="shared" si="50"/>
        <v>5</v>
      </c>
      <c r="K1063" s="16">
        <v>601.03</v>
      </c>
      <c r="M1063" s="17">
        <f t="shared" si="48"/>
        <v>122730.64000000006</v>
      </c>
      <c r="N1063" s="11">
        <f t="shared" si="49"/>
        <v>10</v>
      </c>
    </row>
    <row r="1064" spans="1:14" x14ac:dyDescent="0.25">
      <c r="A1064" s="11" t="s">
        <v>0</v>
      </c>
      <c r="B1064" s="12">
        <v>45201</v>
      </c>
      <c r="C1064" s="11" t="s">
        <v>688</v>
      </c>
      <c r="D1064" s="11" t="s">
        <v>692</v>
      </c>
      <c r="E1064" s="13" t="s">
        <v>730</v>
      </c>
      <c r="F1064" s="14" t="s">
        <v>34</v>
      </c>
      <c r="G1064" s="14" t="s">
        <v>404</v>
      </c>
      <c r="H1064" s="15">
        <v>2598</v>
      </c>
      <c r="I1064" s="11">
        <f t="shared" si="50"/>
        <v>5</v>
      </c>
      <c r="K1064" s="16">
        <v>61.91</v>
      </c>
      <c r="M1064" s="17">
        <f t="shared" si="48"/>
        <v>122668.73000000005</v>
      </c>
      <c r="N1064" s="11">
        <f t="shared" si="49"/>
        <v>10</v>
      </c>
    </row>
    <row r="1065" spans="1:14" x14ac:dyDescent="0.25">
      <c r="A1065" s="11" t="s">
        <v>0</v>
      </c>
      <c r="B1065" s="12">
        <v>45201</v>
      </c>
      <c r="C1065" s="11" t="s">
        <v>688</v>
      </c>
      <c r="D1065" s="11" t="s">
        <v>696</v>
      </c>
      <c r="E1065" s="13" t="s">
        <v>358</v>
      </c>
      <c r="F1065" s="14" t="s">
        <v>358</v>
      </c>
      <c r="G1065" s="14" t="s">
        <v>174</v>
      </c>
      <c r="H1065" s="15" t="s">
        <v>20</v>
      </c>
      <c r="I1065" s="11" t="b">
        <f t="shared" si="50"/>
        <v>0</v>
      </c>
      <c r="K1065" s="16">
        <v>3000</v>
      </c>
      <c r="M1065" s="17">
        <f t="shared" si="48"/>
        <v>119668.73000000005</v>
      </c>
      <c r="N1065" s="11">
        <f t="shared" si="49"/>
        <v>10</v>
      </c>
    </row>
    <row r="1066" spans="1:14" x14ac:dyDescent="0.25">
      <c r="A1066" s="11" t="s">
        <v>0</v>
      </c>
      <c r="B1066" s="12">
        <v>45201</v>
      </c>
      <c r="C1066" s="11" t="s">
        <v>688</v>
      </c>
      <c r="D1066" s="11" t="s">
        <v>692</v>
      </c>
      <c r="E1066" s="13" t="s">
        <v>719</v>
      </c>
      <c r="F1066" s="14" t="s">
        <v>92</v>
      </c>
      <c r="G1066" s="14" t="s">
        <v>174</v>
      </c>
      <c r="H1066" s="15">
        <v>17</v>
      </c>
      <c r="I1066" s="11" t="b">
        <f t="shared" si="50"/>
        <v>0</v>
      </c>
      <c r="K1066" s="16">
        <v>546.77</v>
      </c>
      <c r="M1066" s="17">
        <f t="shared" si="48"/>
        <v>119121.96000000005</v>
      </c>
      <c r="N1066" s="11">
        <f t="shared" si="49"/>
        <v>10</v>
      </c>
    </row>
    <row r="1067" spans="1:14" x14ac:dyDescent="0.25">
      <c r="A1067" s="11" t="s">
        <v>0</v>
      </c>
      <c r="B1067" s="12">
        <v>45201</v>
      </c>
      <c r="C1067" s="11" t="s">
        <v>688</v>
      </c>
      <c r="D1067" s="11" t="s">
        <v>692</v>
      </c>
      <c r="E1067" s="13" t="s">
        <v>169</v>
      </c>
      <c r="F1067" s="14" t="s">
        <v>50</v>
      </c>
      <c r="G1067" s="14" t="s">
        <v>404</v>
      </c>
      <c r="H1067" s="15">
        <v>1182669</v>
      </c>
      <c r="I1067" s="11">
        <f t="shared" si="50"/>
        <v>5</v>
      </c>
      <c r="K1067" s="16">
        <v>1050</v>
      </c>
      <c r="M1067" s="17">
        <f t="shared" si="48"/>
        <v>118071.96000000005</v>
      </c>
      <c r="N1067" s="11">
        <f t="shared" si="49"/>
        <v>10</v>
      </c>
    </row>
    <row r="1068" spans="1:14" x14ac:dyDescent="0.25">
      <c r="A1068" s="11" t="s">
        <v>0</v>
      </c>
      <c r="B1068" s="12">
        <v>45201</v>
      </c>
      <c r="C1068" s="11" t="s">
        <v>688</v>
      </c>
      <c r="D1068" s="11" t="s">
        <v>692</v>
      </c>
      <c r="E1068" s="13" t="s">
        <v>725</v>
      </c>
      <c r="F1068" s="14" t="s">
        <v>27</v>
      </c>
      <c r="G1068" s="14" t="s">
        <v>404</v>
      </c>
      <c r="H1068" s="15">
        <v>13642</v>
      </c>
      <c r="I1068" s="11">
        <f t="shared" si="50"/>
        <v>5</v>
      </c>
      <c r="K1068" s="16">
        <v>176.4</v>
      </c>
      <c r="M1068" s="17">
        <f t="shared" si="48"/>
        <v>117895.56000000006</v>
      </c>
      <c r="N1068" s="11">
        <f t="shared" si="49"/>
        <v>10</v>
      </c>
    </row>
    <row r="1069" spans="1:14" ht="26.4" x14ac:dyDescent="0.25">
      <c r="A1069" s="11" t="s">
        <v>0</v>
      </c>
      <c r="B1069" s="12">
        <v>45201</v>
      </c>
      <c r="C1069" s="11" t="s">
        <v>688</v>
      </c>
      <c r="D1069" s="11" t="s">
        <v>692</v>
      </c>
      <c r="E1069" s="13" t="s">
        <v>143</v>
      </c>
      <c r="F1069" s="14" t="s">
        <v>224</v>
      </c>
      <c r="G1069" s="14" t="s">
        <v>174</v>
      </c>
      <c r="H1069" s="15" t="s">
        <v>359</v>
      </c>
      <c r="I1069" s="11" t="b">
        <f t="shared" si="50"/>
        <v>0</v>
      </c>
      <c r="K1069" s="16">
        <v>1238.98</v>
      </c>
      <c r="M1069" s="17">
        <f t="shared" si="48"/>
        <v>116656.58000000006</v>
      </c>
      <c r="N1069" s="11">
        <f t="shared" si="49"/>
        <v>10</v>
      </c>
    </row>
    <row r="1070" spans="1:14" x14ac:dyDescent="0.25">
      <c r="A1070" s="11" t="s">
        <v>0</v>
      </c>
      <c r="B1070" s="12">
        <v>45201</v>
      </c>
      <c r="C1070" s="11" t="s">
        <v>688</v>
      </c>
      <c r="D1070" s="11" t="s">
        <v>694</v>
      </c>
      <c r="E1070" s="13" t="s">
        <v>182</v>
      </c>
      <c r="F1070" s="14" t="s">
        <v>360</v>
      </c>
      <c r="I1070" s="11" t="b">
        <f t="shared" si="50"/>
        <v>0</v>
      </c>
      <c r="K1070" s="16">
        <v>5.25</v>
      </c>
      <c r="M1070" s="17">
        <f t="shared" si="48"/>
        <v>116651.33000000006</v>
      </c>
      <c r="N1070" s="11">
        <f t="shared" si="49"/>
        <v>10</v>
      </c>
    </row>
    <row r="1071" spans="1:14" x14ac:dyDescent="0.25">
      <c r="A1071" s="11" t="s">
        <v>0</v>
      </c>
      <c r="B1071" s="12">
        <v>45201</v>
      </c>
      <c r="C1071" s="11" t="s">
        <v>688</v>
      </c>
      <c r="D1071" s="11" t="s">
        <v>694</v>
      </c>
      <c r="E1071" s="13" t="s">
        <v>182</v>
      </c>
      <c r="F1071" s="14" t="s">
        <v>23</v>
      </c>
      <c r="I1071" s="11" t="b">
        <f t="shared" si="50"/>
        <v>0</v>
      </c>
      <c r="K1071" s="16">
        <v>63.17</v>
      </c>
      <c r="M1071" s="17">
        <f t="shared" si="48"/>
        <v>116588.16000000006</v>
      </c>
      <c r="N1071" s="11">
        <f t="shared" si="49"/>
        <v>10</v>
      </c>
    </row>
    <row r="1072" spans="1:14" x14ac:dyDescent="0.25">
      <c r="A1072" s="11" t="s">
        <v>207</v>
      </c>
      <c r="B1072" s="12">
        <v>45201</v>
      </c>
      <c r="C1072" s="11" t="s">
        <v>688</v>
      </c>
      <c r="D1072" s="11" t="s">
        <v>43</v>
      </c>
      <c r="E1072" s="13" t="s">
        <v>361</v>
      </c>
      <c r="F1072" s="14" t="s">
        <v>361</v>
      </c>
      <c r="G1072" s="14" t="s">
        <v>400</v>
      </c>
      <c r="I1072" s="11">
        <f t="shared" si="50"/>
        <v>2</v>
      </c>
      <c r="J1072" s="16">
        <v>766.55</v>
      </c>
      <c r="M1072" s="17">
        <f t="shared" si="48"/>
        <v>117354.71000000006</v>
      </c>
      <c r="N1072" s="11">
        <f t="shared" si="49"/>
        <v>10</v>
      </c>
    </row>
    <row r="1073" spans="1:14" x14ac:dyDescent="0.25">
      <c r="A1073" s="11" t="s">
        <v>207</v>
      </c>
      <c r="B1073" s="12">
        <v>45201</v>
      </c>
      <c r="C1073" s="11" t="s">
        <v>688</v>
      </c>
      <c r="D1073" s="11" t="s">
        <v>43</v>
      </c>
      <c r="E1073" s="14" t="s">
        <v>288</v>
      </c>
      <c r="F1073" s="14" t="s">
        <v>288</v>
      </c>
      <c r="G1073" s="14" t="s">
        <v>173</v>
      </c>
      <c r="I1073" s="11">
        <f t="shared" si="50"/>
        <v>3</v>
      </c>
      <c r="J1073" s="16">
        <v>1125</v>
      </c>
      <c r="M1073" s="17">
        <f t="shared" si="48"/>
        <v>118479.71000000006</v>
      </c>
      <c r="N1073" s="11">
        <f t="shared" si="49"/>
        <v>10</v>
      </c>
    </row>
    <row r="1074" spans="1:14" x14ac:dyDescent="0.25">
      <c r="A1074" s="11" t="s">
        <v>207</v>
      </c>
      <c r="B1074" s="12">
        <v>45201</v>
      </c>
      <c r="C1074" s="11" t="s">
        <v>688</v>
      </c>
      <c r="D1074" s="11" t="s">
        <v>43</v>
      </c>
      <c r="E1074" s="14" t="s">
        <v>429</v>
      </c>
      <c r="F1074" s="14" t="s">
        <v>429</v>
      </c>
      <c r="G1074" s="14" t="s">
        <v>428</v>
      </c>
      <c r="I1074" s="11">
        <f t="shared" si="50"/>
        <v>1</v>
      </c>
      <c r="J1074" s="16">
        <v>4654.05</v>
      </c>
      <c r="M1074" s="17">
        <f t="shared" si="48"/>
        <v>123133.76000000007</v>
      </c>
      <c r="N1074" s="11">
        <f t="shared" si="49"/>
        <v>10</v>
      </c>
    </row>
    <row r="1075" spans="1:14" x14ac:dyDescent="0.25">
      <c r="A1075" s="11" t="s">
        <v>207</v>
      </c>
      <c r="B1075" s="12">
        <v>45202</v>
      </c>
      <c r="C1075" s="11" t="s">
        <v>688</v>
      </c>
      <c r="D1075" s="11" t="s">
        <v>43</v>
      </c>
      <c r="E1075" s="13" t="s">
        <v>363</v>
      </c>
      <c r="F1075" s="14" t="s">
        <v>363</v>
      </c>
      <c r="G1075" s="14" t="s">
        <v>400</v>
      </c>
      <c r="I1075" s="11">
        <f t="shared" si="50"/>
        <v>2</v>
      </c>
      <c r="J1075" s="16">
        <v>39.340000000000003</v>
      </c>
      <c r="M1075" s="17">
        <f t="shared" si="48"/>
        <v>123173.10000000006</v>
      </c>
      <c r="N1075" s="11">
        <f t="shared" si="49"/>
        <v>10</v>
      </c>
    </row>
    <row r="1076" spans="1:14" x14ac:dyDescent="0.25">
      <c r="A1076" s="11" t="s">
        <v>207</v>
      </c>
      <c r="B1076" s="12">
        <v>45202</v>
      </c>
      <c r="C1076" s="11" t="s">
        <v>688</v>
      </c>
      <c r="D1076" s="11" t="s">
        <v>43</v>
      </c>
      <c r="E1076" s="13" t="s">
        <v>79</v>
      </c>
      <c r="F1076" s="14" t="s">
        <v>79</v>
      </c>
      <c r="G1076" s="14" t="s">
        <v>400</v>
      </c>
      <c r="I1076" s="11">
        <f t="shared" si="50"/>
        <v>2</v>
      </c>
      <c r="J1076" s="16">
        <v>102.73</v>
      </c>
      <c r="M1076" s="17">
        <f t="shared" si="48"/>
        <v>123275.83000000006</v>
      </c>
      <c r="N1076" s="11">
        <f t="shared" si="49"/>
        <v>10</v>
      </c>
    </row>
    <row r="1077" spans="1:14" x14ac:dyDescent="0.25">
      <c r="A1077" s="11" t="s">
        <v>207</v>
      </c>
      <c r="B1077" s="12">
        <v>45202</v>
      </c>
      <c r="C1077" s="11" t="s">
        <v>688</v>
      </c>
      <c r="D1077" s="11" t="s">
        <v>43</v>
      </c>
      <c r="E1077" s="13" t="s">
        <v>79</v>
      </c>
      <c r="F1077" s="14" t="s">
        <v>79</v>
      </c>
      <c r="G1077" s="14" t="s">
        <v>400</v>
      </c>
      <c r="I1077" s="11">
        <f t="shared" si="50"/>
        <v>2</v>
      </c>
      <c r="J1077" s="16">
        <v>643.36</v>
      </c>
      <c r="M1077" s="17">
        <f t="shared" si="48"/>
        <v>123919.19000000006</v>
      </c>
      <c r="N1077" s="11">
        <f t="shared" si="49"/>
        <v>10</v>
      </c>
    </row>
    <row r="1078" spans="1:14" x14ac:dyDescent="0.25">
      <c r="A1078" s="11" t="s">
        <v>0</v>
      </c>
      <c r="B1078" s="12">
        <v>45202</v>
      </c>
      <c r="C1078" s="11" t="s">
        <v>688</v>
      </c>
      <c r="D1078" s="11" t="s">
        <v>692</v>
      </c>
      <c r="E1078" s="13" t="s">
        <v>717</v>
      </c>
      <c r="F1078" s="14" t="s">
        <v>76</v>
      </c>
      <c r="G1078" s="14" t="s">
        <v>404</v>
      </c>
      <c r="H1078" s="15">
        <v>1185534</v>
      </c>
      <c r="I1078" s="11">
        <f t="shared" si="50"/>
        <v>5</v>
      </c>
      <c r="K1078" s="16">
        <v>356.43</v>
      </c>
      <c r="M1078" s="17">
        <f t="shared" si="48"/>
        <v>123562.76000000007</v>
      </c>
      <c r="N1078" s="11">
        <f t="shared" si="49"/>
        <v>10</v>
      </c>
    </row>
    <row r="1079" spans="1:14" x14ac:dyDescent="0.25">
      <c r="A1079" s="11" t="s">
        <v>0</v>
      </c>
      <c r="B1079" s="12">
        <v>45202</v>
      </c>
      <c r="C1079" s="11" t="s">
        <v>688</v>
      </c>
      <c r="D1079" s="11" t="s">
        <v>692</v>
      </c>
      <c r="E1079" s="13" t="s">
        <v>143</v>
      </c>
      <c r="F1079" s="14" t="s">
        <v>36</v>
      </c>
      <c r="G1079" s="14" t="s">
        <v>403</v>
      </c>
      <c r="H1079" s="15">
        <v>214703</v>
      </c>
      <c r="I1079" s="11">
        <f t="shared" si="50"/>
        <v>5</v>
      </c>
      <c r="K1079" s="16">
        <v>1726.03</v>
      </c>
      <c r="M1079" s="17">
        <f t="shared" si="48"/>
        <v>121836.73000000007</v>
      </c>
      <c r="N1079" s="11">
        <f t="shared" si="49"/>
        <v>10</v>
      </c>
    </row>
    <row r="1080" spans="1:14" x14ac:dyDescent="0.25">
      <c r="A1080" s="11" t="s">
        <v>0</v>
      </c>
      <c r="B1080" s="12">
        <v>45202</v>
      </c>
      <c r="C1080" s="11" t="s">
        <v>688</v>
      </c>
      <c r="D1080" s="11" t="s">
        <v>692</v>
      </c>
      <c r="E1080" s="13" t="s">
        <v>725</v>
      </c>
      <c r="F1080" s="14" t="s">
        <v>33</v>
      </c>
      <c r="G1080" s="14" t="s">
        <v>404</v>
      </c>
      <c r="H1080" s="15">
        <v>24675</v>
      </c>
      <c r="I1080" s="11">
        <f t="shared" si="50"/>
        <v>5</v>
      </c>
      <c r="K1080" s="16">
        <v>822.93</v>
      </c>
      <c r="M1080" s="17">
        <f t="shared" si="48"/>
        <v>121013.80000000008</v>
      </c>
      <c r="N1080" s="11">
        <f t="shared" si="49"/>
        <v>10</v>
      </c>
    </row>
    <row r="1081" spans="1:14" ht="39.6" x14ac:dyDescent="0.25">
      <c r="A1081" s="11" t="s">
        <v>0</v>
      </c>
      <c r="B1081" s="12">
        <v>45202</v>
      </c>
      <c r="C1081" s="11" t="s">
        <v>688</v>
      </c>
      <c r="D1081" s="11" t="s">
        <v>692</v>
      </c>
      <c r="E1081" s="13" t="s">
        <v>725</v>
      </c>
      <c r="F1081" s="14" t="s">
        <v>27</v>
      </c>
      <c r="G1081" s="14" t="s">
        <v>404</v>
      </c>
      <c r="H1081" s="15" t="s">
        <v>449</v>
      </c>
      <c r="I1081" s="11">
        <f t="shared" si="50"/>
        <v>5</v>
      </c>
      <c r="K1081" s="16">
        <v>2330.8000000000002</v>
      </c>
      <c r="M1081" s="17">
        <f t="shared" si="48"/>
        <v>118683.00000000007</v>
      </c>
      <c r="N1081" s="11">
        <f t="shared" si="49"/>
        <v>10</v>
      </c>
    </row>
    <row r="1082" spans="1:14" x14ac:dyDescent="0.25">
      <c r="A1082" s="11" t="s">
        <v>207</v>
      </c>
      <c r="B1082" s="12">
        <v>45202</v>
      </c>
      <c r="C1082" s="11" t="s">
        <v>688</v>
      </c>
      <c r="D1082" s="11" t="s">
        <v>43</v>
      </c>
      <c r="E1082" s="13" t="s">
        <v>364</v>
      </c>
      <c r="F1082" s="14" t="s">
        <v>364</v>
      </c>
      <c r="G1082" s="14" t="s">
        <v>400</v>
      </c>
      <c r="I1082" s="11">
        <f t="shared" si="50"/>
        <v>2</v>
      </c>
      <c r="J1082" s="16">
        <v>198.95</v>
      </c>
      <c r="M1082" s="17">
        <f t="shared" si="48"/>
        <v>118881.95000000007</v>
      </c>
      <c r="N1082" s="11">
        <f t="shared" si="49"/>
        <v>10</v>
      </c>
    </row>
    <row r="1083" spans="1:14" x14ac:dyDescent="0.25">
      <c r="A1083" s="11" t="s">
        <v>0</v>
      </c>
      <c r="B1083" s="12">
        <v>45202</v>
      </c>
      <c r="C1083" s="11" t="s">
        <v>688</v>
      </c>
      <c r="D1083" s="11" t="s">
        <v>694</v>
      </c>
      <c r="E1083" s="13" t="s">
        <v>182</v>
      </c>
      <c r="F1083" s="14" t="s">
        <v>365</v>
      </c>
      <c r="I1083" s="11" t="b">
        <f t="shared" si="50"/>
        <v>0</v>
      </c>
      <c r="K1083" s="16">
        <v>1.34</v>
      </c>
      <c r="M1083" s="17">
        <f t="shared" si="48"/>
        <v>118880.61000000007</v>
      </c>
      <c r="N1083" s="11">
        <f t="shared" si="49"/>
        <v>10</v>
      </c>
    </row>
    <row r="1084" spans="1:14" x14ac:dyDescent="0.25">
      <c r="A1084" s="11" t="s">
        <v>0</v>
      </c>
      <c r="B1084" s="12">
        <v>45202</v>
      </c>
      <c r="C1084" s="11" t="s">
        <v>688</v>
      </c>
      <c r="D1084" s="11" t="s">
        <v>694</v>
      </c>
      <c r="E1084" s="13" t="s">
        <v>182</v>
      </c>
      <c r="F1084" s="14" t="s">
        <v>23</v>
      </c>
      <c r="I1084" s="11" t="b">
        <f t="shared" si="50"/>
        <v>0</v>
      </c>
      <c r="K1084" s="16">
        <v>12.18</v>
      </c>
      <c r="M1084" s="17">
        <f t="shared" si="48"/>
        <v>118868.43000000008</v>
      </c>
      <c r="N1084" s="11">
        <f t="shared" si="49"/>
        <v>10</v>
      </c>
    </row>
    <row r="1085" spans="1:14" x14ac:dyDescent="0.25">
      <c r="A1085" s="11" t="s">
        <v>207</v>
      </c>
      <c r="B1085" s="12">
        <v>45202</v>
      </c>
      <c r="C1085" s="11" t="s">
        <v>688</v>
      </c>
      <c r="D1085" s="11" t="s">
        <v>43</v>
      </c>
      <c r="E1085" s="14" t="s">
        <v>288</v>
      </c>
      <c r="F1085" s="14" t="s">
        <v>288</v>
      </c>
      <c r="G1085" s="14" t="s">
        <v>173</v>
      </c>
      <c r="I1085" s="11">
        <f t="shared" si="50"/>
        <v>3</v>
      </c>
      <c r="J1085" s="16">
        <v>329</v>
      </c>
      <c r="M1085" s="17">
        <f t="shared" si="48"/>
        <v>119197.43000000008</v>
      </c>
      <c r="N1085" s="11">
        <f t="shared" si="49"/>
        <v>10</v>
      </c>
    </row>
    <row r="1086" spans="1:14" x14ac:dyDescent="0.25">
      <c r="A1086" s="11" t="s">
        <v>207</v>
      </c>
      <c r="B1086" s="12">
        <v>45202</v>
      </c>
      <c r="C1086" s="11" t="s">
        <v>688</v>
      </c>
      <c r="D1086" s="11" t="s">
        <v>43</v>
      </c>
      <c r="E1086" s="14" t="s">
        <v>429</v>
      </c>
      <c r="F1086" s="14" t="s">
        <v>429</v>
      </c>
      <c r="G1086" s="14" t="s">
        <v>428</v>
      </c>
      <c r="I1086" s="11">
        <f t="shared" si="50"/>
        <v>1</v>
      </c>
      <c r="J1086" s="16">
        <v>1500</v>
      </c>
      <c r="M1086" s="17">
        <f t="shared" si="48"/>
        <v>120697.43000000008</v>
      </c>
      <c r="N1086" s="11">
        <f t="shared" si="49"/>
        <v>10</v>
      </c>
    </row>
    <row r="1087" spans="1:14" x14ac:dyDescent="0.25">
      <c r="A1087" s="11" t="s">
        <v>207</v>
      </c>
      <c r="B1087" s="12">
        <v>45203</v>
      </c>
      <c r="C1087" s="11" t="s">
        <v>688</v>
      </c>
      <c r="D1087" s="11" t="s">
        <v>43</v>
      </c>
      <c r="E1087" s="13" t="s">
        <v>357</v>
      </c>
      <c r="F1087" s="14" t="s">
        <v>13</v>
      </c>
      <c r="G1087" s="14" t="s">
        <v>400</v>
      </c>
      <c r="I1087" s="11">
        <f t="shared" si="50"/>
        <v>2</v>
      </c>
      <c r="J1087" s="16">
        <v>16.170000000000002</v>
      </c>
      <c r="M1087" s="17">
        <f t="shared" si="48"/>
        <v>120713.60000000008</v>
      </c>
      <c r="N1087" s="11">
        <f t="shared" si="49"/>
        <v>10</v>
      </c>
    </row>
    <row r="1088" spans="1:14" x14ac:dyDescent="0.25">
      <c r="A1088" s="11" t="s">
        <v>207</v>
      </c>
      <c r="B1088" s="12">
        <v>45203</v>
      </c>
      <c r="C1088" s="11" t="s">
        <v>688</v>
      </c>
      <c r="D1088" s="11" t="s">
        <v>43</v>
      </c>
      <c r="E1088" s="13" t="s">
        <v>357</v>
      </c>
      <c r="F1088" s="14" t="s">
        <v>13</v>
      </c>
      <c r="G1088" s="14" t="s">
        <v>400</v>
      </c>
      <c r="I1088" s="11">
        <f t="shared" si="50"/>
        <v>2</v>
      </c>
      <c r="J1088" s="16">
        <v>908.24</v>
      </c>
      <c r="M1088" s="17">
        <f t="shared" si="48"/>
        <v>121621.84000000008</v>
      </c>
      <c r="N1088" s="11">
        <f t="shared" si="49"/>
        <v>10</v>
      </c>
    </row>
    <row r="1089" spans="1:14" x14ac:dyDescent="0.25">
      <c r="A1089" s="11" t="s">
        <v>207</v>
      </c>
      <c r="B1089" s="12">
        <v>45203</v>
      </c>
      <c r="C1089" s="11" t="s">
        <v>688</v>
      </c>
      <c r="D1089" s="11" t="s">
        <v>43</v>
      </c>
      <c r="E1089" s="13" t="s">
        <v>357</v>
      </c>
      <c r="F1089" s="14" t="s">
        <v>13</v>
      </c>
      <c r="G1089" s="14" t="s">
        <v>400</v>
      </c>
      <c r="I1089" s="11">
        <f t="shared" si="50"/>
        <v>2</v>
      </c>
      <c r="J1089" s="16">
        <v>12.87</v>
      </c>
      <c r="M1089" s="17">
        <f t="shared" si="48"/>
        <v>121634.71000000008</v>
      </c>
      <c r="N1089" s="11">
        <f t="shared" si="49"/>
        <v>10</v>
      </c>
    </row>
    <row r="1090" spans="1:14" x14ac:dyDescent="0.25">
      <c r="A1090" s="11" t="s">
        <v>207</v>
      </c>
      <c r="B1090" s="12">
        <v>45203</v>
      </c>
      <c r="C1090" s="11" t="s">
        <v>688</v>
      </c>
      <c r="D1090" s="11" t="s">
        <v>43</v>
      </c>
      <c r="E1090" s="13" t="s">
        <v>357</v>
      </c>
      <c r="F1090" s="14" t="s">
        <v>13</v>
      </c>
      <c r="G1090" s="14" t="s">
        <v>400</v>
      </c>
      <c r="I1090" s="11">
        <f t="shared" si="50"/>
        <v>2</v>
      </c>
      <c r="J1090" s="16">
        <v>14.15</v>
      </c>
      <c r="M1090" s="17">
        <f t="shared" si="48"/>
        <v>121648.86000000007</v>
      </c>
      <c r="N1090" s="11">
        <f t="shared" si="49"/>
        <v>10</v>
      </c>
    </row>
    <row r="1091" spans="1:14" x14ac:dyDescent="0.25">
      <c r="A1091" s="11" t="s">
        <v>207</v>
      </c>
      <c r="B1091" s="12">
        <v>45203</v>
      </c>
      <c r="C1091" s="11" t="s">
        <v>688</v>
      </c>
      <c r="D1091" s="11" t="s">
        <v>43</v>
      </c>
      <c r="E1091" s="13" t="s">
        <v>79</v>
      </c>
      <c r="F1091" s="14" t="s">
        <v>79</v>
      </c>
      <c r="G1091" s="14" t="s">
        <v>400</v>
      </c>
      <c r="I1091" s="11">
        <f t="shared" si="50"/>
        <v>2</v>
      </c>
      <c r="J1091" s="16">
        <v>1734.73</v>
      </c>
      <c r="M1091" s="17">
        <f t="shared" ref="M1091:M1154" si="51">IF(B1091=0, "",M1090+ J1091-K1091)</f>
        <v>123383.59000000007</v>
      </c>
      <c r="N1091" s="11">
        <f t="shared" ref="N1091:N1154" si="52">IF(B1091=0, "", MONTH(B1091))</f>
        <v>10</v>
      </c>
    </row>
    <row r="1092" spans="1:14" x14ac:dyDescent="0.25">
      <c r="A1092" s="11" t="s">
        <v>207</v>
      </c>
      <c r="B1092" s="12">
        <v>45203</v>
      </c>
      <c r="C1092" s="11" t="s">
        <v>688</v>
      </c>
      <c r="D1092" s="11" t="s">
        <v>43</v>
      </c>
      <c r="E1092" s="13" t="s">
        <v>79</v>
      </c>
      <c r="F1092" s="14" t="s">
        <v>79</v>
      </c>
      <c r="G1092" s="14" t="s">
        <v>400</v>
      </c>
      <c r="I1092" s="11">
        <f t="shared" si="50"/>
        <v>2</v>
      </c>
      <c r="J1092" s="16">
        <v>83.26</v>
      </c>
      <c r="M1092" s="17">
        <f t="shared" si="51"/>
        <v>123466.85000000006</v>
      </c>
      <c r="N1092" s="11">
        <f t="shared" si="52"/>
        <v>10</v>
      </c>
    </row>
    <row r="1093" spans="1:14" x14ac:dyDescent="0.25">
      <c r="A1093" s="11" t="s">
        <v>207</v>
      </c>
      <c r="B1093" s="12">
        <v>45203</v>
      </c>
      <c r="C1093" s="11" t="s">
        <v>662</v>
      </c>
      <c r="D1093" s="11" t="s">
        <v>43</v>
      </c>
      <c r="E1093" s="13" t="s">
        <v>79</v>
      </c>
      <c r="F1093" s="14" t="s">
        <v>79</v>
      </c>
      <c r="G1093" s="14" t="s">
        <v>400</v>
      </c>
      <c r="I1093" s="11">
        <f t="shared" si="50"/>
        <v>2</v>
      </c>
      <c r="J1093" s="16">
        <v>1500</v>
      </c>
      <c r="M1093" s="17">
        <f t="shared" si="51"/>
        <v>124966.85000000006</v>
      </c>
      <c r="N1093" s="11">
        <f t="shared" si="52"/>
        <v>10</v>
      </c>
    </row>
    <row r="1094" spans="1:14" x14ac:dyDescent="0.25">
      <c r="A1094" s="11" t="s">
        <v>207</v>
      </c>
      <c r="B1094" s="12">
        <v>45203</v>
      </c>
      <c r="C1094" s="11" t="s">
        <v>688</v>
      </c>
      <c r="D1094" s="11" t="s">
        <v>43</v>
      </c>
      <c r="E1094" s="13" t="s">
        <v>79</v>
      </c>
      <c r="F1094" s="14" t="s">
        <v>79</v>
      </c>
      <c r="G1094" s="14" t="s">
        <v>400</v>
      </c>
      <c r="I1094" s="11">
        <f t="shared" ref="I1094:I1157" si="53">IF(AND(G1094="MERCADO PAGO",A1094="FATURAMENTO"),1,IF(AND(OR(G1094="MERCADO PAGO",G1094="pix mercado pago",G1094= "débito automático mercado pago", G1094= "boleto mercado pago"),A1094="DESPESAS"),4,IF(AND(G1094="SAFRA",A1094="FATURAMENTO"),2,IF(AND(OR(G1094="SAFRA",G1094="PIX SAFRA", G1094="DÉBITO AUTOMÁTICO SAFRA", G1094= "BOLETO SAFRA", G1094= "transferência safra"), A1094="DESPESAS"),5,IF(AND(G1094="espécie",A1094="FATURAMENTO"),3,IF(AND(G1094="espécie",A1094="DESPESAS"),6))))))</f>
        <v>2</v>
      </c>
      <c r="J1094" s="16">
        <v>214.16</v>
      </c>
      <c r="M1094" s="17">
        <f t="shared" si="51"/>
        <v>125181.01000000007</v>
      </c>
      <c r="N1094" s="11">
        <f t="shared" si="52"/>
        <v>10</v>
      </c>
    </row>
    <row r="1095" spans="1:14" x14ac:dyDescent="0.25">
      <c r="A1095" s="11" t="s">
        <v>0</v>
      </c>
      <c r="B1095" s="12">
        <v>45203</v>
      </c>
      <c r="C1095" s="11" t="s">
        <v>688</v>
      </c>
      <c r="D1095" s="11" t="s">
        <v>692</v>
      </c>
      <c r="E1095" s="13" t="s">
        <v>179</v>
      </c>
      <c r="F1095" s="14" t="s">
        <v>28</v>
      </c>
      <c r="G1095" s="14" t="s">
        <v>174</v>
      </c>
      <c r="H1095" s="15">
        <v>33</v>
      </c>
      <c r="I1095" s="11" t="b">
        <f t="shared" si="53"/>
        <v>0</v>
      </c>
      <c r="K1095" s="16">
        <v>2548</v>
      </c>
      <c r="M1095" s="17">
        <f t="shared" si="51"/>
        <v>122633.01000000007</v>
      </c>
      <c r="N1095" s="11">
        <f t="shared" si="52"/>
        <v>10</v>
      </c>
    </row>
    <row r="1096" spans="1:14" x14ac:dyDescent="0.25">
      <c r="A1096" s="11" t="s">
        <v>0</v>
      </c>
      <c r="B1096" s="12">
        <v>45203</v>
      </c>
      <c r="C1096" s="11" t="s">
        <v>688</v>
      </c>
      <c r="D1096" s="11" t="s">
        <v>692</v>
      </c>
      <c r="E1096" s="13" t="s">
        <v>725</v>
      </c>
      <c r="F1096" s="14" t="s">
        <v>33</v>
      </c>
      <c r="G1096" s="14" t="s">
        <v>404</v>
      </c>
      <c r="H1096" s="15">
        <v>24687</v>
      </c>
      <c r="I1096" s="11">
        <f t="shared" si="53"/>
        <v>5</v>
      </c>
      <c r="K1096" s="16">
        <v>479.05</v>
      </c>
      <c r="M1096" s="17">
        <f t="shared" si="51"/>
        <v>122153.96000000006</v>
      </c>
      <c r="N1096" s="11">
        <f t="shared" si="52"/>
        <v>10</v>
      </c>
    </row>
    <row r="1097" spans="1:14" x14ac:dyDescent="0.25">
      <c r="A1097" s="11" t="s">
        <v>0</v>
      </c>
      <c r="B1097" s="12">
        <v>45203</v>
      </c>
      <c r="C1097" s="11" t="s">
        <v>688</v>
      </c>
      <c r="D1097" s="11" t="s">
        <v>692</v>
      </c>
      <c r="E1097" s="13" t="s">
        <v>143</v>
      </c>
      <c r="F1097" s="14" t="s">
        <v>59</v>
      </c>
      <c r="G1097" s="14" t="s">
        <v>174</v>
      </c>
      <c r="H1097" s="15">
        <v>406114</v>
      </c>
      <c r="I1097" s="11" t="b">
        <f t="shared" si="53"/>
        <v>0</v>
      </c>
      <c r="K1097" s="16">
        <v>934.92</v>
      </c>
      <c r="M1097" s="17">
        <f t="shared" si="51"/>
        <v>121219.04000000007</v>
      </c>
      <c r="N1097" s="11">
        <f t="shared" si="52"/>
        <v>10</v>
      </c>
    </row>
    <row r="1098" spans="1:14" x14ac:dyDescent="0.25">
      <c r="A1098" s="11" t="s">
        <v>0</v>
      </c>
      <c r="B1098" s="12">
        <v>45203</v>
      </c>
      <c r="C1098" s="11" t="s">
        <v>688</v>
      </c>
      <c r="D1098" s="11" t="s">
        <v>692</v>
      </c>
      <c r="E1098" s="13" t="s">
        <v>179</v>
      </c>
      <c r="F1098" s="14" t="s">
        <v>51</v>
      </c>
      <c r="G1098" s="14" t="s">
        <v>404</v>
      </c>
      <c r="H1098" s="15">
        <v>5</v>
      </c>
      <c r="I1098" s="11">
        <f t="shared" si="53"/>
        <v>5</v>
      </c>
      <c r="K1098" s="16">
        <v>1525</v>
      </c>
      <c r="M1098" s="17">
        <f t="shared" si="51"/>
        <v>119694.04000000007</v>
      </c>
      <c r="N1098" s="11">
        <f t="shared" si="52"/>
        <v>10</v>
      </c>
    </row>
    <row r="1099" spans="1:14" x14ac:dyDescent="0.25">
      <c r="A1099" s="11" t="s">
        <v>0</v>
      </c>
      <c r="B1099" s="12">
        <v>45203</v>
      </c>
      <c r="C1099" s="11" t="s">
        <v>688</v>
      </c>
      <c r="D1099" s="11" t="s">
        <v>692</v>
      </c>
      <c r="E1099" s="13" t="s">
        <v>724</v>
      </c>
      <c r="F1099" s="14" t="s">
        <v>119</v>
      </c>
      <c r="G1099" s="14" t="s">
        <v>404</v>
      </c>
      <c r="H1099" s="15">
        <v>1274713</v>
      </c>
      <c r="I1099" s="11">
        <f t="shared" si="53"/>
        <v>5</v>
      </c>
      <c r="K1099" s="16">
        <v>1735.52</v>
      </c>
      <c r="M1099" s="17">
        <f t="shared" si="51"/>
        <v>117958.52000000006</v>
      </c>
      <c r="N1099" s="11">
        <f t="shared" si="52"/>
        <v>10</v>
      </c>
    </row>
    <row r="1100" spans="1:14" ht="39.6" x14ac:dyDescent="0.25">
      <c r="A1100" s="11" t="s">
        <v>0</v>
      </c>
      <c r="B1100" s="12">
        <v>45203</v>
      </c>
      <c r="C1100" s="11" t="s">
        <v>688</v>
      </c>
      <c r="D1100" s="11" t="s">
        <v>720</v>
      </c>
      <c r="E1100" s="13" t="s">
        <v>183</v>
      </c>
      <c r="F1100" s="14" t="s">
        <v>366</v>
      </c>
      <c r="G1100" s="14" t="s">
        <v>174</v>
      </c>
      <c r="H1100" s="15" t="s">
        <v>445</v>
      </c>
      <c r="I1100" s="11" t="b">
        <f t="shared" si="53"/>
        <v>0</v>
      </c>
      <c r="K1100" s="16">
        <v>40</v>
      </c>
      <c r="M1100" s="17">
        <f t="shared" si="51"/>
        <v>117918.52000000006</v>
      </c>
      <c r="N1100" s="11">
        <f t="shared" si="52"/>
        <v>10</v>
      </c>
    </row>
    <row r="1101" spans="1:14" x14ac:dyDescent="0.25">
      <c r="A1101" s="11" t="s">
        <v>0</v>
      </c>
      <c r="B1101" s="12">
        <v>45203</v>
      </c>
      <c r="C1101" s="11" t="s">
        <v>688</v>
      </c>
      <c r="D1101" s="11" t="s">
        <v>694</v>
      </c>
      <c r="E1101" s="13" t="s">
        <v>182</v>
      </c>
      <c r="F1101" s="14" t="s">
        <v>365</v>
      </c>
      <c r="I1101" s="11" t="b">
        <f t="shared" si="53"/>
        <v>0</v>
      </c>
      <c r="K1101" s="16">
        <v>1.38</v>
      </c>
      <c r="M1101" s="17">
        <f t="shared" si="51"/>
        <v>117917.14000000006</v>
      </c>
      <c r="N1101" s="11">
        <f t="shared" si="52"/>
        <v>10</v>
      </c>
    </row>
    <row r="1102" spans="1:14" x14ac:dyDescent="0.25">
      <c r="A1102" s="11" t="s">
        <v>0</v>
      </c>
      <c r="B1102" s="12">
        <v>45203</v>
      </c>
      <c r="C1102" s="11" t="s">
        <v>688</v>
      </c>
      <c r="D1102" s="11" t="s">
        <v>694</v>
      </c>
      <c r="E1102" s="13" t="s">
        <v>182</v>
      </c>
      <c r="F1102" s="14" t="s">
        <v>23</v>
      </c>
      <c r="I1102" s="11" t="b">
        <f t="shared" si="53"/>
        <v>0</v>
      </c>
      <c r="K1102" s="16">
        <v>44.41</v>
      </c>
      <c r="M1102" s="17">
        <f t="shared" si="51"/>
        <v>117872.73000000005</v>
      </c>
      <c r="N1102" s="11">
        <f t="shared" si="52"/>
        <v>10</v>
      </c>
    </row>
    <row r="1103" spans="1:14" x14ac:dyDescent="0.25">
      <c r="A1103" s="11" t="s">
        <v>207</v>
      </c>
      <c r="B1103" s="12">
        <v>45203</v>
      </c>
      <c r="C1103" s="11" t="s">
        <v>662</v>
      </c>
      <c r="D1103" s="11" t="s">
        <v>43</v>
      </c>
      <c r="E1103" s="13" t="s">
        <v>367</v>
      </c>
      <c r="F1103" s="14" t="s">
        <v>367</v>
      </c>
      <c r="G1103" s="14" t="s">
        <v>400</v>
      </c>
      <c r="I1103" s="11">
        <f t="shared" si="53"/>
        <v>2</v>
      </c>
      <c r="J1103" s="16">
        <v>200.3</v>
      </c>
      <c r="M1103" s="17">
        <f t="shared" si="51"/>
        <v>118073.03000000006</v>
      </c>
      <c r="N1103" s="11">
        <f t="shared" si="52"/>
        <v>10</v>
      </c>
    </row>
    <row r="1104" spans="1:14" x14ac:dyDescent="0.25">
      <c r="A1104" s="11" t="s">
        <v>207</v>
      </c>
      <c r="B1104" s="12">
        <v>45203</v>
      </c>
      <c r="C1104" s="11" t="s">
        <v>662</v>
      </c>
      <c r="D1104" s="11" t="s">
        <v>43</v>
      </c>
      <c r="E1104" s="14" t="s">
        <v>288</v>
      </c>
      <c r="F1104" s="14" t="s">
        <v>288</v>
      </c>
      <c r="G1104" s="14" t="s">
        <v>173</v>
      </c>
      <c r="I1104" s="11">
        <f t="shared" si="53"/>
        <v>3</v>
      </c>
      <c r="J1104" s="16">
        <v>2400</v>
      </c>
      <c r="M1104" s="17">
        <f t="shared" si="51"/>
        <v>120473.03000000006</v>
      </c>
      <c r="N1104" s="11">
        <f t="shared" si="52"/>
        <v>10</v>
      </c>
    </row>
    <row r="1105" spans="1:14" x14ac:dyDescent="0.25">
      <c r="A1105" s="11" t="s">
        <v>207</v>
      </c>
      <c r="B1105" s="12">
        <v>45203</v>
      </c>
      <c r="C1105" s="11" t="s">
        <v>688</v>
      </c>
      <c r="D1105" s="11" t="s">
        <v>43</v>
      </c>
      <c r="E1105" s="14" t="s">
        <v>429</v>
      </c>
      <c r="F1105" s="14" t="s">
        <v>429</v>
      </c>
      <c r="G1105" s="14" t="s">
        <v>428</v>
      </c>
      <c r="I1105" s="11">
        <f t="shared" si="53"/>
        <v>1</v>
      </c>
      <c r="J1105" s="16">
        <v>4654.05</v>
      </c>
      <c r="M1105" s="17">
        <f t="shared" si="51"/>
        <v>125127.08000000006</v>
      </c>
      <c r="N1105" s="11">
        <f t="shared" si="52"/>
        <v>10</v>
      </c>
    </row>
    <row r="1106" spans="1:14" x14ac:dyDescent="0.25">
      <c r="A1106" s="11" t="s">
        <v>207</v>
      </c>
      <c r="B1106" s="12">
        <v>45204</v>
      </c>
      <c r="C1106" s="11" t="s">
        <v>688</v>
      </c>
      <c r="D1106" s="11" t="s">
        <v>43</v>
      </c>
      <c r="E1106" s="13" t="s">
        <v>357</v>
      </c>
      <c r="F1106" s="14" t="s">
        <v>13</v>
      </c>
      <c r="G1106" s="14" t="s">
        <v>400</v>
      </c>
      <c r="I1106" s="11">
        <f t="shared" si="53"/>
        <v>2</v>
      </c>
      <c r="J1106" s="16">
        <v>51.17</v>
      </c>
      <c r="M1106" s="17">
        <f t="shared" si="51"/>
        <v>125178.25000000006</v>
      </c>
      <c r="N1106" s="11">
        <f t="shared" si="52"/>
        <v>10</v>
      </c>
    </row>
    <row r="1107" spans="1:14" x14ac:dyDescent="0.25">
      <c r="A1107" s="11" t="s">
        <v>207</v>
      </c>
      <c r="B1107" s="12">
        <v>45204</v>
      </c>
      <c r="C1107" s="11" t="s">
        <v>688</v>
      </c>
      <c r="D1107" s="11" t="s">
        <v>43</v>
      </c>
      <c r="E1107" s="13" t="s">
        <v>357</v>
      </c>
      <c r="F1107" s="14" t="s">
        <v>13</v>
      </c>
      <c r="G1107" s="14" t="s">
        <v>400</v>
      </c>
      <c r="I1107" s="11">
        <f t="shared" si="53"/>
        <v>2</v>
      </c>
      <c r="J1107" s="16">
        <v>11.88</v>
      </c>
      <c r="M1107" s="17">
        <f t="shared" si="51"/>
        <v>125190.13000000006</v>
      </c>
      <c r="N1107" s="11">
        <f t="shared" si="52"/>
        <v>10</v>
      </c>
    </row>
    <row r="1108" spans="1:14" x14ac:dyDescent="0.25">
      <c r="A1108" s="11" t="s">
        <v>207</v>
      </c>
      <c r="B1108" s="12">
        <v>45204</v>
      </c>
      <c r="C1108" s="11" t="s">
        <v>688</v>
      </c>
      <c r="D1108" s="11" t="s">
        <v>43</v>
      </c>
      <c r="E1108" s="13" t="s">
        <v>357</v>
      </c>
      <c r="F1108" s="14" t="s">
        <v>13</v>
      </c>
      <c r="G1108" s="14" t="s">
        <v>400</v>
      </c>
      <c r="I1108" s="11">
        <f t="shared" si="53"/>
        <v>2</v>
      </c>
      <c r="J1108" s="16">
        <v>200.34</v>
      </c>
      <c r="M1108" s="17">
        <f t="shared" si="51"/>
        <v>125390.47000000006</v>
      </c>
      <c r="N1108" s="11">
        <f t="shared" si="52"/>
        <v>10</v>
      </c>
    </row>
    <row r="1109" spans="1:14" x14ac:dyDescent="0.25">
      <c r="A1109" s="11" t="s">
        <v>207</v>
      </c>
      <c r="B1109" s="12">
        <v>45204</v>
      </c>
      <c r="C1109" s="11" t="s">
        <v>688</v>
      </c>
      <c r="D1109" s="11" t="s">
        <v>43</v>
      </c>
      <c r="E1109" s="13" t="s">
        <v>79</v>
      </c>
      <c r="F1109" s="14" t="s">
        <v>79</v>
      </c>
      <c r="G1109" s="14" t="s">
        <v>400</v>
      </c>
      <c r="I1109" s="11">
        <f t="shared" si="53"/>
        <v>2</v>
      </c>
      <c r="J1109" s="16">
        <v>1030.98</v>
      </c>
      <c r="M1109" s="17">
        <f t="shared" si="51"/>
        <v>126421.45000000006</v>
      </c>
      <c r="N1109" s="11">
        <f t="shared" si="52"/>
        <v>10</v>
      </c>
    </row>
    <row r="1110" spans="1:14" x14ac:dyDescent="0.25">
      <c r="A1110" s="11" t="s">
        <v>207</v>
      </c>
      <c r="B1110" s="12">
        <v>45204</v>
      </c>
      <c r="C1110" s="11" t="s">
        <v>688</v>
      </c>
      <c r="D1110" s="11" t="s">
        <v>43</v>
      </c>
      <c r="E1110" s="13" t="s">
        <v>79</v>
      </c>
      <c r="F1110" s="14" t="s">
        <v>79</v>
      </c>
      <c r="G1110" s="14" t="s">
        <v>400</v>
      </c>
      <c r="I1110" s="11">
        <f t="shared" si="53"/>
        <v>2</v>
      </c>
      <c r="J1110" s="16">
        <v>270.12</v>
      </c>
      <c r="M1110" s="17">
        <f t="shared" si="51"/>
        <v>126691.57000000005</v>
      </c>
      <c r="N1110" s="11">
        <f t="shared" si="52"/>
        <v>10</v>
      </c>
    </row>
    <row r="1111" spans="1:14" x14ac:dyDescent="0.25">
      <c r="A1111" s="11" t="s">
        <v>207</v>
      </c>
      <c r="B1111" s="12">
        <v>45204</v>
      </c>
      <c r="C1111" s="11" t="s">
        <v>688</v>
      </c>
      <c r="D1111" s="11" t="s">
        <v>43</v>
      </c>
      <c r="E1111" s="13" t="s">
        <v>79</v>
      </c>
      <c r="F1111" s="14" t="s">
        <v>79</v>
      </c>
      <c r="G1111" s="14" t="s">
        <v>400</v>
      </c>
      <c r="I1111" s="11">
        <f t="shared" si="53"/>
        <v>2</v>
      </c>
      <c r="J1111" s="16">
        <v>491.84</v>
      </c>
      <c r="M1111" s="17">
        <f t="shared" si="51"/>
        <v>127183.41000000005</v>
      </c>
      <c r="N1111" s="11">
        <f t="shared" si="52"/>
        <v>10</v>
      </c>
    </row>
    <row r="1112" spans="1:14" x14ac:dyDescent="0.25">
      <c r="A1112" s="11" t="s">
        <v>0</v>
      </c>
      <c r="B1112" s="12">
        <v>45204</v>
      </c>
      <c r="C1112" s="11" t="s">
        <v>688</v>
      </c>
      <c r="D1112" s="11" t="s">
        <v>699</v>
      </c>
      <c r="E1112" s="13" t="s">
        <v>98</v>
      </c>
      <c r="F1112" s="14" t="s">
        <v>206</v>
      </c>
      <c r="G1112" s="14" t="s">
        <v>404</v>
      </c>
      <c r="H1112" s="15">
        <v>7436</v>
      </c>
      <c r="I1112" s="11">
        <f t="shared" si="53"/>
        <v>5</v>
      </c>
      <c r="K1112" s="16">
        <v>350.04</v>
      </c>
      <c r="M1112" s="17">
        <f t="shared" si="51"/>
        <v>126833.37000000005</v>
      </c>
      <c r="N1112" s="11">
        <f t="shared" si="52"/>
        <v>10</v>
      </c>
    </row>
    <row r="1113" spans="1:14" x14ac:dyDescent="0.25">
      <c r="A1113" s="11" t="s">
        <v>0</v>
      </c>
      <c r="B1113" s="12">
        <v>45204</v>
      </c>
      <c r="C1113" s="11" t="s">
        <v>688</v>
      </c>
      <c r="D1113" s="11" t="s">
        <v>720</v>
      </c>
      <c r="E1113" s="13" t="s">
        <v>368</v>
      </c>
      <c r="F1113" s="14" t="s">
        <v>368</v>
      </c>
      <c r="G1113" s="14" t="s">
        <v>404</v>
      </c>
      <c r="H1113" s="15">
        <v>88</v>
      </c>
      <c r="I1113" s="11">
        <f t="shared" si="53"/>
        <v>5</v>
      </c>
      <c r="K1113" s="16">
        <v>285</v>
      </c>
      <c r="M1113" s="17">
        <f t="shared" si="51"/>
        <v>126548.37000000005</v>
      </c>
      <c r="N1113" s="11">
        <f t="shared" si="52"/>
        <v>10</v>
      </c>
    </row>
    <row r="1114" spans="1:14" x14ac:dyDescent="0.25">
      <c r="A1114" s="11" t="s">
        <v>0</v>
      </c>
      <c r="B1114" s="12">
        <v>45204</v>
      </c>
      <c r="C1114" s="11" t="s">
        <v>688</v>
      </c>
      <c r="D1114" s="11" t="s">
        <v>694</v>
      </c>
      <c r="E1114" s="13" t="s">
        <v>182</v>
      </c>
      <c r="F1114" s="14" t="s">
        <v>365</v>
      </c>
      <c r="I1114" s="11" t="b">
        <f t="shared" si="53"/>
        <v>0</v>
      </c>
      <c r="K1114" s="16">
        <v>0.93</v>
      </c>
      <c r="M1114" s="17">
        <f t="shared" si="51"/>
        <v>126547.44000000006</v>
      </c>
      <c r="N1114" s="11">
        <f t="shared" si="52"/>
        <v>10</v>
      </c>
    </row>
    <row r="1115" spans="1:14" x14ac:dyDescent="0.25">
      <c r="A1115" s="11" t="s">
        <v>0</v>
      </c>
      <c r="B1115" s="12">
        <v>45204</v>
      </c>
      <c r="C1115" s="11" t="s">
        <v>688</v>
      </c>
      <c r="D1115" s="11" t="s">
        <v>692</v>
      </c>
      <c r="E1115" s="13" t="s">
        <v>108</v>
      </c>
      <c r="F1115" s="14" t="s">
        <v>107</v>
      </c>
      <c r="G1115" s="14" t="s">
        <v>173</v>
      </c>
      <c r="H1115" s="15">
        <v>6</v>
      </c>
      <c r="I1115" s="11">
        <f t="shared" si="53"/>
        <v>6</v>
      </c>
      <c r="K1115" s="16">
        <v>450</v>
      </c>
      <c r="M1115" s="17">
        <f t="shared" si="51"/>
        <v>126097.44000000006</v>
      </c>
      <c r="N1115" s="11">
        <f t="shared" si="52"/>
        <v>10</v>
      </c>
    </row>
    <row r="1116" spans="1:14" x14ac:dyDescent="0.25">
      <c r="A1116" s="11" t="s">
        <v>0</v>
      </c>
      <c r="B1116" s="12">
        <v>45204</v>
      </c>
      <c r="C1116" s="11" t="s">
        <v>688</v>
      </c>
      <c r="D1116" s="11" t="s">
        <v>694</v>
      </c>
      <c r="E1116" s="13" t="s">
        <v>182</v>
      </c>
      <c r="F1116" s="14" t="s">
        <v>23</v>
      </c>
      <c r="G1116" s="14" t="s">
        <v>186</v>
      </c>
      <c r="I1116" s="11" t="b">
        <f t="shared" si="53"/>
        <v>0</v>
      </c>
      <c r="K1116" s="16">
        <v>2.56</v>
      </c>
      <c r="M1116" s="17">
        <f t="shared" si="51"/>
        <v>126094.88000000006</v>
      </c>
      <c r="N1116" s="11">
        <f t="shared" si="52"/>
        <v>10</v>
      </c>
    </row>
    <row r="1117" spans="1:14" x14ac:dyDescent="0.25">
      <c r="A1117" s="11" t="s">
        <v>207</v>
      </c>
      <c r="B1117" s="12">
        <v>45204</v>
      </c>
      <c r="C1117" s="11" t="s">
        <v>688</v>
      </c>
      <c r="D1117" s="11" t="s">
        <v>43</v>
      </c>
      <c r="E1117" s="13" t="s">
        <v>372</v>
      </c>
      <c r="F1117" s="14" t="s">
        <v>372</v>
      </c>
      <c r="G1117" s="14" t="s">
        <v>400</v>
      </c>
      <c r="I1117" s="11">
        <f t="shared" si="53"/>
        <v>2</v>
      </c>
      <c r="J1117" s="16">
        <v>137.35</v>
      </c>
      <c r="M1117" s="17">
        <f t="shared" si="51"/>
        <v>126232.23000000007</v>
      </c>
      <c r="N1117" s="11">
        <f t="shared" si="52"/>
        <v>10</v>
      </c>
    </row>
    <row r="1118" spans="1:14" x14ac:dyDescent="0.25">
      <c r="A1118" s="11" t="s">
        <v>207</v>
      </c>
      <c r="B1118" s="12">
        <v>45204</v>
      </c>
      <c r="C1118" s="11" t="s">
        <v>662</v>
      </c>
      <c r="D1118" s="11" t="s">
        <v>43</v>
      </c>
      <c r="E1118" s="14" t="s">
        <v>288</v>
      </c>
      <c r="F1118" s="14" t="s">
        <v>288</v>
      </c>
      <c r="G1118" s="14" t="s">
        <v>173</v>
      </c>
      <c r="I1118" s="11">
        <f t="shared" si="53"/>
        <v>3</v>
      </c>
      <c r="J1118" s="16">
        <v>280</v>
      </c>
      <c r="M1118" s="17">
        <f t="shared" si="51"/>
        <v>126512.23000000007</v>
      </c>
      <c r="N1118" s="11">
        <f t="shared" si="52"/>
        <v>10</v>
      </c>
    </row>
    <row r="1119" spans="1:14" x14ac:dyDescent="0.25">
      <c r="A1119" s="11" t="s">
        <v>207</v>
      </c>
      <c r="B1119" s="12">
        <v>45204</v>
      </c>
      <c r="C1119" s="11" t="s">
        <v>688</v>
      </c>
      <c r="D1119" s="11" t="s">
        <v>43</v>
      </c>
      <c r="E1119" s="14" t="s">
        <v>288</v>
      </c>
      <c r="F1119" s="14" t="s">
        <v>288</v>
      </c>
      <c r="G1119" s="14" t="s">
        <v>173</v>
      </c>
      <c r="I1119" s="11">
        <f t="shared" si="53"/>
        <v>3</v>
      </c>
      <c r="J1119" s="16">
        <v>632</v>
      </c>
      <c r="M1119" s="17">
        <f t="shared" si="51"/>
        <v>127144.23000000007</v>
      </c>
      <c r="N1119" s="11">
        <f t="shared" si="52"/>
        <v>10</v>
      </c>
    </row>
    <row r="1120" spans="1:14" x14ac:dyDescent="0.25">
      <c r="A1120" s="11" t="s">
        <v>207</v>
      </c>
      <c r="B1120" s="12">
        <v>45204</v>
      </c>
      <c r="C1120" s="11" t="s">
        <v>688</v>
      </c>
      <c r="D1120" s="11" t="s">
        <v>43</v>
      </c>
      <c r="E1120" s="14" t="s">
        <v>429</v>
      </c>
      <c r="F1120" s="14" t="s">
        <v>429</v>
      </c>
      <c r="G1120" s="14" t="s">
        <v>428</v>
      </c>
      <c r="I1120" s="11">
        <f t="shared" si="53"/>
        <v>1</v>
      </c>
      <c r="J1120" s="16">
        <v>5120.45</v>
      </c>
      <c r="M1120" s="17">
        <f t="shared" si="51"/>
        <v>132264.68000000008</v>
      </c>
      <c r="N1120" s="11">
        <f t="shared" si="52"/>
        <v>10</v>
      </c>
    </row>
    <row r="1121" spans="1:14" x14ac:dyDescent="0.25">
      <c r="A1121" s="11" t="s">
        <v>207</v>
      </c>
      <c r="B1121" s="12">
        <v>45205</v>
      </c>
      <c r="C1121" s="11" t="s">
        <v>688</v>
      </c>
      <c r="D1121" s="11" t="s">
        <v>43</v>
      </c>
      <c r="E1121" s="13" t="s">
        <v>79</v>
      </c>
      <c r="F1121" s="14" t="s">
        <v>79</v>
      </c>
      <c r="G1121" s="14" t="s">
        <v>400</v>
      </c>
      <c r="I1121" s="11">
        <f t="shared" si="53"/>
        <v>2</v>
      </c>
      <c r="J1121" s="16">
        <v>1407.49</v>
      </c>
      <c r="M1121" s="17">
        <f t="shared" si="51"/>
        <v>133672.17000000007</v>
      </c>
      <c r="N1121" s="11">
        <f t="shared" si="52"/>
        <v>10</v>
      </c>
    </row>
    <row r="1122" spans="1:14" x14ac:dyDescent="0.25">
      <c r="A1122" s="11" t="s">
        <v>207</v>
      </c>
      <c r="B1122" s="12">
        <v>45205</v>
      </c>
      <c r="C1122" s="11" t="s">
        <v>688</v>
      </c>
      <c r="D1122" s="11" t="s">
        <v>43</v>
      </c>
      <c r="E1122" s="13" t="s">
        <v>79</v>
      </c>
      <c r="F1122" s="14" t="s">
        <v>79</v>
      </c>
      <c r="G1122" s="14" t="s">
        <v>400</v>
      </c>
      <c r="I1122" s="11">
        <f t="shared" si="53"/>
        <v>2</v>
      </c>
      <c r="J1122" s="16">
        <v>971.03</v>
      </c>
      <c r="M1122" s="17">
        <f t="shared" si="51"/>
        <v>134643.20000000007</v>
      </c>
      <c r="N1122" s="11">
        <f t="shared" si="52"/>
        <v>10</v>
      </c>
    </row>
    <row r="1123" spans="1:14" x14ac:dyDescent="0.25">
      <c r="A1123" s="11" t="s">
        <v>207</v>
      </c>
      <c r="B1123" s="12">
        <v>45205</v>
      </c>
      <c r="C1123" s="11" t="s">
        <v>688</v>
      </c>
      <c r="D1123" s="11" t="s">
        <v>43</v>
      </c>
      <c r="E1123" s="13" t="s">
        <v>79</v>
      </c>
      <c r="F1123" s="14" t="s">
        <v>79</v>
      </c>
      <c r="G1123" s="14" t="s">
        <v>400</v>
      </c>
      <c r="I1123" s="11">
        <f t="shared" si="53"/>
        <v>2</v>
      </c>
      <c r="J1123" s="16">
        <v>58.76</v>
      </c>
      <c r="M1123" s="17">
        <f t="shared" si="51"/>
        <v>134701.96000000008</v>
      </c>
      <c r="N1123" s="11">
        <f t="shared" si="52"/>
        <v>10</v>
      </c>
    </row>
    <row r="1124" spans="1:14" x14ac:dyDescent="0.25">
      <c r="A1124" s="11" t="s">
        <v>207</v>
      </c>
      <c r="B1124" s="12">
        <v>45205</v>
      </c>
      <c r="C1124" s="11" t="s">
        <v>688</v>
      </c>
      <c r="D1124" s="11" t="s">
        <v>43</v>
      </c>
      <c r="E1124" s="13" t="s">
        <v>373</v>
      </c>
      <c r="F1124" s="14" t="s">
        <v>13</v>
      </c>
      <c r="G1124" s="14" t="s">
        <v>400</v>
      </c>
      <c r="I1124" s="11">
        <f t="shared" si="53"/>
        <v>2</v>
      </c>
      <c r="J1124" s="16">
        <v>366.92</v>
      </c>
      <c r="M1124" s="17">
        <f t="shared" si="51"/>
        <v>135068.88000000009</v>
      </c>
      <c r="N1124" s="11">
        <f t="shared" si="52"/>
        <v>10</v>
      </c>
    </row>
    <row r="1125" spans="1:14" x14ac:dyDescent="0.25">
      <c r="A1125" s="11" t="s">
        <v>207</v>
      </c>
      <c r="B1125" s="12">
        <v>45205</v>
      </c>
      <c r="C1125" s="11" t="s">
        <v>662</v>
      </c>
      <c r="D1125" s="11" t="s">
        <v>43</v>
      </c>
      <c r="E1125" s="13" t="s">
        <v>373</v>
      </c>
      <c r="F1125" s="14" t="s">
        <v>13</v>
      </c>
      <c r="G1125" s="14" t="s">
        <v>400</v>
      </c>
      <c r="I1125" s="11">
        <f t="shared" si="53"/>
        <v>2</v>
      </c>
      <c r="J1125" s="16">
        <v>50</v>
      </c>
      <c r="M1125" s="17">
        <f t="shared" si="51"/>
        <v>135118.88000000009</v>
      </c>
      <c r="N1125" s="11">
        <f t="shared" si="52"/>
        <v>10</v>
      </c>
    </row>
    <row r="1126" spans="1:14" x14ac:dyDescent="0.25">
      <c r="A1126" s="11" t="s">
        <v>0</v>
      </c>
      <c r="B1126" s="12">
        <v>45205</v>
      </c>
      <c r="C1126" s="11" t="s">
        <v>688</v>
      </c>
      <c r="D1126" s="11" t="s">
        <v>694</v>
      </c>
      <c r="E1126" s="13" t="s">
        <v>182</v>
      </c>
      <c r="F1126" s="14" t="s">
        <v>365</v>
      </c>
      <c r="G1126" s="14" t="s">
        <v>186</v>
      </c>
      <c r="I1126" s="11" t="b">
        <f t="shared" si="53"/>
        <v>0</v>
      </c>
      <c r="K1126" s="16">
        <v>5.31</v>
      </c>
      <c r="M1126" s="17">
        <f t="shared" si="51"/>
        <v>135113.57000000009</v>
      </c>
      <c r="N1126" s="11">
        <f t="shared" si="52"/>
        <v>10</v>
      </c>
    </row>
    <row r="1127" spans="1:14" x14ac:dyDescent="0.25">
      <c r="A1127" s="11" t="s">
        <v>0</v>
      </c>
      <c r="B1127" s="12">
        <v>45205</v>
      </c>
      <c r="C1127" s="11" t="s">
        <v>688</v>
      </c>
      <c r="D1127" s="11" t="s">
        <v>694</v>
      </c>
      <c r="E1127" s="13" t="s">
        <v>182</v>
      </c>
      <c r="F1127" s="14" t="s">
        <v>23</v>
      </c>
      <c r="G1127" s="14" t="s">
        <v>186</v>
      </c>
      <c r="I1127" s="11" t="b">
        <f t="shared" si="53"/>
        <v>0</v>
      </c>
      <c r="K1127" s="16">
        <v>21.91</v>
      </c>
      <c r="M1127" s="17">
        <f t="shared" si="51"/>
        <v>135091.66000000009</v>
      </c>
      <c r="N1127" s="11">
        <f t="shared" si="52"/>
        <v>10</v>
      </c>
    </row>
    <row r="1128" spans="1:14" x14ac:dyDescent="0.25">
      <c r="A1128" s="11" t="s">
        <v>0</v>
      </c>
      <c r="B1128" s="12">
        <v>45205</v>
      </c>
      <c r="C1128" s="11" t="s">
        <v>688</v>
      </c>
      <c r="D1128" s="11" t="s">
        <v>692</v>
      </c>
      <c r="E1128" s="13" t="s">
        <v>143</v>
      </c>
      <c r="F1128" s="14" t="s">
        <v>36</v>
      </c>
      <c r="G1128" s="14" t="s">
        <v>403</v>
      </c>
      <c r="H1128" s="15">
        <v>216217</v>
      </c>
      <c r="I1128" s="11">
        <f t="shared" si="53"/>
        <v>5</v>
      </c>
      <c r="K1128" s="16">
        <v>1686.67</v>
      </c>
      <c r="M1128" s="17">
        <f t="shared" si="51"/>
        <v>133404.99000000008</v>
      </c>
      <c r="N1128" s="11">
        <f t="shared" si="52"/>
        <v>10</v>
      </c>
    </row>
    <row r="1129" spans="1:14" x14ac:dyDescent="0.25">
      <c r="A1129" s="11" t="s">
        <v>0</v>
      </c>
      <c r="B1129" s="12">
        <v>45205</v>
      </c>
      <c r="C1129" s="11" t="s">
        <v>688</v>
      </c>
      <c r="D1129" s="11" t="s">
        <v>699</v>
      </c>
      <c r="E1129" s="13" t="s">
        <v>98</v>
      </c>
      <c r="F1129" s="14" t="s">
        <v>206</v>
      </c>
      <c r="G1129" s="14" t="s">
        <v>404</v>
      </c>
      <c r="H1129" s="15">
        <v>7437</v>
      </c>
      <c r="I1129" s="11">
        <f t="shared" si="53"/>
        <v>5</v>
      </c>
      <c r="K1129" s="16">
        <v>280.54000000000002</v>
      </c>
      <c r="M1129" s="17">
        <f t="shared" si="51"/>
        <v>133124.45000000007</v>
      </c>
      <c r="N1129" s="11">
        <f t="shared" si="52"/>
        <v>10</v>
      </c>
    </row>
    <row r="1130" spans="1:14" x14ac:dyDescent="0.25">
      <c r="A1130" s="11" t="s">
        <v>0</v>
      </c>
      <c r="B1130" s="12">
        <v>45205</v>
      </c>
      <c r="C1130" s="11" t="s">
        <v>688</v>
      </c>
      <c r="D1130" s="11" t="s">
        <v>692</v>
      </c>
      <c r="E1130" s="13" t="s">
        <v>143</v>
      </c>
      <c r="F1130" s="14" t="s">
        <v>90</v>
      </c>
      <c r="G1130" s="14" t="s">
        <v>404</v>
      </c>
      <c r="H1130" s="15">
        <v>8</v>
      </c>
      <c r="I1130" s="11">
        <f t="shared" si="53"/>
        <v>5</v>
      </c>
      <c r="K1130" s="16">
        <v>405</v>
      </c>
      <c r="M1130" s="17">
        <f t="shared" si="51"/>
        <v>132719.45000000007</v>
      </c>
      <c r="N1130" s="11">
        <f t="shared" si="52"/>
        <v>10</v>
      </c>
    </row>
    <row r="1131" spans="1:14" x14ac:dyDescent="0.25">
      <c r="A1131" s="11" t="s">
        <v>0</v>
      </c>
      <c r="B1131" s="12">
        <v>45205</v>
      </c>
      <c r="C1131" s="11" t="s">
        <v>688</v>
      </c>
      <c r="D1131" s="11" t="s">
        <v>692</v>
      </c>
      <c r="E1131" s="13" t="s">
        <v>492</v>
      </c>
      <c r="F1131" s="14" t="s">
        <v>111</v>
      </c>
      <c r="G1131" s="14" t="s">
        <v>174</v>
      </c>
      <c r="H1131" s="15" t="s">
        <v>374</v>
      </c>
      <c r="I1131" s="11" t="b">
        <f t="shared" si="53"/>
        <v>0</v>
      </c>
      <c r="K1131" s="16">
        <v>5100</v>
      </c>
      <c r="M1131" s="17">
        <f t="shared" si="51"/>
        <v>127619.45000000007</v>
      </c>
      <c r="N1131" s="11">
        <f t="shared" si="52"/>
        <v>10</v>
      </c>
    </row>
    <row r="1132" spans="1:14" x14ac:dyDescent="0.25">
      <c r="A1132" s="11" t="s">
        <v>0</v>
      </c>
      <c r="B1132" s="12">
        <v>45205</v>
      </c>
      <c r="C1132" s="11" t="s">
        <v>688</v>
      </c>
      <c r="D1132" s="11" t="s">
        <v>692</v>
      </c>
      <c r="E1132" s="13" t="s">
        <v>179</v>
      </c>
      <c r="F1132" s="14" t="s">
        <v>28</v>
      </c>
      <c r="G1132" s="14" t="s">
        <v>174</v>
      </c>
      <c r="H1132" s="15">
        <v>34</v>
      </c>
      <c r="I1132" s="11" t="b">
        <f t="shared" si="53"/>
        <v>0</v>
      </c>
      <c r="K1132" s="16">
        <v>650</v>
      </c>
      <c r="M1132" s="17">
        <f t="shared" si="51"/>
        <v>126969.45000000007</v>
      </c>
      <c r="N1132" s="11">
        <f t="shared" si="52"/>
        <v>10</v>
      </c>
    </row>
    <row r="1133" spans="1:14" x14ac:dyDescent="0.25">
      <c r="A1133" s="11" t="s">
        <v>0</v>
      </c>
      <c r="B1133" s="12">
        <v>45205</v>
      </c>
      <c r="C1133" s="11" t="s">
        <v>688</v>
      </c>
      <c r="D1133" s="11" t="s">
        <v>692</v>
      </c>
      <c r="E1133" s="13" t="s">
        <v>725</v>
      </c>
      <c r="F1133" s="14" t="s">
        <v>27</v>
      </c>
      <c r="G1133" s="14" t="s">
        <v>404</v>
      </c>
      <c r="H1133" s="15">
        <v>13672</v>
      </c>
      <c r="I1133" s="11">
        <f t="shared" si="53"/>
        <v>5</v>
      </c>
      <c r="K1133" s="16">
        <v>1317.6</v>
      </c>
      <c r="M1133" s="17">
        <f t="shared" si="51"/>
        <v>125651.85000000006</v>
      </c>
      <c r="N1133" s="11">
        <f t="shared" si="52"/>
        <v>10</v>
      </c>
    </row>
    <row r="1134" spans="1:14" x14ac:dyDescent="0.25">
      <c r="A1134" s="11" t="s">
        <v>207</v>
      </c>
      <c r="B1134" s="12">
        <v>45205</v>
      </c>
      <c r="C1134" s="11" t="s">
        <v>688</v>
      </c>
      <c r="D1134" s="11" t="s">
        <v>43</v>
      </c>
      <c r="E1134" s="13" t="s">
        <v>375</v>
      </c>
      <c r="F1134" s="14" t="s">
        <v>375</v>
      </c>
      <c r="G1134" s="14" t="s">
        <v>400</v>
      </c>
      <c r="I1134" s="11">
        <f t="shared" si="53"/>
        <v>2</v>
      </c>
      <c r="J1134" s="16">
        <v>771.8</v>
      </c>
      <c r="M1134" s="17">
        <f t="shared" si="51"/>
        <v>126423.65000000007</v>
      </c>
      <c r="N1134" s="11">
        <f t="shared" si="52"/>
        <v>10</v>
      </c>
    </row>
    <row r="1135" spans="1:14" x14ac:dyDescent="0.25">
      <c r="A1135" s="11" t="s">
        <v>0</v>
      </c>
      <c r="B1135" s="12">
        <v>45205</v>
      </c>
      <c r="C1135" s="11" t="s">
        <v>688</v>
      </c>
      <c r="D1135" s="11" t="s">
        <v>692</v>
      </c>
      <c r="E1135" s="13" t="s">
        <v>108</v>
      </c>
      <c r="F1135" s="14" t="s">
        <v>107</v>
      </c>
      <c r="G1135" s="14" t="s">
        <v>173</v>
      </c>
      <c r="H1135" s="15">
        <v>6</v>
      </c>
      <c r="I1135" s="11">
        <f t="shared" si="53"/>
        <v>6</v>
      </c>
      <c r="K1135" s="16">
        <v>450</v>
      </c>
      <c r="M1135" s="17">
        <f t="shared" si="51"/>
        <v>125973.65000000007</v>
      </c>
      <c r="N1135" s="11">
        <f t="shared" si="52"/>
        <v>10</v>
      </c>
    </row>
    <row r="1136" spans="1:14" x14ac:dyDescent="0.25">
      <c r="A1136" s="11" t="s">
        <v>207</v>
      </c>
      <c r="B1136" s="12">
        <v>45205</v>
      </c>
      <c r="C1136" s="11" t="s">
        <v>688</v>
      </c>
      <c r="D1136" s="11" t="s">
        <v>43</v>
      </c>
      <c r="E1136" s="14" t="s">
        <v>288</v>
      </c>
      <c r="F1136" s="14" t="s">
        <v>288</v>
      </c>
      <c r="G1136" s="14" t="s">
        <v>173</v>
      </c>
      <c r="I1136" s="11">
        <f t="shared" si="53"/>
        <v>3</v>
      </c>
      <c r="J1136" s="16">
        <v>840</v>
      </c>
      <c r="M1136" s="17">
        <f t="shared" si="51"/>
        <v>126813.65000000007</v>
      </c>
      <c r="N1136" s="11">
        <f t="shared" si="52"/>
        <v>10</v>
      </c>
    </row>
    <row r="1137" spans="1:14" x14ac:dyDescent="0.25">
      <c r="A1137" s="11" t="s">
        <v>207</v>
      </c>
      <c r="B1137" s="12">
        <v>45205</v>
      </c>
      <c r="C1137" s="11" t="s">
        <v>688</v>
      </c>
      <c r="D1137" s="11" t="s">
        <v>43</v>
      </c>
      <c r="E1137" s="14" t="s">
        <v>429</v>
      </c>
      <c r="F1137" s="14" t="s">
        <v>429</v>
      </c>
      <c r="G1137" s="14" t="s">
        <v>428</v>
      </c>
      <c r="I1137" s="11">
        <f t="shared" si="53"/>
        <v>1</v>
      </c>
      <c r="J1137" s="16">
        <v>3582.55</v>
      </c>
      <c r="M1137" s="17">
        <f t="shared" si="51"/>
        <v>130396.20000000007</v>
      </c>
      <c r="N1137" s="11">
        <f t="shared" si="52"/>
        <v>10</v>
      </c>
    </row>
    <row r="1138" spans="1:14" x14ac:dyDescent="0.25">
      <c r="A1138" s="11" t="s">
        <v>207</v>
      </c>
      <c r="B1138" s="12">
        <v>45206</v>
      </c>
      <c r="C1138" s="11" t="s">
        <v>688</v>
      </c>
      <c r="D1138" s="11" t="s">
        <v>43</v>
      </c>
      <c r="E1138" s="14" t="s">
        <v>288</v>
      </c>
      <c r="F1138" s="14" t="s">
        <v>288</v>
      </c>
      <c r="G1138" s="14" t="s">
        <v>173</v>
      </c>
      <c r="I1138" s="11">
        <f t="shared" si="53"/>
        <v>3</v>
      </c>
      <c r="J1138" s="16">
        <v>2810</v>
      </c>
      <c r="M1138" s="17">
        <f t="shared" si="51"/>
        <v>133206.20000000007</v>
      </c>
      <c r="N1138" s="11">
        <f t="shared" si="52"/>
        <v>10</v>
      </c>
    </row>
    <row r="1139" spans="1:14" x14ac:dyDescent="0.25">
      <c r="A1139" s="11" t="s">
        <v>207</v>
      </c>
      <c r="B1139" s="12">
        <v>45206</v>
      </c>
      <c r="C1139" s="11" t="s">
        <v>688</v>
      </c>
      <c r="D1139" s="11" t="s">
        <v>43</v>
      </c>
      <c r="E1139" s="14" t="s">
        <v>429</v>
      </c>
      <c r="F1139" s="14" t="s">
        <v>429</v>
      </c>
      <c r="G1139" s="14" t="s">
        <v>428</v>
      </c>
      <c r="I1139" s="11">
        <f t="shared" si="53"/>
        <v>1</v>
      </c>
      <c r="J1139" s="16">
        <v>3192.4</v>
      </c>
      <c r="M1139" s="17">
        <f t="shared" si="51"/>
        <v>136398.60000000006</v>
      </c>
      <c r="N1139" s="11">
        <f t="shared" si="52"/>
        <v>10</v>
      </c>
    </row>
    <row r="1140" spans="1:14" x14ac:dyDescent="0.25">
      <c r="A1140" s="11" t="s">
        <v>207</v>
      </c>
      <c r="B1140" s="12">
        <v>45207</v>
      </c>
      <c r="C1140" s="11" t="s">
        <v>662</v>
      </c>
      <c r="D1140" s="11" t="s">
        <v>43</v>
      </c>
      <c r="E1140" s="14" t="s">
        <v>288</v>
      </c>
      <c r="F1140" s="14" t="s">
        <v>288</v>
      </c>
      <c r="G1140" s="14" t="s">
        <v>173</v>
      </c>
      <c r="I1140" s="11">
        <f t="shared" si="53"/>
        <v>3</v>
      </c>
      <c r="J1140" s="16">
        <v>1450</v>
      </c>
      <c r="M1140" s="17">
        <f t="shared" si="51"/>
        <v>137848.60000000006</v>
      </c>
      <c r="N1140" s="11">
        <f t="shared" si="52"/>
        <v>10</v>
      </c>
    </row>
    <row r="1141" spans="1:14" x14ac:dyDescent="0.25">
      <c r="A1141" s="11" t="s">
        <v>207</v>
      </c>
      <c r="B1141" s="12">
        <v>45207</v>
      </c>
      <c r="C1141" s="11" t="s">
        <v>688</v>
      </c>
      <c r="D1141" s="11" t="s">
        <v>43</v>
      </c>
      <c r="E1141" s="14" t="s">
        <v>288</v>
      </c>
      <c r="F1141" s="14" t="s">
        <v>288</v>
      </c>
      <c r="G1141" s="14" t="s">
        <v>173</v>
      </c>
      <c r="I1141" s="11">
        <f t="shared" si="53"/>
        <v>3</v>
      </c>
      <c r="J1141" s="16">
        <v>1664</v>
      </c>
      <c r="M1141" s="17">
        <f t="shared" si="51"/>
        <v>139512.60000000006</v>
      </c>
      <c r="N1141" s="11">
        <f t="shared" si="52"/>
        <v>10</v>
      </c>
    </row>
    <row r="1142" spans="1:14" x14ac:dyDescent="0.25">
      <c r="A1142" s="11" t="s">
        <v>0</v>
      </c>
      <c r="B1142" s="12">
        <v>45208</v>
      </c>
      <c r="C1142" s="11" t="s">
        <v>688</v>
      </c>
      <c r="D1142" s="11" t="s">
        <v>47</v>
      </c>
      <c r="E1142" s="13" t="s">
        <v>376</v>
      </c>
      <c r="F1142" s="14" t="s">
        <v>376</v>
      </c>
      <c r="G1142" s="14" t="s">
        <v>404</v>
      </c>
      <c r="H1142" s="15">
        <v>1</v>
      </c>
      <c r="I1142" s="11">
        <f t="shared" si="53"/>
        <v>5</v>
      </c>
      <c r="K1142" s="16">
        <v>1000</v>
      </c>
      <c r="M1142" s="17">
        <f t="shared" si="51"/>
        <v>138512.60000000006</v>
      </c>
      <c r="N1142" s="11">
        <f t="shared" si="52"/>
        <v>10</v>
      </c>
    </row>
    <row r="1143" spans="1:14" x14ac:dyDescent="0.25">
      <c r="A1143" s="11" t="s">
        <v>0</v>
      </c>
      <c r="B1143" s="12">
        <v>45208</v>
      </c>
      <c r="C1143" s="11" t="s">
        <v>688</v>
      </c>
      <c r="D1143" s="11" t="s">
        <v>694</v>
      </c>
      <c r="E1143" s="13" t="s">
        <v>182</v>
      </c>
      <c r="F1143" s="14" t="s">
        <v>365</v>
      </c>
      <c r="G1143" s="14" t="s">
        <v>186</v>
      </c>
      <c r="I1143" s="11" t="b">
        <f t="shared" si="53"/>
        <v>0</v>
      </c>
      <c r="K1143" s="16">
        <v>12.6</v>
      </c>
      <c r="M1143" s="17">
        <f t="shared" si="51"/>
        <v>138500.00000000006</v>
      </c>
      <c r="N1143" s="11">
        <f t="shared" si="52"/>
        <v>10</v>
      </c>
    </row>
    <row r="1144" spans="1:14" x14ac:dyDescent="0.25">
      <c r="A1144" s="11" t="s">
        <v>0</v>
      </c>
      <c r="B1144" s="12">
        <v>45208</v>
      </c>
      <c r="C1144" s="11" t="s">
        <v>688</v>
      </c>
      <c r="D1144" s="11" t="s">
        <v>692</v>
      </c>
      <c r="E1144" s="13" t="s">
        <v>725</v>
      </c>
      <c r="F1144" s="14" t="s">
        <v>33</v>
      </c>
      <c r="G1144" s="14" t="s">
        <v>404</v>
      </c>
      <c r="H1144" s="15">
        <v>24754</v>
      </c>
      <c r="I1144" s="11">
        <f t="shared" si="53"/>
        <v>5</v>
      </c>
      <c r="K1144" s="16">
        <v>1161.69</v>
      </c>
      <c r="M1144" s="17">
        <f t="shared" si="51"/>
        <v>137338.31000000006</v>
      </c>
      <c r="N1144" s="11">
        <f t="shared" si="52"/>
        <v>10</v>
      </c>
    </row>
    <row r="1145" spans="1:14" ht="39.6" x14ac:dyDescent="0.25">
      <c r="A1145" s="11" t="s">
        <v>0</v>
      </c>
      <c r="B1145" s="12">
        <v>45208</v>
      </c>
      <c r="C1145" s="11" t="s">
        <v>688</v>
      </c>
      <c r="D1145" s="11" t="s">
        <v>692</v>
      </c>
      <c r="E1145" s="13" t="s">
        <v>725</v>
      </c>
      <c r="F1145" s="14" t="s">
        <v>27</v>
      </c>
      <c r="G1145" s="14" t="s">
        <v>404</v>
      </c>
      <c r="H1145" s="15" t="s">
        <v>379</v>
      </c>
      <c r="I1145" s="11">
        <f t="shared" si="53"/>
        <v>5</v>
      </c>
      <c r="K1145" s="16">
        <v>1463.39</v>
      </c>
      <c r="M1145" s="17">
        <f t="shared" si="51"/>
        <v>135874.92000000004</v>
      </c>
      <c r="N1145" s="11">
        <f t="shared" si="52"/>
        <v>10</v>
      </c>
    </row>
    <row r="1146" spans="1:14" x14ac:dyDescent="0.25">
      <c r="A1146" s="11" t="s">
        <v>0</v>
      </c>
      <c r="B1146" s="12">
        <v>45208</v>
      </c>
      <c r="C1146" s="11" t="s">
        <v>688</v>
      </c>
      <c r="D1146" s="11" t="s">
        <v>47</v>
      </c>
      <c r="E1146" s="13" t="s">
        <v>162</v>
      </c>
      <c r="F1146" s="14" t="s">
        <v>377</v>
      </c>
      <c r="G1146" s="14" t="s">
        <v>174</v>
      </c>
      <c r="H1146" s="15">
        <v>1</v>
      </c>
      <c r="I1146" s="11" t="b">
        <f t="shared" si="53"/>
        <v>0</v>
      </c>
      <c r="K1146" s="16">
        <v>935</v>
      </c>
      <c r="M1146" s="17">
        <f t="shared" si="51"/>
        <v>134939.92000000004</v>
      </c>
      <c r="N1146" s="11">
        <f t="shared" si="52"/>
        <v>10</v>
      </c>
    </row>
    <row r="1147" spans="1:14" x14ac:dyDescent="0.25">
      <c r="A1147" s="11" t="s">
        <v>0</v>
      </c>
      <c r="B1147" s="12">
        <v>45208</v>
      </c>
      <c r="C1147" s="11" t="s">
        <v>688</v>
      </c>
      <c r="D1147" s="11" t="s">
        <v>692</v>
      </c>
      <c r="E1147" s="13" t="s">
        <v>725</v>
      </c>
      <c r="F1147" s="14" t="s">
        <v>27</v>
      </c>
      <c r="G1147" s="14" t="s">
        <v>404</v>
      </c>
      <c r="H1147" s="15">
        <v>13691</v>
      </c>
      <c r="I1147" s="11">
        <f t="shared" si="53"/>
        <v>5</v>
      </c>
      <c r="K1147" s="16">
        <v>475.47</v>
      </c>
      <c r="M1147" s="17">
        <f t="shared" si="51"/>
        <v>134464.45000000004</v>
      </c>
      <c r="N1147" s="11">
        <f t="shared" si="52"/>
        <v>10</v>
      </c>
    </row>
    <row r="1148" spans="1:14" x14ac:dyDescent="0.25">
      <c r="A1148" s="11" t="s">
        <v>207</v>
      </c>
      <c r="B1148" s="12">
        <v>45207</v>
      </c>
      <c r="C1148" s="11" t="s">
        <v>688</v>
      </c>
      <c r="D1148" s="11" t="s">
        <v>43</v>
      </c>
      <c r="E1148" s="14" t="s">
        <v>429</v>
      </c>
      <c r="F1148" s="14" t="s">
        <v>429</v>
      </c>
      <c r="G1148" s="14" t="s">
        <v>428</v>
      </c>
      <c r="I1148" s="11">
        <f t="shared" si="53"/>
        <v>1</v>
      </c>
      <c r="J1148" s="16">
        <v>4274.84</v>
      </c>
      <c r="M1148" s="17">
        <f t="shared" si="51"/>
        <v>138739.29000000004</v>
      </c>
      <c r="N1148" s="11">
        <f t="shared" si="52"/>
        <v>10</v>
      </c>
    </row>
    <row r="1149" spans="1:14" x14ac:dyDescent="0.25">
      <c r="A1149" s="11" t="s">
        <v>207</v>
      </c>
      <c r="B1149" s="12">
        <v>45208</v>
      </c>
      <c r="C1149" s="11" t="s">
        <v>688</v>
      </c>
      <c r="D1149" s="11" t="s">
        <v>43</v>
      </c>
      <c r="E1149" s="13" t="s">
        <v>357</v>
      </c>
      <c r="F1149" s="14" t="s">
        <v>13</v>
      </c>
      <c r="G1149" s="14" t="s">
        <v>400</v>
      </c>
      <c r="I1149" s="11">
        <f t="shared" si="53"/>
        <v>2</v>
      </c>
      <c r="J1149" s="16">
        <v>10.78</v>
      </c>
      <c r="M1149" s="17">
        <f t="shared" si="51"/>
        <v>138750.07000000004</v>
      </c>
      <c r="N1149" s="11">
        <f t="shared" si="52"/>
        <v>10</v>
      </c>
    </row>
    <row r="1150" spans="1:14" x14ac:dyDescent="0.25">
      <c r="A1150" s="11" t="s">
        <v>207</v>
      </c>
      <c r="B1150" s="12">
        <v>45208</v>
      </c>
      <c r="C1150" s="11" t="s">
        <v>662</v>
      </c>
      <c r="D1150" s="11" t="s">
        <v>43</v>
      </c>
      <c r="E1150" s="13" t="s">
        <v>357</v>
      </c>
      <c r="F1150" s="14" t="s">
        <v>13</v>
      </c>
      <c r="G1150" s="14" t="s">
        <v>400</v>
      </c>
      <c r="I1150" s="11">
        <f t="shared" si="53"/>
        <v>2</v>
      </c>
      <c r="J1150" s="16">
        <v>74.37</v>
      </c>
      <c r="M1150" s="17">
        <f t="shared" si="51"/>
        <v>138824.44000000003</v>
      </c>
      <c r="N1150" s="11">
        <f t="shared" si="52"/>
        <v>10</v>
      </c>
    </row>
    <row r="1151" spans="1:14" x14ac:dyDescent="0.25">
      <c r="A1151" s="11" t="s">
        <v>207</v>
      </c>
      <c r="B1151" s="12">
        <v>45208</v>
      </c>
      <c r="C1151" s="11" t="s">
        <v>688</v>
      </c>
      <c r="D1151" s="11" t="s">
        <v>43</v>
      </c>
      <c r="E1151" s="13" t="s">
        <v>357</v>
      </c>
      <c r="F1151" s="14" t="s">
        <v>13</v>
      </c>
      <c r="G1151" s="14" t="s">
        <v>400</v>
      </c>
      <c r="I1151" s="11">
        <f t="shared" si="53"/>
        <v>2</v>
      </c>
      <c r="J1151" s="16">
        <v>6.86</v>
      </c>
      <c r="M1151" s="17">
        <f t="shared" si="51"/>
        <v>138831.30000000002</v>
      </c>
      <c r="N1151" s="11">
        <f t="shared" si="52"/>
        <v>10</v>
      </c>
    </row>
    <row r="1152" spans="1:14" x14ac:dyDescent="0.25">
      <c r="A1152" s="11" t="s">
        <v>207</v>
      </c>
      <c r="B1152" s="12">
        <v>45208</v>
      </c>
      <c r="C1152" s="11" t="s">
        <v>688</v>
      </c>
      <c r="D1152" s="11" t="s">
        <v>43</v>
      </c>
      <c r="E1152" s="13" t="s">
        <v>357</v>
      </c>
      <c r="F1152" s="14" t="s">
        <v>13</v>
      </c>
      <c r="G1152" s="14" t="s">
        <v>400</v>
      </c>
      <c r="I1152" s="11">
        <f t="shared" si="53"/>
        <v>2</v>
      </c>
      <c r="J1152" s="16">
        <v>469.26</v>
      </c>
      <c r="M1152" s="17">
        <f t="shared" si="51"/>
        <v>139300.56000000003</v>
      </c>
      <c r="N1152" s="11">
        <f t="shared" si="52"/>
        <v>10</v>
      </c>
    </row>
    <row r="1153" spans="1:14" x14ac:dyDescent="0.25">
      <c r="A1153" s="11" t="s">
        <v>207</v>
      </c>
      <c r="B1153" s="12">
        <v>45208</v>
      </c>
      <c r="C1153" s="11" t="s">
        <v>662</v>
      </c>
      <c r="D1153" s="11" t="s">
        <v>43</v>
      </c>
      <c r="E1153" s="13" t="s">
        <v>357</v>
      </c>
      <c r="F1153" s="14" t="s">
        <v>13</v>
      </c>
      <c r="G1153" s="14" t="s">
        <v>400</v>
      </c>
      <c r="I1153" s="11">
        <f t="shared" si="53"/>
        <v>2</v>
      </c>
      <c r="J1153" s="16">
        <v>135.26</v>
      </c>
      <c r="M1153" s="17">
        <f t="shared" si="51"/>
        <v>139435.82000000004</v>
      </c>
      <c r="N1153" s="11">
        <f t="shared" si="52"/>
        <v>10</v>
      </c>
    </row>
    <row r="1154" spans="1:14" x14ac:dyDescent="0.25">
      <c r="A1154" s="11" t="s">
        <v>207</v>
      </c>
      <c r="B1154" s="12">
        <v>45208</v>
      </c>
      <c r="C1154" s="11" t="s">
        <v>688</v>
      </c>
      <c r="D1154" s="11" t="s">
        <v>43</v>
      </c>
      <c r="E1154" s="13" t="s">
        <v>357</v>
      </c>
      <c r="F1154" s="14" t="s">
        <v>13</v>
      </c>
      <c r="G1154" s="14" t="s">
        <v>400</v>
      </c>
      <c r="I1154" s="11">
        <f t="shared" si="53"/>
        <v>2</v>
      </c>
      <c r="J1154" s="16">
        <v>761.35</v>
      </c>
      <c r="M1154" s="17">
        <f t="shared" si="51"/>
        <v>140197.17000000004</v>
      </c>
      <c r="N1154" s="11">
        <f t="shared" si="52"/>
        <v>10</v>
      </c>
    </row>
    <row r="1155" spans="1:14" x14ac:dyDescent="0.25">
      <c r="A1155" s="11" t="s">
        <v>207</v>
      </c>
      <c r="B1155" s="12">
        <v>45208</v>
      </c>
      <c r="C1155" s="11" t="s">
        <v>688</v>
      </c>
      <c r="D1155" s="11" t="s">
        <v>43</v>
      </c>
      <c r="E1155" s="13" t="s">
        <v>357</v>
      </c>
      <c r="F1155" s="14" t="s">
        <v>13</v>
      </c>
      <c r="G1155" s="14" t="s">
        <v>400</v>
      </c>
      <c r="I1155" s="11">
        <f t="shared" si="53"/>
        <v>2</v>
      </c>
      <c r="J1155" s="16">
        <v>769.07</v>
      </c>
      <c r="M1155" s="17">
        <f t="shared" ref="M1155:M1218" si="54">IF(B1155=0, "",M1154+ J1155-K1155)</f>
        <v>140966.24000000005</v>
      </c>
      <c r="N1155" s="11">
        <f t="shared" ref="N1155:N1218" si="55">IF(B1155=0, "", MONTH(B1155))</f>
        <v>10</v>
      </c>
    </row>
    <row r="1156" spans="1:14" x14ac:dyDescent="0.25">
      <c r="A1156" s="11" t="s">
        <v>207</v>
      </c>
      <c r="B1156" s="12">
        <v>45208</v>
      </c>
      <c r="C1156" s="11" t="s">
        <v>688</v>
      </c>
      <c r="D1156" s="11" t="s">
        <v>43</v>
      </c>
      <c r="E1156" s="13" t="s">
        <v>357</v>
      </c>
      <c r="F1156" s="14" t="s">
        <v>13</v>
      </c>
      <c r="G1156" s="14" t="s">
        <v>400</v>
      </c>
      <c r="I1156" s="11">
        <f t="shared" si="53"/>
        <v>2</v>
      </c>
      <c r="J1156" s="16">
        <v>514.6</v>
      </c>
      <c r="M1156" s="17">
        <f t="shared" si="54"/>
        <v>141480.84000000005</v>
      </c>
      <c r="N1156" s="11">
        <f t="shared" si="55"/>
        <v>10</v>
      </c>
    </row>
    <row r="1157" spans="1:14" x14ac:dyDescent="0.25">
      <c r="A1157" s="11" t="s">
        <v>207</v>
      </c>
      <c r="B1157" s="12">
        <v>45208</v>
      </c>
      <c r="C1157" s="11" t="s">
        <v>688</v>
      </c>
      <c r="D1157" s="11" t="s">
        <v>43</v>
      </c>
      <c r="E1157" s="13" t="s">
        <v>357</v>
      </c>
      <c r="F1157" s="14" t="s">
        <v>13</v>
      </c>
      <c r="G1157" s="14" t="s">
        <v>400</v>
      </c>
      <c r="I1157" s="11">
        <f t="shared" si="53"/>
        <v>2</v>
      </c>
      <c r="J1157" s="16">
        <v>149.16</v>
      </c>
      <c r="M1157" s="17">
        <f t="shared" si="54"/>
        <v>141630.00000000006</v>
      </c>
      <c r="N1157" s="11">
        <f t="shared" si="55"/>
        <v>10</v>
      </c>
    </row>
    <row r="1158" spans="1:14" x14ac:dyDescent="0.25">
      <c r="A1158" s="11" t="s">
        <v>207</v>
      </c>
      <c r="B1158" s="12">
        <v>45208</v>
      </c>
      <c r="C1158" s="11" t="s">
        <v>688</v>
      </c>
      <c r="D1158" s="11" t="s">
        <v>43</v>
      </c>
      <c r="E1158" s="13" t="s">
        <v>357</v>
      </c>
      <c r="F1158" s="14" t="s">
        <v>13</v>
      </c>
      <c r="G1158" s="14" t="s">
        <v>400</v>
      </c>
      <c r="I1158" s="11">
        <f t="shared" ref="I1158:I1221" si="56">IF(AND(G1158="MERCADO PAGO",A1158="FATURAMENTO"),1,IF(AND(OR(G1158="MERCADO PAGO",G1158="pix mercado pago",G1158= "débito automático mercado pago", G1158= "boleto mercado pago"),A1158="DESPESAS"),4,IF(AND(G1158="SAFRA",A1158="FATURAMENTO"),2,IF(AND(OR(G1158="SAFRA",G1158="PIX SAFRA", G1158="DÉBITO AUTOMÁTICO SAFRA", G1158= "BOLETO SAFRA", G1158= "transferência safra"), A1158="DESPESAS"),5,IF(AND(G1158="espécie",A1158="FATURAMENTO"),3,IF(AND(G1158="espécie",A1158="DESPESAS"),6))))))</f>
        <v>2</v>
      </c>
      <c r="J1158" s="16">
        <v>916.25</v>
      </c>
      <c r="M1158" s="17">
        <f t="shared" si="54"/>
        <v>142546.25000000006</v>
      </c>
      <c r="N1158" s="11">
        <f t="shared" si="55"/>
        <v>10</v>
      </c>
    </row>
    <row r="1159" spans="1:14" x14ac:dyDescent="0.25">
      <c r="A1159" s="11" t="s">
        <v>207</v>
      </c>
      <c r="B1159" s="12">
        <v>45208</v>
      </c>
      <c r="C1159" s="11" t="s">
        <v>688</v>
      </c>
      <c r="D1159" s="11" t="s">
        <v>43</v>
      </c>
      <c r="E1159" s="13" t="s">
        <v>357</v>
      </c>
      <c r="F1159" s="14" t="s">
        <v>13</v>
      </c>
      <c r="G1159" s="14" t="s">
        <v>400</v>
      </c>
      <c r="I1159" s="11">
        <f t="shared" si="56"/>
        <v>2</v>
      </c>
      <c r="J1159" s="16">
        <v>466</v>
      </c>
      <c r="M1159" s="17">
        <f t="shared" si="54"/>
        <v>143012.25000000006</v>
      </c>
      <c r="N1159" s="11">
        <f t="shared" si="55"/>
        <v>10</v>
      </c>
    </row>
    <row r="1160" spans="1:14" x14ac:dyDescent="0.25">
      <c r="A1160" s="11" t="s">
        <v>207</v>
      </c>
      <c r="B1160" s="12">
        <v>45208</v>
      </c>
      <c r="C1160" s="11" t="s">
        <v>688</v>
      </c>
      <c r="D1160" s="11" t="s">
        <v>43</v>
      </c>
      <c r="E1160" s="13" t="s">
        <v>79</v>
      </c>
      <c r="F1160" s="14" t="s">
        <v>79</v>
      </c>
      <c r="G1160" s="14" t="s">
        <v>400</v>
      </c>
      <c r="I1160" s="11">
        <f t="shared" si="56"/>
        <v>2</v>
      </c>
      <c r="J1160" s="16">
        <v>7968.8</v>
      </c>
      <c r="M1160" s="17">
        <f t="shared" si="54"/>
        <v>150981.05000000005</v>
      </c>
      <c r="N1160" s="11">
        <f t="shared" si="55"/>
        <v>10</v>
      </c>
    </row>
    <row r="1161" spans="1:14" x14ac:dyDescent="0.25">
      <c r="A1161" s="11" t="s">
        <v>207</v>
      </c>
      <c r="B1161" s="12">
        <v>45208</v>
      </c>
      <c r="C1161" s="11" t="s">
        <v>688</v>
      </c>
      <c r="D1161" s="11" t="s">
        <v>43</v>
      </c>
      <c r="E1161" s="13" t="s">
        <v>79</v>
      </c>
      <c r="F1161" s="14" t="s">
        <v>79</v>
      </c>
      <c r="G1161" s="14" t="s">
        <v>400</v>
      </c>
      <c r="I1161" s="11">
        <f t="shared" si="56"/>
        <v>2</v>
      </c>
      <c r="J1161" s="16">
        <v>7303.61</v>
      </c>
      <c r="M1161" s="17">
        <f t="shared" si="54"/>
        <v>158284.66000000003</v>
      </c>
      <c r="N1161" s="11">
        <f t="shared" si="55"/>
        <v>10</v>
      </c>
    </row>
    <row r="1162" spans="1:14" x14ac:dyDescent="0.25">
      <c r="A1162" s="11" t="s">
        <v>207</v>
      </c>
      <c r="B1162" s="12">
        <v>45208</v>
      </c>
      <c r="C1162" s="11" t="s">
        <v>688</v>
      </c>
      <c r="D1162" s="11" t="s">
        <v>43</v>
      </c>
      <c r="E1162" s="13" t="s">
        <v>79</v>
      </c>
      <c r="F1162" s="14" t="s">
        <v>79</v>
      </c>
      <c r="G1162" s="14" t="s">
        <v>400</v>
      </c>
      <c r="I1162" s="11">
        <f t="shared" si="56"/>
        <v>2</v>
      </c>
      <c r="J1162" s="16">
        <v>380.08</v>
      </c>
      <c r="M1162" s="17">
        <f t="shared" si="54"/>
        <v>158664.74000000002</v>
      </c>
      <c r="N1162" s="11">
        <f t="shared" si="55"/>
        <v>10</v>
      </c>
    </row>
    <row r="1163" spans="1:14" x14ac:dyDescent="0.25">
      <c r="A1163" s="11" t="s">
        <v>207</v>
      </c>
      <c r="B1163" s="12">
        <v>45208</v>
      </c>
      <c r="C1163" s="11" t="s">
        <v>688</v>
      </c>
      <c r="D1163" s="11" t="s">
        <v>43</v>
      </c>
      <c r="E1163" s="13" t="s">
        <v>79</v>
      </c>
      <c r="F1163" s="14" t="s">
        <v>79</v>
      </c>
      <c r="G1163" s="14" t="s">
        <v>400</v>
      </c>
      <c r="I1163" s="11">
        <f t="shared" si="56"/>
        <v>2</v>
      </c>
      <c r="J1163" s="16">
        <v>172.17</v>
      </c>
      <c r="M1163" s="17">
        <f t="shared" si="54"/>
        <v>158836.91000000003</v>
      </c>
      <c r="N1163" s="11">
        <f t="shared" si="55"/>
        <v>10</v>
      </c>
    </row>
    <row r="1164" spans="1:14" x14ac:dyDescent="0.25">
      <c r="A1164" s="11" t="s">
        <v>0</v>
      </c>
      <c r="B1164" s="12">
        <v>45208</v>
      </c>
      <c r="C1164" s="11" t="s">
        <v>688</v>
      </c>
      <c r="D1164" s="11" t="s">
        <v>692</v>
      </c>
      <c r="E1164" s="13" t="s">
        <v>179</v>
      </c>
      <c r="F1164" s="14" t="s">
        <v>378</v>
      </c>
      <c r="G1164" s="14" t="s">
        <v>174</v>
      </c>
      <c r="H1164" s="15">
        <v>4</v>
      </c>
      <c r="I1164" s="11" t="b">
        <f t="shared" si="56"/>
        <v>0</v>
      </c>
      <c r="K1164" s="16">
        <v>445.5</v>
      </c>
      <c r="M1164" s="17">
        <f t="shared" si="54"/>
        <v>158391.41000000003</v>
      </c>
      <c r="N1164" s="11">
        <f t="shared" si="55"/>
        <v>10</v>
      </c>
    </row>
    <row r="1165" spans="1:14" x14ac:dyDescent="0.25">
      <c r="A1165" s="11" t="s">
        <v>0</v>
      </c>
      <c r="B1165" s="12">
        <v>45208</v>
      </c>
      <c r="C1165" s="11" t="s">
        <v>688</v>
      </c>
      <c r="D1165" s="11" t="s">
        <v>692</v>
      </c>
      <c r="E1165" s="13" t="s">
        <v>725</v>
      </c>
      <c r="F1165" s="14" t="s">
        <v>33</v>
      </c>
      <c r="G1165" s="14" t="s">
        <v>404</v>
      </c>
      <c r="H1165" s="15">
        <v>24767</v>
      </c>
      <c r="I1165" s="11">
        <f t="shared" si="56"/>
        <v>5</v>
      </c>
      <c r="K1165" s="16">
        <v>1186.6600000000001</v>
      </c>
      <c r="M1165" s="17">
        <f t="shared" si="54"/>
        <v>157204.75000000003</v>
      </c>
      <c r="N1165" s="11">
        <f t="shared" si="55"/>
        <v>10</v>
      </c>
    </row>
    <row r="1166" spans="1:14" x14ac:dyDescent="0.25">
      <c r="A1166" s="11" t="s">
        <v>0</v>
      </c>
      <c r="B1166" s="12">
        <v>45208</v>
      </c>
      <c r="C1166" s="11" t="s">
        <v>688</v>
      </c>
      <c r="D1166" s="11" t="s">
        <v>692</v>
      </c>
      <c r="E1166" s="13" t="s">
        <v>267</v>
      </c>
      <c r="F1166" s="14" t="s">
        <v>301</v>
      </c>
      <c r="G1166" s="14" t="s">
        <v>404</v>
      </c>
      <c r="H1166" s="15">
        <v>3</v>
      </c>
      <c r="I1166" s="11">
        <f t="shared" si="56"/>
        <v>5</v>
      </c>
      <c r="K1166" s="16">
        <v>957.2</v>
      </c>
      <c r="M1166" s="17">
        <f t="shared" si="54"/>
        <v>156247.55000000002</v>
      </c>
      <c r="N1166" s="11">
        <f t="shared" si="55"/>
        <v>10</v>
      </c>
    </row>
    <row r="1167" spans="1:14" ht="66" x14ac:dyDescent="0.25">
      <c r="A1167" s="11" t="s">
        <v>0</v>
      </c>
      <c r="B1167" s="12">
        <v>45208</v>
      </c>
      <c r="C1167" s="11" t="s">
        <v>688</v>
      </c>
      <c r="D1167" s="11" t="s">
        <v>701</v>
      </c>
      <c r="E1167" s="13" t="s">
        <v>35</v>
      </c>
      <c r="F1167" s="14" t="s">
        <v>35</v>
      </c>
      <c r="G1167" s="14" t="s">
        <v>404</v>
      </c>
      <c r="H1167" s="15" t="s">
        <v>416</v>
      </c>
      <c r="I1167" s="11">
        <f t="shared" si="56"/>
        <v>5</v>
      </c>
      <c r="K1167" s="16">
        <v>1943.84</v>
      </c>
      <c r="M1167" s="17">
        <f t="shared" si="54"/>
        <v>154303.71000000002</v>
      </c>
      <c r="N1167" s="11">
        <f t="shared" si="55"/>
        <v>10</v>
      </c>
    </row>
    <row r="1168" spans="1:14" ht="92.4" x14ac:dyDescent="0.25">
      <c r="A1168" s="11" t="s">
        <v>0</v>
      </c>
      <c r="B1168" s="12">
        <v>45208</v>
      </c>
      <c r="C1168" s="11" t="s">
        <v>688</v>
      </c>
      <c r="D1168" s="11" t="s">
        <v>47</v>
      </c>
      <c r="E1168" s="13" t="s">
        <v>464</v>
      </c>
      <c r="F1168" s="14" t="s">
        <v>35</v>
      </c>
      <c r="G1168" s="14" t="s">
        <v>404</v>
      </c>
      <c r="H1168" s="15" t="s">
        <v>417</v>
      </c>
      <c r="I1168" s="11">
        <f t="shared" si="56"/>
        <v>5</v>
      </c>
      <c r="K1168" s="16">
        <v>1210.95</v>
      </c>
      <c r="M1168" s="17">
        <f t="shared" si="54"/>
        <v>153092.76</v>
      </c>
      <c r="N1168" s="11">
        <f t="shared" si="55"/>
        <v>10</v>
      </c>
    </row>
    <row r="1169" spans="1:14" ht="39.6" x14ac:dyDescent="0.25">
      <c r="A1169" s="11" t="s">
        <v>0</v>
      </c>
      <c r="B1169" s="12">
        <v>45208</v>
      </c>
      <c r="C1169" s="11" t="s">
        <v>688</v>
      </c>
      <c r="D1169" s="11" t="s">
        <v>692</v>
      </c>
      <c r="E1169" s="13" t="s">
        <v>725</v>
      </c>
      <c r="F1169" s="14" t="s">
        <v>27</v>
      </c>
      <c r="G1169" s="14" t="s">
        <v>404</v>
      </c>
      <c r="H1169" s="15" t="s">
        <v>385</v>
      </c>
      <c r="I1169" s="11">
        <f t="shared" si="56"/>
        <v>5</v>
      </c>
      <c r="K1169" s="16">
        <v>679.4</v>
      </c>
      <c r="M1169" s="17">
        <f t="shared" si="54"/>
        <v>152413.36000000002</v>
      </c>
      <c r="N1169" s="11">
        <f t="shared" si="55"/>
        <v>10</v>
      </c>
    </row>
    <row r="1170" spans="1:14" x14ac:dyDescent="0.25">
      <c r="A1170" s="11" t="s">
        <v>0</v>
      </c>
      <c r="B1170" s="12">
        <v>45208</v>
      </c>
      <c r="C1170" s="11" t="s">
        <v>688</v>
      </c>
      <c r="D1170" s="11" t="s">
        <v>694</v>
      </c>
      <c r="E1170" s="13" t="s">
        <v>182</v>
      </c>
      <c r="F1170" s="14" t="s">
        <v>23</v>
      </c>
      <c r="G1170" s="14" t="s">
        <v>186</v>
      </c>
      <c r="I1170" s="11" t="b">
        <f t="shared" si="56"/>
        <v>0</v>
      </c>
      <c r="K1170" s="16">
        <v>73.89</v>
      </c>
      <c r="M1170" s="17">
        <f t="shared" si="54"/>
        <v>152339.47</v>
      </c>
      <c r="N1170" s="11">
        <f t="shared" si="55"/>
        <v>10</v>
      </c>
    </row>
    <row r="1171" spans="1:14" x14ac:dyDescent="0.25">
      <c r="A1171" s="11" t="s">
        <v>207</v>
      </c>
      <c r="B1171" s="12">
        <v>45208</v>
      </c>
      <c r="C1171" s="11" t="s">
        <v>688</v>
      </c>
      <c r="D1171" s="11" t="s">
        <v>43</v>
      </c>
      <c r="E1171" s="13" t="s">
        <v>380</v>
      </c>
      <c r="F1171" s="14" t="s">
        <v>380</v>
      </c>
      <c r="G1171" s="14" t="s">
        <v>400</v>
      </c>
      <c r="I1171" s="11">
        <f t="shared" si="56"/>
        <v>2</v>
      </c>
      <c r="J1171" s="16">
        <v>1753.03</v>
      </c>
      <c r="M1171" s="17">
        <f t="shared" si="54"/>
        <v>154092.5</v>
      </c>
      <c r="N1171" s="11">
        <f t="shared" si="55"/>
        <v>10</v>
      </c>
    </row>
    <row r="1172" spans="1:14" x14ac:dyDescent="0.25">
      <c r="A1172" s="11" t="s">
        <v>207</v>
      </c>
      <c r="B1172" s="12">
        <v>45208</v>
      </c>
      <c r="C1172" s="11" t="s">
        <v>688</v>
      </c>
      <c r="D1172" s="11" t="s">
        <v>43</v>
      </c>
      <c r="E1172" s="14" t="s">
        <v>288</v>
      </c>
      <c r="F1172" s="14" t="s">
        <v>288</v>
      </c>
      <c r="G1172" s="14" t="s">
        <v>173</v>
      </c>
      <c r="I1172" s="11">
        <f t="shared" si="56"/>
        <v>3</v>
      </c>
      <c r="J1172" s="16">
        <v>1120</v>
      </c>
      <c r="M1172" s="17">
        <f t="shared" si="54"/>
        <v>155212.5</v>
      </c>
      <c r="N1172" s="11">
        <f t="shared" si="55"/>
        <v>10</v>
      </c>
    </row>
    <row r="1173" spans="1:14" x14ac:dyDescent="0.25">
      <c r="A1173" s="11" t="s">
        <v>207</v>
      </c>
      <c r="B1173" s="12">
        <v>45209</v>
      </c>
      <c r="C1173" s="11" t="s">
        <v>688</v>
      </c>
      <c r="D1173" s="11" t="s">
        <v>43</v>
      </c>
      <c r="E1173" s="13" t="s">
        <v>363</v>
      </c>
      <c r="F1173" s="14" t="s">
        <v>363</v>
      </c>
      <c r="G1173" s="14" t="s">
        <v>400</v>
      </c>
      <c r="I1173" s="11">
        <f t="shared" si="56"/>
        <v>2</v>
      </c>
      <c r="J1173" s="16">
        <v>350.28</v>
      </c>
      <c r="M1173" s="17">
        <f t="shared" si="54"/>
        <v>155562.78</v>
      </c>
      <c r="N1173" s="11">
        <f t="shared" si="55"/>
        <v>10</v>
      </c>
    </row>
    <row r="1174" spans="1:14" x14ac:dyDescent="0.25">
      <c r="A1174" s="11" t="s">
        <v>207</v>
      </c>
      <c r="B1174" s="12">
        <v>45209</v>
      </c>
      <c r="C1174" s="11" t="s">
        <v>688</v>
      </c>
      <c r="D1174" s="11" t="s">
        <v>43</v>
      </c>
      <c r="E1174" s="13" t="s">
        <v>363</v>
      </c>
      <c r="F1174" s="14" t="s">
        <v>363</v>
      </c>
      <c r="G1174" s="14" t="s">
        <v>400</v>
      </c>
      <c r="I1174" s="11">
        <f t="shared" si="56"/>
        <v>2</v>
      </c>
      <c r="J1174" s="16">
        <v>7.54</v>
      </c>
      <c r="M1174" s="17">
        <f t="shared" si="54"/>
        <v>155570.32</v>
      </c>
      <c r="N1174" s="11">
        <f t="shared" si="55"/>
        <v>10</v>
      </c>
    </row>
    <row r="1175" spans="1:14" x14ac:dyDescent="0.25">
      <c r="A1175" s="11" t="s">
        <v>207</v>
      </c>
      <c r="B1175" s="12">
        <v>45209</v>
      </c>
      <c r="C1175" s="11" t="s">
        <v>688</v>
      </c>
      <c r="D1175" s="11" t="s">
        <v>43</v>
      </c>
      <c r="E1175" s="13" t="s">
        <v>357</v>
      </c>
      <c r="F1175" s="14" t="s">
        <v>13</v>
      </c>
      <c r="G1175" s="14" t="s">
        <v>400</v>
      </c>
      <c r="I1175" s="11">
        <f t="shared" si="56"/>
        <v>2</v>
      </c>
      <c r="J1175" s="16">
        <v>553.88</v>
      </c>
      <c r="M1175" s="17">
        <f t="shared" si="54"/>
        <v>156124.20000000001</v>
      </c>
      <c r="N1175" s="11">
        <f t="shared" si="55"/>
        <v>10</v>
      </c>
    </row>
    <row r="1176" spans="1:14" x14ac:dyDescent="0.25">
      <c r="A1176" s="11" t="s">
        <v>207</v>
      </c>
      <c r="B1176" s="12">
        <v>45209</v>
      </c>
      <c r="C1176" s="11" t="s">
        <v>688</v>
      </c>
      <c r="D1176" s="11" t="s">
        <v>43</v>
      </c>
      <c r="E1176" s="13" t="s">
        <v>357</v>
      </c>
      <c r="F1176" s="14" t="s">
        <v>13</v>
      </c>
      <c r="G1176" s="14" t="s">
        <v>400</v>
      </c>
      <c r="I1176" s="11">
        <f t="shared" si="56"/>
        <v>2</v>
      </c>
      <c r="J1176" s="16">
        <v>293.92</v>
      </c>
      <c r="M1176" s="17">
        <f t="shared" si="54"/>
        <v>156418.12000000002</v>
      </c>
      <c r="N1176" s="11">
        <f t="shared" si="55"/>
        <v>10</v>
      </c>
    </row>
    <row r="1177" spans="1:14" x14ac:dyDescent="0.25">
      <c r="A1177" s="11" t="s">
        <v>207</v>
      </c>
      <c r="B1177" s="12">
        <v>45209</v>
      </c>
      <c r="C1177" s="11" t="s">
        <v>688</v>
      </c>
      <c r="D1177" s="11" t="s">
        <v>43</v>
      </c>
      <c r="E1177" s="13" t="s">
        <v>357</v>
      </c>
      <c r="F1177" s="14" t="s">
        <v>13</v>
      </c>
      <c r="G1177" s="14" t="s">
        <v>400</v>
      </c>
      <c r="I1177" s="11">
        <f t="shared" si="56"/>
        <v>2</v>
      </c>
      <c r="J1177" s="16">
        <v>34.4</v>
      </c>
      <c r="M1177" s="17">
        <f t="shared" si="54"/>
        <v>156452.52000000002</v>
      </c>
      <c r="N1177" s="11">
        <f t="shared" si="55"/>
        <v>10</v>
      </c>
    </row>
    <row r="1178" spans="1:14" x14ac:dyDescent="0.25">
      <c r="A1178" s="11" t="s">
        <v>0</v>
      </c>
      <c r="B1178" s="12">
        <v>45209</v>
      </c>
      <c r="C1178" s="11" t="s">
        <v>688</v>
      </c>
      <c r="D1178" s="11" t="s">
        <v>692</v>
      </c>
      <c r="E1178" s="13" t="s">
        <v>169</v>
      </c>
      <c r="F1178" s="14" t="s">
        <v>50</v>
      </c>
      <c r="G1178" s="14" t="s">
        <v>404</v>
      </c>
      <c r="H1178" s="15">
        <v>1187661</v>
      </c>
      <c r="I1178" s="11">
        <f t="shared" si="56"/>
        <v>5</v>
      </c>
      <c r="K1178" s="16">
        <v>1350</v>
      </c>
      <c r="M1178" s="17">
        <f t="shared" si="54"/>
        <v>155102.52000000002</v>
      </c>
      <c r="N1178" s="11">
        <f t="shared" si="55"/>
        <v>10</v>
      </c>
    </row>
    <row r="1179" spans="1:14" x14ac:dyDescent="0.25">
      <c r="A1179" s="11" t="s">
        <v>207</v>
      </c>
      <c r="B1179" s="12">
        <v>45209</v>
      </c>
      <c r="C1179" s="11" t="s">
        <v>688</v>
      </c>
      <c r="D1179" s="11" t="s">
        <v>43</v>
      </c>
      <c r="E1179" s="13" t="s">
        <v>79</v>
      </c>
      <c r="F1179" s="14" t="s">
        <v>79</v>
      </c>
      <c r="G1179" s="14" t="s">
        <v>400</v>
      </c>
      <c r="I1179" s="11">
        <f t="shared" si="56"/>
        <v>2</v>
      </c>
      <c r="J1179" s="16">
        <v>2254.73</v>
      </c>
      <c r="M1179" s="17">
        <f t="shared" si="54"/>
        <v>157357.25000000003</v>
      </c>
      <c r="N1179" s="11">
        <f t="shared" si="55"/>
        <v>10</v>
      </c>
    </row>
    <row r="1180" spans="1:14" x14ac:dyDescent="0.25">
      <c r="A1180" s="11" t="s">
        <v>207</v>
      </c>
      <c r="B1180" s="12">
        <v>45209</v>
      </c>
      <c r="C1180" s="11" t="s">
        <v>688</v>
      </c>
      <c r="D1180" s="11" t="s">
        <v>43</v>
      </c>
      <c r="E1180" s="13" t="s">
        <v>79</v>
      </c>
      <c r="F1180" s="14" t="s">
        <v>79</v>
      </c>
      <c r="G1180" s="14" t="s">
        <v>400</v>
      </c>
      <c r="I1180" s="11">
        <f t="shared" si="56"/>
        <v>2</v>
      </c>
      <c r="J1180" s="16">
        <v>2048.41</v>
      </c>
      <c r="M1180" s="17">
        <f t="shared" si="54"/>
        <v>159405.66000000003</v>
      </c>
      <c r="N1180" s="11">
        <f t="shared" si="55"/>
        <v>10</v>
      </c>
    </row>
    <row r="1181" spans="1:14" x14ac:dyDescent="0.25">
      <c r="A1181" s="11" t="s">
        <v>0</v>
      </c>
      <c r="B1181" s="12">
        <v>45209</v>
      </c>
      <c r="C1181" s="11" t="s">
        <v>688</v>
      </c>
      <c r="D1181" s="11" t="s">
        <v>701</v>
      </c>
      <c r="E1181" s="13" t="s">
        <v>839</v>
      </c>
      <c r="F1181" s="14" t="s">
        <v>383</v>
      </c>
      <c r="G1181" s="14" t="s">
        <v>404</v>
      </c>
      <c r="H1181" s="15" t="s">
        <v>20</v>
      </c>
      <c r="I1181" s="11">
        <f t="shared" si="56"/>
        <v>5</v>
      </c>
      <c r="K1181" s="16">
        <v>47.6</v>
      </c>
      <c r="M1181" s="17">
        <f t="shared" si="54"/>
        <v>159358.06000000003</v>
      </c>
      <c r="N1181" s="11">
        <f t="shared" si="55"/>
        <v>10</v>
      </c>
    </row>
    <row r="1182" spans="1:14" x14ac:dyDescent="0.25">
      <c r="A1182" s="11" t="s">
        <v>0</v>
      </c>
      <c r="B1182" s="12">
        <v>45209</v>
      </c>
      <c r="C1182" s="11" t="s">
        <v>688</v>
      </c>
      <c r="D1182" s="11" t="s">
        <v>692</v>
      </c>
      <c r="E1182" s="13" t="s">
        <v>229</v>
      </c>
      <c r="F1182" s="14" t="s">
        <v>116</v>
      </c>
      <c r="G1182" s="14" t="s">
        <v>404</v>
      </c>
      <c r="H1182" s="15">
        <v>10268</v>
      </c>
      <c r="I1182" s="11">
        <f t="shared" si="56"/>
        <v>5</v>
      </c>
      <c r="K1182" s="16">
        <v>2649.5</v>
      </c>
      <c r="M1182" s="17">
        <f t="shared" si="54"/>
        <v>156708.56000000003</v>
      </c>
      <c r="N1182" s="11">
        <f t="shared" si="55"/>
        <v>10</v>
      </c>
    </row>
    <row r="1183" spans="1:14" x14ac:dyDescent="0.25">
      <c r="A1183" s="11" t="s">
        <v>0</v>
      </c>
      <c r="B1183" s="12">
        <v>45209</v>
      </c>
      <c r="C1183" s="11" t="s">
        <v>688</v>
      </c>
      <c r="D1183" s="11" t="s">
        <v>692</v>
      </c>
      <c r="E1183" s="13" t="s">
        <v>726</v>
      </c>
      <c r="F1183" s="14" t="s">
        <v>91</v>
      </c>
      <c r="G1183" s="14" t="s">
        <v>403</v>
      </c>
      <c r="H1183" s="15">
        <v>394385</v>
      </c>
      <c r="I1183" s="11">
        <f t="shared" si="56"/>
        <v>5</v>
      </c>
      <c r="K1183" s="16">
        <v>348.84</v>
      </c>
      <c r="M1183" s="17">
        <f t="shared" si="54"/>
        <v>156359.72000000003</v>
      </c>
      <c r="N1183" s="11">
        <f t="shared" si="55"/>
        <v>10</v>
      </c>
    </row>
    <row r="1184" spans="1:14" x14ac:dyDescent="0.25">
      <c r="A1184" s="11" t="s">
        <v>0</v>
      </c>
      <c r="B1184" s="12">
        <v>45209</v>
      </c>
      <c r="C1184" s="11" t="s">
        <v>688</v>
      </c>
      <c r="D1184" s="11" t="s">
        <v>692</v>
      </c>
      <c r="E1184" s="13" t="s">
        <v>730</v>
      </c>
      <c r="F1184" s="14" t="s">
        <v>34</v>
      </c>
      <c r="G1184" s="14" t="s">
        <v>404</v>
      </c>
      <c r="H1184" s="15">
        <v>11183</v>
      </c>
      <c r="I1184" s="11">
        <f t="shared" si="56"/>
        <v>5</v>
      </c>
      <c r="K1184" s="16">
        <v>2973.77</v>
      </c>
      <c r="M1184" s="17">
        <f t="shared" si="54"/>
        <v>153385.95000000004</v>
      </c>
      <c r="N1184" s="11">
        <f t="shared" si="55"/>
        <v>10</v>
      </c>
    </row>
    <row r="1185" spans="1:14" x14ac:dyDescent="0.25">
      <c r="A1185" s="11" t="s">
        <v>0</v>
      </c>
      <c r="B1185" s="12">
        <v>45209</v>
      </c>
      <c r="C1185" s="11" t="s">
        <v>688</v>
      </c>
      <c r="D1185" s="11" t="s">
        <v>692</v>
      </c>
      <c r="E1185" s="13" t="s">
        <v>725</v>
      </c>
      <c r="F1185" s="14" t="s">
        <v>33</v>
      </c>
      <c r="G1185" s="14" t="s">
        <v>404</v>
      </c>
      <c r="H1185" s="15">
        <v>24786</v>
      </c>
      <c r="I1185" s="11">
        <f t="shared" si="56"/>
        <v>5</v>
      </c>
      <c r="K1185" s="16">
        <v>973.23</v>
      </c>
      <c r="M1185" s="17">
        <f t="shared" si="54"/>
        <v>152412.72000000003</v>
      </c>
      <c r="N1185" s="11">
        <f t="shared" si="55"/>
        <v>10</v>
      </c>
    </row>
    <row r="1186" spans="1:14" x14ac:dyDescent="0.25">
      <c r="A1186" s="11" t="s">
        <v>0</v>
      </c>
      <c r="B1186" s="12">
        <v>45209</v>
      </c>
      <c r="C1186" s="11" t="s">
        <v>688</v>
      </c>
      <c r="D1186" s="11" t="s">
        <v>692</v>
      </c>
      <c r="E1186" s="13" t="s">
        <v>179</v>
      </c>
      <c r="F1186" s="14" t="s">
        <v>378</v>
      </c>
      <c r="G1186" s="14" t="s">
        <v>174</v>
      </c>
      <c r="H1186" s="15">
        <v>4</v>
      </c>
      <c r="I1186" s="11" t="b">
        <f t="shared" si="56"/>
        <v>0</v>
      </c>
      <c r="K1186" s="16">
        <v>2500</v>
      </c>
      <c r="M1186" s="17">
        <f t="shared" si="54"/>
        <v>149912.72000000003</v>
      </c>
      <c r="N1186" s="11">
        <f t="shared" si="55"/>
        <v>10</v>
      </c>
    </row>
    <row r="1187" spans="1:14" x14ac:dyDescent="0.25">
      <c r="A1187" s="11" t="s">
        <v>0</v>
      </c>
      <c r="B1187" s="12">
        <v>45209</v>
      </c>
      <c r="C1187" s="11" t="s">
        <v>688</v>
      </c>
      <c r="D1187" s="11" t="s">
        <v>692</v>
      </c>
      <c r="E1187" s="13" t="s">
        <v>725</v>
      </c>
      <c r="F1187" s="14" t="s">
        <v>27</v>
      </c>
      <c r="G1187" s="14" t="s">
        <v>404</v>
      </c>
      <c r="H1187" s="15">
        <v>13731</v>
      </c>
      <c r="I1187" s="11">
        <f t="shared" si="56"/>
        <v>5</v>
      </c>
      <c r="K1187" s="16">
        <v>1039.77</v>
      </c>
      <c r="M1187" s="17">
        <f t="shared" si="54"/>
        <v>148872.95000000004</v>
      </c>
      <c r="N1187" s="11">
        <f t="shared" si="55"/>
        <v>10</v>
      </c>
    </row>
    <row r="1188" spans="1:14" x14ac:dyDescent="0.25">
      <c r="A1188" s="11" t="s">
        <v>0</v>
      </c>
      <c r="B1188" s="12">
        <v>45209</v>
      </c>
      <c r="C1188" s="11" t="s">
        <v>688</v>
      </c>
      <c r="D1188" s="11" t="s">
        <v>694</v>
      </c>
      <c r="E1188" s="13" t="s">
        <v>5</v>
      </c>
      <c r="F1188" s="14" t="s">
        <v>110</v>
      </c>
      <c r="G1188" s="14" t="s">
        <v>403</v>
      </c>
      <c r="H1188" s="15">
        <v>80</v>
      </c>
      <c r="I1188" s="11">
        <f t="shared" si="56"/>
        <v>5</v>
      </c>
      <c r="K1188" s="16">
        <v>100</v>
      </c>
      <c r="M1188" s="17">
        <f t="shared" si="54"/>
        <v>148772.95000000004</v>
      </c>
      <c r="N1188" s="11">
        <f t="shared" si="55"/>
        <v>10</v>
      </c>
    </row>
    <row r="1189" spans="1:14" x14ac:dyDescent="0.25">
      <c r="A1189" s="11" t="s">
        <v>0</v>
      </c>
      <c r="B1189" s="12">
        <v>45209</v>
      </c>
      <c r="C1189" s="11" t="s">
        <v>688</v>
      </c>
      <c r="D1189" s="11" t="s">
        <v>694</v>
      </c>
      <c r="E1189" s="13" t="s">
        <v>5</v>
      </c>
      <c r="F1189" s="14" t="s">
        <v>110</v>
      </c>
      <c r="G1189" s="14" t="s">
        <v>403</v>
      </c>
      <c r="H1189" s="15">
        <v>79</v>
      </c>
      <c r="I1189" s="11">
        <f t="shared" si="56"/>
        <v>5</v>
      </c>
      <c r="K1189" s="16">
        <v>250</v>
      </c>
      <c r="M1189" s="17">
        <f t="shared" si="54"/>
        <v>148522.95000000004</v>
      </c>
      <c r="N1189" s="11">
        <f t="shared" si="55"/>
        <v>10</v>
      </c>
    </row>
    <row r="1190" spans="1:14" x14ac:dyDescent="0.25">
      <c r="A1190" s="11" t="s">
        <v>0</v>
      </c>
      <c r="B1190" s="12">
        <v>45209</v>
      </c>
      <c r="C1190" s="11" t="s">
        <v>688</v>
      </c>
      <c r="D1190" s="11" t="s">
        <v>694</v>
      </c>
      <c r="E1190" s="13" t="s">
        <v>182</v>
      </c>
      <c r="F1190" s="14" t="s">
        <v>23</v>
      </c>
      <c r="G1190" s="14" t="s">
        <v>186</v>
      </c>
      <c r="I1190" s="11" t="b">
        <f t="shared" si="56"/>
        <v>0</v>
      </c>
      <c r="K1190" s="16">
        <v>45.06</v>
      </c>
      <c r="M1190" s="17">
        <f t="shared" si="54"/>
        <v>148477.89000000004</v>
      </c>
      <c r="N1190" s="11">
        <f t="shared" si="55"/>
        <v>10</v>
      </c>
    </row>
    <row r="1191" spans="1:14" x14ac:dyDescent="0.25">
      <c r="A1191" s="11" t="s">
        <v>207</v>
      </c>
      <c r="B1191" s="12">
        <v>45209</v>
      </c>
      <c r="C1191" s="11" t="s">
        <v>688</v>
      </c>
      <c r="D1191" s="11" t="s">
        <v>43</v>
      </c>
      <c r="E1191" s="13" t="s">
        <v>384</v>
      </c>
      <c r="F1191" s="14" t="s">
        <v>384</v>
      </c>
      <c r="G1191" s="14" t="s">
        <v>400</v>
      </c>
      <c r="I1191" s="11">
        <f t="shared" si="56"/>
        <v>2</v>
      </c>
      <c r="J1191" s="16">
        <v>101</v>
      </c>
      <c r="M1191" s="17">
        <f t="shared" si="54"/>
        <v>148578.89000000004</v>
      </c>
      <c r="N1191" s="11">
        <f t="shared" si="55"/>
        <v>10</v>
      </c>
    </row>
    <row r="1192" spans="1:14" x14ac:dyDescent="0.25">
      <c r="A1192" s="11" t="s">
        <v>0</v>
      </c>
      <c r="B1192" s="12">
        <v>45209</v>
      </c>
      <c r="C1192" s="11" t="s">
        <v>688</v>
      </c>
      <c r="D1192" s="11" t="s">
        <v>694</v>
      </c>
      <c r="E1192" s="13" t="s">
        <v>182</v>
      </c>
      <c r="F1192" s="14" t="s">
        <v>365</v>
      </c>
      <c r="G1192" s="14" t="s">
        <v>186</v>
      </c>
      <c r="I1192" s="11" t="b">
        <f t="shared" si="56"/>
        <v>0</v>
      </c>
      <c r="K1192" s="16">
        <v>0.68</v>
      </c>
      <c r="M1192" s="17">
        <f t="shared" si="54"/>
        <v>148578.21000000005</v>
      </c>
      <c r="N1192" s="11">
        <f t="shared" si="55"/>
        <v>10</v>
      </c>
    </row>
    <row r="1193" spans="1:14" x14ac:dyDescent="0.25">
      <c r="A1193" s="11" t="s">
        <v>207</v>
      </c>
      <c r="B1193" s="12">
        <v>45209</v>
      </c>
      <c r="C1193" s="11" t="s">
        <v>662</v>
      </c>
      <c r="D1193" s="11" t="s">
        <v>43</v>
      </c>
      <c r="E1193" s="14" t="s">
        <v>288</v>
      </c>
      <c r="F1193" s="14" t="s">
        <v>288</v>
      </c>
      <c r="G1193" s="14" t="s">
        <v>173</v>
      </c>
      <c r="I1193" s="11">
        <f t="shared" si="56"/>
        <v>3</v>
      </c>
      <c r="J1193" s="16">
        <v>1550</v>
      </c>
      <c r="M1193" s="17">
        <f t="shared" si="54"/>
        <v>150128.21000000005</v>
      </c>
      <c r="N1193" s="11">
        <f t="shared" si="55"/>
        <v>10</v>
      </c>
    </row>
    <row r="1194" spans="1:14" x14ac:dyDescent="0.25">
      <c r="A1194" s="11" t="s">
        <v>207</v>
      </c>
      <c r="B1194" s="12">
        <v>45209</v>
      </c>
      <c r="C1194" s="11" t="s">
        <v>688</v>
      </c>
      <c r="D1194" s="11" t="s">
        <v>43</v>
      </c>
      <c r="E1194" s="14" t="s">
        <v>288</v>
      </c>
      <c r="F1194" s="14" t="s">
        <v>288</v>
      </c>
      <c r="G1194" s="14" t="s">
        <v>173</v>
      </c>
      <c r="I1194" s="11">
        <f t="shared" si="56"/>
        <v>3</v>
      </c>
      <c r="J1194" s="16">
        <v>2620</v>
      </c>
      <c r="M1194" s="17">
        <f t="shared" si="54"/>
        <v>152748.21000000005</v>
      </c>
      <c r="N1194" s="11">
        <f t="shared" si="55"/>
        <v>10</v>
      </c>
    </row>
    <row r="1195" spans="1:14" x14ac:dyDescent="0.25">
      <c r="A1195" s="11" t="s">
        <v>207</v>
      </c>
      <c r="B1195" s="12">
        <v>45209</v>
      </c>
      <c r="C1195" s="11" t="s">
        <v>688</v>
      </c>
      <c r="D1195" s="11" t="s">
        <v>43</v>
      </c>
      <c r="E1195" s="14" t="s">
        <v>429</v>
      </c>
      <c r="F1195" s="14" t="s">
        <v>429</v>
      </c>
      <c r="G1195" s="14" t="s">
        <v>428</v>
      </c>
      <c r="I1195" s="11">
        <f t="shared" si="56"/>
        <v>1</v>
      </c>
      <c r="J1195" s="16">
        <v>750</v>
      </c>
      <c r="M1195" s="17">
        <f t="shared" si="54"/>
        <v>153498.21000000005</v>
      </c>
      <c r="N1195" s="11">
        <f t="shared" si="55"/>
        <v>10</v>
      </c>
    </row>
    <row r="1196" spans="1:14" x14ac:dyDescent="0.25">
      <c r="A1196" s="11" t="s">
        <v>207</v>
      </c>
      <c r="B1196" s="12">
        <v>45210</v>
      </c>
      <c r="C1196" s="11" t="s">
        <v>688</v>
      </c>
      <c r="D1196" s="11" t="s">
        <v>43</v>
      </c>
      <c r="E1196" s="13" t="s">
        <v>79</v>
      </c>
      <c r="F1196" s="14" t="s">
        <v>79</v>
      </c>
      <c r="G1196" s="14" t="s">
        <v>400</v>
      </c>
      <c r="I1196" s="11">
        <f t="shared" si="56"/>
        <v>2</v>
      </c>
      <c r="J1196" s="16">
        <v>2388.1</v>
      </c>
      <c r="M1196" s="17">
        <f t="shared" si="54"/>
        <v>155886.31000000006</v>
      </c>
      <c r="N1196" s="11">
        <f t="shared" si="55"/>
        <v>10</v>
      </c>
    </row>
    <row r="1197" spans="1:14" x14ac:dyDescent="0.25">
      <c r="A1197" s="11" t="s">
        <v>207</v>
      </c>
      <c r="B1197" s="12">
        <v>45210</v>
      </c>
      <c r="C1197" s="11" t="s">
        <v>688</v>
      </c>
      <c r="D1197" s="11" t="s">
        <v>43</v>
      </c>
      <c r="E1197" s="13" t="s">
        <v>79</v>
      </c>
      <c r="F1197" s="14" t="s">
        <v>79</v>
      </c>
      <c r="G1197" s="14" t="s">
        <v>400</v>
      </c>
      <c r="I1197" s="11">
        <f t="shared" si="56"/>
        <v>2</v>
      </c>
      <c r="J1197" s="16">
        <v>1338.45</v>
      </c>
      <c r="M1197" s="17">
        <f t="shared" si="54"/>
        <v>157224.76000000007</v>
      </c>
      <c r="N1197" s="11">
        <f t="shared" si="55"/>
        <v>10</v>
      </c>
    </row>
    <row r="1198" spans="1:14" x14ac:dyDescent="0.25">
      <c r="A1198" s="11" t="s">
        <v>207</v>
      </c>
      <c r="B1198" s="12">
        <v>45210</v>
      </c>
      <c r="C1198" s="11" t="s">
        <v>688</v>
      </c>
      <c r="D1198" s="11" t="s">
        <v>43</v>
      </c>
      <c r="E1198" s="13" t="s">
        <v>373</v>
      </c>
      <c r="F1198" s="14" t="s">
        <v>13</v>
      </c>
      <c r="G1198" s="14" t="s">
        <v>400</v>
      </c>
      <c r="I1198" s="11">
        <f t="shared" si="56"/>
        <v>2</v>
      </c>
      <c r="J1198" s="16">
        <v>5.2</v>
      </c>
      <c r="M1198" s="17">
        <f t="shared" si="54"/>
        <v>157229.96000000008</v>
      </c>
      <c r="N1198" s="11">
        <f t="shared" si="55"/>
        <v>10</v>
      </c>
    </row>
    <row r="1199" spans="1:14" x14ac:dyDescent="0.25">
      <c r="A1199" s="11" t="s">
        <v>207</v>
      </c>
      <c r="B1199" s="12">
        <v>45210</v>
      </c>
      <c r="C1199" s="11" t="s">
        <v>688</v>
      </c>
      <c r="D1199" s="11" t="s">
        <v>43</v>
      </c>
      <c r="E1199" s="13" t="s">
        <v>373</v>
      </c>
      <c r="F1199" s="14" t="s">
        <v>13</v>
      </c>
      <c r="G1199" s="14" t="s">
        <v>400</v>
      </c>
      <c r="I1199" s="11">
        <f t="shared" si="56"/>
        <v>2</v>
      </c>
      <c r="J1199" s="16">
        <v>301.49</v>
      </c>
      <c r="M1199" s="17">
        <f t="shared" si="54"/>
        <v>157531.45000000007</v>
      </c>
      <c r="N1199" s="11">
        <f t="shared" si="55"/>
        <v>10</v>
      </c>
    </row>
    <row r="1200" spans="1:14" x14ac:dyDescent="0.25">
      <c r="A1200" s="11" t="s">
        <v>207</v>
      </c>
      <c r="B1200" s="12">
        <v>45210</v>
      </c>
      <c r="C1200" s="11" t="s">
        <v>688</v>
      </c>
      <c r="D1200" s="11" t="s">
        <v>43</v>
      </c>
      <c r="E1200" s="13" t="s">
        <v>373</v>
      </c>
      <c r="F1200" s="14" t="s">
        <v>13</v>
      </c>
      <c r="G1200" s="14" t="s">
        <v>400</v>
      </c>
      <c r="I1200" s="11">
        <f t="shared" si="56"/>
        <v>2</v>
      </c>
      <c r="J1200" s="16">
        <v>53.2</v>
      </c>
      <c r="M1200" s="17">
        <f t="shared" si="54"/>
        <v>157584.65000000008</v>
      </c>
      <c r="N1200" s="11">
        <f t="shared" si="55"/>
        <v>10</v>
      </c>
    </row>
    <row r="1201" spans="1:14" x14ac:dyDescent="0.25">
      <c r="A1201" s="11" t="s">
        <v>207</v>
      </c>
      <c r="B1201" s="12">
        <v>45210</v>
      </c>
      <c r="C1201" s="11" t="s">
        <v>688</v>
      </c>
      <c r="D1201" s="11" t="s">
        <v>43</v>
      </c>
      <c r="E1201" s="13" t="s">
        <v>373</v>
      </c>
      <c r="F1201" s="14" t="s">
        <v>13</v>
      </c>
      <c r="G1201" s="14" t="s">
        <v>400</v>
      </c>
      <c r="I1201" s="11">
        <f t="shared" si="56"/>
        <v>2</v>
      </c>
      <c r="J1201" s="16">
        <v>126.3</v>
      </c>
      <c r="M1201" s="17">
        <f t="shared" si="54"/>
        <v>157710.95000000007</v>
      </c>
      <c r="N1201" s="11">
        <f t="shared" si="55"/>
        <v>10</v>
      </c>
    </row>
    <row r="1202" spans="1:14" x14ac:dyDescent="0.25">
      <c r="A1202" s="11" t="s">
        <v>0</v>
      </c>
      <c r="B1202" s="12">
        <v>45210</v>
      </c>
      <c r="C1202" s="11" t="s">
        <v>688</v>
      </c>
      <c r="D1202" s="11" t="s">
        <v>694</v>
      </c>
      <c r="E1202" s="13" t="s">
        <v>182</v>
      </c>
      <c r="F1202" s="14" t="s">
        <v>365</v>
      </c>
      <c r="G1202" s="14" t="s">
        <v>186</v>
      </c>
      <c r="I1202" s="11" t="b">
        <f t="shared" si="56"/>
        <v>0</v>
      </c>
      <c r="K1202" s="16">
        <v>1.17</v>
      </c>
      <c r="M1202" s="17">
        <f t="shared" si="54"/>
        <v>157709.78000000006</v>
      </c>
      <c r="N1202" s="11">
        <f t="shared" si="55"/>
        <v>10</v>
      </c>
    </row>
    <row r="1203" spans="1:14" x14ac:dyDescent="0.25">
      <c r="A1203" s="11" t="s">
        <v>0</v>
      </c>
      <c r="B1203" s="12">
        <v>45210</v>
      </c>
      <c r="C1203" s="11" t="s">
        <v>688</v>
      </c>
      <c r="D1203" s="11" t="s">
        <v>694</v>
      </c>
      <c r="E1203" s="13" t="s">
        <v>182</v>
      </c>
      <c r="F1203" s="14" t="s">
        <v>23</v>
      </c>
      <c r="G1203" s="14" t="s">
        <v>186</v>
      </c>
      <c r="I1203" s="11" t="b">
        <f t="shared" si="56"/>
        <v>0</v>
      </c>
      <c r="K1203" s="16">
        <v>62.81</v>
      </c>
      <c r="M1203" s="17">
        <f t="shared" si="54"/>
        <v>157646.97000000006</v>
      </c>
      <c r="N1203" s="11">
        <f t="shared" si="55"/>
        <v>10</v>
      </c>
    </row>
    <row r="1204" spans="1:14" x14ac:dyDescent="0.25">
      <c r="A1204" s="11" t="s">
        <v>0</v>
      </c>
      <c r="B1204" s="12">
        <v>45210</v>
      </c>
      <c r="C1204" s="11" t="s">
        <v>688</v>
      </c>
      <c r="D1204" s="11" t="s">
        <v>692</v>
      </c>
      <c r="E1204" s="13" t="s">
        <v>717</v>
      </c>
      <c r="F1204" s="14" t="s">
        <v>76</v>
      </c>
      <c r="G1204" s="14" t="s">
        <v>404</v>
      </c>
      <c r="H1204" s="15">
        <v>1188718</v>
      </c>
      <c r="I1204" s="11">
        <f t="shared" si="56"/>
        <v>5</v>
      </c>
      <c r="K1204" s="16">
        <v>917.62</v>
      </c>
      <c r="M1204" s="17">
        <f t="shared" si="54"/>
        <v>156729.35000000006</v>
      </c>
      <c r="N1204" s="11">
        <f t="shared" si="55"/>
        <v>10</v>
      </c>
    </row>
    <row r="1205" spans="1:14" x14ac:dyDescent="0.25">
      <c r="A1205" s="11" t="s">
        <v>0</v>
      </c>
      <c r="B1205" s="12">
        <v>45210</v>
      </c>
      <c r="C1205" s="11" t="s">
        <v>688</v>
      </c>
      <c r="D1205" s="11" t="s">
        <v>692</v>
      </c>
      <c r="E1205" s="13" t="s">
        <v>179</v>
      </c>
      <c r="F1205" s="14" t="s">
        <v>28</v>
      </c>
      <c r="G1205" s="14" t="s">
        <v>174</v>
      </c>
      <c r="H1205" s="15">
        <v>35</v>
      </c>
      <c r="I1205" s="11" t="b">
        <f t="shared" si="56"/>
        <v>0</v>
      </c>
      <c r="K1205" s="16">
        <v>4946</v>
      </c>
      <c r="M1205" s="17">
        <f t="shared" si="54"/>
        <v>151783.35000000006</v>
      </c>
      <c r="N1205" s="11">
        <f t="shared" si="55"/>
        <v>10</v>
      </c>
    </row>
    <row r="1206" spans="1:14" x14ac:dyDescent="0.25">
      <c r="A1206" s="11" t="s">
        <v>0</v>
      </c>
      <c r="B1206" s="12">
        <v>45210</v>
      </c>
      <c r="C1206" s="11" t="s">
        <v>688</v>
      </c>
      <c r="D1206" s="11" t="s">
        <v>47</v>
      </c>
      <c r="E1206" s="13" t="s">
        <v>386</v>
      </c>
      <c r="F1206" s="14" t="s">
        <v>386</v>
      </c>
      <c r="G1206" s="14" t="s">
        <v>174</v>
      </c>
      <c r="H1206" s="15">
        <v>1</v>
      </c>
      <c r="I1206" s="11" t="b">
        <f t="shared" si="56"/>
        <v>0</v>
      </c>
      <c r="K1206" s="16">
        <v>200</v>
      </c>
      <c r="M1206" s="17">
        <f t="shared" si="54"/>
        <v>151583.35000000006</v>
      </c>
      <c r="N1206" s="11">
        <f t="shared" si="55"/>
        <v>10</v>
      </c>
    </row>
    <row r="1207" spans="1:14" x14ac:dyDescent="0.25">
      <c r="A1207" s="11" t="s">
        <v>0</v>
      </c>
      <c r="B1207" s="12">
        <v>45210</v>
      </c>
      <c r="C1207" s="11" t="s">
        <v>688</v>
      </c>
      <c r="D1207" s="11" t="s">
        <v>701</v>
      </c>
      <c r="E1207" s="13" t="s">
        <v>389</v>
      </c>
      <c r="F1207" s="14" t="s">
        <v>388</v>
      </c>
      <c r="G1207" s="14" t="s">
        <v>404</v>
      </c>
      <c r="H1207" s="15" t="s">
        <v>20</v>
      </c>
      <c r="I1207" s="11">
        <f t="shared" si="56"/>
        <v>5</v>
      </c>
      <c r="K1207" s="16">
        <v>150</v>
      </c>
      <c r="M1207" s="17">
        <f t="shared" si="54"/>
        <v>151433.35000000006</v>
      </c>
      <c r="N1207" s="11">
        <f t="shared" si="55"/>
        <v>10</v>
      </c>
    </row>
    <row r="1208" spans="1:14" x14ac:dyDescent="0.25">
      <c r="A1208" s="11" t="s">
        <v>0</v>
      </c>
      <c r="B1208" s="12">
        <v>45210</v>
      </c>
      <c r="C1208" s="11" t="s">
        <v>688</v>
      </c>
      <c r="D1208" s="11" t="s">
        <v>692</v>
      </c>
      <c r="E1208" s="13" t="s">
        <v>725</v>
      </c>
      <c r="F1208" s="14" t="s">
        <v>33</v>
      </c>
      <c r="G1208" s="14" t="s">
        <v>404</v>
      </c>
      <c r="H1208" s="15">
        <v>24801</v>
      </c>
      <c r="I1208" s="11">
        <f t="shared" si="56"/>
        <v>5</v>
      </c>
      <c r="K1208" s="16">
        <v>343.21</v>
      </c>
      <c r="M1208" s="17">
        <f t="shared" si="54"/>
        <v>151090.14000000007</v>
      </c>
      <c r="N1208" s="11">
        <f t="shared" si="55"/>
        <v>10</v>
      </c>
    </row>
    <row r="1209" spans="1:14" x14ac:dyDescent="0.25">
      <c r="A1209" s="11" t="s">
        <v>0</v>
      </c>
      <c r="B1209" s="12">
        <v>45210</v>
      </c>
      <c r="C1209" s="11" t="s">
        <v>688</v>
      </c>
      <c r="D1209" s="11" t="s">
        <v>692</v>
      </c>
      <c r="E1209" s="13" t="s">
        <v>179</v>
      </c>
      <c r="F1209" s="14" t="s">
        <v>51</v>
      </c>
      <c r="G1209" s="14" t="s">
        <v>404</v>
      </c>
      <c r="H1209" s="15">
        <v>5</v>
      </c>
      <c r="I1209" s="11">
        <f t="shared" si="56"/>
        <v>5</v>
      </c>
      <c r="K1209" s="16">
        <v>2275</v>
      </c>
      <c r="M1209" s="17">
        <f t="shared" si="54"/>
        <v>148815.14000000007</v>
      </c>
      <c r="N1209" s="11">
        <f t="shared" si="55"/>
        <v>10</v>
      </c>
    </row>
    <row r="1210" spans="1:14" x14ac:dyDescent="0.25">
      <c r="A1210" s="11" t="s">
        <v>0</v>
      </c>
      <c r="B1210" s="12">
        <v>45210</v>
      </c>
      <c r="C1210" s="11" t="s">
        <v>688</v>
      </c>
      <c r="D1210" s="11" t="s">
        <v>692</v>
      </c>
      <c r="E1210" s="13" t="s">
        <v>724</v>
      </c>
      <c r="F1210" s="14" t="s">
        <v>119</v>
      </c>
      <c r="G1210" s="14" t="s">
        <v>404</v>
      </c>
      <c r="H1210" s="15">
        <v>1277191</v>
      </c>
      <c r="I1210" s="11">
        <f t="shared" si="56"/>
        <v>5</v>
      </c>
      <c r="K1210" s="16">
        <v>4608.8900000000003</v>
      </c>
      <c r="M1210" s="17">
        <f t="shared" si="54"/>
        <v>144206.25000000006</v>
      </c>
      <c r="N1210" s="11">
        <f t="shared" si="55"/>
        <v>10</v>
      </c>
    </row>
    <row r="1211" spans="1:14" x14ac:dyDescent="0.25">
      <c r="A1211" s="11" t="s">
        <v>0</v>
      </c>
      <c r="B1211" s="12">
        <v>45210</v>
      </c>
      <c r="C1211" s="11" t="s">
        <v>688</v>
      </c>
      <c r="D1211" s="11" t="s">
        <v>692</v>
      </c>
      <c r="E1211" s="13" t="s">
        <v>724</v>
      </c>
      <c r="F1211" s="14" t="s">
        <v>119</v>
      </c>
      <c r="G1211" s="14" t="s">
        <v>404</v>
      </c>
      <c r="H1211" s="15">
        <v>1277192</v>
      </c>
      <c r="I1211" s="11">
        <f t="shared" si="56"/>
        <v>5</v>
      </c>
      <c r="K1211" s="16">
        <v>1032.1199999999999</v>
      </c>
      <c r="M1211" s="17">
        <f t="shared" si="54"/>
        <v>143174.13000000006</v>
      </c>
      <c r="N1211" s="11">
        <f t="shared" si="55"/>
        <v>10</v>
      </c>
    </row>
    <row r="1212" spans="1:14" ht="26.4" x14ac:dyDescent="0.25">
      <c r="A1212" s="11" t="s">
        <v>0</v>
      </c>
      <c r="B1212" s="12">
        <v>45210</v>
      </c>
      <c r="C1212" s="11" t="s">
        <v>688</v>
      </c>
      <c r="D1212" s="11" t="s">
        <v>692</v>
      </c>
      <c r="E1212" s="13" t="s">
        <v>143</v>
      </c>
      <c r="F1212" s="14" t="s">
        <v>59</v>
      </c>
      <c r="G1212" s="14" t="s">
        <v>174</v>
      </c>
      <c r="H1212" s="15" t="s">
        <v>390</v>
      </c>
      <c r="I1212" s="11" t="b">
        <f t="shared" si="56"/>
        <v>0</v>
      </c>
      <c r="K1212" s="16">
        <v>2213.7399999999998</v>
      </c>
      <c r="M1212" s="17">
        <f t="shared" si="54"/>
        <v>140960.39000000007</v>
      </c>
      <c r="N1212" s="11">
        <f t="shared" si="55"/>
        <v>10</v>
      </c>
    </row>
    <row r="1213" spans="1:14" x14ac:dyDescent="0.25">
      <c r="A1213" s="11" t="s">
        <v>207</v>
      </c>
      <c r="B1213" s="12">
        <v>45210</v>
      </c>
      <c r="C1213" s="11" t="s">
        <v>688</v>
      </c>
      <c r="D1213" s="11" t="s">
        <v>43</v>
      </c>
      <c r="E1213" s="13" t="s">
        <v>391</v>
      </c>
      <c r="F1213" s="14" t="s">
        <v>391</v>
      </c>
      <c r="G1213" s="14" t="s">
        <v>400</v>
      </c>
      <c r="I1213" s="11">
        <f t="shared" si="56"/>
        <v>2</v>
      </c>
      <c r="J1213" s="16">
        <v>170.7</v>
      </c>
      <c r="M1213" s="17">
        <f t="shared" si="54"/>
        <v>141131.09000000008</v>
      </c>
      <c r="N1213" s="11">
        <f t="shared" si="55"/>
        <v>10</v>
      </c>
    </row>
    <row r="1214" spans="1:14" x14ac:dyDescent="0.25">
      <c r="A1214" s="11" t="s">
        <v>207</v>
      </c>
      <c r="B1214" s="12">
        <v>45210</v>
      </c>
      <c r="C1214" s="11" t="s">
        <v>688</v>
      </c>
      <c r="D1214" s="11" t="s">
        <v>43</v>
      </c>
      <c r="E1214" s="14" t="s">
        <v>288</v>
      </c>
      <c r="F1214" s="14" t="s">
        <v>288</v>
      </c>
      <c r="G1214" s="14" t="s">
        <v>173</v>
      </c>
      <c r="I1214" s="11">
        <f t="shared" si="56"/>
        <v>3</v>
      </c>
      <c r="J1214" s="16">
        <v>1040</v>
      </c>
      <c r="M1214" s="17">
        <f t="shared" si="54"/>
        <v>142171.09000000008</v>
      </c>
      <c r="N1214" s="11">
        <f t="shared" si="55"/>
        <v>10</v>
      </c>
    </row>
    <row r="1215" spans="1:14" x14ac:dyDescent="0.25">
      <c r="A1215" s="11" t="s">
        <v>207</v>
      </c>
      <c r="B1215" s="12">
        <v>45210</v>
      </c>
      <c r="C1215" s="11" t="s">
        <v>688</v>
      </c>
      <c r="D1215" s="11" t="s">
        <v>43</v>
      </c>
      <c r="E1215" s="14" t="s">
        <v>429</v>
      </c>
      <c r="F1215" s="14" t="s">
        <v>429</v>
      </c>
      <c r="G1215" s="14" t="s">
        <v>428</v>
      </c>
      <c r="I1215" s="11">
        <f t="shared" si="56"/>
        <v>1</v>
      </c>
      <c r="J1215" s="16">
        <v>7</v>
      </c>
      <c r="M1215" s="17">
        <f t="shared" si="54"/>
        <v>142178.09000000008</v>
      </c>
      <c r="N1215" s="11">
        <f t="shared" si="55"/>
        <v>10</v>
      </c>
    </row>
    <row r="1216" spans="1:14" x14ac:dyDescent="0.25">
      <c r="A1216" s="11" t="s">
        <v>207</v>
      </c>
      <c r="B1216" s="12">
        <v>45211</v>
      </c>
      <c r="C1216" s="11" t="s">
        <v>688</v>
      </c>
      <c r="D1216" s="11" t="s">
        <v>43</v>
      </c>
      <c r="E1216" s="14" t="s">
        <v>288</v>
      </c>
      <c r="F1216" s="14" t="s">
        <v>288</v>
      </c>
      <c r="G1216" s="14" t="s">
        <v>173</v>
      </c>
      <c r="I1216" s="11">
        <f t="shared" si="56"/>
        <v>3</v>
      </c>
      <c r="J1216" s="16">
        <v>2.6</v>
      </c>
      <c r="M1216" s="17">
        <f t="shared" si="54"/>
        <v>142180.69000000009</v>
      </c>
      <c r="N1216" s="11">
        <f t="shared" si="55"/>
        <v>10</v>
      </c>
    </row>
    <row r="1217" spans="1:14" x14ac:dyDescent="0.25">
      <c r="A1217" s="11" t="s">
        <v>0</v>
      </c>
      <c r="B1217" s="12">
        <v>45212</v>
      </c>
      <c r="C1217" s="11" t="s">
        <v>688</v>
      </c>
      <c r="D1217" s="11" t="s">
        <v>692</v>
      </c>
      <c r="E1217" s="13" t="s">
        <v>725</v>
      </c>
      <c r="F1217" s="14" t="s">
        <v>33</v>
      </c>
      <c r="G1217" s="14" t="s">
        <v>404</v>
      </c>
      <c r="H1217" s="15">
        <v>24839</v>
      </c>
      <c r="I1217" s="11">
        <f t="shared" si="56"/>
        <v>5</v>
      </c>
      <c r="K1217" s="16">
        <v>265.62</v>
      </c>
      <c r="M1217" s="17">
        <f t="shared" si="54"/>
        <v>141915.07000000009</v>
      </c>
      <c r="N1217" s="11">
        <f t="shared" si="55"/>
        <v>10</v>
      </c>
    </row>
    <row r="1218" spans="1:14" x14ac:dyDescent="0.25">
      <c r="A1218" s="11" t="s">
        <v>0</v>
      </c>
      <c r="B1218" s="12">
        <v>45212</v>
      </c>
      <c r="C1218" s="11" t="s">
        <v>688</v>
      </c>
      <c r="D1218" s="11" t="s">
        <v>692</v>
      </c>
      <c r="E1218" s="13" t="s">
        <v>725</v>
      </c>
      <c r="F1218" s="14" t="s">
        <v>33</v>
      </c>
      <c r="G1218" s="14" t="s">
        <v>404</v>
      </c>
      <c r="H1218" s="15">
        <v>24814</v>
      </c>
      <c r="I1218" s="11">
        <f t="shared" si="56"/>
        <v>5</v>
      </c>
      <c r="K1218" s="16">
        <v>558.47</v>
      </c>
      <c r="M1218" s="17">
        <f t="shared" si="54"/>
        <v>141356.60000000009</v>
      </c>
      <c r="N1218" s="11">
        <f t="shared" si="55"/>
        <v>10</v>
      </c>
    </row>
    <row r="1219" spans="1:14" x14ac:dyDescent="0.25">
      <c r="A1219" s="11" t="s">
        <v>0</v>
      </c>
      <c r="B1219" s="12">
        <v>45212</v>
      </c>
      <c r="C1219" s="11" t="s">
        <v>688</v>
      </c>
      <c r="D1219" s="11" t="s">
        <v>720</v>
      </c>
      <c r="E1219" s="13" t="s">
        <v>393</v>
      </c>
      <c r="F1219" s="14" t="s">
        <v>393</v>
      </c>
      <c r="G1219" s="14" t="s">
        <v>404</v>
      </c>
      <c r="H1219" s="15">
        <v>737</v>
      </c>
      <c r="I1219" s="11">
        <f t="shared" si="56"/>
        <v>5</v>
      </c>
      <c r="K1219" s="16">
        <v>313</v>
      </c>
      <c r="M1219" s="17">
        <f t="shared" ref="M1219:M1282" si="57">IF(B1219=0, "",M1218+ J1219-K1219)</f>
        <v>141043.60000000009</v>
      </c>
      <c r="N1219" s="11">
        <f t="shared" ref="N1219:N1282" si="58">IF(B1219=0, "", MONTH(B1219))</f>
        <v>10</v>
      </c>
    </row>
    <row r="1220" spans="1:14" ht="39.6" x14ac:dyDescent="0.25">
      <c r="A1220" s="11" t="s">
        <v>0</v>
      </c>
      <c r="B1220" s="12">
        <v>45212</v>
      </c>
      <c r="C1220" s="11" t="s">
        <v>688</v>
      </c>
      <c r="D1220" s="11" t="s">
        <v>692</v>
      </c>
      <c r="E1220" s="13" t="s">
        <v>725</v>
      </c>
      <c r="F1220" s="14" t="s">
        <v>27</v>
      </c>
      <c r="G1220" s="14" t="s">
        <v>404</v>
      </c>
      <c r="H1220" s="15" t="s">
        <v>411</v>
      </c>
      <c r="I1220" s="11">
        <f t="shared" si="56"/>
        <v>5</v>
      </c>
      <c r="K1220" s="16">
        <v>454.73</v>
      </c>
      <c r="M1220" s="17">
        <f t="shared" si="57"/>
        <v>140588.87000000008</v>
      </c>
      <c r="N1220" s="11">
        <f t="shared" si="58"/>
        <v>10</v>
      </c>
    </row>
    <row r="1221" spans="1:14" x14ac:dyDescent="0.25">
      <c r="A1221" s="11" t="s">
        <v>0</v>
      </c>
      <c r="B1221" s="12">
        <v>45212</v>
      </c>
      <c r="C1221" s="11" t="s">
        <v>688</v>
      </c>
      <c r="D1221" s="11" t="s">
        <v>692</v>
      </c>
      <c r="E1221" s="13" t="s">
        <v>108</v>
      </c>
      <c r="F1221" s="14" t="s">
        <v>107</v>
      </c>
      <c r="G1221" s="14" t="s">
        <v>173</v>
      </c>
      <c r="H1221" s="15" t="s">
        <v>426</v>
      </c>
      <c r="I1221" s="11">
        <f t="shared" si="56"/>
        <v>6</v>
      </c>
      <c r="K1221" s="16">
        <v>450</v>
      </c>
      <c r="M1221" s="17">
        <f t="shared" si="57"/>
        <v>140138.87000000008</v>
      </c>
      <c r="N1221" s="11">
        <f t="shared" si="58"/>
        <v>10</v>
      </c>
    </row>
    <row r="1222" spans="1:14" x14ac:dyDescent="0.25">
      <c r="A1222" s="11" t="s">
        <v>207</v>
      </c>
      <c r="B1222" s="12">
        <v>45211</v>
      </c>
      <c r="C1222" s="11" t="s">
        <v>688</v>
      </c>
      <c r="D1222" s="11" t="s">
        <v>43</v>
      </c>
      <c r="E1222" s="14" t="s">
        <v>429</v>
      </c>
      <c r="F1222" s="14" t="s">
        <v>429</v>
      </c>
      <c r="G1222" s="14" t="s">
        <v>428</v>
      </c>
      <c r="I1222" s="11">
        <f t="shared" ref="I1222:I1285" si="59">IF(AND(G1222="MERCADO PAGO",A1222="FATURAMENTO"),1,IF(AND(OR(G1222="MERCADO PAGO",G1222="pix mercado pago",G1222= "débito automático mercado pago", G1222= "boleto mercado pago"),A1222="DESPESAS"),4,IF(AND(G1222="SAFRA",A1222="FATURAMENTO"),2,IF(AND(OR(G1222="SAFRA",G1222="PIX SAFRA", G1222="DÉBITO AUTOMÁTICO SAFRA", G1222= "BOLETO SAFRA", G1222= "transferência safra"), A1222="DESPESAS"),5,IF(AND(G1222="espécie",A1222="FATURAMENTO"),3,IF(AND(G1222="espécie",A1222="DESPESAS"),6))))))</f>
        <v>1</v>
      </c>
      <c r="J1222" s="16">
        <v>1122.8</v>
      </c>
      <c r="M1222" s="17">
        <f t="shared" si="57"/>
        <v>141261.67000000007</v>
      </c>
      <c r="N1222" s="11">
        <f t="shared" si="58"/>
        <v>10</v>
      </c>
    </row>
    <row r="1223" spans="1:14" x14ac:dyDescent="0.25">
      <c r="A1223" s="11" t="s">
        <v>207</v>
      </c>
      <c r="B1223" s="12">
        <v>45212</v>
      </c>
      <c r="C1223" s="11" t="s">
        <v>688</v>
      </c>
      <c r="D1223" s="11" t="s">
        <v>43</v>
      </c>
      <c r="E1223" s="13" t="s">
        <v>357</v>
      </c>
      <c r="F1223" s="14" t="s">
        <v>13</v>
      </c>
      <c r="G1223" s="14" t="s">
        <v>400</v>
      </c>
      <c r="I1223" s="11">
        <f t="shared" si="59"/>
        <v>2</v>
      </c>
      <c r="J1223" s="16">
        <v>106.41</v>
      </c>
      <c r="M1223" s="17">
        <f t="shared" si="57"/>
        <v>141368.08000000007</v>
      </c>
      <c r="N1223" s="11">
        <f t="shared" si="58"/>
        <v>10</v>
      </c>
    </row>
    <row r="1224" spans="1:14" x14ac:dyDescent="0.25">
      <c r="A1224" s="11" t="s">
        <v>207</v>
      </c>
      <c r="B1224" s="12">
        <v>45212</v>
      </c>
      <c r="C1224" s="11" t="s">
        <v>688</v>
      </c>
      <c r="D1224" s="11" t="s">
        <v>43</v>
      </c>
      <c r="E1224" s="13" t="s">
        <v>357</v>
      </c>
      <c r="F1224" s="14" t="s">
        <v>13</v>
      </c>
      <c r="G1224" s="14" t="s">
        <v>400</v>
      </c>
      <c r="I1224" s="11">
        <f t="shared" si="59"/>
        <v>2</v>
      </c>
      <c r="J1224" s="16">
        <v>265.52999999999997</v>
      </c>
      <c r="M1224" s="17">
        <f t="shared" si="57"/>
        <v>141633.61000000007</v>
      </c>
      <c r="N1224" s="11">
        <f t="shared" si="58"/>
        <v>10</v>
      </c>
    </row>
    <row r="1225" spans="1:14" x14ac:dyDescent="0.25">
      <c r="A1225" s="11" t="s">
        <v>207</v>
      </c>
      <c r="B1225" s="12">
        <v>45212</v>
      </c>
      <c r="C1225" s="11" t="s">
        <v>688</v>
      </c>
      <c r="D1225" s="11" t="s">
        <v>43</v>
      </c>
      <c r="E1225" s="13" t="s">
        <v>357</v>
      </c>
      <c r="F1225" s="14" t="s">
        <v>13</v>
      </c>
      <c r="G1225" s="14" t="s">
        <v>400</v>
      </c>
      <c r="I1225" s="11">
        <f t="shared" si="59"/>
        <v>2</v>
      </c>
      <c r="J1225" s="16">
        <v>311.08999999999997</v>
      </c>
      <c r="M1225" s="17">
        <f t="shared" si="57"/>
        <v>141944.70000000007</v>
      </c>
      <c r="N1225" s="11">
        <f t="shared" si="58"/>
        <v>10</v>
      </c>
    </row>
    <row r="1226" spans="1:14" x14ac:dyDescent="0.25">
      <c r="A1226" s="11" t="s">
        <v>207</v>
      </c>
      <c r="B1226" s="12">
        <v>45212</v>
      </c>
      <c r="C1226" s="11" t="s">
        <v>688</v>
      </c>
      <c r="D1226" s="11" t="s">
        <v>43</v>
      </c>
      <c r="E1226" s="13" t="s">
        <v>357</v>
      </c>
      <c r="F1226" s="14" t="s">
        <v>13</v>
      </c>
      <c r="G1226" s="14" t="s">
        <v>400</v>
      </c>
      <c r="I1226" s="11">
        <f t="shared" si="59"/>
        <v>2</v>
      </c>
      <c r="J1226" s="16">
        <v>3806.17</v>
      </c>
      <c r="M1226" s="17">
        <f t="shared" si="57"/>
        <v>145750.87000000008</v>
      </c>
      <c r="N1226" s="11">
        <f t="shared" si="58"/>
        <v>10</v>
      </c>
    </row>
    <row r="1227" spans="1:14" x14ac:dyDescent="0.25">
      <c r="A1227" s="11" t="s">
        <v>207</v>
      </c>
      <c r="B1227" s="12">
        <v>45212</v>
      </c>
      <c r="C1227" s="11" t="s">
        <v>688</v>
      </c>
      <c r="D1227" s="11" t="s">
        <v>43</v>
      </c>
      <c r="E1227" s="13" t="s">
        <v>357</v>
      </c>
      <c r="F1227" s="14" t="s">
        <v>13</v>
      </c>
      <c r="G1227" s="14" t="s">
        <v>400</v>
      </c>
      <c r="I1227" s="11">
        <f t="shared" si="59"/>
        <v>2</v>
      </c>
      <c r="J1227" s="16">
        <v>53.35</v>
      </c>
      <c r="M1227" s="17">
        <f t="shared" si="57"/>
        <v>145804.22000000009</v>
      </c>
      <c r="N1227" s="11">
        <f t="shared" si="58"/>
        <v>10</v>
      </c>
    </row>
    <row r="1228" spans="1:14" x14ac:dyDescent="0.25">
      <c r="A1228" s="11" t="s">
        <v>207</v>
      </c>
      <c r="B1228" s="12">
        <v>45212</v>
      </c>
      <c r="C1228" s="11" t="s">
        <v>688</v>
      </c>
      <c r="D1228" s="11" t="s">
        <v>43</v>
      </c>
      <c r="E1228" s="13" t="s">
        <v>357</v>
      </c>
      <c r="F1228" s="14" t="s">
        <v>13</v>
      </c>
      <c r="G1228" s="14" t="s">
        <v>400</v>
      </c>
      <c r="I1228" s="11">
        <f t="shared" si="59"/>
        <v>2</v>
      </c>
      <c r="J1228" s="16">
        <v>219.93</v>
      </c>
      <c r="M1228" s="17">
        <f t="shared" si="57"/>
        <v>146024.15000000008</v>
      </c>
      <c r="N1228" s="11">
        <f t="shared" si="58"/>
        <v>10</v>
      </c>
    </row>
    <row r="1229" spans="1:14" x14ac:dyDescent="0.25">
      <c r="A1229" s="11" t="s">
        <v>207</v>
      </c>
      <c r="B1229" s="12">
        <v>45212</v>
      </c>
      <c r="C1229" s="11" t="s">
        <v>688</v>
      </c>
      <c r="D1229" s="11" t="s">
        <v>43</v>
      </c>
      <c r="E1229" s="13" t="s">
        <v>357</v>
      </c>
      <c r="F1229" s="14" t="s">
        <v>13</v>
      </c>
      <c r="G1229" s="14" t="s">
        <v>400</v>
      </c>
      <c r="I1229" s="11">
        <f t="shared" si="59"/>
        <v>2</v>
      </c>
      <c r="J1229" s="16">
        <v>143.32</v>
      </c>
      <c r="M1229" s="17">
        <f t="shared" si="57"/>
        <v>146167.47000000009</v>
      </c>
      <c r="N1229" s="11">
        <f t="shared" si="58"/>
        <v>10</v>
      </c>
    </row>
    <row r="1230" spans="1:14" x14ac:dyDescent="0.25">
      <c r="A1230" s="11" t="s">
        <v>207</v>
      </c>
      <c r="B1230" s="12">
        <v>45212</v>
      </c>
      <c r="C1230" s="11" t="s">
        <v>688</v>
      </c>
      <c r="D1230" s="11" t="s">
        <v>43</v>
      </c>
      <c r="E1230" s="13" t="s">
        <v>357</v>
      </c>
      <c r="F1230" s="14" t="s">
        <v>13</v>
      </c>
      <c r="G1230" s="14" t="s">
        <v>400</v>
      </c>
      <c r="I1230" s="11">
        <f t="shared" si="59"/>
        <v>2</v>
      </c>
      <c r="J1230" s="16">
        <v>582.59</v>
      </c>
      <c r="M1230" s="17">
        <f t="shared" si="57"/>
        <v>146750.06000000008</v>
      </c>
      <c r="N1230" s="11">
        <f t="shared" si="58"/>
        <v>10</v>
      </c>
    </row>
    <row r="1231" spans="1:14" x14ac:dyDescent="0.25">
      <c r="A1231" s="11" t="s">
        <v>207</v>
      </c>
      <c r="B1231" s="12">
        <v>45212</v>
      </c>
      <c r="C1231" s="11" t="s">
        <v>688</v>
      </c>
      <c r="D1231" s="11" t="s">
        <v>43</v>
      </c>
      <c r="E1231" s="13" t="s">
        <v>357</v>
      </c>
      <c r="F1231" s="14" t="s">
        <v>13</v>
      </c>
      <c r="G1231" s="14" t="s">
        <v>400</v>
      </c>
      <c r="I1231" s="11">
        <f t="shared" si="59"/>
        <v>2</v>
      </c>
      <c r="J1231" s="16">
        <v>28.7</v>
      </c>
      <c r="M1231" s="17">
        <f t="shared" si="57"/>
        <v>146778.7600000001</v>
      </c>
      <c r="N1231" s="11">
        <f t="shared" si="58"/>
        <v>10</v>
      </c>
    </row>
    <row r="1232" spans="1:14" x14ac:dyDescent="0.25">
      <c r="A1232" s="11" t="s">
        <v>207</v>
      </c>
      <c r="B1232" s="12">
        <v>45212</v>
      </c>
      <c r="C1232" s="11" t="s">
        <v>688</v>
      </c>
      <c r="D1232" s="11" t="s">
        <v>43</v>
      </c>
      <c r="E1232" s="13" t="s">
        <v>79</v>
      </c>
      <c r="F1232" s="14" t="s">
        <v>79</v>
      </c>
      <c r="G1232" s="14" t="s">
        <v>400</v>
      </c>
      <c r="I1232" s="11">
        <f t="shared" si="59"/>
        <v>2</v>
      </c>
      <c r="J1232" s="16">
        <v>7133.94</v>
      </c>
      <c r="M1232" s="17">
        <f t="shared" si="57"/>
        <v>153912.7000000001</v>
      </c>
      <c r="N1232" s="11">
        <f t="shared" si="58"/>
        <v>10</v>
      </c>
    </row>
    <row r="1233" spans="1:14" x14ac:dyDescent="0.25">
      <c r="A1233" s="11" t="s">
        <v>207</v>
      </c>
      <c r="B1233" s="12">
        <v>45212</v>
      </c>
      <c r="C1233" s="11" t="s">
        <v>688</v>
      </c>
      <c r="D1233" s="11" t="s">
        <v>43</v>
      </c>
      <c r="E1233" s="13" t="s">
        <v>79</v>
      </c>
      <c r="F1233" s="14" t="s">
        <v>79</v>
      </c>
      <c r="G1233" s="14" t="s">
        <v>400</v>
      </c>
      <c r="I1233" s="11">
        <f t="shared" si="59"/>
        <v>2</v>
      </c>
      <c r="J1233" s="16">
        <v>8597.01</v>
      </c>
      <c r="M1233" s="17">
        <f t="shared" si="57"/>
        <v>162509.71000000011</v>
      </c>
      <c r="N1233" s="11">
        <f t="shared" si="58"/>
        <v>10</v>
      </c>
    </row>
    <row r="1234" spans="1:14" x14ac:dyDescent="0.25">
      <c r="A1234" s="11" t="s">
        <v>207</v>
      </c>
      <c r="B1234" s="12">
        <v>45212</v>
      </c>
      <c r="C1234" s="11" t="s">
        <v>688</v>
      </c>
      <c r="D1234" s="11" t="s">
        <v>43</v>
      </c>
      <c r="E1234" s="13" t="s">
        <v>79</v>
      </c>
      <c r="F1234" s="14" t="s">
        <v>79</v>
      </c>
      <c r="G1234" s="14" t="s">
        <v>400</v>
      </c>
      <c r="I1234" s="11">
        <f t="shared" si="59"/>
        <v>2</v>
      </c>
      <c r="J1234" s="16">
        <v>413.31</v>
      </c>
      <c r="M1234" s="17">
        <f t="shared" si="57"/>
        <v>162923.02000000011</v>
      </c>
      <c r="N1234" s="11">
        <f t="shared" si="58"/>
        <v>10</v>
      </c>
    </row>
    <row r="1235" spans="1:14" x14ac:dyDescent="0.25">
      <c r="A1235" s="11" t="s">
        <v>207</v>
      </c>
      <c r="B1235" s="12">
        <v>45212</v>
      </c>
      <c r="C1235" s="11" t="s">
        <v>662</v>
      </c>
      <c r="D1235" s="11" t="s">
        <v>43</v>
      </c>
      <c r="E1235" s="13" t="s">
        <v>79</v>
      </c>
      <c r="F1235" s="14" t="s">
        <v>79</v>
      </c>
      <c r="G1235" s="14" t="s">
        <v>400</v>
      </c>
      <c r="I1235" s="11">
        <f t="shared" si="59"/>
        <v>2</v>
      </c>
      <c r="J1235" s="16">
        <v>663.12</v>
      </c>
      <c r="M1235" s="17">
        <f t="shared" si="57"/>
        <v>163586.1400000001</v>
      </c>
      <c r="N1235" s="11">
        <f t="shared" si="58"/>
        <v>10</v>
      </c>
    </row>
    <row r="1236" spans="1:14" x14ac:dyDescent="0.25">
      <c r="A1236" s="11" t="s">
        <v>207</v>
      </c>
      <c r="B1236" s="12">
        <v>45212</v>
      </c>
      <c r="C1236" s="11" t="s">
        <v>688</v>
      </c>
      <c r="D1236" s="11" t="s">
        <v>43</v>
      </c>
      <c r="E1236" s="13" t="s">
        <v>79</v>
      </c>
      <c r="F1236" s="14" t="s">
        <v>79</v>
      </c>
      <c r="G1236" s="14" t="s">
        <v>400</v>
      </c>
      <c r="I1236" s="11">
        <f t="shared" si="59"/>
        <v>2</v>
      </c>
      <c r="J1236" s="16">
        <v>372.77</v>
      </c>
      <c r="M1236" s="17">
        <f t="shared" si="57"/>
        <v>163958.91000000009</v>
      </c>
      <c r="N1236" s="11">
        <f t="shared" si="58"/>
        <v>10</v>
      </c>
    </row>
    <row r="1237" spans="1:14" x14ac:dyDescent="0.25">
      <c r="A1237" s="11" t="s">
        <v>0</v>
      </c>
      <c r="B1237" s="12">
        <v>45212</v>
      </c>
      <c r="C1237" s="11" t="s">
        <v>688</v>
      </c>
      <c r="D1237" s="11" t="s">
        <v>720</v>
      </c>
      <c r="E1237" s="13" t="s">
        <v>183</v>
      </c>
      <c r="F1237" s="14" t="s">
        <v>366</v>
      </c>
      <c r="G1237" s="14" t="s">
        <v>174</v>
      </c>
      <c r="H1237" s="15">
        <v>58</v>
      </c>
      <c r="I1237" s="11" t="b">
        <f t="shared" si="59"/>
        <v>0</v>
      </c>
      <c r="K1237" s="16">
        <v>60</v>
      </c>
      <c r="M1237" s="17">
        <f t="shared" si="57"/>
        <v>163898.91000000009</v>
      </c>
      <c r="N1237" s="11">
        <f t="shared" si="58"/>
        <v>10</v>
      </c>
    </row>
    <row r="1238" spans="1:14" x14ac:dyDescent="0.25">
      <c r="A1238" s="11" t="s">
        <v>0</v>
      </c>
      <c r="B1238" s="12">
        <v>45212</v>
      </c>
      <c r="C1238" s="11" t="s">
        <v>688</v>
      </c>
      <c r="D1238" s="11" t="s">
        <v>700</v>
      </c>
      <c r="E1238" s="13" t="s">
        <v>394</v>
      </c>
      <c r="F1238" s="14" t="s">
        <v>394</v>
      </c>
      <c r="G1238" s="14" t="s">
        <v>174</v>
      </c>
      <c r="H1238" s="15">
        <v>1126</v>
      </c>
      <c r="I1238" s="11" t="b">
        <f t="shared" si="59"/>
        <v>0</v>
      </c>
      <c r="K1238" s="16">
        <v>126</v>
      </c>
      <c r="M1238" s="17">
        <f t="shared" si="57"/>
        <v>163772.91000000009</v>
      </c>
      <c r="N1238" s="11">
        <f t="shared" si="58"/>
        <v>10</v>
      </c>
    </row>
    <row r="1239" spans="1:14" x14ac:dyDescent="0.25">
      <c r="A1239" s="11" t="s">
        <v>0</v>
      </c>
      <c r="B1239" s="12">
        <v>45212</v>
      </c>
      <c r="C1239" s="11" t="s">
        <v>688</v>
      </c>
      <c r="D1239" s="11" t="s">
        <v>701</v>
      </c>
      <c r="E1239" s="13" t="s">
        <v>180</v>
      </c>
      <c r="F1239" s="14" t="s">
        <v>37</v>
      </c>
      <c r="G1239" s="14" t="s">
        <v>174</v>
      </c>
      <c r="H1239" s="15" t="s">
        <v>102</v>
      </c>
      <c r="I1239" s="11" t="b">
        <f t="shared" si="59"/>
        <v>0</v>
      </c>
      <c r="K1239" s="16">
        <v>8.85</v>
      </c>
      <c r="M1239" s="17">
        <f t="shared" si="57"/>
        <v>163764.06000000008</v>
      </c>
      <c r="N1239" s="11">
        <f t="shared" si="58"/>
        <v>10</v>
      </c>
    </row>
    <row r="1240" spans="1:14" x14ac:dyDescent="0.25">
      <c r="A1240" s="11" t="s">
        <v>0</v>
      </c>
      <c r="B1240" s="12">
        <v>45212</v>
      </c>
      <c r="C1240" s="11" t="s">
        <v>688</v>
      </c>
      <c r="D1240" s="11" t="s">
        <v>47</v>
      </c>
      <c r="E1240" s="13" t="s">
        <v>772</v>
      </c>
      <c r="F1240" s="14" t="s">
        <v>395</v>
      </c>
      <c r="G1240" s="14" t="s">
        <v>174</v>
      </c>
      <c r="H1240" s="15">
        <v>117</v>
      </c>
      <c r="I1240" s="11" t="b">
        <f t="shared" si="59"/>
        <v>0</v>
      </c>
      <c r="K1240" s="16">
        <v>55.99</v>
      </c>
      <c r="M1240" s="17">
        <f t="shared" si="57"/>
        <v>163708.07000000009</v>
      </c>
      <c r="N1240" s="11">
        <f t="shared" si="58"/>
        <v>10</v>
      </c>
    </row>
    <row r="1241" spans="1:14" x14ac:dyDescent="0.25">
      <c r="A1241" s="11" t="s">
        <v>0</v>
      </c>
      <c r="B1241" s="12">
        <v>45212</v>
      </c>
      <c r="C1241" s="11" t="s">
        <v>688</v>
      </c>
      <c r="D1241" s="11" t="s">
        <v>692</v>
      </c>
      <c r="E1241" s="13" t="s">
        <v>179</v>
      </c>
      <c r="F1241" s="14" t="s">
        <v>28</v>
      </c>
      <c r="G1241" s="14" t="s">
        <v>174</v>
      </c>
      <c r="H1241" s="15">
        <v>36</v>
      </c>
      <c r="I1241" s="11" t="b">
        <f t="shared" si="59"/>
        <v>0</v>
      </c>
      <c r="K1241" s="16">
        <v>644</v>
      </c>
      <c r="M1241" s="17">
        <f t="shared" si="57"/>
        <v>163064.07000000009</v>
      </c>
      <c r="N1241" s="11">
        <f t="shared" si="58"/>
        <v>10</v>
      </c>
    </row>
    <row r="1242" spans="1:14" x14ac:dyDescent="0.25">
      <c r="A1242" s="11" t="s">
        <v>0</v>
      </c>
      <c r="B1242" s="12">
        <v>45212</v>
      </c>
      <c r="C1242" s="11" t="s">
        <v>688</v>
      </c>
      <c r="D1242" s="11" t="s">
        <v>700</v>
      </c>
      <c r="E1242" s="13" t="s">
        <v>397</v>
      </c>
      <c r="F1242" s="14" t="s">
        <v>396</v>
      </c>
      <c r="G1242" s="14" t="s">
        <v>404</v>
      </c>
      <c r="H1242" s="15">
        <v>9</v>
      </c>
      <c r="I1242" s="11">
        <f t="shared" si="59"/>
        <v>5</v>
      </c>
      <c r="K1242" s="16">
        <v>800</v>
      </c>
      <c r="M1242" s="17">
        <f t="shared" si="57"/>
        <v>162264.07000000009</v>
      </c>
      <c r="N1242" s="11">
        <f t="shared" si="58"/>
        <v>10</v>
      </c>
    </row>
    <row r="1243" spans="1:14" x14ac:dyDescent="0.25">
      <c r="A1243" s="11" t="s">
        <v>0</v>
      </c>
      <c r="B1243" s="12">
        <v>45212</v>
      </c>
      <c r="C1243" s="11" t="s">
        <v>688</v>
      </c>
      <c r="D1243" s="11" t="s">
        <v>692</v>
      </c>
      <c r="E1243" s="13" t="s">
        <v>179</v>
      </c>
      <c r="F1243" s="14" t="s">
        <v>378</v>
      </c>
      <c r="G1243" s="14" t="s">
        <v>174</v>
      </c>
      <c r="H1243" s="15">
        <v>4</v>
      </c>
      <c r="I1243" s="11" t="b">
        <f t="shared" si="59"/>
        <v>0</v>
      </c>
      <c r="K1243" s="16">
        <v>801</v>
      </c>
      <c r="M1243" s="17">
        <f t="shared" si="57"/>
        <v>161463.07000000009</v>
      </c>
      <c r="N1243" s="11">
        <f t="shared" si="58"/>
        <v>10</v>
      </c>
    </row>
    <row r="1244" spans="1:14" ht="39.6" x14ac:dyDescent="0.25">
      <c r="A1244" s="11" t="s">
        <v>0</v>
      </c>
      <c r="B1244" s="12">
        <v>45212</v>
      </c>
      <c r="C1244" s="11" t="s">
        <v>688</v>
      </c>
      <c r="D1244" s="11" t="s">
        <v>692</v>
      </c>
      <c r="E1244" s="13" t="s">
        <v>725</v>
      </c>
      <c r="F1244" s="14" t="s">
        <v>27</v>
      </c>
      <c r="G1244" s="14" t="s">
        <v>404</v>
      </c>
      <c r="H1244" s="15" t="s">
        <v>398</v>
      </c>
      <c r="I1244" s="11">
        <f t="shared" si="59"/>
        <v>5</v>
      </c>
      <c r="K1244" s="16">
        <v>3418.61</v>
      </c>
      <c r="M1244" s="17">
        <f t="shared" si="57"/>
        <v>158044.46000000011</v>
      </c>
      <c r="N1244" s="11">
        <f t="shared" si="58"/>
        <v>10</v>
      </c>
    </row>
    <row r="1245" spans="1:14" x14ac:dyDescent="0.25">
      <c r="A1245" s="11" t="s">
        <v>0</v>
      </c>
      <c r="B1245" s="12">
        <v>45212</v>
      </c>
      <c r="C1245" s="11" t="s">
        <v>688</v>
      </c>
      <c r="D1245" s="11" t="s">
        <v>694</v>
      </c>
      <c r="E1245" s="13" t="s">
        <v>182</v>
      </c>
      <c r="F1245" s="14" t="s">
        <v>23</v>
      </c>
      <c r="G1245" s="14" t="s">
        <v>186</v>
      </c>
      <c r="I1245" s="11" t="b">
        <f t="shared" si="59"/>
        <v>0</v>
      </c>
      <c r="K1245" s="16">
        <v>36.04</v>
      </c>
      <c r="M1245" s="17">
        <f t="shared" si="57"/>
        <v>158008.4200000001</v>
      </c>
      <c r="N1245" s="11">
        <f t="shared" si="58"/>
        <v>10</v>
      </c>
    </row>
    <row r="1246" spans="1:14" x14ac:dyDescent="0.25">
      <c r="A1246" s="11" t="s">
        <v>0</v>
      </c>
      <c r="B1246" s="12">
        <v>45212</v>
      </c>
      <c r="C1246" s="11" t="s">
        <v>688</v>
      </c>
      <c r="D1246" s="11" t="s">
        <v>694</v>
      </c>
      <c r="E1246" s="13" t="s">
        <v>182</v>
      </c>
      <c r="F1246" s="14" t="s">
        <v>365</v>
      </c>
      <c r="G1246" s="14" t="s">
        <v>186</v>
      </c>
      <c r="I1246" s="11" t="b">
        <f t="shared" si="59"/>
        <v>0</v>
      </c>
      <c r="K1246" s="16">
        <v>10.029999999999999</v>
      </c>
      <c r="M1246" s="17">
        <f t="shared" si="57"/>
        <v>157998.3900000001</v>
      </c>
      <c r="N1246" s="11">
        <f t="shared" si="58"/>
        <v>10</v>
      </c>
    </row>
    <row r="1247" spans="1:14" x14ac:dyDescent="0.25">
      <c r="A1247" s="11" t="s">
        <v>207</v>
      </c>
      <c r="B1247" s="12">
        <v>45212</v>
      </c>
      <c r="C1247" s="11" t="s">
        <v>688</v>
      </c>
      <c r="D1247" s="11" t="s">
        <v>43</v>
      </c>
      <c r="E1247" s="13" t="s">
        <v>399</v>
      </c>
      <c r="F1247" s="14" t="s">
        <v>399</v>
      </c>
      <c r="G1247" s="14" t="s">
        <v>400</v>
      </c>
      <c r="I1247" s="11">
        <f t="shared" si="59"/>
        <v>2</v>
      </c>
      <c r="J1247" s="16">
        <v>1470.45</v>
      </c>
      <c r="M1247" s="17">
        <f t="shared" si="57"/>
        <v>159468.84000000011</v>
      </c>
      <c r="N1247" s="11">
        <f t="shared" si="58"/>
        <v>10</v>
      </c>
    </row>
    <row r="1248" spans="1:14" x14ac:dyDescent="0.25">
      <c r="A1248" s="11" t="s">
        <v>207</v>
      </c>
      <c r="B1248" s="12">
        <v>45212</v>
      </c>
      <c r="C1248" s="11" t="s">
        <v>688</v>
      </c>
      <c r="D1248" s="11" t="s">
        <v>43</v>
      </c>
      <c r="E1248" s="14" t="s">
        <v>288</v>
      </c>
      <c r="F1248" s="14" t="s">
        <v>288</v>
      </c>
      <c r="G1248" s="14" t="s">
        <v>173</v>
      </c>
      <c r="I1248" s="11">
        <f t="shared" si="59"/>
        <v>3</v>
      </c>
      <c r="J1248" s="16">
        <v>2130</v>
      </c>
      <c r="M1248" s="17">
        <f t="shared" si="57"/>
        <v>161598.84000000011</v>
      </c>
      <c r="N1248" s="11">
        <f t="shared" si="58"/>
        <v>10</v>
      </c>
    </row>
    <row r="1249" spans="1:14" x14ac:dyDescent="0.25">
      <c r="A1249" s="11" t="s">
        <v>207</v>
      </c>
      <c r="B1249" s="12">
        <v>45213</v>
      </c>
      <c r="C1249" s="11" t="s">
        <v>688</v>
      </c>
      <c r="D1249" s="11" t="s">
        <v>43</v>
      </c>
      <c r="E1249" s="14" t="s">
        <v>288</v>
      </c>
      <c r="F1249" s="14" t="s">
        <v>288</v>
      </c>
      <c r="G1249" s="14" t="s">
        <v>173</v>
      </c>
      <c r="I1249" s="11">
        <f t="shared" si="59"/>
        <v>3</v>
      </c>
      <c r="J1249" s="16">
        <v>20</v>
      </c>
      <c r="M1249" s="17">
        <f t="shared" si="57"/>
        <v>161618.84000000011</v>
      </c>
      <c r="N1249" s="11">
        <f t="shared" si="58"/>
        <v>10</v>
      </c>
    </row>
    <row r="1250" spans="1:14" x14ac:dyDescent="0.25">
      <c r="A1250" s="11" t="s">
        <v>0</v>
      </c>
      <c r="B1250" s="12">
        <v>45213</v>
      </c>
      <c r="C1250" s="11" t="s">
        <v>688</v>
      </c>
      <c r="D1250" s="11" t="s">
        <v>696</v>
      </c>
      <c r="E1250" s="13" t="s">
        <v>358</v>
      </c>
      <c r="F1250" s="14" t="s">
        <v>358</v>
      </c>
      <c r="G1250" s="14" t="s">
        <v>407</v>
      </c>
      <c r="H1250" s="15" t="s">
        <v>426</v>
      </c>
      <c r="I1250" s="11">
        <f t="shared" si="59"/>
        <v>4</v>
      </c>
      <c r="K1250" s="16">
        <v>1150</v>
      </c>
      <c r="M1250" s="17">
        <f t="shared" si="57"/>
        <v>160468.84000000011</v>
      </c>
      <c r="N1250" s="11">
        <f t="shared" si="58"/>
        <v>10</v>
      </c>
    </row>
    <row r="1251" spans="1:14" x14ac:dyDescent="0.25">
      <c r="A1251" s="11" t="s">
        <v>0</v>
      </c>
      <c r="B1251" s="12">
        <v>45213</v>
      </c>
      <c r="C1251" s="11" t="s">
        <v>688</v>
      </c>
      <c r="D1251" s="11" t="s">
        <v>696</v>
      </c>
      <c r="E1251" s="13" t="s">
        <v>358</v>
      </c>
      <c r="F1251" s="14" t="s">
        <v>358</v>
      </c>
      <c r="G1251" s="14" t="s">
        <v>407</v>
      </c>
      <c r="H1251" s="15" t="s">
        <v>426</v>
      </c>
      <c r="I1251" s="11">
        <f t="shared" si="59"/>
        <v>4</v>
      </c>
      <c r="K1251" s="16">
        <v>660</v>
      </c>
      <c r="M1251" s="17">
        <f t="shared" si="57"/>
        <v>159808.84000000011</v>
      </c>
      <c r="N1251" s="11">
        <f t="shared" si="58"/>
        <v>10</v>
      </c>
    </row>
    <row r="1252" spans="1:14" x14ac:dyDescent="0.25">
      <c r="A1252" s="11" t="s">
        <v>0</v>
      </c>
      <c r="B1252" s="12">
        <v>45213</v>
      </c>
      <c r="C1252" s="11" t="s">
        <v>688</v>
      </c>
      <c r="D1252" s="11" t="s">
        <v>696</v>
      </c>
      <c r="E1252" s="13" t="s">
        <v>358</v>
      </c>
      <c r="F1252" s="14" t="s">
        <v>358</v>
      </c>
      <c r="G1252" s="14" t="s">
        <v>407</v>
      </c>
      <c r="H1252" s="15" t="s">
        <v>426</v>
      </c>
      <c r="I1252" s="11">
        <f t="shared" si="59"/>
        <v>4</v>
      </c>
      <c r="K1252" s="16">
        <v>1200</v>
      </c>
      <c r="M1252" s="17">
        <f t="shared" si="57"/>
        <v>158608.84000000011</v>
      </c>
      <c r="N1252" s="11">
        <f t="shared" si="58"/>
        <v>10</v>
      </c>
    </row>
    <row r="1253" spans="1:14" x14ac:dyDescent="0.25">
      <c r="A1253" s="11" t="s">
        <v>0</v>
      </c>
      <c r="B1253" s="12">
        <v>45213</v>
      </c>
      <c r="C1253" s="11" t="s">
        <v>688</v>
      </c>
      <c r="D1253" s="11" t="s">
        <v>696</v>
      </c>
      <c r="E1253" s="13" t="s">
        <v>358</v>
      </c>
      <c r="F1253" s="14" t="s">
        <v>358</v>
      </c>
      <c r="G1253" s="14" t="s">
        <v>407</v>
      </c>
      <c r="H1253" s="15" t="s">
        <v>426</v>
      </c>
      <c r="I1253" s="11">
        <f t="shared" si="59"/>
        <v>4</v>
      </c>
      <c r="K1253" s="16">
        <v>1000</v>
      </c>
      <c r="M1253" s="17">
        <f t="shared" si="57"/>
        <v>157608.84000000011</v>
      </c>
      <c r="N1253" s="11">
        <f t="shared" si="58"/>
        <v>10</v>
      </c>
    </row>
    <row r="1254" spans="1:14" x14ac:dyDescent="0.25">
      <c r="A1254" s="11" t="s">
        <v>0</v>
      </c>
      <c r="B1254" s="12">
        <v>45213</v>
      </c>
      <c r="C1254" s="11" t="s">
        <v>688</v>
      </c>
      <c r="D1254" s="11" t="s">
        <v>696</v>
      </c>
      <c r="E1254" s="13" t="s">
        <v>358</v>
      </c>
      <c r="F1254" s="14" t="s">
        <v>358</v>
      </c>
      <c r="G1254" s="14" t="s">
        <v>407</v>
      </c>
      <c r="H1254" s="15" t="s">
        <v>426</v>
      </c>
      <c r="I1254" s="11">
        <f t="shared" si="59"/>
        <v>4</v>
      </c>
      <c r="K1254" s="16">
        <v>2100</v>
      </c>
      <c r="M1254" s="17">
        <f t="shared" si="57"/>
        <v>155508.84000000011</v>
      </c>
      <c r="N1254" s="11">
        <f t="shared" si="58"/>
        <v>10</v>
      </c>
    </row>
    <row r="1255" spans="1:14" x14ac:dyDescent="0.25">
      <c r="A1255" s="11" t="s">
        <v>0</v>
      </c>
      <c r="B1255" s="12">
        <v>45213</v>
      </c>
      <c r="C1255" s="11" t="s">
        <v>688</v>
      </c>
      <c r="D1255" s="11" t="s">
        <v>696</v>
      </c>
      <c r="E1255" s="13" t="s">
        <v>358</v>
      </c>
      <c r="F1255" s="14" t="s">
        <v>358</v>
      </c>
      <c r="G1255" s="14" t="s">
        <v>407</v>
      </c>
      <c r="H1255" s="15" t="s">
        <v>426</v>
      </c>
      <c r="I1255" s="11">
        <f t="shared" si="59"/>
        <v>4</v>
      </c>
      <c r="K1255" s="16">
        <v>750</v>
      </c>
      <c r="M1255" s="17">
        <f t="shared" si="57"/>
        <v>154758.84000000011</v>
      </c>
      <c r="N1255" s="11">
        <f t="shared" si="58"/>
        <v>10</v>
      </c>
    </row>
    <row r="1256" spans="1:14" x14ac:dyDescent="0.25">
      <c r="A1256" s="11" t="s">
        <v>0</v>
      </c>
      <c r="B1256" s="12">
        <v>45213</v>
      </c>
      <c r="C1256" s="11" t="s">
        <v>688</v>
      </c>
      <c r="D1256" s="11" t="s">
        <v>696</v>
      </c>
      <c r="E1256" s="13" t="s">
        <v>358</v>
      </c>
      <c r="F1256" s="14" t="s">
        <v>358</v>
      </c>
      <c r="G1256" s="14" t="s">
        <v>407</v>
      </c>
      <c r="H1256" s="15" t="s">
        <v>426</v>
      </c>
      <c r="I1256" s="11">
        <f t="shared" si="59"/>
        <v>4</v>
      </c>
      <c r="K1256" s="16">
        <v>750</v>
      </c>
      <c r="M1256" s="17">
        <f t="shared" si="57"/>
        <v>154008.84000000011</v>
      </c>
      <c r="N1256" s="11">
        <f t="shared" si="58"/>
        <v>10</v>
      </c>
    </row>
    <row r="1257" spans="1:14" x14ac:dyDescent="0.25">
      <c r="A1257" s="11" t="s">
        <v>0</v>
      </c>
      <c r="B1257" s="12">
        <v>45213</v>
      </c>
      <c r="C1257" s="11" t="s">
        <v>688</v>
      </c>
      <c r="D1257" s="11" t="s">
        <v>696</v>
      </c>
      <c r="E1257" s="13" t="s">
        <v>358</v>
      </c>
      <c r="F1257" s="14" t="s">
        <v>358</v>
      </c>
      <c r="G1257" s="14" t="s">
        <v>407</v>
      </c>
      <c r="H1257" s="15" t="s">
        <v>426</v>
      </c>
      <c r="I1257" s="11">
        <f t="shared" si="59"/>
        <v>4</v>
      </c>
      <c r="K1257" s="16">
        <v>1125</v>
      </c>
      <c r="M1257" s="17">
        <f t="shared" si="57"/>
        <v>152883.84000000011</v>
      </c>
      <c r="N1257" s="11">
        <f t="shared" si="58"/>
        <v>10</v>
      </c>
    </row>
    <row r="1258" spans="1:14" x14ac:dyDescent="0.25">
      <c r="A1258" s="11" t="s">
        <v>0</v>
      </c>
      <c r="B1258" s="12">
        <v>45213</v>
      </c>
      <c r="C1258" s="11" t="s">
        <v>688</v>
      </c>
      <c r="D1258" s="11" t="s">
        <v>696</v>
      </c>
      <c r="E1258" s="13" t="s">
        <v>358</v>
      </c>
      <c r="F1258" s="14" t="s">
        <v>358</v>
      </c>
      <c r="G1258" s="14" t="s">
        <v>407</v>
      </c>
      <c r="H1258" s="15" t="s">
        <v>426</v>
      </c>
      <c r="I1258" s="11">
        <f t="shared" si="59"/>
        <v>4</v>
      </c>
      <c r="K1258" s="16">
        <v>700</v>
      </c>
      <c r="M1258" s="17">
        <f t="shared" si="57"/>
        <v>152183.84000000011</v>
      </c>
      <c r="N1258" s="11">
        <f t="shared" si="58"/>
        <v>10</v>
      </c>
    </row>
    <row r="1259" spans="1:14" x14ac:dyDescent="0.25">
      <c r="A1259" s="11" t="s">
        <v>0</v>
      </c>
      <c r="B1259" s="12">
        <v>45213</v>
      </c>
      <c r="C1259" s="11" t="s">
        <v>688</v>
      </c>
      <c r="D1259" s="11" t="s">
        <v>696</v>
      </c>
      <c r="E1259" s="13" t="s">
        <v>358</v>
      </c>
      <c r="F1259" s="14" t="s">
        <v>358</v>
      </c>
      <c r="G1259" s="14" t="s">
        <v>407</v>
      </c>
      <c r="H1259" s="15" t="s">
        <v>426</v>
      </c>
      <c r="I1259" s="11">
        <f t="shared" si="59"/>
        <v>4</v>
      </c>
      <c r="K1259" s="16">
        <v>660</v>
      </c>
      <c r="M1259" s="17">
        <f t="shared" si="57"/>
        <v>151523.84000000011</v>
      </c>
      <c r="N1259" s="11">
        <f t="shared" si="58"/>
        <v>10</v>
      </c>
    </row>
    <row r="1260" spans="1:14" x14ac:dyDescent="0.25">
      <c r="A1260" s="11" t="s">
        <v>0</v>
      </c>
      <c r="B1260" s="12">
        <v>45213</v>
      </c>
      <c r="C1260" s="11" t="s">
        <v>688</v>
      </c>
      <c r="D1260" s="11" t="s">
        <v>696</v>
      </c>
      <c r="E1260" s="13" t="s">
        <v>358</v>
      </c>
      <c r="F1260" s="14" t="s">
        <v>358</v>
      </c>
      <c r="G1260" s="14" t="s">
        <v>407</v>
      </c>
      <c r="H1260" s="15" t="s">
        <v>426</v>
      </c>
      <c r="I1260" s="11">
        <f t="shared" si="59"/>
        <v>4</v>
      </c>
      <c r="K1260" s="16">
        <v>588</v>
      </c>
      <c r="M1260" s="17">
        <f t="shared" si="57"/>
        <v>150935.84000000011</v>
      </c>
      <c r="N1260" s="11">
        <f t="shared" si="58"/>
        <v>10</v>
      </c>
    </row>
    <row r="1261" spans="1:14" x14ac:dyDescent="0.25">
      <c r="A1261" s="11" t="s">
        <v>0</v>
      </c>
      <c r="B1261" s="12">
        <v>45213</v>
      </c>
      <c r="C1261" s="11" t="s">
        <v>688</v>
      </c>
      <c r="D1261" s="11" t="s">
        <v>696</v>
      </c>
      <c r="E1261" s="13" t="s">
        <v>358</v>
      </c>
      <c r="F1261" s="14" t="s">
        <v>358</v>
      </c>
      <c r="G1261" s="14" t="s">
        <v>407</v>
      </c>
      <c r="H1261" s="15" t="s">
        <v>426</v>
      </c>
      <c r="I1261" s="11">
        <f t="shared" si="59"/>
        <v>4</v>
      </c>
      <c r="K1261" s="16">
        <v>280</v>
      </c>
      <c r="M1261" s="17">
        <f t="shared" si="57"/>
        <v>150655.84000000011</v>
      </c>
      <c r="N1261" s="11">
        <f t="shared" si="58"/>
        <v>10</v>
      </c>
    </row>
    <row r="1262" spans="1:14" x14ac:dyDescent="0.25">
      <c r="A1262" s="11" t="s">
        <v>0</v>
      </c>
      <c r="B1262" s="12">
        <v>45213</v>
      </c>
      <c r="C1262" s="11" t="s">
        <v>688</v>
      </c>
      <c r="D1262" s="11" t="s">
        <v>696</v>
      </c>
      <c r="E1262" s="13" t="s">
        <v>358</v>
      </c>
      <c r="F1262" s="14" t="s">
        <v>358</v>
      </c>
      <c r="G1262" s="14" t="s">
        <v>407</v>
      </c>
      <c r="H1262" s="15" t="s">
        <v>426</v>
      </c>
      <c r="I1262" s="11">
        <f t="shared" si="59"/>
        <v>4</v>
      </c>
      <c r="K1262" s="16">
        <v>1000</v>
      </c>
      <c r="M1262" s="17">
        <f t="shared" si="57"/>
        <v>149655.84000000011</v>
      </c>
      <c r="N1262" s="11">
        <f t="shared" si="58"/>
        <v>10</v>
      </c>
    </row>
    <row r="1263" spans="1:14" x14ac:dyDescent="0.25">
      <c r="A1263" s="11" t="s">
        <v>0</v>
      </c>
      <c r="B1263" s="12">
        <v>45213</v>
      </c>
      <c r="C1263" s="11" t="s">
        <v>688</v>
      </c>
      <c r="D1263" s="11" t="s">
        <v>696</v>
      </c>
      <c r="E1263" s="13" t="s">
        <v>358</v>
      </c>
      <c r="F1263" s="14" t="s">
        <v>358</v>
      </c>
      <c r="G1263" s="14" t="s">
        <v>407</v>
      </c>
      <c r="H1263" s="15" t="s">
        <v>426</v>
      </c>
      <c r="I1263" s="11">
        <f t="shared" si="59"/>
        <v>4</v>
      </c>
      <c r="K1263" s="16">
        <v>140</v>
      </c>
      <c r="M1263" s="17">
        <f t="shared" si="57"/>
        <v>149515.84000000011</v>
      </c>
      <c r="N1263" s="11">
        <f t="shared" si="58"/>
        <v>10</v>
      </c>
    </row>
    <row r="1264" spans="1:14" x14ac:dyDescent="0.25">
      <c r="A1264" s="11" t="s">
        <v>0</v>
      </c>
      <c r="B1264" s="12">
        <v>45215</v>
      </c>
      <c r="C1264" s="11" t="s">
        <v>688</v>
      </c>
      <c r="D1264" s="11" t="s">
        <v>47</v>
      </c>
      <c r="E1264" s="13" t="s">
        <v>485</v>
      </c>
      <c r="F1264" s="14" t="s">
        <v>485</v>
      </c>
      <c r="G1264" s="14" t="s">
        <v>407</v>
      </c>
      <c r="H1264" s="15" t="s">
        <v>426</v>
      </c>
      <c r="I1264" s="11">
        <f t="shared" si="59"/>
        <v>4</v>
      </c>
      <c r="K1264" s="16">
        <v>1050</v>
      </c>
      <c r="M1264" s="17">
        <f t="shared" si="57"/>
        <v>148465.84000000011</v>
      </c>
      <c r="N1264" s="11">
        <f t="shared" si="58"/>
        <v>10</v>
      </c>
    </row>
    <row r="1265" spans="1:14" x14ac:dyDescent="0.25">
      <c r="A1265" s="11" t="s">
        <v>0</v>
      </c>
      <c r="B1265" s="12">
        <v>45215</v>
      </c>
      <c r="C1265" s="11" t="s">
        <v>688</v>
      </c>
      <c r="D1265" s="11" t="s">
        <v>700</v>
      </c>
      <c r="E1265" s="13" t="s">
        <v>410</v>
      </c>
      <c r="F1265" s="14" t="s">
        <v>486</v>
      </c>
      <c r="G1265" s="14" t="s">
        <v>407</v>
      </c>
      <c r="H1265" s="15" t="s">
        <v>426</v>
      </c>
      <c r="I1265" s="11">
        <f t="shared" si="59"/>
        <v>4</v>
      </c>
      <c r="K1265" s="16">
        <v>470</v>
      </c>
      <c r="M1265" s="17">
        <f t="shared" si="57"/>
        <v>147995.84000000011</v>
      </c>
      <c r="N1265" s="11">
        <f t="shared" si="58"/>
        <v>10</v>
      </c>
    </row>
    <row r="1266" spans="1:14" x14ac:dyDescent="0.25">
      <c r="A1266" s="11" t="s">
        <v>0</v>
      </c>
      <c r="B1266" s="12">
        <v>45215</v>
      </c>
      <c r="C1266" s="11" t="s">
        <v>688</v>
      </c>
      <c r="D1266" s="11" t="s">
        <v>700</v>
      </c>
      <c r="E1266" s="13" t="s">
        <v>410</v>
      </c>
      <c r="F1266" s="14" t="s">
        <v>486</v>
      </c>
      <c r="G1266" s="14" t="s">
        <v>407</v>
      </c>
      <c r="H1266" s="15" t="s">
        <v>426</v>
      </c>
      <c r="I1266" s="11">
        <f t="shared" si="59"/>
        <v>4</v>
      </c>
      <c r="K1266" s="16">
        <v>425</v>
      </c>
      <c r="M1266" s="17">
        <f t="shared" si="57"/>
        <v>147570.84000000011</v>
      </c>
      <c r="N1266" s="11">
        <f t="shared" si="58"/>
        <v>10</v>
      </c>
    </row>
    <row r="1267" spans="1:14" x14ac:dyDescent="0.25">
      <c r="A1267" s="11" t="s">
        <v>207</v>
      </c>
      <c r="B1267" s="12">
        <v>45214</v>
      </c>
      <c r="C1267" s="11" t="s">
        <v>688</v>
      </c>
      <c r="D1267" s="11" t="s">
        <v>43</v>
      </c>
      <c r="E1267" s="14" t="s">
        <v>429</v>
      </c>
      <c r="F1267" s="14" t="s">
        <v>429</v>
      </c>
      <c r="G1267" s="14" t="s">
        <v>428</v>
      </c>
      <c r="I1267" s="11">
        <f t="shared" si="59"/>
        <v>1</v>
      </c>
      <c r="J1267" s="16">
        <v>510</v>
      </c>
      <c r="M1267" s="17">
        <f t="shared" si="57"/>
        <v>148080.84000000011</v>
      </c>
      <c r="N1267" s="11">
        <f t="shared" si="58"/>
        <v>10</v>
      </c>
    </row>
    <row r="1268" spans="1:14" x14ac:dyDescent="0.25">
      <c r="A1268" s="11" t="s">
        <v>207</v>
      </c>
      <c r="B1268" s="12">
        <v>45215</v>
      </c>
      <c r="C1268" s="11" t="s">
        <v>688</v>
      </c>
      <c r="D1268" s="11" t="s">
        <v>43</v>
      </c>
      <c r="E1268" s="13" t="s">
        <v>79</v>
      </c>
      <c r="F1268" s="14" t="s">
        <v>79</v>
      </c>
      <c r="G1268" s="14" t="s">
        <v>400</v>
      </c>
      <c r="I1268" s="11">
        <f t="shared" si="59"/>
        <v>2</v>
      </c>
      <c r="J1268" s="16">
        <v>17087.650000000001</v>
      </c>
      <c r="M1268" s="17">
        <f t="shared" si="57"/>
        <v>165168.49000000011</v>
      </c>
      <c r="N1268" s="11">
        <f t="shared" si="58"/>
        <v>10</v>
      </c>
    </row>
    <row r="1269" spans="1:14" x14ac:dyDescent="0.25">
      <c r="A1269" s="11" t="s">
        <v>207</v>
      </c>
      <c r="B1269" s="12">
        <v>45215</v>
      </c>
      <c r="C1269" s="11" t="s">
        <v>688</v>
      </c>
      <c r="D1269" s="11" t="s">
        <v>43</v>
      </c>
      <c r="E1269" s="13" t="s">
        <v>79</v>
      </c>
      <c r="F1269" s="14" t="s">
        <v>79</v>
      </c>
      <c r="G1269" s="14" t="s">
        <v>400</v>
      </c>
      <c r="I1269" s="11">
        <f t="shared" si="59"/>
        <v>2</v>
      </c>
      <c r="J1269" s="16">
        <v>17244.96</v>
      </c>
      <c r="M1269" s="17">
        <f t="shared" si="57"/>
        <v>182413.4500000001</v>
      </c>
      <c r="N1269" s="11">
        <f t="shared" si="58"/>
        <v>10</v>
      </c>
    </row>
    <row r="1270" spans="1:14" x14ac:dyDescent="0.25">
      <c r="A1270" s="11" t="s">
        <v>207</v>
      </c>
      <c r="B1270" s="12">
        <v>45215</v>
      </c>
      <c r="C1270" s="11" t="s">
        <v>688</v>
      </c>
      <c r="D1270" s="11" t="s">
        <v>43</v>
      </c>
      <c r="E1270" s="13" t="s">
        <v>79</v>
      </c>
      <c r="F1270" s="14" t="s">
        <v>79</v>
      </c>
      <c r="G1270" s="14" t="s">
        <v>400</v>
      </c>
      <c r="I1270" s="11">
        <f t="shared" si="59"/>
        <v>2</v>
      </c>
      <c r="J1270" s="16">
        <v>5323.11</v>
      </c>
      <c r="M1270" s="17">
        <f t="shared" si="57"/>
        <v>187736.56000000008</v>
      </c>
      <c r="N1270" s="11">
        <f t="shared" si="58"/>
        <v>10</v>
      </c>
    </row>
    <row r="1271" spans="1:14" x14ac:dyDescent="0.25">
      <c r="A1271" s="11" t="s">
        <v>207</v>
      </c>
      <c r="B1271" s="12">
        <v>45215</v>
      </c>
      <c r="C1271" s="11" t="s">
        <v>688</v>
      </c>
      <c r="D1271" s="11" t="s">
        <v>43</v>
      </c>
      <c r="E1271" s="13" t="s">
        <v>79</v>
      </c>
      <c r="F1271" s="14" t="s">
        <v>79</v>
      </c>
      <c r="G1271" s="14" t="s">
        <v>400</v>
      </c>
      <c r="I1271" s="11">
        <f t="shared" si="59"/>
        <v>2</v>
      </c>
      <c r="J1271" s="16">
        <v>252.23</v>
      </c>
      <c r="M1271" s="17">
        <f t="shared" si="57"/>
        <v>187988.7900000001</v>
      </c>
      <c r="N1271" s="11">
        <f t="shared" si="58"/>
        <v>10</v>
      </c>
    </row>
    <row r="1272" spans="1:14" x14ac:dyDescent="0.25">
      <c r="A1272" s="11" t="s">
        <v>207</v>
      </c>
      <c r="B1272" s="12">
        <v>45215</v>
      </c>
      <c r="C1272" s="11" t="s">
        <v>688</v>
      </c>
      <c r="D1272" s="11" t="s">
        <v>43</v>
      </c>
      <c r="E1272" s="13" t="s">
        <v>79</v>
      </c>
      <c r="F1272" s="14" t="s">
        <v>79</v>
      </c>
      <c r="G1272" s="14" t="s">
        <v>400</v>
      </c>
      <c r="I1272" s="11">
        <f t="shared" si="59"/>
        <v>2</v>
      </c>
      <c r="J1272" s="16">
        <v>1252.18</v>
      </c>
      <c r="M1272" s="17">
        <f t="shared" si="57"/>
        <v>189240.97000000009</v>
      </c>
      <c r="N1272" s="11">
        <f t="shared" si="58"/>
        <v>10</v>
      </c>
    </row>
    <row r="1273" spans="1:14" x14ac:dyDescent="0.25">
      <c r="A1273" s="11" t="s">
        <v>207</v>
      </c>
      <c r="B1273" s="12">
        <v>45215</v>
      </c>
      <c r="C1273" s="11" t="s">
        <v>688</v>
      </c>
      <c r="D1273" s="11" t="s">
        <v>43</v>
      </c>
      <c r="E1273" s="13" t="s">
        <v>357</v>
      </c>
      <c r="F1273" s="14" t="s">
        <v>13</v>
      </c>
      <c r="G1273" s="14" t="s">
        <v>400</v>
      </c>
      <c r="I1273" s="11">
        <f t="shared" si="59"/>
        <v>2</v>
      </c>
      <c r="J1273" s="16">
        <v>1174.3</v>
      </c>
      <c r="M1273" s="17">
        <f t="shared" si="57"/>
        <v>190415.27000000008</v>
      </c>
      <c r="N1273" s="11">
        <f t="shared" si="58"/>
        <v>10</v>
      </c>
    </row>
    <row r="1274" spans="1:14" x14ac:dyDescent="0.25">
      <c r="A1274" s="11" t="s">
        <v>207</v>
      </c>
      <c r="B1274" s="12">
        <v>45215</v>
      </c>
      <c r="C1274" s="11" t="s">
        <v>688</v>
      </c>
      <c r="D1274" s="11" t="s">
        <v>43</v>
      </c>
      <c r="E1274" s="13" t="s">
        <v>357</v>
      </c>
      <c r="F1274" s="14" t="s">
        <v>13</v>
      </c>
      <c r="G1274" s="14" t="s">
        <v>400</v>
      </c>
      <c r="I1274" s="11">
        <f t="shared" si="59"/>
        <v>2</v>
      </c>
      <c r="J1274" s="16">
        <v>2595.65</v>
      </c>
      <c r="M1274" s="17">
        <f t="shared" si="57"/>
        <v>193010.92000000007</v>
      </c>
      <c r="N1274" s="11">
        <f t="shared" si="58"/>
        <v>10</v>
      </c>
    </row>
    <row r="1275" spans="1:14" x14ac:dyDescent="0.25">
      <c r="A1275" s="11" t="s">
        <v>207</v>
      </c>
      <c r="B1275" s="12">
        <v>45215</v>
      </c>
      <c r="C1275" s="11" t="s">
        <v>688</v>
      </c>
      <c r="D1275" s="11" t="s">
        <v>43</v>
      </c>
      <c r="E1275" s="13" t="s">
        <v>357</v>
      </c>
      <c r="F1275" s="14" t="s">
        <v>13</v>
      </c>
      <c r="G1275" s="14" t="s">
        <v>400</v>
      </c>
      <c r="I1275" s="11">
        <f t="shared" si="59"/>
        <v>2</v>
      </c>
      <c r="J1275" s="16">
        <v>1382.06</v>
      </c>
      <c r="M1275" s="17">
        <f t="shared" si="57"/>
        <v>194392.98000000007</v>
      </c>
      <c r="N1275" s="11">
        <f t="shared" si="58"/>
        <v>10</v>
      </c>
    </row>
    <row r="1276" spans="1:14" x14ac:dyDescent="0.25">
      <c r="A1276" s="11" t="s">
        <v>207</v>
      </c>
      <c r="B1276" s="12">
        <v>45215</v>
      </c>
      <c r="C1276" s="11" t="s">
        <v>688</v>
      </c>
      <c r="D1276" s="11" t="s">
        <v>43</v>
      </c>
      <c r="E1276" s="13" t="s">
        <v>357</v>
      </c>
      <c r="F1276" s="14" t="s">
        <v>13</v>
      </c>
      <c r="G1276" s="14" t="s">
        <v>400</v>
      </c>
      <c r="I1276" s="11">
        <f t="shared" si="59"/>
        <v>2</v>
      </c>
      <c r="J1276" s="16">
        <v>1627.33</v>
      </c>
      <c r="M1276" s="17">
        <f t="shared" si="57"/>
        <v>196020.31000000006</v>
      </c>
      <c r="N1276" s="11">
        <f t="shared" si="58"/>
        <v>10</v>
      </c>
    </row>
    <row r="1277" spans="1:14" x14ac:dyDescent="0.25">
      <c r="A1277" s="11" t="s">
        <v>207</v>
      </c>
      <c r="B1277" s="12">
        <v>45215</v>
      </c>
      <c r="C1277" s="11" t="s">
        <v>688</v>
      </c>
      <c r="D1277" s="11" t="s">
        <v>43</v>
      </c>
      <c r="E1277" s="13" t="s">
        <v>357</v>
      </c>
      <c r="F1277" s="14" t="s">
        <v>13</v>
      </c>
      <c r="G1277" s="14" t="s">
        <v>400</v>
      </c>
      <c r="I1277" s="11">
        <f t="shared" si="59"/>
        <v>2</v>
      </c>
      <c r="J1277" s="16">
        <v>696.13</v>
      </c>
      <c r="M1277" s="17">
        <f t="shared" si="57"/>
        <v>196716.44000000006</v>
      </c>
      <c r="N1277" s="11">
        <f t="shared" si="58"/>
        <v>10</v>
      </c>
    </row>
    <row r="1278" spans="1:14" x14ac:dyDescent="0.25">
      <c r="A1278" s="11" t="s">
        <v>207</v>
      </c>
      <c r="B1278" s="12">
        <v>45215</v>
      </c>
      <c r="C1278" s="11" t="s">
        <v>688</v>
      </c>
      <c r="D1278" s="11" t="s">
        <v>43</v>
      </c>
      <c r="E1278" s="13" t="s">
        <v>357</v>
      </c>
      <c r="F1278" s="14" t="s">
        <v>13</v>
      </c>
      <c r="G1278" s="14" t="s">
        <v>400</v>
      </c>
      <c r="I1278" s="11">
        <f t="shared" si="59"/>
        <v>2</v>
      </c>
      <c r="J1278" s="16">
        <v>832.96</v>
      </c>
      <c r="M1278" s="17">
        <f t="shared" si="57"/>
        <v>197549.40000000005</v>
      </c>
      <c r="N1278" s="11">
        <f t="shared" si="58"/>
        <v>10</v>
      </c>
    </row>
    <row r="1279" spans="1:14" x14ac:dyDescent="0.25">
      <c r="A1279" s="11" t="s">
        <v>207</v>
      </c>
      <c r="B1279" s="12">
        <v>45215</v>
      </c>
      <c r="C1279" s="11" t="s">
        <v>688</v>
      </c>
      <c r="D1279" s="11" t="s">
        <v>43</v>
      </c>
      <c r="E1279" s="13" t="s">
        <v>357</v>
      </c>
      <c r="F1279" s="14" t="s">
        <v>13</v>
      </c>
      <c r="G1279" s="14" t="s">
        <v>400</v>
      </c>
      <c r="I1279" s="11">
        <f t="shared" si="59"/>
        <v>2</v>
      </c>
      <c r="J1279" s="16">
        <v>296.10000000000002</v>
      </c>
      <c r="M1279" s="17">
        <f t="shared" si="57"/>
        <v>197845.50000000006</v>
      </c>
      <c r="N1279" s="11">
        <f t="shared" si="58"/>
        <v>10</v>
      </c>
    </row>
    <row r="1280" spans="1:14" x14ac:dyDescent="0.25">
      <c r="A1280" s="11" t="s">
        <v>207</v>
      </c>
      <c r="B1280" s="12">
        <v>45215</v>
      </c>
      <c r="C1280" s="11" t="s">
        <v>688</v>
      </c>
      <c r="D1280" s="11" t="s">
        <v>43</v>
      </c>
      <c r="E1280" s="13" t="s">
        <v>357</v>
      </c>
      <c r="F1280" s="14" t="s">
        <v>13</v>
      </c>
      <c r="G1280" s="14" t="s">
        <v>400</v>
      </c>
      <c r="I1280" s="11">
        <f t="shared" si="59"/>
        <v>2</v>
      </c>
      <c r="J1280" s="16">
        <v>1101.1500000000001</v>
      </c>
      <c r="M1280" s="17">
        <f t="shared" si="57"/>
        <v>198946.65000000005</v>
      </c>
      <c r="N1280" s="11">
        <f t="shared" si="58"/>
        <v>10</v>
      </c>
    </row>
    <row r="1281" spans="1:14" x14ac:dyDescent="0.25">
      <c r="A1281" s="11" t="s">
        <v>207</v>
      </c>
      <c r="B1281" s="12">
        <v>45215</v>
      </c>
      <c r="C1281" s="11" t="s">
        <v>688</v>
      </c>
      <c r="D1281" s="11" t="s">
        <v>43</v>
      </c>
      <c r="E1281" s="13" t="s">
        <v>357</v>
      </c>
      <c r="F1281" s="14" t="s">
        <v>13</v>
      </c>
      <c r="G1281" s="14" t="s">
        <v>400</v>
      </c>
      <c r="I1281" s="11">
        <f t="shared" si="59"/>
        <v>2</v>
      </c>
      <c r="J1281" s="16">
        <v>873.54</v>
      </c>
      <c r="M1281" s="17">
        <f t="shared" si="57"/>
        <v>199820.19000000006</v>
      </c>
      <c r="N1281" s="11">
        <f t="shared" si="58"/>
        <v>10</v>
      </c>
    </row>
    <row r="1282" spans="1:14" x14ac:dyDescent="0.25">
      <c r="A1282" s="11" t="s">
        <v>207</v>
      </c>
      <c r="B1282" s="12">
        <v>45215</v>
      </c>
      <c r="C1282" s="11" t="s">
        <v>688</v>
      </c>
      <c r="D1282" s="11" t="s">
        <v>43</v>
      </c>
      <c r="E1282" s="13" t="s">
        <v>357</v>
      </c>
      <c r="F1282" s="14" t="s">
        <v>13</v>
      </c>
      <c r="G1282" s="14" t="s">
        <v>400</v>
      </c>
      <c r="I1282" s="11">
        <f t="shared" si="59"/>
        <v>2</v>
      </c>
      <c r="J1282" s="16">
        <v>1418.28</v>
      </c>
      <c r="M1282" s="17">
        <f t="shared" si="57"/>
        <v>201238.47000000006</v>
      </c>
      <c r="N1282" s="11">
        <f t="shared" si="58"/>
        <v>10</v>
      </c>
    </row>
    <row r="1283" spans="1:14" x14ac:dyDescent="0.25">
      <c r="A1283" s="11" t="s">
        <v>207</v>
      </c>
      <c r="B1283" s="12">
        <v>45215</v>
      </c>
      <c r="C1283" s="11" t="s">
        <v>688</v>
      </c>
      <c r="D1283" s="11" t="s">
        <v>43</v>
      </c>
      <c r="E1283" s="13" t="s">
        <v>357</v>
      </c>
      <c r="F1283" s="14" t="s">
        <v>13</v>
      </c>
      <c r="G1283" s="14" t="s">
        <v>400</v>
      </c>
      <c r="I1283" s="11">
        <f t="shared" si="59"/>
        <v>2</v>
      </c>
      <c r="J1283" s="16">
        <v>77.400000000000006</v>
      </c>
      <c r="M1283" s="17">
        <f t="shared" ref="M1283:M1346" si="60">IF(B1283=0, "",M1282+ J1283-K1283)</f>
        <v>201315.87000000005</v>
      </c>
      <c r="N1283" s="11">
        <f t="shared" ref="N1283:N1346" si="61">IF(B1283=0, "", MONTH(B1283))</f>
        <v>10</v>
      </c>
    </row>
    <row r="1284" spans="1:14" x14ac:dyDescent="0.25">
      <c r="A1284" s="11" t="s">
        <v>207</v>
      </c>
      <c r="B1284" s="12">
        <v>45215</v>
      </c>
      <c r="C1284" s="11" t="s">
        <v>688</v>
      </c>
      <c r="D1284" s="11" t="s">
        <v>43</v>
      </c>
      <c r="E1284" s="13" t="s">
        <v>357</v>
      </c>
      <c r="F1284" s="14" t="s">
        <v>13</v>
      </c>
      <c r="G1284" s="14" t="s">
        <v>400</v>
      </c>
      <c r="I1284" s="11">
        <f t="shared" si="59"/>
        <v>2</v>
      </c>
      <c r="J1284" s="16">
        <v>307.68</v>
      </c>
      <c r="M1284" s="17">
        <f t="shared" si="60"/>
        <v>201623.55000000005</v>
      </c>
      <c r="N1284" s="11">
        <f t="shared" si="61"/>
        <v>10</v>
      </c>
    </row>
    <row r="1285" spans="1:14" x14ac:dyDescent="0.25">
      <c r="A1285" s="11" t="s">
        <v>207</v>
      </c>
      <c r="B1285" s="12">
        <v>45215</v>
      </c>
      <c r="C1285" s="11" t="s">
        <v>688</v>
      </c>
      <c r="D1285" s="11" t="s">
        <v>43</v>
      </c>
      <c r="E1285" s="13" t="s">
        <v>357</v>
      </c>
      <c r="F1285" s="14" t="s">
        <v>13</v>
      </c>
      <c r="G1285" s="14" t="s">
        <v>400</v>
      </c>
      <c r="I1285" s="11">
        <f t="shared" si="59"/>
        <v>2</v>
      </c>
      <c r="J1285" s="16">
        <v>191.63</v>
      </c>
      <c r="M1285" s="17">
        <f t="shared" si="60"/>
        <v>201815.18000000005</v>
      </c>
      <c r="N1285" s="11">
        <f t="shared" si="61"/>
        <v>10</v>
      </c>
    </row>
    <row r="1286" spans="1:14" x14ac:dyDescent="0.25">
      <c r="A1286" s="11" t="s">
        <v>207</v>
      </c>
      <c r="B1286" s="12">
        <v>45215</v>
      </c>
      <c r="C1286" s="11" t="s">
        <v>688</v>
      </c>
      <c r="D1286" s="11" t="s">
        <v>43</v>
      </c>
      <c r="E1286" s="13" t="s">
        <v>357</v>
      </c>
      <c r="F1286" s="14" t="s">
        <v>13</v>
      </c>
      <c r="G1286" s="14" t="s">
        <v>400</v>
      </c>
      <c r="I1286" s="11">
        <f t="shared" ref="I1286:I1349" si="62">IF(AND(G1286="MERCADO PAGO",A1286="FATURAMENTO"),1,IF(AND(OR(G1286="MERCADO PAGO",G1286="pix mercado pago",G1286= "débito automático mercado pago", G1286= "boleto mercado pago"),A1286="DESPESAS"),4,IF(AND(G1286="SAFRA",A1286="FATURAMENTO"),2,IF(AND(OR(G1286="SAFRA",G1286="PIX SAFRA", G1286="DÉBITO AUTOMÁTICO SAFRA", G1286= "BOLETO SAFRA", G1286= "transferência safra"), A1286="DESPESAS"),5,IF(AND(G1286="espécie",A1286="FATURAMENTO"),3,IF(AND(G1286="espécie",A1286="DESPESAS"),6))))))</f>
        <v>2</v>
      </c>
      <c r="J1286" s="16">
        <v>168.27</v>
      </c>
      <c r="M1286" s="17">
        <f t="shared" si="60"/>
        <v>201983.45000000004</v>
      </c>
      <c r="N1286" s="11">
        <f t="shared" si="61"/>
        <v>10</v>
      </c>
    </row>
    <row r="1287" spans="1:14" x14ac:dyDescent="0.25">
      <c r="A1287" s="11" t="s">
        <v>0</v>
      </c>
      <c r="B1287" s="12">
        <v>45215</v>
      </c>
      <c r="C1287" s="11" t="s">
        <v>688</v>
      </c>
      <c r="D1287" s="11" t="s">
        <v>694</v>
      </c>
      <c r="E1287" s="13" t="s">
        <v>182</v>
      </c>
      <c r="F1287" s="14" t="s">
        <v>365</v>
      </c>
      <c r="G1287" s="14" t="s">
        <v>402</v>
      </c>
      <c r="I1287" s="11">
        <f t="shared" si="62"/>
        <v>5</v>
      </c>
      <c r="K1287" s="16">
        <v>26.26</v>
      </c>
      <c r="M1287" s="17">
        <f t="shared" si="60"/>
        <v>201957.19000000003</v>
      </c>
      <c r="N1287" s="11">
        <f t="shared" si="61"/>
        <v>10</v>
      </c>
    </row>
    <row r="1288" spans="1:14" x14ac:dyDescent="0.25">
      <c r="A1288" s="11" t="s">
        <v>0</v>
      </c>
      <c r="B1288" s="12">
        <v>45215</v>
      </c>
      <c r="C1288" s="11" t="s">
        <v>688</v>
      </c>
      <c r="D1288" s="11" t="s">
        <v>694</v>
      </c>
      <c r="E1288" s="13" t="s">
        <v>182</v>
      </c>
      <c r="F1288" s="14" t="s">
        <v>23</v>
      </c>
      <c r="G1288" s="14" t="s">
        <v>402</v>
      </c>
      <c r="I1288" s="11">
        <f t="shared" si="62"/>
        <v>5</v>
      </c>
      <c r="K1288" s="16">
        <v>60.53</v>
      </c>
      <c r="M1288" s="17">
        <f t="shared" si="60"/>
        <v>201896.66000000003</v>
      </c>
      <c r="N1288" s="11">
        <f t="shared" si="61"/>
        <v>10</v>
      </c>
    </row>
    <row r="1289" spans="1:14" ht="26.4" x14ac:dyDescent="0.25">
      <c r="A1289" s="11" t="s">
        <v>0</v>
      </c>
      <c r="B1289" s="12">
        <v>45215</v>
      </c>
      <c r="C1289" s="11" t="s">
        <v>688</v>
      </c>
      <c r="D1289" s="11" t="s">
        <v>692</v>
      </c>
      <c r="E1289" s="13" t="s">
        <v>143</v>
      </c>
      <c r="F1289" s="14" t="s">
        <v>36</v>
      </c>
      <c r="G1289" s="14" t="s">
        <v>403</v>
      </c>
      <c r="H1289" s="15" t="s">
        <v>401</v>
      </c>
      <c r="I1289" s="11">
        <f t="shared" si="62"/>
        <v>5</v>
      </c>
      <c r="K1289" s="16">
        <v>1780.26</v>
      </c>
      <c r="M1289" s="17">
        <f t="shared" si="60"/>
        <v>200116.40000000002</v>
      </c>
      <c r="N1289" s="11">
        <f t="shared" si="61"/>
        <v>10</v>
      </c>
    </row>
    <row r="1290" spans="1:14" x14ac:dyDescent="0.25">
      <c r="A1290" s="11" t="s">
        <v>0</v>
      </c>
      <c r="B1290" s="12">
        <v>45215</v>
      </c>
      <c r="C1290" s="11" t="s">
        <v>688</v>
      </c>
      <c r="D1290" s="11" t="s">
        <v>692</v>
      </c>
      <c r="E1290" s="13" t="s">
        <v>467</v>
      </c>
      <c r="F1290" s="14" t="s">
        <v>769</v>
      </c>
      <c r="G1290" s="14" t="s">
        <v>403</v>
      </c>
      <c r="H1290" s="15">
        <v>27117</v>
      </c>
      <c r="I1290" s="11">
        <f t="shared" si="62"/>
        <v>5</v>
      </c>
      <c r="K1290" s="16">
        <v>854.46</v>
      </c>
      <c r="M1290" s="17">
        <f t="shared" si="60"/>
        <v>199261.94000000003</v>
      </c>
      <c r="N1290" s="11">
        <f t="shared" si="61"/>
        <v>10</v>
      </c>
    </row>
    <row r="1291" spans="1:14" x14ac:dyDescent="0.25">
      <c r="A1291" s="11" t="s">
        <v>0</v>
      </c>
      <c r="B1291" s="12">
        <v>45215</v>
      </c>
      <c r="C1291" s="11" t="s">
        <v>688</v>
      </c>
      <c r="D1291" s="11" t="s">
        <v>692</v>
      </c>
      <c r="E1291" s="13" t="s">
        <v>467</v>
      </c>
      <c r="F1291" s="14" t="s">
        <v>768</v>
      </c>
      <c r="G1291" s="14" t="s">
        <v>403</v>
      </c>
      <c r="H1291" s="15">
        <v>25830</v>
      </c>
      <c r="I1291" s="11">
        <f t="shared" si="62"/>
        <v>5</v>
      </c>
      <c r="K1291" s="16">
        <v>520.63</v>
      </c>
      <c r="M1291" s="17">
        <f t="shared" si="60"/>
        <v>198741.31000000003</v>
      </c>
      <c r="N1291" s="11">
        <f t="shared" si="61"/>
        <v>10</v>
      </c>
    </row>
    <row r="1292" spans="1:14" x14ac:dyDescent="0.25">
      <c r="A1292" s="11" t="s">
        <v>0</v>
      </c>
      <c r="B1292" s="12">
        <v>45215</v>
      </c>
      <c r="C1292" s="11" t="s">
        <v>688</v>
      </c>
      <c r="D1292" s="11" t="s">
        <v>692</v>
      </c>
      <c r="E1292" s="13" t="s">
        <v>725</v>
      </c>
      <c r="F1292" s="14" t="s">
        <v>33</v>
      </c>
      <c r="G1292" s="14" t="s">
        <v>404</v>
      </c>
      <c r="H1292" s="15">
        <v>24838</v>
      </c>
      <c r="I1292" s="11">
        <f t="shared" si="62"/>
        <v>5</v>
      </c>
      <c r="K1292" s="16">
        <v>522.71</v>
      </c>
      <c r="M1292" s="17">
        <f t="shared" si="60"/>
        <v>198218.60000000003</v>
      </c>
      <c r="N1292" s="11">
        <f t="shared" si="61"/>
        <v>10</v>
      </c>
    </row>
    <row r="1293" spans="1:14" x14ac:dyDescent="0.25">
      <c r="A1293" s="11" t="s">
        <v>0</v>
      </c>
      <c r="B1293" s="12">
        <v>45215</v>
      </c>
      <c r="C1293" s="11" t="s">
        <v>688</v>
      </c>
      <c r="D1293" s="11" t="s">
        <v>701</v>
      </c>
      <c r="E1293" s="13" t="s">
        <v>405</v>
      </c>
      <c r="F1293" s="14" t="s">
        <v>442</v>
      </c>
      <c r="G1293" s="14" t="s">
        <v>404</v>
      </c>
      <c r="H1293" s="15">
        <v>6</v>
      </c>
      <c r="I1293" s="11">
        <f t="shared" si="62"/>
        <v>5</v>
      </c>
      <c r="K1293" s="16">
        <v>5520</v>
      </c>
      <c r="M1293" s="17">
        <f t="shared" si="60"/>
        <v>192698.60000000003</v>
      </c>
      <c r="N1293" s="11">
        <f t="shared" si="61"/>
        <v>10</v>
      </c>
    </row>
    <row r="1294" spans="1:14" x14ac:dyDescent="0.25">
      <c r="A1294" s="11" t="s">
        <v>0</v>
      </c>
      <c r="B1294" s="12">
        <v>45215</v>
      </c>
      <c r="C1294" s="11" t="s">
        <v>688</v>
      </c>
      <c r="D1294" s="11" t="s">
        <v>47</v>
      </c>
      <c r="E1294" s="13" t="s">
        <v>771</v>
      </c>
      <c r="F1294" s="14" t="s">
        <v>406</v>
      </c>
      <c r="G1294" s="14" t="s">
        <v>404</v>
      </c>
      <c r="H1294" s="15" t="s">
        <v>20</v>
      </c>
      <c r="I1294" s="11">
        <f t="shared" si="62"/>
        <v>5</v>
      </c>
      <c r="K1294" s="16">
        <v>30</v>
      </c>
      <c r="M1294" s="17">
        <f t="shared" si="60"/>
        <v>192668.60000000003</v>
      </c>
      <c r="N1294" s="11">
        <f t="shared" si="61"/>
        <v>10</v>
      </c>
    </row>
    <row r="1295" spans="1:14" x14ac:dyDescent="0.25">
      <c r="A1295" s="11" t="s">
        <v>0</v>
      </c>
      <c r="B1295" s="12">
        <v>45215</v>
      </c>
      <c r="C1295" s="11" t="s">
        <v>688</v>
      </c>
      <c r="D1295" s="11" t="s">
        <v>692</v>
      </c>
      <c r="E1295" s="13" t="s">
        <v>725</v>
      </c>
      <c r="F1295" s="14" t="s">
        <v>33</v>
      </c>
      <c r="G1295" s="14" t="s">
        <v>404</v>
      </c>
      <c r="H1295" s="15">
        <v>24859</v>
      </c>
      <c r="I1295" s="11">
        <f t="shared" si="62"/>
        <v>5</v>
      </c>
      <c r="K1295" s="16">
        <v>247.01</v>
      </c>
      <c r="M1295" s="17">
        <f t="shared" si="60"/>
        <v>192421.59000000003</v>
      </c>
      <c r="N1295" s="11">
        <f t="shared" si="61"/>
        <v>10</v>
      </c>
    </row>
    <row r="1296" spans="1:14" x14ac:dyDescent="0.25">
      <c r="A1296" s="11" t="s">
        <v>0</v>
      </c>
      <c r="B1296" s="12">
        <v>45215</v>
      </c>
      <c r="C1296" s="11" t="s">
        <v>688</v>
      </c>
      <c r="D1296" s="11" t="s">
        <v>47</v>
      </c>
      <c r="E1296" s="13" t="s">
        <v>136</v>
      </c>
      <c r="F1296" s="14" t="s">
        <v>135</v>
      </c>
      <c r="G1296" s="14" t="s">
        <v>404</v>
      </c>
      <c r="H1296" s="15">
        <v>7</v>
      </c>
      <c r="I1296" s="11">
        <f t="shared" si="62"/>
        <v>5</v>
      </c>
      <c r="K1296" s="16">
        <v>1200</v>
      </c>
      <c r="M1296" s="17">
        <f t="shared" si="60"/>
        <v>191221.59000000003</v>
      </c>
      <c r="N1296" s="11">
        <f t="shared" si="61"/>
        <v>10</v>
      </c>
    </row>
    <row r="1297" spans="1:14" ht="26.4" x14ac:dyDescent="0.25">
      <c r="A1297" s="11" t="s">
        <v>0</v>
      </c>
      <c r="B1297" s="12">
        <v>45215</v>
      </c>
      <c r="C1297" s="11" t="s">
        <v>688</v>
      </c>
      <c r="D1297" s="11" t="s">
        <v>692</v>
      </c>
      <c r="E1297" s="13" t="s">
        <v>725</v>
      </c>
      <c r="F1297" s="14" t="s">
        <v>27</v>
      </c>
      <c r="G1297" s="14" t="s">
        <v>404</v>
      </c>
      <c r="H1297" s="15" t="s">
        <v>409</v>
      </c>
      <c r="I1297" s="11">
        <f t="shared" si="62"/>
        <v>5</v>
      </c>
      <c r="K1297" s="16">
        <v>1337.37</v>
      </c>
      <c r="M1297" s="17">
        <f t="shared" si="60"/>
        <v>189884.22000000003</v>
      </c>
      <c r="N1297" s="11">
        <f t="shared" si="61"/>
        <v>10</v>
      </c>
    </row>
    <row r="1298" spans="1:14" x14ac:dyDescent="0.25">
      <c r="A1298" s="11" t="s">
        <v>0</v>
      </c>
      <c r="B1298" s="12">
        <v>45215</v>
      </c>
      <c r="C1298" s="11" t="s">
        <v>688</v>
      </c>
      <c r="D1298" s="11" t="s">
        <v>720</v>
      </c>
      <c r="E1298" s="13" t="s">
        <v>183</v>
      </c>
      <c r="F1298" s="14" t="s">
        <v>366</v>
      </c>
      <c r="G1298" s="14" t="s">
        <v>404</v>
      </c>
      <c r="H1298" s="15">
        <v>58</v>
      </c>
      <c r="I1298" s="11">
        <f t="shared" si="62"/>
        <v>5</v>
      </c>
      <c r="K1298" s="16">
        <v>710</v>
      </c>
      <c r="M1298" s="17">
        <f t="shared" si="60"/>
        <v>189174.22000000003</v>
      </c>
      <c r="N1298" s="11">
        <f t="shared" si="61"/>
        <v>10</v>
      </c>
    </row>
    <row r="1299" spans="1:14" x14ac:dyDescent="0.25">
      <c r="A1299" s="11" t="s">
        <v>0</v>
      </c>
      <c r="B1299" s="12">
        <v>45215</v>
      </c>
      <c r="C1299" s="11" t="s">
        <v>688</v>
      </c>
      <c r="D1299" s="11" t="s">
        <v>692</v>
      </c>
      <c r="E1299" s="13" t="s">
        <v>108</v>
      </c>
      <c r="F1299" s="14" t="s">
        <v>107</v>
      </c>
      <c r="G1299" s="14" t="s">
        <v>404</v>
      </c>
      <c r="H1299" s="15">
        <v>6</v>
      </c>
      <c r="I1299" s="11">
        <f t="shared" si="62"/>
        <v>5</v>
      </c>
      <c r="K1299" s="16">
        <v>600</v>
      </c>
      <c r="M1299" s="17">
        <f t="shared" si="60"/>
        <v>188574.22000000003</v>
      </c>
      <c r="N1299" s="11">
        <f t="shared" si="61"/>
        <v>10</v>
      </c>
    </row>
    <row r="1300" spans="1:14" x14ac:dyDescent="0.25">
      <c r="A1300" s="11" t="s">
        <v>0</v>
      </c>
      <c r="B1300" s="12">
        <v>45215</v>
      </c>
      <c r="C1300" s="11" t="s">
        <v>688</v>
      </c>
      <c r="D1300" s="11" t="s">
        <v>720</v>
      </c>
      <c r="E1300" s="13" t="s">
        <v>183</v>
      </c>
      <c r="F1300" s="14" t="s">
        <v>366</v>
      </c>
      <c r="G1300" s="14" t="s">
        <v>404</v>
      </c>
      <c r="H1300" s="15">
        <v>58</v>
      </c>
      <c r="I1300" s="11">
        <f t="shared" si="62"/>
        <v>5</v>
      </c>
      <c r="K1300" s="16">
        <v>192.1</v>
      </c>
      <c r="M1300" s="17">
        <f t="shared" si="60"/>
        <v>188382.12000000002</v>
      </c>
      <c r="N1300" s="11">
        <f t="shared" si="61"/>
        <v>10</v>
      </c>
    </row>
    <row r="1301" spans="1:14" ht="26.4" x14ac:dyDescent="0.25">
      <c r="A1301" s="11" t="s">
        <v>0</v>
      </c>
      <c r="B1301" s="12">
        <v>45215</v>
      </c>
      <c r="C1301" s="11" t="s">
        <v>688</v>
      </c>
      <c r="D1301" s="11" t="s">
        <v>692</v>
      </c>
      <c r="E1301" s="13" t="s">
        <v>725</v>
      </c>
      <c r="F1301" s="14" t="s">
        <v>27</v>
      </c>
      <c r="G1301" s="14" t="s">
        <v>404</v>
      </c>
      <c r="H1301" s="15" t="s">
        <v>412</v>
      </c>
      <c r="I1301" s="11">
        <f t="shared" si="62"/>
        <v>5</v>
      </c>
      <c r="K1301" s="16">
        <v>897.24</v>
      </c>
      <c r="M1301" s="17">
        <f t="shared" si="60"/>
        <v>187484.88000000003</v>
      </c>
      <c r="N1301" s="11">
        <f t="shared" si="61"/>
        <v>10</v>
      </c>
    </row>
    <row r="1302" spans="1:14" x14ac:dyDescent="0.25">
      <c r="A1302" s="11" t="s">
        <v>0</v>
      </c>
      <c r="B1302" s="12">
        <v>45215</v>
      </c>
      <c r="C1302" s="11" t="s">
        <v>688</v>
      </c>
      <c r="D1302" s="11" t="s">
        <v>701</v>
      </c>
      <c r="E1302" s="13" t="s">
        <v>728</v>
      </c>
      <c r="F1302" s="14" t="s">
        <v>204</v>
      </c>
      <c r="G1302" s="14" t="s">
        <v>404</v>
      </c>
      <c r="H1302" s="15">
        <v>2</v>
      </c>
      <c r="I1302" s="11">
        <f t="shared" si="62"/>
        <v>5</v>
      </c>
      <c r="K1302" s="16">
        <v>137.93</v>
      </c>
      <c r="M1302" s="17">
        <f t="shared" si="60"/>
        <v>187346.95000000004</v>
      </c>
      <c r="N1302" s="11">
        <f t="shared" si="61"/>
        <v>10</v>
      </c>
    </row>
    <row r="1303" spans="1:14" x14ac:dyDescent="0.25">
      <c r="A1303" s="11" t="s">
        <v>207</v>
      </c>
      <c r="B1303" s="12">
        <v>45215</v>
      </c>
      <c r="C1303" s="11" t="s">
        <v>688</v>
      </c>
      <c r="D1303" s="11" t="s">
        <v>43</v>
      </c>
      <c r="E1303" s="13" t="s">
        <v>413</v>
      </c>
      <c r="F1303" s="14" t="s">
        <v>413</v>
      </c>
      <c r="G1303" s="14" t="s">
        <v>400</v>
      </c>
      <c r="I1303" s="11">
        <f t="shared" si="62"/>
        <v>2</v>
      </c>
      <c r="J1303" s="16">
        <v>3831.92</v>
      </c>
      <c r="M1303" s="17">
        <f t="shared" si="60"/>
        <v>191178.87000000005</v>
      </c>
      <c r="N1303" s="11">
        <f t="shared" si="61"/>
        <v>10</v>
      </c>
    </row>
    <row r="1304" spans="1:14" x14ac:dyDescent="0.25">
      <c r="A1304" s="11" t="s">
        <v>207</v>
      </c>
      <c r="B1304" s="12">
        <v>45215</v>
      </c>
      <c r="C1304" s="11" t="s">
        <v>688</v>
      </c>
      <c r="D1304" s="11" t="s">
        <v>43</v>
      </c>
      <c r="E1304" s="14" t="s">
        <v>288</v>
      </c>
      <c r="F1304" s="14" t="s">
        <v>288</v>
      </c>
      <c r="G1304" s="14" t="s">
        <v>173</v>
      </c>
      <c r="I1304" s="11">
        <f t="shared" si="62"/>
        <v>3</v>
      </c>
      <c r="J1304" s="16">
        <v>1620</v>
      </c>
      <c r="M1304" s="17">
        <f t="shared" si="60"/>
        <v>192798.87000000005</v>
      </c>
      <c r="N1304" s="11">
        <f t="shared" si="61"/>
        <v>10</v>
      </c>
    </row>
    <row r="1305" spans="1:14" x14ac:dyDescent="0.25">
      <c r="A1305" s="11" t="s">
        <v>207</v>
      </c>
      <c r="B1305" s="12">
        <v>45216</v>
      </c>
      <c r="C1305" s="11" t="s">
        <v>688</v>
      </c>
      <c r="D1305" s="11" t="s">
        <v>43</v>
      </c>
      <c r="E1305" s="13" t="s">
        <v>79</v>
      </c>
      <c r="F1305" s="14" t="s">
        <v>79</v>
      </c>
      <c r="G1305" s="14" t="s">
        <v>400</v>
      </c>
      <c r="I1305" s="11">
        <f t="shared" si="62"/>
        <v>2</v>
      </c>
      <c r="J1305" s="16">
        <v>2539.61</v>
      </c>
      <c r="M1305" s="17">
        <f t="shared" si="60"/>
        <v>195338.48000000004</v>
      </c>
      <c r="N1305" s="11">
        <f t="shared" si="61"/>
        <v>10</v>
      </c>
    </row>
    <row r="1306" spans="1:14" x14ac:dyDescent="0.25">
      <c r="A1306" s="11" t="s">
        <v>207</v>
      </c>
      <c r="B1306" s="12">
        <v>45216</v>
      </c>
      <c r="C1306" s="11" t="s">
        <v>688</v>
      </c>
      <c r="D1306" s="11" t="s">
        <v>43</v>
      </c>
      <c r="E1306" s="13" t="s">
        <v>79</v>
      </c>
      <c r="F1306" s="14" t="s">
        <v>79</v>
      </c>
      <c r="G1306" s="14" t="s">
        <v>400</v>
      </c>
      <c r="I1306" s="11">
        <f t="shared" si="62"/>
        <v>2</v>
      </c>
      <c r="J1306" s="16">
        <v>2100.65</v>
      </c>
      <c r="M1306" s="17">
        <f t="shared" si="60"/>
        <v>197439.13000000003</v>
      </c>
      <c r="N1306" s="11">
        <f t="shared" si="61"/>
        <v>10</v>
      </c>
    </row>
    <row r="1307" spans="1:14" x14ac:dyDescent="0.25">
      <c r="A1307" s="11" t="s">
        <v>207</v>
      </c>
      <c r="B1307" s="12">
        <v>45216</v>
      </c>
      <c r="C1307" s="11" t="s">
        <v>688</v>
      </c>
      <c r="D1307" s="11" t="s">
        <v>43</v>
      </c>
      <c r="E1307" s="13" t="s">
        <v>79</v>
      </c>
      <c r="F1307" s="14" t="s">
        <v>79</v>
      </c>
      <c r="G1307" s="14" t="s">
        <v>400</v>
      </c>
      <c r="I1307" s="11">
        <f t="shared" si="62"/>
        <v>2</v>
      </c>
      <c r="J1307" s="16">
        <v>26.25</v>
      </c>
      <c r="M1307" s="17">
        <f t="shared" si="60"/>
        <v>197465.38000000003</v>
      </c>
      <c r="N1307" s="11">
        <f t="shared" si="61"/>
        <v>10</v>
      </c>
    </row>
    <row r="1308" spans="1:14" x14ac:dyDescent="0.25">
      <c r="A1308" s="11" t="s">
        <v>207</v>
      </c>
      <c r="B1308" s="12">
        <v>45216</v>
      </c>
      <c r="C1308" s="11" t="s">
        <v>688</v>
      </c>
      <c r="D1308" s="11" t="s">
        <v>43</v>
      </c>
      <c r="E1308" s="13" t="s">
        <v>357</v>
      </c>
      <c r="F1308" s="14" t="s">
        <v>13</v>
      </c>
      <c r="G1308" s="14" t="s">
        <v>400</v>
      </c>
      <c r="I1308" s="11">
        <f t="shared" si="62"/>
        <v>2</v>
      </c>
      <c r="J1308" s="16">
        <v>502.72</v>
      </c>
      <c r="M1308" s="17">
        <f t="shared" si="60"/>
        <v>197968.10000000003</v>
      </c>
      <c r="N1308" s="11">
        <f t="shared" si="61"/>
        <v>10</v>
      </c>
    </row>
    <row r="1309" spans="1:14" x14ac:dyDescent="0.25">
      <c r="A1309" s="11" t="s">
        <v>207</v>
      </c>
      <c r="B1309" s="12">
        <v>45216</v>
      </c>
      <c r="C1309" s="11" t="s">
        <v>688</v>
      </c>
      <c r="D1309" s="11" t="s">
        <v>43</v>
      </c>
      <c r="E1309" s="13" t="s">
        <v>357</v>
      </c>
      <c r="F1309" s="14" t="s">
        <v>13</v>
      </c>
      <c r="G1309" s="14" t="s">
        <v>400</v>
      </c>
      <c r="I1309" s="11">
        <f t="shared" si="62"/>
        <v>2</v>
      </c>
      <c r="J1309" s="16">
        <v>131.38999999999999</v>
      </c>
      <c r="M1309" s="17">
        <f t="shared" si="60"/>
        <v>198099.49000000005</v>
      </c>
      <c r="N1309" s="11">
        <f t="shared" si="61"/>
        <v>10</v>
      </c>
    </row>
    <row r="1310" spans="1:14" x14ac:dyDescent="0.25">
      <c r="A1310" s="11" t="s">
        <v>0</v>
      </c>
      <c r="B1310" s="12">
        <v>45216</v>
      </c>
      <c r="C1310" s="11" t="s">
        <v>688</v>
      </c>
      <c r="D1310" s="11" t="s">
        <v>694</v>
      </c>
      <c r="E1310" s="13" t="s">
        <v>182</v>
      </c>
      <c r="F1310" s="14" t="s">
        <v>365</v>
      </c>
      <c r="G1310" s="14" t="s">
        <v>402</v>
      </c>
      <c r="I1310" s="11">
        <f t="shared" si="62"/>
        <v>5</v>
      </c>
      <c r="K1310" s="16">
        <v>4.38</v>
      </c>
      <c r="M1310" s="17">
        <f t="shared" si="60"/>
        <v>198095.11000000004</v>
      </c>
      <c r="N1310" s="11">
        <f t="shared" si="61"/>
        <v>10</v>
      </c>
    </row>
    <row r="1311" spans="1:14" x14ac:dyDescent="0.25">
      <c r="A1311" s="11" t="s">
        <v>0</v>
      </c>
      <c r="B1311" s="12">
        <v>45216</v>
      </c>
      <c r="C1311" s="11" t="s">
        <v>688</v>
      </c>
      <c r="D1311" s="11" t="s">
        <v>694</v>
      </c>
      <c r="E1311" s="13" t="s">
        <v>182</v>
      </c>
      <c r="F1311" s="14" t="s">
        <v>23</v>
      </c>
      <c r="G1311" s="14" t="s">
        <v>402</v>
      </c>
      <c r="I1311" s="11">
        <f t="shared" si="62"/>
        <v>5</v>
      </c>
      <c r="K1311" s="16">
        <v>35.96</v>
      </c>
      <c r="M1311" s="17">
        <f t="shared" si="60"/>
        <v>198059.15000000005</v>
      </c>
      <c r="N1311" s="11">
        <f t="shared" si="61"/>
        <v>10</v>
      </c>
    </row>
    <row r="1312" spans="1:14" x14ac:dyDescent="0.25">
      <c r="A1312" s="11" t="s">
        <v>207</v>
      </c>
      <c r="B1312" s="12">
        <v>45216</v>
      </c>
      <c r="C1312" s="11" t="s">
        <v>688</v>
      </c>
      <c r="D1312" s="11" t="s">
        <v>43</v>
      </c>
      <c r="E1312" s="14" t="s">
        <v>288</v>
      </c>
      <c r="F1312" s="14" t="s">
        <v>288</v>
      </c>
      <c r="G1312" s="14" t="s">
        <v>173</v>
      </c>
      <c r="I1312" s="11">
        <f t="shared" si="62"/>
        <v>3</v>
      </c>
      <c r="J1312" s="16">
        <v>1178</v>
      </c>
      <c r="M1312" s="17">
        <f t="shared" si="60"/>
        <v>199237.15000000005</v>
      </c>
      <c r="N1312" s="11">
        <f t="shared" si="61"/>
        <v>10</v>
      </c>
    </row>
    <row r="1313" spans="1:14" x14ac:dyDescent="0.25">
      <c r="A1313" s="11" t="s">
        <v>207</v>
      </c>
      <c r="B1313" s="12">
        <v>45216</v>
      </c>
      <c r="C1313" s="11" t="s">
        <v>688</v>
      </c>
      <c r="D1313" s="11" t="s">
        <v>43</v>
      </c>
      <c r="E1313" s="13" t="s">
        <v>414</v>
      </c>
      <c r="F1313" s="14" t="s">
        <v>414</v>
      </c>
      <c r="G1313" s="14" t="s">
        <v>400</v>
      </c>
      <c r="I1313" s="11">
        <f t="shared" si="62"/>
        <v>2</v>
      </c>
      <c r="J1313" s="16">
        <v>639.04999999999995</v>
      </c>
      <c r="M1313" s="17">
        <f t="shared" si="60"/>
        <v>199876.20000000004</v>
      </c>
      <c r="N1313" s="11">
        <f t="shared" si="61"/>
        <v>10</v>
      </c>
    </row>
    <row r="1314" spans="1:14" x14ac:dyDescent="0.25">
      <c r="A1314" s="11" t="s">
        <v>0</v>
      </c>
      <c r="B1314" s="12">
        <v>45216</v>
      </c>
      <c r="C1314" s="11" t="s">
        <v>688</v>
      </c>
      <c r="D1314" s="11" t="s">
        <v>692</v>
      </c>
      <c r="E1314" s="13" t="s">
        <v>717</v>
      </c>
      <c r="F1314" s="14" t="s">
        <v>76</v>
      </c>
      <c r="G1314" s="14" t="s">
        <v>404</v>
      </c>
      <c r="H1314" s="15">
        <v>1193670</v>
      </c>
      <c r="I1314" s="11">
        <f t="shared" si="62"/>
        <v>5</v>
      </c>
      <c r="K1314" s="16">
        <v>764.39</v>
      </c>
      <c r="M1314" s="17">
        <f t="shared" si="60"/>
        <v>199111.81000000003</v>
      </c>
      <c r="N1314" s="11">
        <f t="shared" si="61"/>
        <v>10</v>
      </c>
    </row>
    <row r="1315" spans="1:14" x14ac:dyDescent="0.25">
      <c r="A1315" s="11" t="s">
        <v>0</v>
      </c>
      <c r="B1315" s="12">
        <v>45216</v>
      </c>
      <c r="C1315" s="11" t="s">
        <v>688</v>
      </c>
      <c r="D1315" s="11" t="s">
        <v>692</v>
      </c>
      <c r="E1315" s="13" t="s">
        <v>169</v>
      </c>
      <c r="F1315" s="14" t="s">
        <v>50</v>
      </c>
      <c r="G1315" s="14" t="s">
        <v>404</v>
      </c>
      <c r="H1315" s="15">
        <v>1190333</v>
      </c>
      <c r="I1315" s="11">
        <f t="shared" si="62"/>
        <v>5</v>
      </c>
      <c r="K1315" s="16">
        <v>1475</v>
      </c>
      <c r="M1315" s="17">
        <f t="shared" si="60"/>
        <v>197636.81000000003</v>
      </c>
      <c r="N1315" s="11">
        <f t="shared" si="61"/>
        <v>10</v>
      </c>
    </row>
    <row r="1316" spans="1:14" x14ac:dyDescent="0.25">
      <c r="A1316" s="11" t="s">
        <v>0</v>
      </c>
      <c r="B1316" s="12">
        <v>45216</v>
      </c>
      <c r="C1316" s="11" t="s">
        <v>688</v>
      </c>
      <c r="D1316" s="11" t="s">
        <v>720</v>
      </c>
      <c r="E1316" s="13" t="s">
        <v>183</v>
      </c>
      <c r="F1316" s="14" t="s">
        <v>366</v>
      </c>
      <c r="G1316" s="14" t="s">
        <v>404</v>
      </c>
      <c r="H1316" s="15">
        <v>58</v>
      </c>
      <c r="I1316" s="11">
        <f t="shared" si="62"/>
        <v>5</v>
      </c>
      <c r="K1316" s="16">
        <v>340</v>
      </c>
      <c r="M1316" s="17">
        <f t="shared" si="60"/>
        <v>197296.81000000003</v>
      </c>
      <c r="N1316" s="11">
        <f t="shared" si="61"/>
        <v>10</v>
      </c>
    </row>
    <row r="1317" spans="1:14" x14ac:dyDescent="0.25">
      <c r="A1317" s="11" t="s">
        <v>0</v>
      </c>
      <c r="B1317" s="12">
        <v>45216</v>
      </c>
      <c r="C1317" s="11" t="s">
        <v>688</v>
      </c>
      <c r="D1317" s="11" t="s">
        <v>692</v>
      </c>
      <c r="E1317" s="13" t="s">
        <v>725</v>
      </c>
      <c r="F1317" s="14" t="s">
        <v>33</v>
      </c>
      <c r="G1317" s="14" t="s">
        <v>404</v>
      </c>
      <c r="H1317" s="15" t="s">
        <v>415</v>
      </c>
      <c r="I1317" s="11">
        <f t="shared" si="62"/>
        <v>5</v>
      </c>
      <c r="K1317" s="16">
        <v>247.01</v>
      </c>
      <c r="M1317" s="17">
        <f t="shared" si="60"/>
        <v>197049.80000000002</v>
      </c>
      <c r="N1317" s="11">
        <f t="shared" si="61"/>
        <v>10</v>
      </c>
    </row>
    <row r="1318" spans="1:14" x14ac:dyDescent="0.25">
      <c r="A1318" s="11" t="s">
        <v>0</v>
      </c>
      <c r="B1318" s="12">
        <v>45216</v>
      </c>
      <c r="C1318" s="11" t="s">
        <v>688</v>
      </c>
      <c r="D1318" s="11" t="s">
        <v>692</v>
      </c>
      <c r="E1318" s="13" t="s">
        <v>725</v>
      </c>
      <c r="F1318" s="14" t="s">
        <v>33</v>
      </c>
      <c r="G1318" s="14" t="s">
        <v>404</v>
      </c>
      <c r="H1318" s="15">
        <v>24866</v>
      </c>
      <c r="I1318" s="11">
        <f t="shared" si="62"/>
        <v>5</v>
      </c>
      <c r="K1318" s="16">
        <v>649.54999999999995</v>
      </c>
      <c r="M1318" s="17">
        <f t="shared" si="60"/>
        <v>196400.25000000003</v>
      </c>
      <c r="N1318" s="11">
        <f t="shared" si="61"/>
        <v>10</v>
      </c>
    </row>
    <row r="1319" spans="1:14" ht="26.4" x14ac:dyDescent="0.25">
      <c r="A1319" s="11" t="s">
        <v>0</v>
      </c>
      <c r="B1319" s="12">
        <v>45216</v>
      </c>
      <c r="C1319" s="11" t="s">
        <v>688</v>
      </c>
      <c r="D1319" s="11" t="s">
        <v>701</v>
      </c>
      <c r="E1319" s="13" t="s">
        <v>35</v>
      </c>
      <c r="F1319" s="14" t="s">
        <v>35</v>
      </c>
      <c r="G1319" s="14" t="s">
        <v>404</v>
      </c>
      <c r="H1319" s="15" t="s">
        <v>418</v>
      </c>
      <c r="I1319" s="11">
        <f t="shared" si="62"/>
        <v>5</v>
      </c>
      <c r="K1319" s="16">
        <v>2233.5</v>
      </c>
      <c r="M1319" s="17">
        <f t="shared" si="60"/>
        <v>194166.75000000003</v>
      </c>
      <c r="N1319" s="11">
        <f t="shared" si="61"/>
        <v>10</v>
      </c>
    </row>
    <row r="1320" spans="1:14" x14ac:dyDescent="0.25">
      <c r="A1320" s="11" t="s">
        <v>0</v>
      </c>
      <c r="B1320" s="12">
        <v>45216</v>
      </c>
      <c r="C1320" s="11" t="s">
        <v>688</v>
      </c>
      <c r="D1320" s="11" t="s">
        <v>701</v>
      </c>
      <c r="E1320" s="13" t="s">
        <v>35</v>
      </c>
      <c r="F1320" s="14" t="s">
        <v>35</v>
      </c>
      <c r="G1320" s="14" t="s">
        <v>404</v>
      </c>
      <c r="H1320" s="15" t="s">
        <v>189</v>
      </c>
      <c r="I1320" s="11">
        <f t="shared" si="62"/>
        <v>5</v>
      </c>
      <c r="K1320" s="16">
        <v>509.6</v>
      </c>
      <c r="M1320" s="17">
        <f t="shared" si="60"/>
        <v>193657.15000000002</v>
      </c>
      <c r="N1320" s="11">
        <f t="shared" si="61"/>
        <v>10</v>
      </c>
    </row>
    <row r="1321" spans="1:14" x14ac:dyDescent="0.25">
      <c r="A1321" s="11" t="s">
        <v>207</v>
      </c>
      <c r="B1321" s="12">
        <v>45217</v>
      </c>
      <c r="C1321" s="11" t="s">
        <v>688</v>
      </c>
      <c r="D1321" s="11" t="s">
        <v>43</v>
      </c>
      <c r="E1321" s="13" t="s">
        <v>357</v>
      </c>
      <c r="F1321" s="14" t="s">
        <v>13</v>
      </c>
      <c r="G1321" s="14" t="s">
        <v>400</v>
      </c>
      <c r="I1321" s="11">
        <f t="shared" si="62"/>
        <v>2</v>
      </c>
      <c r="J1321" s="16">
        <v>141.38999999999999</v>
      </c>
      <c r="M1321" s="17">
        <f t="shared" si="60"/>
        <v>193798.54000000004</v>
      </c>
      <c r="N1321" s="11">
        <f t="shared" si="61"/>
        <v>10</v>
      </c>
    </row>
    <row r="1322" spans="1:14" x14ac:dyDescent="0.25">
      <c r="A1322" s="11" t="s">
        <v>207</v>
      </c>
      <c r="B1322" s="12">
        <v>45217</v>
      </c>
      <c r="C1322" s="11" t="s">
        <v>688</v>
      </c>
      <c r="D1322" s="11" t="s">
        <v>43</v>
      </c>
      <c r="E1322" s="13" t="s">
        <v>357</v>
      </c>
      <c r="F1322" s="14" t="s">
        <v>13</v>
      </c>
      <c r="G1322" s="14" t="s">
        <v>400</v>
      </c>
      <c r="I1322" s="11">
        <f t="shared" si="62"/>
        <v>2</v>
      </c>
      <c r="J1322" s="16">
        <v>552.61</v>
      </c>
      <c r="M1322" s="17">
        <f t="shared" si="60"/>
        <v>194351.15000000002</v>
      </c>
      <c r="N1322" s="11">
        <f t="shared" si="61"/>
        <v>10</v>
      </c>
    </row>
    <row r="1323" spans="1:14" x14ac:dyDescent="0.25">
      <c r="A1323" s="11" t="s">
        <v>207</v>
      </c>
      <c r="B1323" s="12">
        <v>45217</v>
      </c>
      <c r="C1323" s="11" t="s">
        <v>688</v>
      </c>
      <c r="D1323" s="11" t="s">
        <v>43</v>
      </c>
      <c r="E1323" s="13" t="s">
        <v>357</v>
      </c>
      <c r="F1323" s="14" t="s">
        <v>13</v>
      </c>
      <c r="G1323" s="14" t="s">
        <v>400</v>
      </c>
      <c r="I1323" s="11">
        <f t="shared" si="62"/>
        <v>2</v>
      </c>
      <c r="J1323" s="16">
        <v>50.48</v>
      </c>
      <c r="M1323" s="17">
        <f t="shared" si="60"/>
        <v>194401.63000000003</v>
      </c>
      <c r="N1323" s="11">
        <f t="shared" si="61"/>
        <v>10</v>
      </c>
    </row>
    <row r="1324" spans="1:14" x14ac:dyDescent="0.25">
      <c r="A1324" s="11" t="s">
        <v>207</v>
      </c>
      <c r="B1324" s="12">
        <v>45217</v>
      </c>
      <c r="C1324" s="11" t="s">
        <v>688</v>
      </c>
      <c r="D1324" s="11" t="s">
        <v>43</v>
      </c>
      <c r="E1324" s="13" t="s">
        <v>357</v>
      </c>
      <c r="F1324" s="14" t="s">
        <v>13</v>
      </c>
      <c r="G1324" s="14" t="s">
        <v>400</v>
      </c>
      <c r="I1324" s="11">
        <f t="shared" si="62"/>
        <v>2</v>
      </c>
      <c r="J1324" s="16">
        <v>14.85</v>
      </c>
      <c r="M1324" s="17">
        <f t="shared" si="60"/>
        <v>194416.48000000004</v>
      </c>
      <c r="N1324" s="11">
        <f t="shared" si="61"/>
        <v>10</v>
      </c>
    </row>
    <row r="1325" spans="1:14" x14ac:dyDescent="0.25">
      <c r="A1325" s="11" t="s">
        <v>207</v>
      </c>
      <c r="B1325" s="12">
        <v>45217</v>
      </c>
      <c r="C1325" s="11" t="s">
        <v>688</v>
      </c>
      <c r="D1325" s="11" t="s">
        <v>43</v>
      </c>
      <c r="E1325" s="13" t="s">
        <v>79</v>
      </c>
      <c r="F1325" s="14" t="s">
        <v>79</v>
      </c>
      <c r="G1325" s="14" t="s">
        <v>400</v>
      </c>
      <c r="I1325" s="11">
        <f t="shared" si="62"/>
        <v>2</v>
      </c>
      <c r="J1325" s="16">
        <v>4100.9399999999996</v>
      </c>
      <c r="M1325" s="17">
        <f t="shared" si="60"/>
        <v>198517.42000000004</v>
      </c>
      <c r="N1325" s="11">
        <f t="shared" si="61"/>
        <v>10</v>
      </c>
    </row>
    <row r="1326" spans="1:14" x14ac:dyDescent="0.25">
      <c r="A1326" s="11" t="s">
        <v>207</v>
      </c>
      <c r="B1326" s="12">
        <v>45217</v>
      </c>
      <c r="C1326" s="11" t="s">
        <v>688</v>
      </c>
      <c r="D1326" s="11" t="s">
        <v>43</v>
      </c>
      <c r="E1326" s="13" t="s">
        <v>79</v>
      </c>
      <c r="F1326" s="14" t="s">
        <v>79</v>
      </c>
      <c r="G1326" s="14" t="s">
        <v>400</v>
      </c>
      <c r="I1326" s="11">
        <f t="shared" si="62"/>
        <v>2</v>
      </c>
      <c r="J1326" s="16">
        <v>1712.46</v>
      </c>
      <c r="M1326" s="17">
        <f t="shared" si="60"/>
        <v>200229.88000000003</v>
      </c>
      <c r="N1326" s="11">
        <f t="shared" si="61"/>
        <v>10</v>
      </c>
    </row>
    <row r="1327" spans="1:14" x14ac:dyDescent="0.25">
      <c r="A1327" s="11" t="s">
        <v>0</v>
      </c>
      <c r="B1327" s="12">
        <v>45217</v>
      </c>
      <c r="C1327" s="11" t="s">
        <v>688</v>
      </c>
      <c r="D1327" s="11" t="s">
        <v>692</v>
      </c>
      <c r="E1327" s="13" t="s">
        <v>730</v>
      </c>
      <c r="F1327" s="14" t="s">
        <v>34</v>
      </c>
      <c r="G1327" s="14" t="s">
        <v>404</v>
      </c>
      <c r="H1327" s="15">
        <v>11219</v>
      </c>
      <c r="I1327" s="11">
        <f t="shared" si="62"/>
        <v>5</v>
      </c>
      <c r="K1327" s="16">
        <v>1489.76</v>
      </c>
      <c r="M1327" s="17">
        <f t="shared" si="60"/>
        <v>198740.12000000002</v>
      </c>
      <c r="N1327" s="11">
        <f t="shared" si="61"/>
        <v>10</v>
      </c>
    </row>
    <row r="1328" spans="1:14" x14ac:dyDescent="0.25">
      <c r="A1328" s="11" t="s">
        <v>0</v>
      </c>
      <c r="B1328" s="12">
        <v>45217</v>
      </c>
      <c r="C1328" s="11" t="s">
        <v>688</v>
      </c>
      <c r="D1328" s="11" t="s">
        <v>701</v>
      </c>
      <c r="E1328" s="13" t="s">
        <v>204</v>
      </c>
      <c r="F1328" s="14" t="s">
        <v>204</v>
      </c>
      <c r="G1328" s="14" t="s">
        <v>404</v>
      </c>
      <c r="H1328" s="15">
        <v>3</v>
      </c>
      <c r="I1328" s="11">
        <f t="shared" si="62"/>
        <v>5</v>
      </c>
      <c r="K1328" s="16">
        <v>309.95999999999998</v>
      </c>
      <c r="M1328" s="17">
        <f t="shared" si="60"/>
        <v>198430.16000000003</v>
      </c>
      <c r="N1328" s="11">
        <f t="shared" si="61"/>
        <v>10</v>
      </c>
    </row>
    <row r="1329" spans="1:14" x14ac:dyDescent="0.25">
      <c r="A1329" s="11" t="s">
        <v>0</v>
      </c>
      <c r="B1329" s="12">
        <v>45217</v>
      </c>
      <c r="C1329" s="11" t="s">
        <v>688</v>
      </c>
      <c r="D1329" s="11" t="s">
        <v>692</v>
      </c>
      <c r="E1329" s="13" t="s">
        <v>725</v>
      </c>
      <c r="F1329" s="14" t="s">
        <v>33</v>
      </c>
      <c r="G1329" s="14" t="s">
        <v>404</v>
      </c>
      <c r="H1329" s="15">
        <v>24880</v>
      </c>
      <c r="I1329" s="11">
        <f t="shared" si="62"/>
        <v>5</v>
      </c>
      <c r="K1329" s="16">
        <v>392.2</v>
      </c>
      <c r="M1329" s="17">
        <f t="shared" si="60"/>
        <v>198037.96000000002</v>
      </c>
      <c r="N1329" s="11">
        <f t="shared" si="61"/>
        <v>10</v>
      </c>
    </row>
    <row r="1330" spans="1:14" x14ac:dyDescent="0.25">
      <c r="A1330" s="11" t="s">
        <v>0</v>
      </c>
      <c r="B1330" s="12">
        <v>45217</v>
      </c>
      <c r="C1330" s="11" t="s">
        <v>688</v>
      </c>
      <c r="D1330" s="11" t="s">
        <v>692</v>
      </c>
      <c r="E1330" s="13" t="s">
        <v>179</v>
      </c>
      <c r="F1330" s="14" t="s">
        <v>378</v>
      </c>
      <c r="G1330" s="14" t="s">
        <v>404</v>
      </c>
      <c r="H1330" s="15">
        <v>4</v>
      </c>
      <c r="I1330" s="11">
        <f t="shared" si="62"/>
        <v>5</v>
      </c>
      <c r="K1330" s="16">
        <v>1120</v>
      </c>
      <c r="M1330" s="17">
        <f t="shared" si="60"/>
        <v>196917.96000000002</v>
      </c>
      <c r="N1330" s="11">
        <f t="shared" si="61"/>
        <v>10</v>
      </c>
    </row>
    <row r="1331" spans="1:14" x14ac:dyDescent="0.25">
      <c r="A1331" s="11" t="s">
        <v>0</v>
      </c>
      <c r="B1331" s="12">
        <v>45217</v>
      </c>
      <c r="C1331" s="11" t="s">
        <v>688</v>
      </c>
      <c r="D1331" s="11" t="s">
        <v>692</v>
      </c>
      <c r="E1331" s="13" t="s">
        <v>724</v>
      </c>
      <c r="F1331" s="14" t="s">
        <v>119</v>
      </c>
      <c r="G1331" s="14" t="s">
        <v>404</v>
      </c>
      <c r="H1331" s="15">
        <v>1279511</v>
      </c>
      <c r="I1331" s="11">
        <f t="shared" si="62"/>
        <v>5</v>
      </c>
      <c r="K1331" s="16">
        <v>4348.42</v>
      </c>
      <c r="M1331" s="17">
        <f t="shared" si="60"/>
        <v>192569.54</v>
      </c>
      <c r="N1331" s="11">
        <f t="shared" si="61"/>
        <v>10</v>
      </c>
    </row>
    <row r="1332" spans="1:14" x14ac:dyDescent="0.25">
      <c r="A1332" s="11" t="s">
        <v>0</v>
      </c>
      <c r="B1332" s="12">
        <v>45217</v>
      </c>
      <c r="C1332" s="11" t="s">
        <v>688</v>
      </c>
      <c r="D1332" s="11" t="s">
        <v>692</v>
      </c>
      <c r="E1332" s="13" t="s">
        <v>179</v>
      </c>
      <c r="F1332" s="14" t="s">
        <v>28</v>
      </c>
      <c r="G1332" s="14" t="s">
        <v>404</v>
      </c>
      <c r="H1332" s="15">
        <v>37</v>
      </c>
      <c r="I1332" s="11">
        <f t="shared" si="62"/>
        <v>5</v>
      </c>
      <c r="K1332" s="16">
        <v>1120</v>
      </c>
      <c r="M1332" s="17">
        <f t="shared" si="60"/>
        <v>191449.54</v>
      </c>
      <c r="N1332" s="11">
        <f t="shared" si="61"/>
        <v>10</v>
      </c>
    </row>
    <row r="1333" spans="1:14" ht="26.4" x14ac:dyDescent="0.25">
      <c r="A1333" s="11" t="s">
        <v>0</v>
      </c>
      <c r="B1333" s="12">
        <v>45217</v>
      </c>
      <c r="C1333" s="11" t="s">
        <v>688</v>
      </c>
      <c r="D1333" s="11" t="s">
        <v>692</v>
      </c>
      <c r="E1333" s="13" t="s">
        <v>725</v>
      </c>
      <c r="F1333" s="14" t="s">
        <v>27</v>
      </c>
      <c r="G1333" s="14" t="s">
        <v>404</v>
      </c>
      <c r="H1333" s="15" t="s">
        <v>419</v>
      </c>
      <c r="I1333" s="11">
        <f t="shared" si="62"/>
        <v>5</v>
      </c>
      <c r="K1333" s="16">
        <v>1245.1500000000001</v>
      </c>
      <c r="M1333" s="17">
        <f t="shared" si="60"/>
        <v>190204.39</v>
      </c>
      <c r="N1333" s="11">
        <f t="shared" si="61"/>
        <v>10</v>
      </c>
    </row>
    <row r="1334" spans="1:14" x14ac:dyDescent="0.25">
      <c r="A1334" s="11" t="s">
        <v>0</v>
      </c>
      <c r="B1334" s="12">
        <v>45217</v>
      </c>
      <c r="C1334" s="11" t="s">
        <v>688</v>
      </c>
      <c r="D1334" s="11" t="s">
        <v>692</v>
      </c>
      <c r="E1334" s="13" t="s">
        <v>108</v>
      </c>
      <c r="F1334" s="14" t="s">
        <v>107</v>
      </c>
      <c r="G1334" s="14" t="s">
        <v>173</v>
      </c>
      <c r="H1334" s="15">
        <v>6</v>
      </c>
      <c r="I1334" s="11">
        <f t="shared" si="62"/>
        <v>6</v>
      </c>
      <c r="K1334" s="16">
        <v>600</v>
      </c>
      <c r="M1334" s="17">
        <f t="shared" si="60"/>
        <v>189604.39</v>
      </c>
      <c r="N1334" s="11">
        <f t="shared" si="61"/>
        <v>10</v>
      </c>
    </row>
    <row r="1335" spans="1:14" x14ac:dyDescent="0.25">
      <c r="A1335" s="11" t="s">
        <v>0</v>
      </c>
      <c r="B1335" s="12">
        <v>45217</v>
      </c>
      <c r="C1335" s="11" t="s">
        <v>688</v>
      </c>
      <c r="D1335" s="11" t="s">
        <v>694</v>
      </c>
      <c r="E1335" s="13" t="s">
        <v>182</v>
      </c>
      <c r="F1335" s="14" t="s">
        <v>365</v>
      </c>
      <c r="G1335" s="14" t="s">
        <v>402</v>
      </c>
      <c r="I1335" s="11">
        <f t="shared" si="62"/>
        <v>5</v>
      </c>
      <c r="K1335" s="16">
        <v>1.93</v>
      </c>
      <c r="M1335" s="17">
        <f t="shared" si="60"/>
        <v>189602.46000000002</v>
      </c>
      <c r="N1335" s="11">
        <f t="shared" si="61"/>
        <v>10</v>
      </c>
    </row>
    <row r="1336" spans="1:14" x14ac:dyDescent="0.25">
      <c r="A1336" s="11" t="s">
        <v>0</v>
      </c>
      <c r="B1336" s="12">
        <v>45217</v>
      </c>
      <c r="C1336" s="11" t="s">
        <v>688</v>
      </c>
      <c r="D1336" s="11" t="s">
        <v>694</v>
      </c>
      <c r="E1336" s="13" t="s">
        <v>182</v>
      </c>
      <c r="F1336" s="14" t="s">
        <v>23</v>
      </c>
      <c r="G1336" s="14" t="s">
        <v>402</v>
      </c>
      <c r="I1336" s="11">
        <f t="shared" si="62"/>
        <v>5</v>
      </c>
      <c r="K1336" s="16">
        <v>33.22</v>
      </c>
      <c r="M1336" s="17">
        <f t="shared" si="60"/>
        <v>189569.24000000002</v>
      </c>
      <c r="N1336" s="11">
        <f t="shared" si="61"/>
        <v>10</v>
      </c>
    </row>
    <row r="1337" spans="1:14" x14ac:dyDescent="0.25">
      <c r="A1337" s="11" t="s">
        <v>207</v>
      </c>
      <c r="B1337" s="12">
        <v>45217</v>
      </c>
      <c r="C1337" s="11" t="s">
        <v>688</v>
      </c>
      <c r="D1337" s="11" t="s">
        <v>43</v>
      </c>
      <c r="E1337" s="13" t="s">
        <v>420</v>
      </c>
      <c r="F1337" s="14" t="s">
        <v>420</v>
      </c>
      <c r="G1337" s="14" t="s">
        <v>400</v>
      </c>
      <c r="I1337" s="11">
        <f t="shared" si="62"/>
        <v>2</v>
      </c>
      <c r="J1337" s="16">
        <v>280.60000000000002</v>
      </c>
      <c r="M1337" s="17">
        <f t="shared" si="60"/>
        <v>189849.84000000003</v>
      </c>
      <c r="N1337" s="11">
        <f t="shared" si="61"/>
        <v>10</v>
      </c>
    </row>
    <row r="1338" spans="1:14" x14ac:dyDescent="0.25">
      <c r="A1338" s="11" t="s">
        <v>207</v>
      </c>
      <c r="B1338" s="12">
        <v>45217</v>
      </c>
      <c r="C1338" s="11" t="s">
        <v>688</v>
      </c>
      <c r="D1338" s="11" t="s">
        <v>43</v>
      </c>
      <c r="E1338" s="14" t="s">
        <v>288</v>
      </c>
      <c r="F1338" s="14" t="s">
        <v>288</v>
      </c>
      <c r="G1338" s="14" t="s">
        <v>173</v>
      </c>
      <c r="I1338" s="11">
        <f t="shared" si="62"/>
        <v>3</v>
      </c>
      <c r="J1338" s="16">
        <v>1380</v>
      </c>
      <c r="M1338" s="17">
        <f t="shared" si="60"/>
        <v>191229.84000000003</v>
      </c>
      <c r="N1338" s="11">
        <f t="shared" si="61"/>
        <v>10</v>
      </c>
    </row>
    <row r="1339" spans="1:14" x14ac:dyDescent="0.25">
      <c r="A1339" s="11" t="s">
        <v>207</v>
      </c>
      <c r="B1339" s="12">
        <v>45217</v>
      </c>
      <c r="C1339" s="11" t="s">
        <v>688</v>
      </c>
      <c r="D1339" s="11" t="s">
        <v>43</v>
      </c>
      <c r="E1339" s="14" t="s">
        <v>429</v>
      </c>
      <c r="F1339" s="14" t="s">
        <v>429</v>
      </c>
      <c r="G1339" s="14" t="s">
        <v>428</v>
      </c>
      <c r="I1339" s="11">
        <f t="shared" si="62"/>
        <v>1</v>
      </c>
      <c r="J1339" s="16">
        <v>367.4</v>
      </c>
      <c r="M1339" s="17">
        <f t="shared" si="60"/>
        <v>191597.24000000002</v>
      </c>
      <c r="N1339" s="11">
        <f t="shared" si="61"/>
        <v>10</v>
      </c>
    </row>
    <row r="1340" spans="1:14" x14ac:dyDescent="0.25">
      <c r="A1340" s="11" t="s">
        <v>207</v>
      </c>
      <c r="B1340" s="12">
        <v>45218</v>
      </c>
      <c r="C1340" s="11" t="s">
        <v>688</v>
      </c>
      <c r="D1340" s="11" t="s">
        <v>43</v>
      </c>
      <c r="E1340" s="13" t="s">
        <v>357</v>
      </c>
      <c r="F1340" s="14" t="s">
        <v>13</v>
      </c>
      <c r="G1340" s="14" t="s">
        <v>400</v>
      </c>
      <c r="I1340" s="11">
        <f t="shared" si="62"/>
        <v>2</v>
      </c>
      <c r="J1340" s="16">
        <v>6.86</v>
      </c>
      <c r="M1340" s="17">
        <f t="shared" si="60"/>
        <v>191604.1</v>
      </c>
      <c r="N1340" s="11">
        <f t="shared" si="61"/>
        <v>10</v>
      </c>
    </row>
    <row r="1341" spans="1:14" x14ac:dyDescent="0.25">
      <c r="A1341" s="11" t="s">
        <v>207</v>
      </c>
      <c r="B1341" s="12">
        <v>45218</v>
      </c>
      <c r="C1341" s="11" t="s">
        <v>688</v>
      </c>
      <c r="D1341" s="11" t="s">
        <v>43</v>
      </c>
      <c r="E1341" s="13" t="s">
        <v>357</v>
      </c>
      <c r="F1341" s="14" t="s">
        <v>13</v>
      </c>
      <c r="G1341" s="14" t="s">
        <v>400</v>
      </c>
      <c r="I1341" s="11">
        <f t="shared" si="62"/>
        <v>2</v>
      </c>
      <c r="J1341" s="16">
        <v>281.5</v>
      </c>
      <c r="M1341" s="17">
        <f t="shared" si="60"/>
        <v>191885.6</v>
      </c>
      <c r="N1341" s="11">
        <f t="shared" si="61"/>
        <v>10</v>
      </c>
    </row>
    <row r="1342" spans="1:14" x14ac:dyDescent="0.25">
      <c r="A1342" s="11" t="s">
        <v>207</v>
      </c>
      <c r="B1342" s="12">
        <v>45218</v>
      </c>
      <c r="C1342" s="11" t="s">
        <v>688</v>
      </c>
      <c r="D1342" s="11" t="s">
        <v>43</v>
      </c>
      <c r="E1342" s="13" t="s">
        <v>79</v>
      </c>
      <c r="F1342" s="14" t="s">
        <v>79</v>
      </c>
      <c r="G1342" s="14" t="s">
        <v>400</v>
      </c>
      <c r="I1342" s="11">
        <f t="shared" si="62"/>
        <v>2</v>
      </c>
      <c r="J1342" s="16">
        <v>2696.52</v>
      </c>
      <c r="M1342" s="17">
        <f t="shared" si="60"/>
        <v>194582.12</v>
      </c>
      <c r="N1342" s="11">
        <f t="shared" si="61"/>
        <v>10</v>
      </c>
    </row>
    <row r="1343" spans="1:14" x14ac:dyDescent="0.25">
      <c r="A1343" s="11" t="s">
        <v>207</v>
      </c>
      <c r="B1343" s="12">
        <v>45218</v>
      </c>
      <c r="C1343" s="11" t="s">
        <v>688</v>
      </c>
      <c r="D1343" s="11" t="s">
        <v>43</v>
      </c>
      <c r="E1343" s="13" t="s">
        <v>79</v>
      </c>
      <c r="F1343" s="14" t="s">
        <v>79</v>
      </c>
      <c r="G1343" s="14" t="s">
        <v>400</v>
      </c>
      <c r="I1343" s="11">
        <f t="shared" si="62"/>
        <v>2</v>
      </c>
      <c r="J1343" s="16">
        <v>1357.32</v>
      </c>
      <c r="M1343" s="17">
        <f t="shared" si="60"/>
        <v>195939.44</v>
      </c>
      <c r="N1343" s="11">
        <f t="shared" si="61"/>
        <v>10</v>
      </c>
    </row>
    <row r="1344" spans="1:14" x14ac:dyDescent="0.25">
      <c r="A1344" s="11" t="s">
        <v>207</v>
      </c>
      <c r="B1344" s="12">
        <v>45218</v>
      </c>
      <c r="C1344" s="11" t="s">
        <v>688</v>
      </c>
      <c r="D1344" s="11" t="s">
        <v>43</v>
      </c>
      <c r="E1344" s="13" t="s">
        <v>79</v>
      </c>
      <c r="F1344" s="14" t="s">
        <v>79</v>
      </c>
      <c r="G1344" s="14" t="s">
        <v>400</v>
      </c>
      <c r="I1344" s="11">
        <f t="shared" si="62"/>
        <v>2</v>
      </c>
      <c r="J1344" s="16">
        <v>74.459999999999994</v>
      </c>
      <c r="M1344" s="17">
        <f t="shared" si="60"/>
        <v>196013.9</v>
      </c>
      <c r="N1344" s="11">
        <f t="shared" si="61"/>
        <v>10</v>
      </c>
    </row>
    <row r="1345" spans="1:14" x14ac:dyDescent="0.25">
      <c r="A1345" s="11" t="s">
        <v>0</v>
      </c>
      <c r="B1345" s="12">
        <v>45218</v>
      </c>
      <c r="C1345" s="11" t="s">
        <v>688</v>
      </c>
      <c r="D1345" s="11" t="s">
        <v>720</v>
      </c>
      <c r="E1345" s="13" t="s">
        <v>183</v>
      </c>
      <c r="F1345" s="14" t="s">
        <v>366</v>
      </c>
      <c r="G1345" s="14" t="s">
        <v>404</v>
      </c>
      <c r="H1345" s="15">
        <v>58</v>
      </c>
      <c r="I1345" s="11">
        <f t="shared" si="62"/>
        <v>5</v>
      </c>
      <c r="K1345" s="16">
        <v>80</v>
      </c>
      <c r="M1345" s="17">
        <f t="shared" si="60"/>
        <v>195933.9</v>
      </c>
      <c r="N1345" s="11">
        <f t="shared" si="61"/>
        <v>10</v>
      </c>
    </row>
    <row r="1346" spans="1:14" x14ac:dyDescent="0.25">
      <c r="A1346" s="11" t="s">
        <v>0</v>
      </c>
      <c r="B1346" s="12">
        <v>45218</v>
      </c>
      <c r="C1346" s="11" t="s">
        <v>688</v>
      </c>
      <c r="D1346" s="11" t="s">
        <v>696</v>
      </c>
      <c r="E1346" s="13" t="s">
        <v>358</v>
      </c>
      <c r="F1346" s="14" t="s">
        <v>358</v>
      </c>
      <c r="G1346" s="14" t="s">
        <v>404</v>
      </c>
      <c r="H1346" s="15" t="s">
        <v>20</v>
      </c>
      <c r="I1346" s="11">
        <f t="shared" si="62"/>
        <v>5</v>
      </c>
      <c r="K1346" s="16">
        <v>3000</v>
      </c>
      <c r="M1346" s="17">
        <f t="shared" si="60"/>
        <v>192933.9</v>
      </c>
      <c r="N1346" s="11">
        <f t="shared" si="61"/>
        <v>10</v>
      </c>
    </row>
    <row r="1347" spans="1:14" x14ac:dyDescent="0.25">
      <c r="A1347" s="11" t="s">
        <v>207</v>
      </c>
      <c r="B1347" s="12">
        <v>45218</v>
      </c>
      <c r="C1347" s="11" t="s">
        <v>688</v>
      </c>
      <c r="D1347" s="11" t="s">
        <v>43</v>
      </c>
      <c r="E1347" s="13" t="s">
        <v>422</v>
      </c>
      <c r="F1347" s="14" t="s">
        <v>422</v>
      </c>
      <c r="G1347" s="14" t="s">
        <v>400</v>
      </c>
      <c r="I1347" s="11">
        <f t="shared" si="62"/>
        <v>2</v>
      </c>
      <c r="J1347" s="16">
        <v>181.9</v>
      </c>
      <c r="M1347" s="17">
        <f t="shared" ref="M1347:M1410" si="63">IF(B1347=0, "",M1346+ J1347-K1347)</f>
        <v>193115.8</v>
      </c>
      <c r="N1347" s="11">
        <f t="shared" ref="N1347:N1410" si="64">IF(B1347=0, "", MONTH(B1347))</f>
        <v>10</v>
      </c>
    </row>
    <row r="1348" spans="1:14" x14ac:dyDescent="0.25">
      <c r="A1348" s="11" t="s">
        <v>0</v>
      </c>
      <c r="B1348" s="12">
        <v>45218</v>
      </c>
      <c r="C1348" s="11" t="s">
        <v>688</v>
      </c>
      <c r="D1348" s="11" t="s">
        <v>694</v>
      </c>
      <c r="E1348" s="13" t="s">
        <v>182</v>
      </c>
      <c r="F1348" s="14" t="s">
        <v>365</v>
      </c>
      <c r="G1348" s="14" t="s">
        <v>402</v>
      </c>
      <c r="I1348" s="11">
        <f t="shared" si="62"/>
        <v>5</v>
      </c>
      <c r="K1348" s="16">
        <v>1.24</v>
      </c>
      <c r="M1348" s="17">
        <f t="shared" si="63"/>
        <v>193114.56</v>
      </c>
      <c r="N1348" s="11">
        <f t="shared" si="64"/>
        <v>10</v>
      </c>
    </row>
    <row r="1349" spans="1:14" x14ac:dyDescent="0.25">
      <c r="A1349" s="11" t="s">
        <v>0</v>
      </c>
      <c r="B1349" s="12">
        <v>45218</v>
      </c>
      <c r="C1349" s="11" t="s">
        <v>688</v>
      </c>
      <c r="D1349" s="11" t="s">
        <v>694</v>
      </c>
      <c r="E1349" s="13" t="s">
        <v>182</v>
      </c>
      <c r="F1349" s="14" t="s">
        <v>23</v>
      </c>
      <c r="G1349" s="14" t="s">
        <v>402</v>
      </c>
      <c r="I1349" s="11">
        <f t="shared" si="62"/>
        <v>5</v>
      </c>
      <c r="K1349" s="16">
        <v>20.52</v>
      </c>
      <c r="M1349" s="17">
        <f t="shared" si="63"/>
        <v>193094.04</v>
      </c>
      <c r="N1349" s="11">
        <f t="shared" si="64"/>
        <v>10</v>
      </c>
    </row>
    <row r="1350" spans="1:14" x14ac:dyDescent="0.25">
      <c r="A1350" s="11" t="s">
        <v>0</v>
      </c>
      <c r="B1350" s="12">
        <v>45218</v>
      </c>
      <c r="C1350" s="11" t="s">
        <v>688</v>
      </c>
      <c r="D1350" s="11" t="s">
        <v>692</v>
      </c>
      <c r="E1350" s="13" t="s">
        <v>143</v>
      </c>
      <c r="F1350" s="14" t="s">
        <v>59</v>
      </c>
      <c r="G1350" s="14" t="s">
        <v>404</v>
      </c>
      <c r="H1350" s="15">
        <v>431128</v>
      </c>
      <c r="I1350" s="11">
        <f t="shared" ref="I1350:I1412" si="65">IF(AND(G1350="MERCADO PAGO",A1350="FATURAMENTO"),1,IF(AND(OR(G1350="MERCADO PAGO",G1350="pix mercado pago",G1350= "débito automático mercado pago", G1350= "boleto mercado pago"),A1350="DESPESAS"),4,IF(AND(G1350="SAFRA",A1350="FATURAMENTO"),2,IF(AND(OR(G1350="SAFRA",G1350="PIX SAFRA", G1350="DÉBITO AUTOMÁTICO SAFRA", G1350= "BOLETO SAFRA", G1350= "transferência safra"), A1350="DESPESAS"),5,IF(AND(G1350="espécie",A1350="FATURAMENTO"),3,IF(AND(G1350="espécie",A1350="DESPESAS"),6))))))</f>
        <v>5</v>
      </c>
      <c r="K1350" s="16">
        <v>3205.82</v>
      </c>
      <c r="M1350" s="17">
        <f t="shared" si="63"/>
        <v>189888.22</v>
      </c>
      <c r="N1350" s="11">
        <f t="shared" si="64"/>
        <v>10</v>
      </c>
    </row>
    <row r="1351" spans="1:14" x14ac:dyDescent="0.25">
      <c r="A1351" s="11" t="s">
        <v>207</v>
      </c>
      <c r="B1351" s="12">
        <v>45218</v>
      </c>
      <c r="C1351" s="11" t="s">
        <v>688</v>
      </c>
      <c r="D1351" s="11" t="s">
        <v>43</v>
      </c>
      <c r="E1351" s="14" t="s">
        <v>288</v>
      </c>
      <c r="F1351" s="14" t="s">
        <v>288</v>
      </c>
      <c r="G1351" s="14" t="s">
        <v>173</v>
      </c>
      <c r="I1351" s="11">
        <f t="shared" si="65"/>
        <v>3</v>
      </c>
      <c r="J1351" s="16">
        <v>1790</v>
      </c>
      <c r="M1351" s="17">
        <f t="shared" si="63"/>
        <v>191678.22</v>
      </c>
      <c r="N1351" s="11">
        <f t="shared" si="64"/>
        <v>10</v>
      </c>
    </row>
    <row r="1352" spans="1:14" x14ac:dyDescent="0.25">
      <c r="A1352" s="11" t="s">
        <v>207</v>
      </c>
      <c r="B1352" s="12">
        <v>45218</v>
      </c>
      <c r="C1352" s="11" t="s">
        <v>688</v>
      </c>
      <c r="D1352" s="11" t="s">
        <v>43</v>
      </c>
      <c r="E1352" s="14" t="s">
        <v>429</v>
      </c>
      <c r="F1352" s="14" t="s">
        <v>429</v>
      </c>
      <c r="G1352" s="14" t="s">
        <v>428</v>
      </c>
      <c r="I1352" s="11">
        <f t="shared" si="65"/>
        <v>1</v>
      </c>
      <c r="J1352" s="16">
        <v>60</v>
      </c>
      <c r="M1352" s="17">
        <f t="shared" si="63"/>
        <v>191738.22</v>
      </c>
      <c r="N1352" s="11">
        <f t="shared" si="64"/>
        <v>10</v>
      </c>
    </row>
    <row r="1353" spans="1:14" x14ac:dyDescent="0.25">
      <c r="A1353" s="11" t="s">
        <v>207</v>
      </c>
      <c r="B1353" s="12">
        <v>45219</v>
      </c>
      <c r="C1353" s="11" t="s">
        <v>688</v>
      </c>
      <c r="D1353" s="11" t="s">
        <v>43</v>
      </c>
      <c r="E1353" s="13" t="s">
        <v>357</v>
      </c>
      <c r="F1353" s="14" t="s">
        <v>13</v>
      </c>
      <c r="G1353" s="14" t="s">
        <v>400</v>
      </c>
      <c r="I1353" s="11">
        <f t="shared" si="65"/>
        <v>2</v>
      </c>
      <c r="J1353" s="16">
        <v>232.21</v>
      </c>
      <c r="M1353" s="17">
        <f t="shared" si="63"/>
        <v>191970.43</v>
      </c>
      <c r="N1353" s="11">
        <f t="shared" si="64"/>
        <v>10</v>
      </c>
    </row>
    <row r="1354" spans="1:14" x14ac:dyDescent="0.25">
      <c r="A1354" s="11" t="s">
        <v>207</v>
      </c>
      <c r="B1354" s="12">
        <v>45219</v>
      </c>
      <c r="C1354" s="11" t="s">
        <v>688</v>
      </c>
      <c r="D1354" s="11" t="s">
        <v>43</v>
      </c>
      <c r="E1354" s="13" t="s">
        <v>357</v>
      </c>
      <c r="F1354" s="14" t="s">
        <v>13</v>
      </c>
      <c r="G1354" s="14" t="s">
        <v>400</v>
      </c>
      <c r="I1354" s="11">
        <f t="shared" si="65"/>
        <v>2</v>
      </c>
      <c r="J1354" s="16">
        <v>807.67</v>
      </c>
      <c r="M1354" s="17">
        <f t="shared" si="63"/>
        <v>192778.1</v>
      </c>
      <c r="N1354" s="11">
        <f t="shared" si="64"/>
        <v>10</v>
      </c>
    </row>
    <row r="1355" spans="1:14" x14ac:dyDescent="0.25">
      <c r="A1355" s="11" t="s">
        <v>207</v>
      </c>
      <c r="B1355" s="12">
        <v>45219</v>
      </c>
      <c r="C1355" s="11" t="s">
        <v>688</v>
      </c>
      <c r="D1355" s="11" t="s">
        <v>43</v>
      </c>
      <c r="E1355" s="13" t="s">
        <v>357</v>
      </c>
      <c r="F1355" s="14" t="s">
        <v>13</v>
      </c>
      <c r="G1355" s="14" t="s">
        <v>400</v>
      </c>
      <c r="I1355" s="11">
        <f t="shared" si="65"/>
        <v>2</v>
      </c>
      <c r="J1355" s="16">
        <v>107.79</v>
      </c>
      <c r="M1355" s="17">
        <f t="shared" si="63"/>
        <v>192885.89</v>
      </c>
      <c r="N1355" s="11">
        <f t="shared" si="64"/>
        <v>10</v>
      </c>
    </row>
    <row r="1356" spans="1:14" x14ac:dyDescent="0.25">
      <c r="A1356" s="11" t="s">
        <v>207</v>
      </c>
      <c r="B1356" s="12">
        <v>45219</v>
      </c>
      <c r="C1356" s="11" t="s">
        <v>688</v>
      </c>
      <c r="D1356" s="11" t="s">
        <v>43</v>
      </c>
      <c r="E1356" s="13" t="s">
        <v>357</v>
      </c>
      <c r="F1356" s="14" t="s">
        <v>13</v>
      </c>
      <c r="G1356" s="14" t="s">
        <v>400</v>
      </c>
      <c r="I1356" s="11">
        <f t="shared" si="65"/>
        <v>2</v>
      </c>
      <c r="J1356" s="16">
        <v>243.39</v>
      </c>
      <c r="M1356" s="17">
        <f t="shared" si="63"/>
        <v>193129.28000000003</v>
      </c>
      <c r="N1356" s="11">
        <f t="shared" si="64"/>
        <v>10</v>
      </c>
    </row>
    <row r="1357" spans="1:14" x14ac:dyDescent="0.25">
      <c r="A1357" s="11" t="s">
        <v>207</v>
      </c>
      <c r="B1357" s="12">
        <v>45219</v>
      </c>
      <c r="C1357" s="11" t="s">
        <v>688</v>
      </c>
      <c r="D1357" s="11" t="s">
        <v>43</v>
      </c>
      <c r="E1357" s="13" t="s">
        <v>79</v>
      </c>
      <c r="F1357" s="14" t="s">
        <v>79</v>
      </c>
      <c r="G1357" s="14" t="s">
        <v>400</v>
      </c>
      <c r="I1357" s="11">
        <f t="shared" si="65"/>
        <v>2</v>
      </c>
      <c r="J1357" s="16">
        <v>2449.16</v>
      </c>
      <c r="M1357" s="17">
        <f t="shared" si="63"/>
        <v>195578.44000000003</v>
      </c>
      <c r="N1357" s="11">
        <f t="shared" si="64"/>
        <v>10</v>
      </c>
    </row>
    <row r="1358" spans="1:14" x14ac:dyDescent="0.25">
      <c r="A1358" s="11" t="s">
        <v>207</v>
      </c>
      <c r="B1358" s="12">
        <v>45219</v>
      </c>
      <c r="C1358" s="11" t="s">
        <v>688</v>
      </c>
      <c r="D1358" s="11" t="s">
        <v>43</v>
      </c>
      <c r="E1358" s="13" t="s">
        <v>79</v>
      </c>
      <c r="F1358" s="14" t="s">
        <v>79</v>
      </c>
      <c r="G1358" s="14" t="s">
        <v>400</v>
      </c>
      <c r="I1358" s="11">
        <f t="shared" si="65"/>
        <v>2</v>
      </c>
      <c r="J1358" s="16">
        <v>2385.36</v>
      </c>
      <c r="M1358" s="17">
        <f t="shared" si="63"/>
        <v>197963.80000000002</v>
      </c>
      <c r="N1358" s="11">
        <f t="shared" si="64"/>
        <v>10</v>
      </c>
    </row>
    <row r="1359" spans="1:14" x14ac:dyDescent="0.25">
      <c r="A1359" s="11" t="s">
        <v>207</v>
      </c>
      <c r="B1359" s="12">
        <v>45219</v>
      </c>
      <c r="C1359" s="11" t="s">
        <v>688</v>
      </c>
      <c r="D1359" s="11" t="s">
        <v>43</v>
      </c>
      <c r="E1359" s="13" t="s">
        <v>79</v>
      </c>
      <c r="F1359" s="14" t="s">
        <v>79</v>
      </c>
      <c r="G1359" s="14" t="s">
        <v>400</v>
      </c>
      <c r="I1359" s="11">
        <f t="shared" si="65"/>
        <v>2</v>
      </c>
      <c r="J1359" s="16">
        <v>131.53</v>
      </c>
      <c r="M1359" s="17">
        <f t="shared" si="63"/>
        <v>198095.33000000002</v>
      </c>
      <c r="N1359" s="11">
        <f t="shared" si="64"/>
        <v>10</v>
      </c>
    </row>
    <row r="1360" spans="1:14" x14ac:dyDescent="0.25">
      <c r="A1360" s="11" t="s">
        <v>207</v>
      </c>
      <c r="B1360" s="12">
        <v>45219</v>
      </c>
      <c r="C1360" s="11" t="s">
        <v>688</v>
      </c>
      <c r="D1360" s="11" t="s">
        <v>43</v>
      </c>
      <c r="E1360" s="13" t="s">
        <v>79</v>
      </c>
      <c r="F1360" s="14" t="s">
        <v>79</v>
      </c>
      <c r="G1360" s="14" t="s">
        <v>400</v>
      </c>
      <c r="I1360" s="11">
        <f t="shared" si="65"/>
        <v>2</v>
      </c>
      <c r="J1360" s="16">
        <v>199.65</v>
      </c>
      <c r="M1360" s="17">
        <f t="shared" si="63"/>
        <v>198294.98</v>
      </c>
      <c r="N1360" s="11">
        <f t="shared" si="64"/>
        <v>10</v>
      </c>
    </row>
    <row r="1361" spans="1:14" x14ac:dyDescent="0.25">
      <c r="A1361" s="11" t="s">
        <v>0</v>
      </c>
      <c r="B1361" s="12">
        <v>45219</v>
      </c>
      <c r="C1361" s="11" t="s">
        <v>688</v>
      </c>
      <c r="D1361" s="11" t="s">
        <v>692</v>
      </c>
      <c r="E1361" s="13" t="s">
        <v>143</v>
      </c>
      <c r="F1361" s="14" t="s">
        <v>31</v>
      </c>
      <c r="G1361" s="14" t="s">
        <v>403</v>
      </c>
      <c r="H1361" s="15">
        <v>2872306</v>
      </c>
      <c r="I1361" s="11">
        <f t="shared" si="65"/>
        <v>5</v>
      </c>
      <c r="K1361" s="16">
        <v>1176.3800000000001</v>
      </c>
      <c r="M1361" s="17">
        <f t="shared" si="63"/>
        <v>197118.6</v>
      </c>
      <c r="N1361" s="11">
        <f t="shared" si="64"/>
        <v>10</v>
      </c>
    </row>
    <row r="1362" spans="1:14" x14ac:dyDescent="0.25">
      <c r="A1362" s="11" t="s">
        <v>0</v>
      </c>
      <c r="B1362" s="12">
        <v>45219</v>
      </c>
      <c r="C1362" s="11" t="s">
        <v>688</v>
      </c>
      <c r="D1362" s="11" t="s">
        <v>701</v>
      </c>
      <c r="E1362" s="13" t="s">
        <v>180</v>
      </c>
      <c r="F1362" s="14" t="s">
        <v>71</v>
      </c>
      <c r="G1362" s="14" t="s">
        <v>404</v>
      </c>
      <c r="H1362" s="15">
        <v>5</v>
      </c>
      <c r="I1362" s="11">
        <f t="shared" si="65"/>
        <v>5</v>
      </c>
      <c r="K1362" s="16">
        <v>316.85000000000002</v>
      </c>
      <c r="M1362" s="17">
        <f t="shared" si="63"/>
        <v>196801.75</v>
      </c>
      <c r="N1362" s="11">
        <f t="shared" si="64"/>
        <v>10</v>
      </c>
    </row>
    <row r="1363" spans="1:14" x14ac:dyDescent="0.25">
      <c r="A1363" s="11" t="s">
        <v>0</v>
      </c>
      <c r="B1363" s="12">
        <v>45219</v>
      </c>
      <c r="C1363" s="11" t="s">
        <v>688</v>
      </c>
      <c r="D1363" s="11" t="s">
        <v>697</v>
      </c>
      <c r="E1363" s="13" t="s">
        <v>424</v>
      </c>
      <c r="F1363" s="14" t="s">
        <v>427</v>
      </c>
      <c r="G1363" s="14" t="s">
        <v>404</v>
      </c>
      <c r="H1363" s="15">
        <v>2</v>
      </c>
      <c r="I1363" s="11">
        <f t="shared" si="65"/>
        <v>5</v>
      </c>
      <c r="K1363" s="16">
        <v>431.82</v>
      </c>
      <c r="M1363" s="17">
        <f t="shared" si="63"/>
        <v>196369.93</v>
      </c>
      <c r="N1363" s="11">
        <f t="shared" si="64"/>
        <v>10</v>
      </c>
    </row>
    <row r="1364" spans="1:14" x14ac:dyDescent="0.25">
      <c r="A1364" s="11" t="s">
        <v>0</v>
      </c>
      <c r="B1364" s="12">
        <v>45219</v>
      </c>
      <c r="C1364" s="11" t="s">
        <v>688</v>
      </c>
      <c r="D1364" s="11" t="s">
        <v>692</v>
      </c>
      <c r="E1364" s="13" t="s">
        <v>492</v>
      </c>
      <c r="F1364" s="14" t="s">
        <v>111</v>
      </c>
      <c r="G1364" s="14" t="s">
        <v>404</v>
      </c>
      <c r="H1364" s="15" t="s">
        <v>436</v>
      </c>
      <c r="I1364" s="11">
        <f t="shared" si="65"/>
        <v>5</v>
      </c>
      <c r="K1364" s="16">
        <v>6209</v>
      </c>
      <c r="M1364" s="17">
        <f t="shared" si="63"/>
        <v>190160.93</v>
      </c>
      <c r="N1364" s="11">
        <f t="shared" si="64"/>
        <v>10</v>
      </c>
    </row>
    <row r="1365" spans="1:14" x14ac:dyDescent="0.25">
      <c r="A1365" s="11" t="s">
        <v>0</v>
      </c>
      <c r="B1365" s="12">
        <v>45219</v>
      </c>
      <c r="C1365" s="11" t="s">
        <v>688</v>
      </c>
      <c r="D1365" s="11" t="s">
        <v>720</v>
      </c>
      <c r="E1365" s="13" t="s">
        <v>393</v>
      </c>
      <c r="F1365" s="14" t="s">
        <v>393</v>
      </c>
      <c r="G1365" s="14" t="s">
        <v>404</v>
      </c>
      <c r="H1365" s="15">
        <v>737</v>
      </c>
      <c r="I1365" s="11">
        <f t="shared" si="65"/>
        <v>5</v>
      </c>
      <c r="K1365" s="16">
        <v>360</v>
      </c>
      <c r="M1365" s="17">
        <f t="shared" si="63"/>
        <v>189800.93</v>
      </c>
      <c r="N1365" s="11">
        <f t="shared" si="64"/>
        <v>10</v>
      </c>
    </row>
    <row r="1366" spans="1:14" x14ac:dyDescent="0.25">
      <c r="A1366" s="11" t="s">
        <v>0</v>
      </c>
      <c r="B1366" s="12">
        <v>45219</v>
      </c>
      <c r="C1366" s="11" t="s">
        <v>688</v>
      </c>
      <c r="D1366" s="11" t="s">
        <v>692</v>
      </c>
      <c r="E1366" s="13" t="s">
        <v>725</v>
      </c>
      <c r="F1366" s="14" t="s">
        <v>33</v>
      </c>
      <c r="G1366" s="14" t="s">
        <v>404</v>
      </c>
      <c r="H1366" s="15">
        <v>24905</v>
      </c>
      <c r="I1366" s="11">
        <f t="shared" si="65"/>
        <v>5</v>
      </c>
      <c r="K1366" s="16">
        <v>1131.99</v>
      </c>
      <c r="M1366" s="17">
        <f t="shared" si="63"/>
        <v>188668.94</v>
      </c>
      <c r="N1366" s="11">
        <f t="shared" si="64"/>
        <v>10</v>
      </c>
    </row>
    <row r="1367" spans="1:14" x14ac:dyDescent="0.25">
      <c r="A1367" s="11" t="s">
        <v>0</v>
      </c>
      <c r="B1367" s="12">
        <v>45219</v>
      </c>
      <c r="C1367" s="11" t="s">
        <v>688</v>
      </c>
      <c r="D1367" s="11" t="s">
        <v>692</v>
      </c>
      <c r="E1367" s="13" t="s">
        <v>179</v>
      </c>
      <c r="F1367" s="14" t="s">
        <v>378</v>
      </c>
      <c r="G1367" s="14" t="s">
        <v>404</v>
      </c>
      <c r="H1367" s="15">
        <v>4</v>
      </c>
      <c r="I1367" s="11">
        <f t="shared" si="65"/>
        <v>5</v>
      </c>
      <c r="K1367" s="16">
        <v>219</v>
      </c>
      <c r="M1367" s="17">
        <f t="shared" si="63"/>
        <v>188449.94</v>
      </c>
      <c r="N1367" s="11">
        <f t="shared" si="64"/>
        <v>10</v>
      </c>
    </row>
    <row r="1368" spans="1:14" x14ac:dyDescent="0.25">
      <c r="A1368" s="11" t="s">
        <v>0</v>
      </c>
      <c r="B1368" s="12">
        <v>45219</v>
      </c>
      <c r="C1368" s="11" t="s">
        <v>688</v>
      </c>
      <c r="D1368" s="11" t="s">
        <v>692</v>
      </c>
      <c r="E1368" s="13" t="s">
        <v>108</v>
      </c>
      <c r="F1368" s="14" t="s">
        <v>107</v>
      </c>
      <c r="G1368" s="14" t="s">
        <v>404</v>
      </c>
      <c r="H1368" s="15">
        <v>6</v>
      </c>
      <c r="I1368" s="11">
        <f t="shared" si="65"/>
        <v>5</v>
      </c>
      <c r="K1368" s="16">
        <v>600</v>
      </c>
      <c r="M1368" s="17">
        <f t="shared" si="63"/>
        <v>187849.94</v>
      </c>
      <c r="N1368" s="11">
        <f t="shared" si="64"/>
        <v>10</v>
      </c>
    </row>
    <row r="1369" spans="1:14" ht="26.4" x14ac:dyDescent="0.25">
      <c r="A1369" s="11" t="s">
        <v>0</v>
      </c>
      <c r="B1369" s="12">
        <v>45219</v>
      </c>
      <c r="C1369" s="11" t="s">
        <v>688</v>
      </c>
      <c r="D1369" s="11" t="s">
        <v>692</v>
      </c>
      <c r="E1369" s="13" t="s">
        <v>725</v>
      </c>
      <c r="F1369" s="14" t="s">
        <v>27</v>
      </c>
      <c r="G1369" s="14" t="s">
        <v>404</v>
      </c>
      <c r="H1369" s="15" t="s">
        <v>446</v>
      </c>
      <c r="I1369" s="11">
        <f t="shared" si="65"/>
        <v>5</v>
      </c>
      <c r="K1369" s="16">
        <v>3538</v>
      </c>
      <c r="M1369" s="17">
        <f t="shared" si="63"/>
        <v>184311.94</v>
      </c>
      <c r="N1369" s="11">
        <f t="shared" si="64"/>
        <v>10</v>
      </c>
    </row>
    <row r="1370" spans="1:14" x14ac:dyDescent="0.25">
      <c r="A1370" s="11" t="s">
        <v>0</v>
      </c>
      <c r="B1370" s="12">
        <v>45219</v>
      </c>
      <c r="C1370" s="11" t="s">
        <v>662</v>
      </c>
      <c r="D1370" s="11" t="s">
        <v>701</v>
      </c>
      <c r="E1370" s="13" t="s">
        <v>773</v>
      </c>
      <c r="F1370" s="14" t="s">
        <v>35</v>
      </c>
      <c r="G1370" s="14" t="s">
        <v>404</v>
      </c>
      <c r="H1370" s="15">
        <v>22549</v>
      </c>
      <c r="I1370" s="11">
        <f t="shared" si="65"/>
        <v>5</v>
      </c>
      <c r="K1370" s="16">
        <v>680.1</v>
      </c>
      <c r="M1370" s="17">
        <f t="shared" si="63"/>
        <v>183631.84</v>
      </c>
      <c r="N1370" s="11">
        <f t="shared" si="64"/>
        <v>10</v>
      </c>
    </row>
    <row r="1371" spans="1:14" x14ac:dyDescent="0.25">
      <c r="A1371" s="11" t="s">
        <v>0</v>
      </c>
      <c r="B1371" s="12">
        <v>45219</v>
      </c>
      <c r="C1371" s="11" t="s">
        <v>688</v>
      </c>
      <c r="D1371" s="11" t="s">
        <v>697</v>
      </c>
      <c r="E1371" s="13" t="s">
        <v>751</v>
      </c>
      <c r="F1371" s="14" t="s">
        <v>226</v>
      </c>
      <c r="G1371" s="14" t="s">
        <v>403</v>
      </c>
      <c r="I1371" s="11">
        <f t="shared" si="65"/>
        <v>5</v>
      </c>
      <c r="K1371" s="16">
        <v>7874.3</v>
      </c>
      <c r="M1371" s="17">
        <f t="shared" si="63"/>
        <v>175757.54</v>
      </c>
      <c r="N1371" s="11">
        <f t="shared" si="64"/>
        <v>10</v>
      </c>
    </row>
    <row r="1372" spans="1:14" x14ac:dyDescent="0.25">
      <c r="A1372" s="11" t="s">
        <v>0</v>
      </c>
      <c r="B1372" s="12">
        <v>45219</v>
      </c>
      <c r="C1372" s="11" t="s">
        <v>688</v>
      </c>
      <c r="D1372" s="11" t="s">
        <v>694</v>
      </c>
      <c r="E1372" s="13" t="s">
        <v>182</v>
      </c>
      <c r="F1372" s="14" t="s">
        <v>365</v>
      </c>
      <c r="G1372" s="14" t="s">
        <v>402</v>
      </c>
      <c r="I1372" s="11">
        <f t="shared" si="65"/>
        <v>5</v>
      </c>
      <c r="K1372" s="16">
        <v>2.39</v>
      </c>
      <c r="M1372" s="17">
        <f t="shared" si="63"/>
        <v>175755.15</v>
      </c>
      <c r="N1372" s="11">
        <f t="shared" si="64"/>
        <v>10</v>
      </c>
    </row>
    <row r="1373" spans="1:14" x14ac:dyDescent="0.25">
      <c r="A1373" s="11" t="s">
        <v>0</v>
      </c>
      <c r="B1373" s="12">
        <v>45219</v>
      </c>
      <c r="C1373" s="11" t="s">
        <v>688</v>
      </c>
      <c r="D1373" s="11" t="s">
        <v>694</v>
      </c>
      <c r="E1373" s="13" t="s">
        <v>182</v>
      </c>
      <c r="F1373" s="14" t="s">
        <v>23</v>
      </c>
      <c r="G1373" s="14" t="s">
        <v>402</v>
      </c>
      <c r="I1373" s="11">
        <f t="shared" si="65"/>
        <v>5</v>
      </c>
      <c r="K1373" s="16">
        <v>37.14</v>
      </c>
      <c r="M1373" s="17">
        <f t="shared" si="63"/>
        <v>175718.00999999998</v>
      </c>
      <c r="N1373" s="11">
        <f t="shared" si="64"/>
        <v>10</v>
      </c>
    </row>
    <row r="1374" spans="1:14" x14ac:dyDescent="0.25">
      <c r="A1374" s="11" t="s">
        <v>207</v>
      </c>
      <c r="B1374" s="12">
        <v>45219</v>
      </c>
      <c r="C1374" s="11" t="s">
        <v>688</v>
      </c>
      <c r="D1374" s="11" t="s">
        <v>43</v>
      </c>
      <c r="E1374" s="14" t="s">
        <v>429</v>
      </c>
      <c r="F1374" s="14" t="s">
        <v>429</v>
      </c>
      <c r="G1374" s="14" t="s">
        <v>428</v>
      </c>
      <c r="I1374" s="11">
        <f t="shared" si="65"/>
        <v>1</v>
      </c>
      <c r="J1374" s="16">
        <v>7462.1</v>
      </c>
      <c r="M1374" s="17">
        <f t="shared" si="63"/>
        <v>183180.11</v>
      </c>
      <c r="N1374" s="11">
        <f t="shared" si="64"/>
        <v>10</v>
      </c>
    </row>
    <row r="1375" spans="1:14" x14ac:dyDescent="0.25">
      <c r="A1375" s="11" t="s">
        <v>207</v>
      </c>
      <c r="B1375" s="12">
        <v>45219</v>
      </c>
      <c r="C1375" s="11" t="s">
        <v>662</v>
      </c>
      <c r="D1375" s="11" t="s">
        <v>43</v>
      </c>
      <c r="E1375" s="13" t="s">
        <v>438</v>
      </c>
      <c r="F1375" s="14" t="s">
        <v>438</v>
      </c>
      <c r="G1375" s="14" t="s">
        <v>400</v>
      </c>
      <c r="I1375" s="11">
        <f t="shared" si="65"/>
        <v>2</v>
      </c>
      <c r="J1375" s="16">
        <v>350.2</v>
      </c>
      <c r="M1375" s="17">
        <f t="shared" si="63"/>
        <v>183530.31</v>
      </c>
      <c r="N1375" s="11">
        <f t="shared" si="64"/>
        <v>10</v>
      </c>
    </row>
    <row r="1376" spans="1:14" x14ac:dyDescent="0.25">
      <c r="A1376" s="11" t="s">
        <v>207</v>
      </c>
      <c r="B1376" s="12">
        <v>45219</v>
      </c>
      <c r="C1376" s="11" t="s">
        <v>662</v>
      </c>
      <c r="D1376" s="11" t="s">
        <v>43</v>
      </c>
      <c r="E1376" s="14" t="s">
        <v>288</v>
      </c>
      <c r="F1376" s="14" t="s">
        <v>288</v>
      </c>
      <c r="G1376" s="14" t="s">
        <v>173</v>
      </c>
      <c r="I1376" s="11">
        <f t="shared" si="65"/>
        <v>3</v>
      </c>
      <c r="J1376" s="16">
        <v>900</v>
      </c>
      <c r="M1376" s="17">
        <f t="shared" si="63"/>
        <v>184430.31</v>
      </c>
      <c r="N1376" s="11">
        <f t="shared" si="64"/>
        <v>10</v>
      </c>
    </row>
    <row r="1377" spans="1:14" x14ac:dyDescent="0.25">
      <c r="A1377" s="11" t="s">
        <v>0</v>
      </c>
      <c r="B1377" s="12">
        <v>45219</v>
      </c>
      <c r="C1377" s="11" t="s">
        <v>688</v>
      </c>
      <c r="D1377" s="11" t="s">
        <v>697</v>
      </c>
      <c r="E1377" s="13" t="s">
        <v>487</v>
      </c>
      <c r="F1377" s="14" t="s">
        <v>722</v>
      </c>
      <c r="G1377" s="14" t="s">
        <v>488</v>
      </c>
      <c r="H1377" s="15" t="s">
        <v>426</v>
      </c>
      <c r="I1377" s="11">
        <f t="shared" si="65"/>
        <v>4</v>
      </c>
      <c r="K1377" s="16">
        <v>670.57</v>
      </c>
      <c r="M1377" s="17">
        <f t="shared" si="63"/>
        <v>183759.74</v>
      </c>
      <c r="N1377" s="11">
        <f t="shared" si="64"/>
        <v>10</v>
      </c>
    </row>
    <row r="1378" spans="1:14" x14ac:dyDescent="0.25">
      <c r="A1378" s="11" t="s">
        <v>207</v>
      </c>
      <c r="B1378" s="12">
        <v>45220</v>
      </c>
      <c r="C1378" s="11" t="s">
        <v>688</v>
      </c>
      <c r="D1378" s="11" t="s">
        <v>43</v>
      </c>
      <c r="E1378" s="14" t="s">
        <v>429</v>
      </c>
      <c r="F1378" s="14" t="s">
        <v>429</v>
      </c>
      <c r="G1378" s="14" t="s">
        <v>428</v>
      </c>
      <c r="I1378" s="11">
        <f t="shared" si="65"/>
        <v>1</v>
      </c>
      <c r="J1378" s="16">
        <v>7935.7</v>
      </c>
      <c r="M1378" s="17">
        <f t="shared" si="63"/>
        <v>191695.44</v>
      </c>
      <c r="N1378" s="11">
        <f t="shared" si="64"/>
        <v>10</v>
      </c>
    </row>
    <row r="1379" spans="1:14" x14ac:dyDescent="0.25">
      <c r="A1379" s="11" t="s">
        <v>207</v>
      </c>
      <c r="B1379" s="12">
        <v>45220</v>
      </c>
      <c r="C1379" s="11" t="s">
        <v>662</v>
      </c>
      <c r="D1379" s="11" t="s">
        <v>43</v>
      </c>
      <c r="E1379" s="14" t="s">
        <v>288</v>
      </c>
      <c r="F1379" s="14" t="s">
        <v>288</v>
      </c>
      <c r="G1379" s="14" t="s">
        <v>173</v>
      </c>
      <c r="I1379" s="11">
        <f t="shared" si="65"/>
        <v>3</v>
      </c>
      <c r="J1379" s="16">
        <v>390</v>
      </c>
      <c r="M1379" s="17">
        <f t="shared" si="63"/>
        <v>192085.44</v>
      </c>
      <c r="N1379" s="11">
        <f t="shared" si="64"/>
        <v>10</v>
      </c>
    </row>
    <row r="1380" spans="1:14" x14ac:dyDescent="0.25">
      <c r="A1380" s="11" t="s">
        <v>207</v>
      </c>
      <c r="B1380" s="12">
        <v>45221</v>
      </c>
      <c r="C1380" s="11" t="s">
        <v>688</v>
      </c>
      <c r="D1380" s="11" t="s">
        <v>43</v>
      </c>
      <c r="E1380" s="14" t="s">
        <v>288</v>
      </c>
      <c r="F1380" s="14" t="s">
        <v>288</v>
      </c>
      <c r="G1380" s="14" t="s">
        <v>173</v>
      </c>
      <c r="I1380" s="11">
        <f t="shared" si="65"/>
        <v>3</v>
      </c>
      <c r="J1380" s="16">
        <v>2000</v>
      </c>
      <c r="M1380" s="17">
        <f t="shared" si="63"/>
        <v>194085.44</v>
      </c>
      <c r="N1380" s="11">
        <f t="shared" si="64"/>
        <v>10</v>
      </c>
    </row>
    <row r="1381" spans="1:14" x14ac:dyDescent="0.25">
      <c r="A1381" s="11" t="s">
        <v>207</v>
      </c>
      <c r="B1381" s="12">
        <v>45221</v>
      </c>
      <c r="C1381" s="11" t="s">
        <v>688</v>
      </c>
      <c r="D1381" s="11" t="s">
        <v>43</v>
      </c>
      <c r="E1381" s="14" t="s">
        <v>429</v>
      </c>
      <c r="F1381" s="14" t="s">
        <v>429</v>
      </c>
      <c r="G1381" s="14" t="s">
        <v>428</v>
      </c>
      <c r="I1381" s="11">
        <f t="shared" si="65"/>
        <v>1</v>
      </c>
      <c r="J1381" s="16">
        <v>4417.2</v>
      </c>
      <c r="M1381" s="17">
        <f t="shared" si="63"/>
        <v>198502.64</v>
      </c>
      <c r="N1381" s="11">
        <f t="shared" si="64"/>
        <v>10</v>
      </c>
    </row>
    <row r="1382" spans="1:14" x14ac:dyDescent="0.25">
      <c r="A1382" s="11" t="s">
        <v>207</v>
      </c>
      <c r="B1382" s="12">
        <v>45222</v>
      </c>
      <c r="C1382" s="11" t="s">
        <v>688</v>
      </c>
      <c r="D1382" s="11" t="s">
        <v>43</v>
      </c>
      <c r="E1382" s="14" t="s">
        <v>288</v>
      </c>
      <c r="F1382" s="14" t="s">
        <v>288</v>
      </c>
      <c r="G1382" s="14" t="s">
        <v>173</v>
      </c>
      <c r="I1382" s="11">
        <f t="shared" si="65"/>
        <v>3</v>
      </c>
      <c r="J1382" s="16">
        <v>3650</v>
      </c>
      <c r="M1382" s="17">
        <f t="shared" si="63"/>
        <v>202152.64</v>
      </c>
      <c r="N1382" s="11">
        <f t="shared" si="64"/>
        <v>10</v>
      </c>
    </row>
    <row r="1383" spans="1:14" x14ac:dyDescent="0.25">
      <c r="A1383" s="11" t="s">
        <v>207</v>
      </c>
      <c r="B1383" s="12">
        <v>45222</v>
      </c>
      <c r="C1383" s="11" t="s">
        <v>688</v>
      </c>
      <c r="D1383" s="11" t="s">
        <v>43</v>
      </c>
      <c r="E1383" s="14" t="s">
        <v>429</v>
      </c>
      <c r="F1383" s="14" t="s">
        <v>429</v>
      </c>
      <c r="G1383" s="14" t="s">
        <v>428</v>
      </c>
      <c r="I1383" s="11">
        <f t="shared" si="65"/>
        <v>1</v>
      </c>
      <c r="J1383" s="16">
        <v>2510.1</v>
      </c>
      <c r="M1383" s="17">
        <f t="shared" si="63"/>
        <v>204662.74000000002</v>
      </c>
      <c r="N1383" s="11">
        <f t="shared" si="64"/>
        <v>10</v>
      </c>
    </row>
    <row r="1384" spans="1:14" s="63" customFormat="1" x14ac:dyDescent="0.25">
      <c r="A1384" s="63" t="s">
        <v>207</v>
      </c>
      <c r="B1384" s="64">
        <v>45222</v>
      </c>
      <c r="C1384" s="63" t="s">
        <v>688</v>
      </c>
      <c r="D1384" s="63" t="s">
        <v>43</v>
      </c>
      <c r="E1384" s="65" t="s">
        <v>79</v>
      </c>
      <c r="F1384" s="66" t="s">
        <v>79</v>
      </c>
      <c r="G1384" s="66" t="s">
        <v>400</v>
      </c>
      <c r="H1384" s="67"/>
      <c r="I1384" s="11">
        <f t="shared" si="65"/>
        <v>2</v>
      </c>
      <c r="J1384" s="68">
        <v>8701.8700000000008</v>
      </c>
      <c r="K1384" s="68"/>
      <c r="M1384" s="17">
        <f t="shared" si="63"/>
        <v>213364.61000000002</v>
      </c>
      <c r="N1384" s="11">
        <f t="shared" si="64"/>
        <v>10</v>
      </c>
    </row>
    <row r="1385" spans="1:14" x14ac:dyDescent="0.25">
      <c r="A1385" s="11" t="s">
        <v>207</v>
      </c>
      <c r="B1385" s="12">
        <v>45222</v>
      </c>
      <c r="C1385" s="11" t="s">
        <v>688</v>
      </c>
      <c r="D1385" s="11" t="s">
        <v>43</v>
      </c>
      <c r="E1385" s="13" t="s">
        <v>79</v>
      </c>
      <c r="F1385" s="14" t="s">
        <v>79</v>
      </c>
      <c r="G1385" s="14" t="s">
        <v>400</v>
      </c>
      <c r="I1385" s="11">
        <f t="shared" si="65"/>
        <v>2</v>
      </c>
      <c r="J1385" s="16">
        <v>6659.58</v>
      </c>
      <c r="M1385" s="17">
        <f t="shared" si="63"/>
        <v>220024.19</v>
      </c>
      <c r="N1385" s="11">
        <f t="shared" si="64"/>
        <v>10</v>
      </c>
    </row>
    <row r="1386" spans="1:14" x14ac:dyDescent="0.25">
      <c r="A1386" s="11" t="s">
        <v>207</v>
      </c>
      <c r="B1386" s="12">
        <v>45222</v>
      </c>
      <c r="C1386" s="11" t="s">
        <v>662</v>
      </c>
      <c r="D1386" s="11" t="s">
        <v>43</v>
      </c>
      <c r="E1386" s="13" t="s">
        <v>79</v>
      </c>
      <c r="F1386" s="14" t="s">
        <v>79</v>
      </c>
      <c r="G1386" s="14" t="s">
        <v>400</v>
      </c>
      <c r="I1386" s="11">
        <f t="shared" si="65"/>
        <v>2</v>
      </c>
      <c r="J1386" s="16">
        <v>99.89</v>
      </c>
      <c r="M1386" s="17">
        <f t="shared" si="63"/>
        <v>220124.08000000002</v>
      </c>
      <c r="N1386" s="11">
        <f t="shared" si="64"/>
        <v>10</v>
      </c>
    </row>
    <row r="1387" spans="1:14" x14ac:dyDescent="0.25">
      <c r="A1387" s="11" t="s">
        <v>207</v>
      </c>
      <c r="B1387" s="12">
        <v>45222</v>
      </c>
      <c r="C1387" s="11" t="s">
        <v>662</v>
      </c>
      <c r="D1387" s="11" t="s">
        <v>43</v>
      </c>
      <c r="E1387" s="13" t="s">
        <v>79</v>
      </c>
      <c r="F1387" s="14" t="s">
        <v>79</v>
      </c>
      <c r="G1387" s="14" t="s">
        <v>400</v>
      </c>
      <c r="I1387" s="11">
        <f t="shared" si="65"/>
        <v>2</v>
      </c>
      <c r="J1387" s="16">
        <v>300.76</v>
      </c>
      <c r="M1387" s="17">
        <f t="shared" si="63"/>
        <v>220424.84000000003</v>
      </c>
      <c r="N1387" s="11">
        <f t="shared" si="64"/>
        <v>10</v>
      </c>
    </row>
    <row r="1388" spans="1:14" x14ac:dyDescent="0.25">
      <c r="A1388" s="11" t="s">
        <v>207</v>
      </c>
      <c r="B1388" s="12">
        <v>45222</v>
      </c>
      <c r="C1388" s="11" t="s">
        <v>688</v>
      </c>
      <c r="D1388" s="11" t="s">
        <v>43</v>
      </c>
      <c r="E1388" s="13" t="s">
        <v>357</v>
      </c>
      <c r="F1388" s="14" t="s">
        <v>13</v>
      </c>
      <c r="G1388" s="14" t="s">
        <v>400</v>
      </c>
      <c r="I1388" s="11">
        <f t="shared" si="65"/>
        <v>2</v>
      </c>
      <c r="J1388" s="16">
        <v>293.77999999999997</v>
      </c>
      <c r="M1388" s="17">
        <f t="shared" si="63"/>
        <v>220718.62000000002</v>
      </c>
      <c r="N1388" s="11">
        <f t="shared" si="64"/>
        <v>10</v>
      </c>
    </row>
    <row r="1389" spans="1:14" x14ac:dyDescent="0.25">
      <c r="A1389" s="11" t="s">
        <v>207</v>
      </c>
      <c r="B1389" s="12">
        <v>45222</v>
      </c>
      <c r="C1389" s="11" t="s">
        <v>688</v>
      </c>
      <c r="D1389" s="11" t="s">
        <v>43</v>
      </c>
      <c r="E1389" s="13" t="s">
        <v>357</v>
      </c>
      <c r="F1389" s="14" t="s">
        <v>13</v>
      </c>
      <c r="G1389" s="14" t="s">
        <v>400</v>
      </c>
      <c r="I1389" s="11">
        <f t="shared" si="65"/>
        <v>2</v>
      </c>
      <c r="J1389" s="16">
        <v>69.290000000000006</v>
      </c>
      <c r="M1389" s="17">
        <f t="shared" si="63"/>
        <v>220787.91000000003</v>
      </c>
      <c r="N1389" s="11">
        <f t="shared" si="64"/>
        <v>10</v>
      </c>
    </row>
    <row r="1390" spans="1:14" x14ac:dyDescent="0.25">
      <c r="A1390" s="11" t="s">
        <v>207</v>
      </c>
      <c r="B1390" s="12">
        <v>45222</v>
      </c>
      <c r="C1390" s="11" t="s">
        <v>688</v>
      </c>
      <c r="D1390" s="11" t="s">
        <v>43</v>
      </c>
      <c r="E1390" s="13" t="s">
        <v>357</v>
      </c>
      <c r="F1390" s="14" t="s">
        <v>13</v>
      </c>
      <c r="G1390" s="14" t="s">
        <v>400</v>
      </c>
      <c r="I1390" s="11">
        <f t="shared" si="65"/>
        <v>2</v>
      </c>
      <c r="J1390" s="16">
        <v>13.36</v>
      </c>
      <c r="M1390" s="17">
        <f t="shared" si="63"/>
        <v>220801.27000000002</v>
      </c>
      <c r="N1390" s="11">
        <f t="shared" si="64"/>
        <v>10</v>
      </c>
    </row>
    <row r="1391" spans="1:14" x14ac:dyDescent="0.25">
      <c r="A1391" s="11" t="s">
        <v>207</v>
      </c>
      <c r="B1391" s="12">
        <v>45222</v>
      </c>
      <c r="C1391" s="11" t="s">
        <v>688</v>
      </c>
      <c r="D1391" s="11" t="s">
        <v>43</v>
      </c>
      <c r="E1391" s="13" t="s">
        <v>357</v>
      </c>
      <c r="F1391" s="14" t="s">
        <v>13</v>
      </c>
      <c r="G1391" s="14" t="s">
        <v>400</v>
      </c>
      <c r="I1391" s="11">
        <f t="shared" si="65"/>
        <v>2</v>
      </c>
      <c r="J1391" s="16">
        <v>860.19</v>
      </c>
      <c r="M1391" s="17">
        <f t="shared" si="63"/>
        <v>221661.46000000002</v>
      </c>
      <c r="N1391" s="11">
        <f t="shared" si="64"/>
        <v>10</v>
      </c>
    </row>
    <row r="1392" spans="1:14" x14ac:dyDescent="0.25">
      <c r="A1392" s="11" t="s">
        <v>207</v>
      </c>
      <c r="B1392" s="12">
        <v>45222</v>
      </c>
      <c r="C1392" s="11" t="s">
        <v>688</v>
      </c>
      <c r="D1392" s="11" t="s">
        <v>43</v>
      </c>
      <c r="E1392" s="13" t="s">
        <v>357</v>
      </c>
      <c r="F1392" s="14" t="s">
        <v>13</v>
      </c>
      <c r="G1392" s="14" t="s">
        <v>400</v>
      </c>
      <c r="I1392" s="11">
        <f t="shared" si="65"/>
        <v>2</v>
      </c>
      <c r="J1392" s="16">
        <v>7.62</v>
      </c>
      <c r="M1392" s="17">
        <f t="shared" si="63"/>
        <v>221669.08000000002</v>
      </c>
      <c r="N1392" s="11">
        <f t="shared" si="64"/>
        <v>10</v>
      </c>
    </row>
    <row r="1393" spans="1:14" x14ac:dyDescent="0.25">
      <c r="A1393" s="11" t="s">
        <v>207</v>
      </c>
      <c r="B1393" s="12">
        <v>45222</v>
      </c>
      <c r="C1393" s="11" t="s">
        <v>688</v>
      </c>
      <c r="D1393" s="11" t="s">
        <v>43</v>
      </c>
      <c r="E1393" s="13" t="s">
        <v>357</v>
      </c>
      <c r="F1393" s="14" t="s">
        <v>13</v>
      </c>
      <c r="G1393" s="14" t="s">
        <v>400</v>
      </c>
      <c r="I1393" s="11">
        <f t="shared" si="65"/>
        <v>2</v>
      </c>
      <c r="J1393" s="16">
        <v>156.38999999999999</v>
      </c>
      <c r="M1393" s="17">
        <f t="shared" si="63"/>
        <v>221825.47000000003</v>
      </c>
      <c r="N1393" s="11">
        <f t="shared" si="64"/>
        <v>10</v>
      </c>
    </row>
    <row r="1394" spans="1:14" x14ac:dyDescent="0.25">
      <c r="A1394" s="11" t="s">
        <v>207</v>
      </c>
      <c r="B1394" s="12">
        <v>45222</v>
      </c>
      <c r="C1394" s="11" t="s">
        <v>688</v>
      </c>
      <c r="D1394" s="11" t="s">
        <v>43</v>
      </c>
      <c r="E1394" s="13" t="s">
        <v>357</v>
      </c>
      <c r="F1394" s="14" t="s">
        <v>13</v>
      </c>
      <c r="G1394" s="14" t="s">
        <v>400</v>
      </c>
      <c r="I1394" s="11">
        <f t="shared" si="65"/>
        <v>2</v>
      </c>
      <c r="J1394" s="16">
        <v>330.98</v>
      </c>
      <c r="M1394" s="17">
        <f t="shared" si="63"/>
        <v>222156.45000000004</v>
      </c>
      <c r="N1394" s="11">
        <f t="shared" si="64"/>
        <v>10</v>
      </c>
    </row>
    <row r="1395" spans="1:14" x14ac:dyDescent="0.25">
      <c r="A1395" s="11" t="s">
        <v>207</v>
      </c>
      <c r="B1395" s="12">
        <v>45222</v>
      </c>
      <c r="C1395" s="11" t="s">
        <v>688</v>
      </c>
      <c r="D1395" s="11" t="s">
        <v>43</v>
      </c>
      <c r="E1395" s="13" t="s">
        <v>357</v>
      </c>
      <c r="F1395" s="14" t="s">
        <v>13</v>
      </c>
      <c r="G1395" s="14" t="s">
        <v>400</v>
      </c>
      <c r="I1395" s="11">
        <f t="shared" si="65"/>
        <v>2</v>
      </c>
      <c r="J1395" s="16">
        <v>192.04</v>
      </c>
      <c r="M1395" s="17">
        <f t="shared" si="63"/>
        <v>222348.49000000005</v>
      </c>
      <c r="N1395" s="11">
        <f t="shared" si="64"/>
        <v>10</v>
      </c>
    </row>
    <row r="1396" spans="1:14" x14ac:dyDescent="0.25">
      <c r="A1396" s="11" t="s">
        <v>207</v>
      </c>
      <c r="B1396" s="12">
        <v>45222</v>
      </c>
      <c r="C1396" s="11" t="s">
        <v>688</v>
      </c>
      <c r="D1396" s="11" t="s">
        <v>43</v>
      </c>
      <c r="E1396" s="13" t="s">
        <v>357</v>
      </c>
      <c r="F1396" s="14" t="s">
        <v>13</v>
      </c>
      <c r="G1396" s="14" t="s">
        <v>400</v>
      </c>
      <c r="I1396" s="11">
        <f t="shared" si="65"/>
        <v>2</v>
      </c>
      <c r="J1396" s="16">
        <v>595.66</v>
      </c>
      <c r="M1396" s="17">
        <f t="shared" si="63"/>
        <v>222944.15000000005</v>
      </c>
      <c r="N1396" s="11">
        <f t="shared" si="64"/>
        <v>10</v>
      </c>
    </row>
    <row r="1397" spans="1:14" x14ac:dyDescent="0.25">
      <c r="A1397" s="11" t="s">
        <v>207</v>
      </c>
      <c r="B1397" s="12">
        <v>45222</v>
      </c>
      <c r="C1397" s="11" t="s">
        <v>688</v>
      </c>
      <c r="D1397" s="11" t="s">
        <v>43</v>
      </c>
      <c r="E1397" s="13" t="s">
        <v>357</v>
      </c>
      <c r="F1397" s="14" t="s">
        <v>13</v>
      </c>
      <c r="G1397" s="14" t="s">
        <v>400</v>
      </c>
      <c r="I1397" s="11">
        <f t="shared" si="65"/>
        <v>2</v>
      </c>
      <c r="J1397" s="16">
        <v>151.63999999999999</v>
      </c>
      <c r="M1397" s="17">
        <f t="shared" si="63"/>
        <v>223095.79000000007</v>
      </c>
      <c r="N1397" s="11">
        <f t="shared" si="64"/>
        <v>10</v>
      </c>
    </row>
    <row r="1398" spans="1:14" x14ac:dyDescent="0.25">
      <c r="A1398" s="11" t="s">
        <v>207</v>
      </c>
      <c r="B1398" s="12">
        <v>45222</v>
      </c>
      <c r="C1398" s="11" t="s">
        <v>688</v>
      </c>
      <c r="D1398" s="11" t="s">
        <v>43</v>
      </c>
      <c r="E1398" s="13" t="s">
        <v>357</v>
      </c>
      <c r="F1398" s="14" t="s">
        <v>13</v>
      </c>
      <c r="G1398" s="14" t="s">
        <v>400</v>
      </c>
      <c r="I1398" s="11">
        <f t="shared" si="65"/>
        <v>2</v>
      </c>
      <c r="J1398" s="16">
        <v>249.08</v>
      </c>
      <c r="M1398" s="17">
        <f t="shared" si="63"/>
        <v>223344.87000000005</v>
      </c>
      <c r="N1398" s="11">
        <f t="shared" si="64"/>
        <v>10</v>
      </c>
    </row>
    <row r="1399" spans="1:14" x14ac:dyDescent="0.25">
      <c r="A1399" s="11" t="s">
        <v>207</v>
      </c>
      <c r="B1399" s="12">
        <v>45222</v>
      </c>
      <c r="C1399" s="11" t="s">
        <v>688</v>
      </c>
      <c r="D1399" s="11" t="s">
        <v>43</v>
      </c>
      <c r="E1399" s="13" t="s">
        <v>357</v>
      </c>
      <c r="F1399" s="14" t="s">
        <v>13</v>
      </c>
      <c r="G1399" s="14" t="s">
        <v>400</v>
      </c>
      <c r="I1399" s="11">
        <f t="shared" si="65"/>
        <v>2</v>
      </c>
      <c r="J1399" s="16">
        <v>83.14</v>
      </c>
      <c r="M1399" s="17">
        <f t="shared" si="63"/>
        <v>223428.01000000007</v>
      </c>
      <c r="N1399" s="11">
        <f t="shared" si="64"/>
        <v>10</v>
      </c>
    </row>
    <row r="1400" spans="1:14" x14ac:dyDescent="0.25">
      <c r="A1400" s="11" t="s">
        <v>0</v>
      </c>
      <c r="B1400" s="12">
        <v>45222</v>
      </c>
      <c r="C1400" s="11" t="s">
        <v>688</v>
      </c>
      <c r="D1400" s="11" t="s">
        <v>694</v>
      </c>
      <c r="E1400" s="13" t="s">
        <v>182</v>
      </c>
      <c r="F1400" s="14" t="s">
        <v>365</v>
      </c>
      <c r="G1400" s="14" t="s">
        <v>402</v>
      </c>
      <c r="I1400" s="11">
        <f t="shared" si="65"/>
        <v>5</v>
      </c>
      <c r="K1400" s="16">
        <v>6.2</v>
      </c>
      <c r="M1400" s="17">
        <f t="shared" si="63"/>
        <v>223421.81000000006</v>
      </c>
      <c r="N1400" s="11">
        <f t="shared" si="64"/>
        <v>10</v>
      </c>
    </row>
    <row r="1401" spans="1:14" x14ac:dyDescent="0.25">
      <c r="A1401" s="11" t="s">
        <v>0</v>
      </c>
      <c r="B1401" s="12">
        <v>45222</v>
      </c>
      <c r="C1401" s="11" t="s">
        <v>688</v>
      </c>
      <c r="D1401" s="11" t="s">
        <v>694</v>
      </c>
      <c r="E1401" s="13" t="s">
        <v>182</v>
      </c>
      <c r="F1401" s="14" t="s">
        <v>23</v>
      </c>
      <c r="G1401" s="14" t="s">
        <v>402</v>
      </c>
      <c r="I1401" s="11">
        <f t="shared" si="65"/>
        <v>5</v>
      </c>
      <c r="K1401" s="16">
        <v>57.28</v>
      </c>
      <c r="M1401" s="17">
        <f t="shared" si="63"/>
        <v>223364.53000000006</v>
      </c>
      <c r="N1401" s="11">
        <f t="shared" si="64"/>
        <v>10</v>
      </c>
    </row>
    <row r="1402" spans="1:14" x14ac:dyDescent="0.25">
      <c r="A1402" s="11" t="s">
        <v>207</v>
      </c>
      <c r="B1402" s="12">
        <v>45222</v>
      </c>
      <c r="C1402" s="11" t="s">
        <v>688</v>
      </c>
      <c r="D1402" s="11" t="s">
        <v>43</v>
      </c>
      <c r="E1402" s="13" t="s">
        <v>439</v>
      </c>
      <c r="F1402" s="14" t="s">
        <v>439</v>
      </c>
      <c r="G1402" s="14" t="s">
        <v>400</v>
      </c>
      <c r="I1402" s="11">
        <f t="shared" si="65"/>
        <v>2</v>
      </c>
      <c r="J1402" s="16">
        <v>908.95</v>
      </c>
      <c r="M1402" s="17">
        <f t="shared" si="63"/>
        <v>224273.48000000007</v>
      </c>
      <c r="N1402" s="11">
        <f t="shared" si="64"/>
        <v>10</v>
      </c>
    </row>
    <row r="1403" spans="1:14" x14ac:dyDescent="0.25">
      <c r="A1403" s="11" t="s">
        <v>0</v>
      </c>
      <c r="B1403" s="12">
        <v>45222</v>
      </c>
      <c r="C1403" s="11" t="s">
        <v>688</v>
      </c>
      <c r="D1403" s="11" t="s">
        <v>692</v>
      </c>
      <c r="E1403" s="13" t="s">
        <v>179</v>
      </c>
      <c r="F1403" s="14" t="s">
        <v>51</v>
      </c>
      <c r="G1403" s="14" t="s">
        <v>404</v>
      </c>
      <c r="H1403" s="15">
        <v>5</v>
      </c>
      <c r="I1403" s="11">
        <f t="shared" si="65"/>
        <v>5</v>
      </c>
      <c r="K1403" s="16">
        <v>1090</v>
      </c>
      <c r="M1403" s="17">
        <f t="shared" si="63"/>
        <v>223183.48000000007</v>
      </c>
      <c r="N1403" s="11">
        <f t="shared" si="64"/>
        <v>10</v>
      </c>
    </row>
    <row r="1404" spans="1:14" ht="26.4" x14ac:dyDescent="0.25">
      <c r="A1404" s="11" t="s">
        <v>0</v>
      </c>
      <c r="B1404" s="12">
        <v>45222</v>
      </c>
      <c r="C1404" s="11" t="s">
        <v>688</v>
      </c>
      <c r="D1404" s="11" t="s">
        <v>692</v>
      </c>
      <c r="E1404" s="13" t="s">
        <v>725</v>
      </c>
      <c r="F1404" s="14" t="s">
        <v>27</v>
      </c>
      <c r="G1404" s="14" t="s">
        <v>404</v>
      </c>
      <c r="H1404" s="15" t="s">
        <v>450</v>
      </c>
      <c r="I1404" s="11">
        <f t="shared" si="65"/>
        <v>5</v>
      </c>
      <c r="K1404" s="16">
        <v>443.39</v>
      </c>
      <c r="M1404" s="17">
        <f t="shared" si="63"/>
        <v>222740.09000000005</v>
      </c>
      <c r="N1404" s="11">
        <f t="shared" si="64"/>
        <v>10</v>
      </c>
    </row>
    <row r="1405" spans="1:14" x14ac:dyDescent="0.25">
      <c r="A1405" s="11" t="s">
        <v>0</v>
      </c>
      <c r="B1405" s="12">
        <v>45222</v>
      </c>
      <c r="C1405" s="11" t="s">
        <v>688</v>
      </c>
      <c r="D1405" s="11" t="s">
        <v>692</v>
      </c>
      <c r="E1405" s="13" t="s">
        <v>179</v>
      </c>
      <c r="F1405" s="14" t="s">
        <v>378</v>
      </c>
      <c r="G1405" s="14" t="s">
        <v>404</v>
      </c>
      <c r="H1405" s="15">
        <v>4</v>
      </c>
      <c r="I1405" s="11">
        <f t="shared" si="65"/>
        <v>5</v>
      </c>
      <c r="K1405" s="16">
        <v>489.15</v>
      </c>
      <c r="M1405" s="17">
        <f t="shared" si="63"/>
        <v>222250.94000000006</v>
      </c>
      <c r="N1405" s="11">
        <f t="shared" si="64"/>
        <v>10</v>
      </c>
    </row>
    <row r="1406" spans="1:14" ht="26.4" x14ac:dyDescent="0.25">
      <c r="A1406" s="11" t="s">
        <v>0</v>
      </c>
      <c r="B1406" s="12">
        <v>45222</v>
      </c>
      <c r="C1406" s="11" t="s">
        <v>688</v>
      </c>
      <c r="D1406" s="11" t="s">
        <v>692</v>
      </c>
      <c r="E1406" s="13" t="s">
        <v>725</v>
      </c>
      <c r="F1406" s="14" t="s">
        <v>27</v>
      </c>
      <c r="G1406" s="14" t="s">
        <v>404</v>
      </c>
      <c r="H1406" s="15" t="s">
        <v>447</v>
      </c>
      <c r="I1406" s="11">
        <f t="shared" si="65"/>
        <v>5</v>
      </c>
      <c r="K1406" s="16">
        <v>497.49</v>
      </c>
      <c r="M1406" s="17">
        <f t="shared" si="63"/>
        <v>221753.45000000007</v>
      </c>
      <c r="N1406" s="11">
        <f t="shared" si="64"/>
        <v>10</v>
      </c>
    </row>
    <row r="1407" spans="1:14" x14ac:dyDescent="0.25">
      <c r="A1407" s="11" t="s">
        <v>0</v>
      </c>
      <c r="B1407" s="12">
        <v>45222</v>
      </c>
      <c r="C1407" s="11" t="s">
        <v>688</v>
      </c>
      <c r="D1407" s="11" t="s">
        <v>692</v>
      </c>
      <c r="E1407" s="13" t="s">
        <v>717</v>
      </c>
      <c r="F1407" s="14" t="s">
        <v>76</v>
      </c>
      <c r="G1407" s="14" t="s">
        <v>404</v>
      </c>
      <c r="H1407" s="15">
        <v>1196579</v>
      </c>
      <c r="I1407" s="11">
        <f t="shared" si="65"/>
        <v>5</v>
      </c>
      <c r="K1407" s="16">
        <v>955.97</v>
      </c>
      <c r="M1407" s="17">
        <f t="shared" si="63"/>
        <v>220797.48000000007</v>
      </c>
      <c r="N1407" s="11">
        <f t="shared" si="64"/>
        <v>10</v>
      </c>
    </row>
    <row r="1408" spans="1:14" x14ac:dyDescent="0.25">
      <c r="A1408" s="11" t="s">
        <v>0</v>
      </c>
      <c r="B1408" s="12">
        <v>45222</v>
      </c>
      <c r="C1408" s="11" t="s">
        <v>688</v>
      </c>
      <c r="D1408" s="11" t="s">
        <v>692</v>
      </c>
      <c r="E1408" s="13" t="s">
        <v>179</v>
      </c>
      <c r="F1408" s="14" t="s">
        <v>51</v>
      </c>
      <c r="G1408" s="14" t="s">
        <v>404</v>
      </c>
      <c r="H1408" s="15">
        <v>5</v>
      </c>
      <c r="I1408" s="11">
        <f t="shared" si="65"/>
        <v>5</v>
      </c>
      <c r="K1408" s="16">
        <v>690</v>
      </c>
      <c r="M1408" s="17">
        <f t="shared" si="63"/>
        <v>220107.48000000007</v>
      </c>
      <c r="N1408" s="11">
        <f t="shared" si="64"/>
        <v>10</v>
      </c>
    </row>
    <row r="1409" spans="1:14" x14ac:dyDescent="0.25">
      <c r="A1409" s="11" t="s">
        <v>0</v>
      </c>
      <c r="B1409" s="12">
        <v>45222</v>
      </c>
      <c r="C1409" s="11" t="s">
        <v>688</v>
      </c>
      <c r="D1409" s="11" t="s">
        <v>47</v>
      </c>
      <c r="E1409" s="13" t="s">
        <v>136</v>
      </c>
      <c r="F1409" s="14" t="s">
        <v>440</v>
      </c>
      <c r="G1409" s="14" t="s">
        <v>404</v>
      </c>
      <c r="H1409" s="15">
        <v>2</v>
      </c>
      <c r="I1409" s="11">
        <f t="shared" si="65"/>
        <v>5</v>
      </c>
      <c r="K1409" s="16">
        <v>1300</v>
      </c>
      <c r="M1409" s="17">
        <f t="shared" si="63"/>
        <v>218807.48000000007</v>
      </c>
      <c r="N1409" s="11">
        <f t="shared" si="64"/>
        <v>10</v>
      </c>
    </row>
    <row r="1410" spans="1:14" ht="26.4" x14ac:dyDescent="0.25">
      <c r="A1410" s="11" t="s">
        <v>0</v>
      </c>
      <c r="B1410" s="12">
        <v>45222</v>
      </c>
      <c r="C1410" s="11" t="s">
        <v>688</v>
      </c>
      <c r="D1410" s="11" t="s">
        <v>692</v>
      </c>
      <c r="E1410" s="13" t="s">
        <v>725</v>
      </c>
      <c r="F1410" s="14" t="s">
        <v>27</v>
      </c>
      <c r="G1410" s="14" t="s">
        <v>404</v>
      </c>
      <c r="H1410" s="15" t="s">
        <v>448</v>
      </c>
      <c r="I1410" s="11">
        <f t="shared" si="65"/>
        <v>5</v>
      </c>
      <c r="K1410" s="16">
        <v>548.14</v>
      </c>
      <c r="M1410" s="17">
        <f t="shared" si="63"/>
        <v>218259.34000000005</v>
      </c>
      <c r="N1410" s="11">
        <f t="shared" si="64"/>
        <v>10</v>
      </c>
    </row>
    <row r="1411" spans="1:14" ht="52.8" x14ac:dyDescent="0.25">
      <c r="A1411" s="11" t="s">
        <v>0</v>
      </c>
      <c r="B1411" s="12">
        <v>45222</v>
      </c>
      <c r="C1411" s="11" t="s">
        <v>688</v>
      </c>
      <c r="D1411" s="11" t="s">
        <v>701</v>
      </c>
      <c r="E1411" s="13" t="s">
        <v>35</v>
      </c>
      <c r="F1411" s="14" t="s">
        <v>35</v>
      </c>
      <c r="G1411" s="14" t="s">
        <v>404</v>
      </c>
      <c r="H1411" s="15" t="s">
        <v>518</v>
      </c>
      <c r="I1411" s="11">
        <f t="shared" si="65"/>
        <v>5</v>
      </c>
      <c r="K1411" s="16">
        <v>841.8</v>
      </c>
      <c r="M1411" s="17">
        <f t="shared" ref="M1411:M1474" si="66">IF(B1411=0, "",M1410+ J1411-K1411)</f>
        <v>217417.54000000007</v>
      </c>
      <c r="N1411" s="11">
        <f t="shared" ref="N1411:N1474" si="67">IF(B1411=0, "", MONTH(B1411))</f>
        <v>10</v>
      </c>
    </row>
    <row r="1412" spans="1:14" x14ac:dyDescent="0.25">
      <c r="A1412" s="11" t="s">
        <v>0</v>
      </c>
      <c r="B1412" s="12">
        <v>45222</v>
      </c>
      <c r="C1412" s="11" t="s">
        <v>688</v>
      </c>
      <c r="D1412" s="11" t="s">
        <v>699</v>
      </c>
      <c r="E1412" s="13" t="s">
        <v>98</v>
      </c>
      <c r="F1412" s="14" t="s">
        <v>206</v>
      </c>
      <c r="G1412" s="14" t="s">
        <v>404</v>
      </c>
      <c r="H1412" s="15">
        <v>7460</v>
      </c>
      <c r="I1412" s="11">
        <f t="shared" si="65"/>
        <v>5</v>
      </c>
      <c r="K1412" s="16">
        <v>273</v>
      </c>
      <c r="M1412" s="17">
        <f t="shared" si="66"/>
        <v>217144.54000000007</v>
      </c>
      <c r="N1412" s="11">
        <f t="shared" si="67"/>
        <v>10</v>
      </c>
    </row>
    <row r="1413" spans="1:14" x14ac:dyDescent="0.25">
      <c r="A1413" s="11" t="s">
        <v>0</v>
      </c>
      <c r="B1413" s="12">
        <v>45222</v>
      </c>
      <c r="C1413" s="11" t="s">
        <v>688</v>
      </c>
      <c r="D1413" s="11" t="s">
        <v>701</v>
      </c>
      <c r="E1413" s="13" t="s">
        <v>441</v>
      </c>
      <c r="F1413" s="14" t="s">
        <v>441</v>
      </c>
      <c r="G1413" s="14" t="s">
        <v>404</v>
      </c>
      <c r="H1413" s="15">
        <v>230</v>
      </c>
      <c r="I1413" s="11">
        <f t="shared" ref="I1413:I1476" si="68">IF(AND(G1413="MERCADO PAGO",A1413="FATURAMENTO"),1,IF(AND(OR(G1413="MERCADO PAGO",G1413="pix mercado pago",G1413= "débito automático mercado pago", G1413= "boleto mercado pago"),A1413="DESPESAS"),4,IF(AND(G1413="SAFRA",A1413="FATURAMENTO"),2,IF(AND(OR(G1413="SAFRA",G1413="PIX SAFRA", G1413="DÉBITO AUTOMÁTICO SAFRA", G1413= "BOLETO SAFRA", G1413= "transferência safra"), A1413="DESPESAS"),5,IF(AND(G1413="espécie",A1413="FATURAMENTO"),3,IF(AND(G1413="espécie",A1413="DESPESAS"),6))))))</f>
        <v>5</v>
      </c>
      <c r="K1413" s="16">
        <v>97</v>
      </c>
      <c r="M1413" s="17">
        <f t="shared" si="66"/>
        <v>217047.54000000007</v>
      </c>
      <c r="N1413" s="11">
        <f t="shared" si="67"/>
        <v>10</v>
      </c>
    </row>
    <row r="1414" spans="1:14" x14ac:dyDescent="0.25">
      <c r="A1414" s="11" t="s">
        <v>0</v>
      </c>
      <c r="B1414" s="12">
        <v>45222</v>
      </c>
      <c r="C1414" s="11" t="s">
        <v>688</v>
      </c>
      <c r="D1414" s="11" t="s">
        <v>701</v>
      </c>
      <c r="E1414" s="13" t="s">
        <v>204</v>
      </c>
      <c r="F1414" s="14" t="s">
        <v>204</v>
      </c>
      <c r="G1414" s="14" t="s">
        <v>404</v>
      </c>
      <c r="H1414" s="15" t="s">
        <v>20</v>
      </c>
      <c r="I1414" s="11">
        <f t="shared" si="68"/>
        <v>5</v>
      </c>
      <c r="K1414" s="16">
        <v>13.97</v>
      </c>
      <c r="M1414" s="17">
        <f t="shared" si="66"/>
        <v>217033.57000000007</v>
      </c>
      <c r="N1414" s="11">
        <f t="shared" si="67"/>
        <v>10</v>
      </c>
    </row>
    <row r="1415" spans="1:14" x14ac:dyDescent="0.25">
      <c r="A1415" s="11" t="s">
        <v>207</v>
      </c>
      <c r="B1415" s="12">
        <v>45223</v>
      </c>
      <c r="C1415" s="11" t="s">
        <v>688</v>
      </c>
      <c r="D1415" s="11" t="s">
        <v>43</v>
      </c>
      <c r="E1415" s="13" t="s">
        <v>363</v>
      </c>
      <c r="F1415" s="14" t="s">
        <v>363</v>
      </c>
      <c r="G1415" s="14" t="s">
        <v>400</v>
      </c>
      <c r="I1415" s="11">
        <f t="shared" si="68"/>
        <v>2</v>
      </c>
      <c r="J1415" s="16">
        <v>77.599999999999994</v>
      </c>
      <c r="M1415" s="17">
        <f t="shared" si="66"/>
        <v>217111.17000000007</v>
      </c>
      <c r="N1415" s="11">
        <f t="shared" si="67"/>
        <v>10</v>
      </c>
    </row>
    <row r="1416" spans="1:14" x14ac:dyDescent="0.25">
      <c r="A1416" s="11" t="s">
        <v>207</v>
      </c>
      <c r="B1416" s="12">
        <v>45223</v>
      </c>
      <c r="C1416" s="11" t="s">
        <v>688</v>
      </c>
      <c r="D1416" s="11" t="s">
        <v>43</v>
      </c>
      <c r="E1416" s="13" t="s">
        <v>357</v>
      </c>
      <c r="F1416" s="14" t="s">
        <v>13</v>
      </c>
      <c r="G1416" s="14" t="s">
        <v>400</v>
      </c>
      <c r="I1416" s="11">
        <f t="shared" si="68"/>
        <v>2</v>
      </c>
      <c r="J1416" s="16">
        <v>43.11</v>
      </c>
      <c r="M1416" s="17">
        <f t="shared" si="66"/>
        <v>217154.28000000006</v>
      </c>
      <c r="N1416" s="11">
        <f t="shared" si="67"/>
        <v>10</v>
      </c>
    </row>
    <row r="1417" spans="1:14" x14ac:dyDescent="0.25">
      <c r="A1417" s="11" t="s">
        <v>207</v>
      </c>
      <c r="B1417" s="12">
        <v>45223</v>
      </c>
      <c r="C1417" s="11" t="s">
        <v>688</v>
      </c>
      <c r="D1417" s="11" t="s">
        <v>43</v>
      </c>
      <c r="E1417" s="13" t="s">
        <v>357</v>
      </c>
      <c r="F1417" s="14" t="s">
        <v>13</v>
      </c>
      <c r="G1417" s="14" t="s">
        <v>400</v>
      </c>
      <c r="I1417" s="11">
        <f t="shared" si="68"/>
        <v>2</v>
      </c>
      <c r="J1417" s="16">
        <v>289.62</v>
      </c>
      <c r="M1417" s="17">
        <f t="shared" si="66"/>
        <v>217443.90000000005</v>
      </c>
      <c r="N1417" s="11">
        <f t="shared" si="67"/>
        <v>10</v>
      </c>
    </row>
    <row r="1418" spans="1:14" x14ac:dyDescent="0.25">
      <c r="A1418" s="11" t="s">
        <v>207</v>
      </c>
      <c r="B1418" s="12">
        <v>45223</v>
      </c>
      <c r="C1418" s="11" t="s">
        <v>688</v>
      </c>
      <c r="D1418" s="11" t="s">
        <v>43</v>
      </c>
      <c r="E1418" s="13" t="s">
        <v>357</v>
      </c>
      <c r="F1418" s="14" t="s">
        <v>13</v>
      </c>
      <c r="G1418" s="14" t="s">
        <v>400</v>
      </c>
      <c r="I1418" s="11">
        <f t="shared" si="68"/>
        <v>2</v>
      </c>
      <c r="J1418" s="16">
        <v>115.51</v>
      </c>
      <c r="M1418" s="17">
        <f t="shared" si="66"/>
        <v>217559.41000000006</v>
      </c>
      <c r="N1418" s="11">
        <f t="shared" si="67"/>
        <v>10</v>
      </c>
    </row>
    <row r="1419" spans="1:14" x14ac:dyDescent="0.25">
      <c r="A1419" s="11" t="s">
        <v>207</v>
      </c>
      <c r="B1419" s="12">
        <v>45223</v>
      </c>
      <c r="C1419" s="11" t="s">
        <v>688</v>
      </c>
      <c r="D1419" s="11" t="s">
        <v>43</v>
      </c>
      <c r="E1419" s="13" t="s">
        <v>79</v>
      </c>
      <c r="F1419" s="14" t="s">
        <v>79</v>
      </c>
      <c r="G1419" s="14" t="s">
        <v>400</v>
      </c>
      <c r="I1419" s="11">
        <f t="shared" si="68"/>
        <v>2</v>
      </c>
      <c r="J1419" s="16">
        <v>2232.65</v>
      </c>
      <c r="M1419" s="17">
        <f t="shared" si="66"/>
        <v>219792.06000000006</v>
      </c>
      <c r="N1419" s="11">
        <f t="shared" si="67"/>
        <v>10</v>
      </c>
    </row>
    <row r="1420" spans="1:14" x14ac:dyDescent="0.25">
      <c r="A1420" s="11" t="s">
        <v>207</v>
      </c>
      <c r="B1420" s="12">
        <v>45223</v>
      </c>
      <c r="C1420" s="11" t="s">
        <v>688</v>
      </c>
      <c r="D1420" s="11" t="s">
        <v>43</v>
      </c>
      <c r="E1420" s="13" t="s">
        <v>79</v>
      </c>
      <c r="F1420" s="14" t="s">
        <v>79</v>
      </c>
      <c r="G1420" s="14" t="s">
        <v>400</v>
      </c>
      <c r="I1420" s="11">
        <f t="shared" si="68"/>
        <v>2</v>
      </c>
      <c r="J1420" s="16">
        <v>2962.79</v>
      </c>
      <c r="M1420" s="17">
        <f t="shared" si="66"/>
        <v>222754.85000000006</v>
      </c>
      <c r="N1420" s="11">
        <f t="shared" si="67"/>
        <v>10</v>
      </c>
    </row>
    <row r="1421" spans="1:14" x14ac:dyDescent="0.25">
      <c r="A1421" s="11" t="s">
        <v>0</v>
      </c>
      <c r="B1421" s="12">
        <v>45223</v>
      </c>
      <c r="C1421" s="11" t="s">
        <v>688</v>
      </c>
      <c r="D1421" s="11" t="s">
        <v>692</v>
      </c>
      <c r="E1421" s="13" t="s">
        <v>169</v>
      </c>
      <c r="F1421" s="14" t="s">
        <v>50</v>
      </c>
      <c r="G1421" s="14" t="s">
        <v>404</v>
      </c>
      <c r="H1421" s="15">
        <v>1196047</v>
      </c>
      <c r="I1421" s="11">
        <f t="shared" si="68"/>
        <v>5</v>
      </c>
      <c r="K1421" s="16">
        <v>700</v>
      </c>
      <c r="M1421" s="17">
        <f t="shared" si="66"/>
        <v>222054.85000000006</v>
      </c>
      <c r="N1421" s="11">
        <f t="shared" si="67"/>
        <v>10</v>
      </c>
    </row>
    <row r="1422" spans="1:14" x14ac:dyDescent="0.25">
      <c r="A1422" s="11" t="s">
        <v>0</v>
      </c>
      <c r="B1422" s="12">
        <v>45223</v>
      </c>
      <c r="C1422" s="11" t="s">
        <v>688</v>
      </c>
      <c r="D1422" s="11" t="s">
        <v>692</v>
      </c>
      <c r="E1422" s="13" t="s">
        <v>143</v>
      </c>
      <c r="F1422" s="14" t="s">
        <v>59</v>
      </c>
      <c r="G1422" s="14" t="s">
        <v>404</v>
      </c>
      <c r="H1422" s="15">
        <v>439556</v>
      </c>
      <c r="I1422" s="11">
        <f t="shared" si="68"/>
        <v>5</v>
      </c>
      <c r="K1422" s="16">
        <v>1918.14</v>
      </c>
      <c r="M1422" s="17">
        <f t="shared" si="66"/>
        <v>220136.71000000005</v>
      </c>
      <c r="N1422" s="11">
        <f t="shared" si="67"/>
        <v>10</v>
      </c>
    </row>
    <row r="1423" spans="1:14" x14ac:dyDescent="0.25">
      <c r="A1423" s="11" t="s">
        <v>0</v>
      </c>
      <c r="B1423" s="12">
        <v>45223</v>
      </c>
      <c r="C1423" s="11" t="s">
        <v>688</v>
      </c>
      <c r="D1423" s="11" t="s">
        <v>692</v>
      </c>
      <c r="E1423" s="13" t="s">
        <v>179</v>
      </c>
      <c r="F1423" s="14" t="s">
        <v>378</v>
      </c>
      <c r="G1423" s="14" t="s">
        <v>404</v>
      </c>
      <c r="H1423" s="15">
        <v>4</v>
      </c>
      <c r="I1423" s="11">
        <f t="shared" si="68"/>
        <v>5</v>
      </c>
      <c r="K1423" s="16">
        <v>648</v>
      </c>
      <c r="M1423" s="17">
        <f t="shared" si="66"/>
        <v>219488.71000000005</v>
      </c>
      <c r="N1423" s="11">
        <f t="shared" si="67"/>
        <v>10</v>
      </c>
    </row>
    <row r="1424" spans="1:14" x14ac:dyDescent="0.25">
      <c r="A1424" s="11" t="s">
        <v>0</v>
      </c>
      <c r="B1424" s="12">
        <v>45223</v>
      </c>
      <c r="C1424" s="11" t="s">
        <v>688</v>
      </c>
      <c r="D1424" s="11" t="s">
        <v>692</v>
      </c>
      <c r="E1424" s="13" t="s">
        <v>229</v>
      </c>
      <c r="F1424" s="14" t="s">
        <v>116</v>
      </c>
      <c r="G1424" s="14" t="s">
        <v>404</v>
      </c>
      <c r="H1424" s="15">
        <v>10545</v>
      </c>
      <c r="I1424" s="11">
        <f t="shared" si="68"/>
        <v>5</v>
      </c>
      <c r="K1424" s="16">
        <v>1788</v>
      </c>
      <c r="M1424" s="17">
        <f t="shared" si="66"/>
        <v>217700.71000000005</v>
      </c>
      <c r="N1424" s="11">
        <f t="shared" si="67"/>
        <v>10</v>
      </c>
    </row>
    <row r="1425" spans="1:14" x14ac:dyDescent="0.25">
      <c r="A1425" s="11" t="s">
        <v>0</v>
      </c>
      <c r="B1425" s="12">
        <v>45223</v>
      </c>
      <c r="C1425" s="11" t="s">
        <v>688</v>
      </c>
      <c r="D1425" s="11" t="s">
        <v>692</v>
      </c>
      <c r="E1425" s="13" t="s">
        <v>725</v>
      </c>
      <c r="F1425" s="14" t="s">
        <v>27</v>
      </c>
      <c r="G1425" s="14" t="s">
        <v>404</v>
      </c>
      <c r="H1425" s="15">
        <v>13947</v>
      </c>
      <c r="I1425" s="11">
        <f t="shared" si="68"/>
        <v>5</v>
      </c>
      <c r="K1425" s="16">
        <v>2673.98</v>
      </c>
      <c r="M1425" s="17">
        <f t="shared" si="66"/>
        <v>215026.73000000004</v>
      </c>
      <c r="N1425" s="11">
        <f t="shared" si="67"/>
        <v>10</v>
      </c>
    </row>
    <row r="1426" spans="1:14" x14ac:dyDescent="0.25">
      <c r="A1426" s="11" t="s">
        <v>0</v>
      </c>
      <c r="B1426" s="12">
        <v>45223</v>
      </c>
      <c r="C1426" s="11" t="s">
        <v>688</v>
      </c>
      <c r="D1426" s="11" t="s">
        <v>692</v>
      </c>
      <c r="E1426" s="13" t="s">
        <v>143</v>
      </c>
      <c r="F1426" s="14" t="s">
        <v>224</v>
      </c>
      <c r="G1426" s="14" t="s">
        <v>403</v>
      </c>
      <c r="H1426" s="15">
        <v>276654</v>
      </c>
      <c r="I1426" s="11">
        <f t="shared" si="68"/>
        <v>5</v>
      </c>
      <c r="K1426" s="16">
        <v>1238.98</v>
      </c>
      <c r="M1426" s="17">
        <f t="shared" si="66"/>
        <v>213787.75000000003</v>
      </c>
      <c r="N1426" s="11">
        <f t="shared" si="67"/>
        <v>10</v>
      </c>
    </row>
    <row r="1427" spans="1:14" x14ac:dyDescent="0.25">
      <c r="A1427" s="11" t="s">
        <v>0</v>
      </c>
      <c r="B1427" s="12">
        <v>45223</v>
      </c>
      <c r="C1427" s="11" t="s">
        <v>688</v>
      </c>
      <c r="D1427" s="11" t="s">
        <v>692</v>
      </c>
      <c r="E1427" s="13" t="s">
        <v>726</v>
      </c>
      <c r="F1427" s="14" t="s">
        <v>91</v>
      </c>
      <c r="G1427" s="14" t="s">
        <v>403</v>
      </c>
      <c r="H1427" s="15">
        <v>396846</v>
      </c>
      <c r="I1427" s="11">
        <f t="shared" si="68"/>
        <v>5</v>
      </c>
      <c r="K1427" s="16">
        <v>1302.46</v>
      </c>
      <c r="M1427" s="17">
        <f t="shared" si="66"/>
        <v>212485.29000000004</v>
      </c>
      <c r="N1427" s="11">
        <f t="shared" si="67"/>
        <v>10</v>
      </c>
    </row>
    <row r="1428" spans="1:14" ht="26.4" x14ac:dyDescent="0.25">
      <c r="A1428" s="11" t="s">
        <v>0</v>
      </c>
      <c r="B1428" s="12">
        <v>45223</v>
      </c>
      <c r="C1428" s="11" t="s">
        <v>688</v>
      </c>
      <c r="D1428" s="11" t="s">
        <v>692</v>
      </c>
      <c r="E1428" s="13" t="s">
        <v>143</v>
      </c>
      <c r="F1428" s="14" t="s">
        <v>31</v>
      </c>
      <c r="G1428" s="14" t="s">
        <v>403</v>
      </c>
      <c r="H1428" s="15" t="s">
        <v>443</v>
      </c>
      <c r="I1428" s="11">
        <f t="shared" si="68"/>
        <v>5</v>
      </c>
      <c r="K1428" s="16">
        <v>1121.6400000000001</v>
      </c>
      <c r="M1428" s="17">
        <f t="shared" si="66"/>
        <v>211363.65000000002</v>
      </c>
      <c r="N1428" s="11">
        <f t="shared" si="67"/>
        <v>10</v>
      </c>
    </row>
    <row r="1429" spans="1:14" x14ac:dyDescent="0.25">
      <c r="A1429" s="11" t="s">
        <v>0</v>
      </c>
      <c r="B1429" s="12">
        <v>45223</v>
      </c>
      <c r="C1429" s="11" t="s">
        <v>688</v>
      </c>
      <c r="D1429" s="11" t="s">
        <v>692</v>
      </c>
      <c r="E1429" s="13" t="s">
        <v>726</v>
      </c>
      <c r="F1429" s="14" t="s">
        <v>91</v>
      </c>
      <c r="G1429" s="14" t="s">
        <v>403</v>
      </c>
      <c r="H1429" s="15">
        <v>396845</v>
      </c>
      <c r="I1429" s="11">
        <f t="shared" si="68"/>
        <v>5</v>
      </c>
      <c r="K1429" s="16">
        <v>252</v>
      </c>
      <c r="M1429" s="17">
        <f t="shared" si="66"/>
        <v>211111.65000000002</v>
      </c>
      <c r="N1429" s="11">
        <f t="shared" si="67"/>
        <v>10</v>
      </c>
    </row>
    <row r="1430" spans="1:14" x14ac:dyDescent="0.25">
      <c r="A1430" s="11" t="s">
        <v>207</v>
      </c>
      <c r="B1430" s="12">
        <v>45223</v>
      </c>
      <c r="C1430" s="11" t="s">
        <v>688</v>
      </c>
      <c r="D1430" s="11" t="s">
        <v>43</v>
      </c>
      <c r="E1430" s="13" t="s">
        <v>444</v>
      </c>
      <c r="F1430" s="14" t="s">
        <v>444</v>
      </c>
      <c r="G1430" s="14" t="s">
        <v>400</v>
      </c>
      <c r="I1430" s="11">
        <f t="shared" si="68"/>
        <v>2</v>
      </c>
      <c r="J1430" s="16">
        <v>121.3</v>
      </c>
      <c r="M1430" s="17">
        <f t="shared" si="66"/>
        <v>211232.95</v>
      </c>
      <c r="N1430" s="11">
        <f t="shared" si="67"/>
        <v>10</v>
      </c>
    </row>
    <row r="1431" spans="1:14" x14ac:dyDescent="0.25">
      <c r="A1431" s="11" t="s">
        <v>0</v>
      </c>
      <c r="B1431" s="12">
        <v>45223</v>
      </c>
      <c r="C1431" s="11" t="s">
        <v>688</v>
      </c>
      <c r="D1431" s="11" t="s">
        <v>694</v>
      </c>
      <c r="E1431" s="13" t="s">
        <v>182</v>
      </c>
      <c r="F1431" s="14" t="s">
        <v>365</v>
      </c>
      <c r="G1431" s="14" t="s">
        <v>402</v>
      </c>
      <c r="I1431" s="11">
        <f t="shared" si="68"/>
        <v>5</v>
      </c>
      <c r="K1431" s="16">
        <v>0.82</v>
      </c>
      <c r="M1431" s="17">
        <f t="shared" si="66"/>
        <v>211232.13</v>
      </c>
      <c r="N1431" s="11">
        <f t="shared" si="67"/>
        <v>10</v>
      </c>
    </row>
    <row r="1432" spans="1:14" x14ac:dyDescent="0.25">
      <c r="A1432" s="11" t="s">
        <v>0</v>
      </c>
      <c r="B1432" s="12">
        <v>45223</v>
      </c>
      <c r="C1432" s="11" t="s">
        <v>688</v>
      </c>
      <c r="D1432" s="11" t="s">
        <v>694</v>
      </c>
      <c r="E1432" s="13" t="s">
        <v>182</v>
      </c>
      <c r="F1432" s="14" t="s">
        <v>23</v>
      </c>
      <c r="G1432" s="14" t="s">
        <v>402</v>
      </c>
      <c r="I1432" s="11">
        <f t="shared" si="68"/>
        <v>5</v>
      </c>
      <c r="K1432" s="16">
        <v>26.96</v>
      </c>
      <c r="M1432" s="17">
        <f t="shared" si="66"/>
        <v>211205.17</v>
      </c>
      <c r="N1432" s="11">
        <f t="shared" si="67"/>
        <v>10</v>
      </c>
    </row>
    <row r="1433" spans="1:14" x14ac:dyDescent="0.25">
      <c r="A1433" s="11" t="s">
        <v>207</v>
      </c>
      <c r="B1433" s="12">
        <v>45223</v>
      </c>
      <c r="C1433" s="11" t="s">
        <v>688</v>
      </c>
      <c r="D1433" s="11" t="s">
        <v>43</v>
      </c>
      <c r="E1433" s="14" t="s">
        <v>288</v>
      </c>
      <c r="F1433" s="14" t="s">
        <v>288</v>
      </c>
      <c r="G1433" s="14" t="s">
        <v>173</v>
      </c>
      <c r="I1433" s="11">
        <f t="shared" si="68"/>
        <v>3</v>
      </c>
      <c r="J1433" s="16">
        <v>575</v>
      </c>
      <c r="M1433" s="17">
        <f t="shared" si="66"/>
        <v>211780.17</v>
      </c>
      <c r="N1433" s="11">
        <f t="shared" si="67"/>
        <v>10</v>
      </c>
    </row>
    <row r="1434" spans="1:14" x14ac:dyDescent="0.25">
      <c r="A1434" s="11" t="s">
        <v>207</v>
      </c>
      <c r="B1434" s="12">
        <v>45223</v>
      </c>
      <c r="C1434" s="11" t="s">
        <v>688</v>
      </c>
      <c r="D1434" s="11" t="s">
        <v>43</v>
      </c>
      <c r="E1434" s="14" t="s">
        <v>429</v>
      </c>
      <c r="F1434" s="14" t="s">
        <v>429</v>
      </c>
      <c r="G1434" s="14" t="s">
        <v>428</v>
      </c>
      <c r="I1434" s="11">
        <f t="shared" si="68"/>
        <v>1</v>
      </c>
      <c r="J1434" s="16">
        <v>3902.43</v>
      </c>
      <c r="M1434" s="17">
        <f t="shared" si="66"/>
        <v>215682.6</v>
      </c>
      <c r="N1434" s="11">
        <f t="shared" si="67"/>
        <v>10</v>
      </c>
    </row>
    <row r="1435" spans="1:14" x14ac:dyDescent="0.25">
      <c r="A1435" s="11" t="s">
        <v>207</v>
      </c>
      <c r="B1435" s="12">
        <v>45224</v>
      </c>
      <c r="C1435" s="11" t="s">
        <v>688</v>
      </c>
      <c r="D1435" s="11" t="s">
        <v>43</v>
      </c>
      <c r="E1435" s="13" t="s">
        <v>79</v>
      </c>
      <c r="F1435" s="14" t="s">
        <v>79</v>
      </c>
      <c r="G1435" s="14" t="s">
        <v>400</v>
      </c>
      <c r="I1435" s="11">
        <f t="shared" si="68"/>
        <v>2</v>
      </c>
      <c r="J1435" s="16">
        <v>1442.66</v>
      </c>
      <c r="M1435" s="17">
        <f t="shared" si="66"/>
        <v>217125.26</v>
      </c>
      <c r="N1435" s="11">
        <f t="shared" si="67"/>
        <v>10</v>
      </c>
    </row>
    <row r="1436" spans="1:14" x14ac:dyDescent="0.25">
      <c r="A1436" s="11" t="s">
        <v>207</v>
      </c>
      <c r="B1436" s="12">
        <v>45224</v>
      </c>
      <c r="C1436" s="11" t="s">
        <v>688</v>
      </c>
      <c r="D1436" s="11" t="s">
        <v>43</v>
      </c>
      <c r="E1436" s="13" t="s">
        <v>79</v>
      </c>
      <c r="F1436" s="14" t="s">
        <v>79</v>
      </c>
      <c r="G1436" s="14" t="s">
        <v>400</v>
      </c>
      <c r="I1436" s="11">
        <f t="shared" si="68"/>
        <v>2</v>
      </c>
      <c r="J1436" s="16">
        <v>1955.63</v>
      </c>
      <c r="M1436" s="17">
        <f t="shared" si="66"/>
        <v>219080.89</v>
      </c>
      <c r="N1436" s="11">
        <f t="shared" si="67"/>
        <v>10</v>
      </c>
    </row>
    <row r="1437" spans="1:14" x14ac:dyDescent="0.25">
      <c r="A1437" s="11" t="s">
        <v>207</v>
      </c>
      <c r="B1437" s="12">
        <v>45224</v>
      </c>
      <c r="C1437" s="11" t="s">
        <v>688</v>
      </c>
      <c r="D1437" s="11" t="s">
        <v>43</v>
      </c>
      <c r="E1437" s="13" t="s">
        <v>357</v>
      </c>
      <c r="F1437" s="14" t="s">
        <v>13</v>
      </c>
      <c r="G1437" s="14" t="s">
        <v>400</v>
      </c>
      <c r="I1437" s="11">
        <f t="shared" si="68"/>
        <v>2</v>
      </c>
      <c r="J1437" s="16">
        <v>78.19</v>
      </c>
      <c r="M1437" s="17">
        <f t="shared" si="66"/>
        <v>219159.08000000002</v>
      </c>
      <c r="N1437" s="11">
        <f t="shared" si="67"/>
        <v>10</v>
      </c>
    </row>
    <row r="1438" spans="1:14" x14ac:dyDescent="0.25">
      <c r="A1438" s="11" t="s">
        <v>207</v>
      </c>
      <c r="B1438" s="12">
        <v>45224</v>
      </c>
      <c r="C1438" s="11" t="s">
        <v>688</v>
      </c>
      <c r="D1438" s="11" t="s">
        <v>43</v>
      </c>
      <c r="E1438" s="13" t="s">
        <v>357</v>
      </c>
      <c r="F1438" s="14" t="s">
        <v>13</v>
      </c>
      <c r="G1438" s="14" t="s">
        <v>400</v>
      </c>
      <c r="I1438" s="11">
        <f t="shared" si="68"/>
        <v>2</v>
      </c>
      <c r="J1438" s="16">
        <v>15.09</v>
      </c>
      <c r="M1438" s="17">
        <f t="shared" si="66"/>
        <v>219174.17</v>
      </c>
      <c r="N1438" s="11">
        <f t="shared" si="67"/>
        <v>10</v>
      </c>
    </row>
    <row r="1439" spans="1:14" x14ac:dyDescent="0.25">
      <c r="A1439" s="11" t="s">
        <v>0</v>
      </c>
      <c r="B1439" s="12">
        <v>45224</v>
      </c>
      <c r="C1439" s="11" t="s">
        <v>688</v>
      </c>
      <c r="D1439" s="11" t="s">
        <v>694</v>
      </c>
      <c r="E1439" s="13" t="s">
        <v>182</v>
      </c>
      <c r="F1439" s="14" t="s">
        <v>365</v>
      </c>
      <c r="G1439" s="14" t="s">
        <v>402</v>
      </c>
      <c r="I1439" s="11">
        <f t="shared" si="68"/>
        <v>5</v>
      </c>
      <c r="K1439" s="16">
        <v>0.66</v>
      </c>
      <c r="M1439" s="17">
        <f t="shared" si="66"/>
        <v>219173.51</v>
      </c>
      <c r="N1439" s="11">
        <f t="shared" si="67"/>
        <v>10</v>
      </c>
    </row>
    <row r="1440" spans="1:14" x14ac:dyDescent="0.25">
      <c r="A1440" s="11" t="s">
        <v>0</v>
      </c>
      <c r="B1440" s="12">
        <v>45224</v>
      </c>
      <c r="C1440" s="11" t="s">
        <v>688</v>
      </c>
      <c r="D1440" s="11" t="s">
        <v>694</v>
      </c>
      <c r="E1440" s="13" t="s">
        <v>182</v>
      </c>
      <c r="F1440" s="14" t="s">
        <v>23</v>
      </c>
      <c r="G1440" s="14" t="s">
        <v>402</v>
      </c>
      <c r="I1440" s="11">
        <f t="shared" si="68"/>
        <v>5</v>
      </c>
      <c r="K1440" s="16">
        <v>41.02</v>
      </c>
      <c r="M1440" s="17">
        <f t="shared" si="66"/>
        <v>219132.49000000002</v>
      </c>
      <c r="N1440" s="11">
        <f t="shared" si="67"/>
        <v>10</v>
      </c>
    </row>
    <row r="1441" spans="1:14" x14ac:dyDescent="0.25">
      <c r="A1441" s="11" t="s">
        <v>0</v>
      </c>
      <c r="B1441" s="12">
        <v>45224</v>
      </c>
      <c r="C1441" s="11" t="s">
        <v>688</v>
      </c>
      <c r="D1441" s="11" t="s">
        <v>692</v>
      </c>
      <c r="E1441" s="13" t="s">
        <v>143</v>
      </c>
      <c r="F1441" s="14" t="s">
        <v>31</v>
      </c>
      <c r="G1441" s="14" t="s">
        <v>403</v>
      </c>
      <c r="H1441" s="15" t="s">
        <v>502</v>
      </c>
      <c r="I1441" s="11">
        <f t="shared" si="68"/>
        <v>5</v>
      </c>
      <c r="K1441" s="16">
        <v>626.58000000000004</v>
      </c>
      <c r="M1441" s="17">
        <f t="shared" si="66"/>
        <v>218505.91000000003</v>
      </c>
      <c r="N1441" s="11">
        <f t="shared" si="67"/>
        <v>10</v>
      </c>
    </row>
    <row r="1442" spans="1:14" ht="26.4" x14ac:dyDescent="0.25">
      <c r="A1442" s="11" t="s">
        <v>0</v>
      </c>
      <c r="B1442" s="12">
        <v>45224</v>
      </c>
      <c r="C1442" s="11" t="s">
        <v>688</v>
      </c>
      <c r="D1442" s="11" t="s">
        <v>692</v>
      </c>
      <c r="E1442" s="13" t="s">
        <v>143</v>
      </c>
      <c r="F1442" s="14" t="s">
        <v>36</v>
      </c>
      <c r="G1442" s="14" t="s">
        <v>403</v>
      </c>
      <c r="H1442" s="15" t="s">
        <v>451</v>
      </c>
      <c r="I1442" s="11">
        <f t="shared" si="68"/>
        <v>5</v>
      </c>
      <c r="K1442" s="16">
        <v>1437.14</v>
      </c>
      <c r="M1442" s="17">
        <f t="shared" si="66"/>
        <v>217068.77000000002</v>
      </c>
      <c r="N1442" s="11">
        <f t="shared" si="67"/>
        <v>10</v>
      </c>
    </row>
    <row r="1443" spans="1:14" x14ac:dyDescent="0.25">
      <c r="A1443" s="11" t="s">
        <v>0</v>
      </c>
      <c r="B1443" s="12">
        <v>45224</v>
      </c>
      <c r="C1443" s="11" t="s">
        <v>688</v>
      </c>
      <c r="D1443" s="11" t="s">
        <v>697</v>
      </c>
      <c r="E1443" s="13" t="s">
        <v>751</v>
      </c>
      <c r="F1443" s="14" t="s">
        <v>230</v>
      </c>
      <c r="G1443" s="14" t="s">
        <v>403</v>
      </c>
      <c r="I1443" s="11">
        <f t="shared" si="68"/>
        <v>5</v>
      </c>
      <c r="K1443" s="16">
        <v>2937.44</v>
      </c>
      <c r="M1443" s="17">
        <f t="shared" si="66"/>
        <v>214131.33000000002</v>
      </c>
      <c r="N1443" s="11">
        <f t="shared" si="67"/>
        <v>10</v>
      </c>
    </row>
    <row r="1444" spans="1:14" x14ac:dyDescent="0.25">
      <c r="A1444" s="11" t="s">
        <v>0</v>
      </c>
      <c r="B1444" s="12">
        <v>45224</v>
      </c>
      <c r="C1444" s="11" t="s">
        <v>688</v>
      </c>
      <c r="D1444" s="11" t="s">
        <v>697</v>
      </c>
      <c r="E1444" s="13" t="s">
        <v>751</v>
      </c>
      <c r="F1444" s="14" t="s">
        <v>231</v>
      </c>
      <c r="G1444" s="14" t="s">
        <v>403</v>
      </c>
      <c r="I1444" s="11">
        <f t="shared" si="68"/>
        <v>5</v>
      </c>
      <c r="K1444" s="16">
        <v>637.74</v>
      </c>
      <c r="M1444" s="17">
        <f t="shared" si="66"/>
        <v>213493.59000000003</v>
      </c>
      <c r="N1444" s="11">
        <f t="shared" si="67"/>
        <v>10</v>
      </c>
    </row>
    <row r="1445" spans="1:14" x14ac:dyDescent="0.25">
      <c r="A1445" s="11" t="s">
        <v>0</v>
      </c>
      <c r="B1445" s="12">
        <v>45224</v>
      </c>
      <c r="C1445" s="11" t="s">
        <v>688</v>
      </c>
      <c r="D1445" s="11" t="s">
        <v>701</v>
      </c>
      <c r="E1445" s="13" t="s">
        <v>180</v>
      </c>
      <c r="F1445" s="14" t="s">
        <v>37</v>
      </c>
      <c r="G1445" s="14" t="s">
        <v>404</v>
      </c>
      <c r="H1445" s="15" t="s">
        <v>96</v>
      </c>
      <c r="I1445" s="11">
        <f t="shared" si="68"/>
        <v>5</v>
      </c>
      <c r="K1445" s="16">
        <v>402</v>
      </c>
      <c r="M1445" s="17">
        <f t="shared" si="66"/>
        <v>213091.59000000003</v>
      </c>
      <c r="N1445" s="11">
        <f t="shared" si="67"/>
        <v>10</v>
      </c>
    </row>
    <row r="1446" spans="1:14" x14ac:dyDescent="0.25">
      <c r="A1446" s="11" t="s">
        <v>0</v>
      </c>
      <c r="B1446" s="12">
        <v>45224</v>
      </c>
      <c r="C1446" s="11" t="s">
        <v>688</v>
      </c>
      <c r="D1446" s="11" t="s">
        <v>692</v>
      </c>
      <c r="E1446" s="13" t="s">
        <v>179</v>
      </c>
      <c r="F1446" s="14" t="s">
        <v>51</v>
      </c>
      <c r="G1446" s="14" t="s">
        <v>404</v>
      </c>
      <c r="H1446" s="15">
        <v>5</v>
      </c>
      <c r="I1446" s="11">
        <f t="shared" si="68"/>
        <v>5</v>
      </c>
      <c r="K1446" s="16">
        <v>2925</v>
      </c>
      <c r="M1446" s="17">
        <f t="shared" si="66"/>
        <v>210166.59000000003</v>
      </c>
      <c r="N1446" s="11">
        <f t="shared" si="67"/>
        <v>10</v>
      </c>
    </row>
    <row r="1447" spans="1:14" x14ac:dyDescent="0.25">
      <c r="A1447" s="11" t="s">
        <v>0</v>
      </c>
      <c r="B1447" s="12">
        <v>45224</v>
      </c>
      <c r="C1447" s="11" t="s">
        <v>688</v>
      </c>
      <c r="D1447" s="11" t="s">
        <v>698</v>
      </c>
      <c r="E1447" s="242" t="s">
        <v>315</v>
      </c>
      <c r="F1447" s="14" t="s">
        <v>452</v>
      </c>
      <c r="G1447" s="14" t="s">
        <v>404</v>
      </c>
      <c r="H1447" s="15" t="s">
        <v>20</v>
      </c>
      <c r="I1447" s="11">
        <f t="shared" si="68"/>
        <v>5</v>
      </c>
      <c r="K1447" s="16">
        <v>320</v>
      </c>
      <c r="M1447" s="17">
        <f t="shared" si="66"/>
        <v>209846.59000000003</v>
      </c>
      <c r="N1447" s="11">
        <f t="shared" si="67"/>
        <v>10</v>
      </c>
    </row>
    <row r="1448" spans="1:14" x14ac:dyDescent="0.25">
      <c r="A1448" s="11" t="s">
        <v>0</v>
      </c>
      <c r="B1448" s="12">
        <v>45224</v>
      </c>
      <c r="C1448" s="11" t="s">
        <v>688</v>
      </c>
      <c r="D1448" s="11" t="s">
        <v>692</v>
      </c>
      <c r="E1448" s="13" t="s">
        <v>724</v>
      </c>
      <c r="F1448" s="14" t="s">
        <v>119</v>
      </c>
      <c r="G1448" s="14" t="s">
        <v>404</v>
      </c>
      <c r="H1448" s="15">
        <v>1282048</v>
      </c>
      <c r="I1448" s="11">
        <f t="shared" si="68"/>
        <v>5</v>
      </c>
      <c r="K1448" s="16">
        <v>3592.84</v>
      </c>
      <c r="M1448" s="17">
        <f t="shared" si="66"/>
        <v>206253.75000000003</v>
      </c>
      <c r="N1448" s="11">
        <f t="shared" si="67"/>
        <v>10</v>
      </c>
    </row>
    <row r="1449" spans="1:14" ht="26.4" x14ac:dyDescent="0.25">
      <c r="A1449" s="11" t="s">
        <v>0</v>
      </c>
      <c r="B1449" s="12">
        <v>45224</v>
      </c>
      <c r="C1449" s="11" t="s">
        <v>688</v>
      </c>
      <c r="D1449" s="11" t="s">
        <v>692</v>
      </c>
      <c r="E1449" s="13" t="s">
        <v>725</v>
      </c>
      <c r="F1449" s="14" t="s">
        <v>27</v>
      </c>
      <c r="G1449" s="14" t="s">
        <v>404</v>
      </c>
      <c r="H1449" s="15" t="s">
        <v>495</v>
      </c>
      <c r="I1449" s="11">
        <f t="shared" si="68"/>
        <v>5</v>
      </c>
      <c r="K1449" s="16">
        <v>537.70000000000005</v>
      </c>
      <c r="M1449" s="17">
        <f t="shared" si="66"/>
        <v>205716.05000000002</v>
      </c>
      <c r="N1449" s="11">
        <f t="shared" si="67"/>
        <v>10</v>
      </c>
    </row>
    <row r="1450" spans="1:14" x14ac:dyDescent="0.25">
      <c r="A1450" s="11" t="s">
        <v>0</v>
      </c>
      <c r="B1450" s="12">
        <v>45224</v>
      </c>
      <c r="C1450" s="11" t="s">
        <v>688</v>
      </c>
      <c r="D1450" s="11" t="s">
        <v>701</v>
      </c>
      <c r="E1450" s="13" t="s">
        <v>204</v>
      </c>
      <c r="F1450" s="14" t="s">
        <v>204</v>
      </c>
      <c r="G1450" s="14" t="s">
        <v>404</v>
      </c>
      <c r="H1450" s="15">
        <v>4</v>
      </c>
      <c r="I1450" s="11">
        <f t="shared" si="68"/>
        <v>5</v>
      </c>
      <c r="K1450" s="16">
        <v>358.17</v>
      </c>
      <c r="M1450" s="17">
        <f t="shared" si="66"/>
        <v>205357.88</v>
      </c>
      <c r="N1450" s="11">
        <f t="shared" si="67"/>
        <v>10</v>
      </c>
    </row>
    <row r="1451" spans="1:14" x14ac:dyDescent="0.25">
      <c r="A1451" s="11" t="s">
        <v>207</v>
      </c>
      <c r="B1451" s="12">
        <v>45224</v>
      </c>
      <c r="C1451" s="11" t="s">
        <v>688</v>
      </c>
      <c r="D1451" s="11" t="s">
        <v>43</v>
      </c>
      <c r="E1451" s="13" t="s">
        <v>455</v>
      </c>
      <c r="F1451" s="14" t="s">
        <v>455</v>
      </c>
      <c r="G1451" s="14" t="s">
        <v>400</v>
      </c>
      <c r="I1451" s="11">
        <f t="shared" si="68"/>
        <v>2</v>
      </c>
      <c r="J1451" s="16">
        <v>96.01</v>
      </c>
      <c r="M1451" s="17">
        <f t="shared" si="66"/>
        <v>205453.89</v>
      </c>
      <c r="N1451" s="11">
        <f t="shared" si="67"/>
        <v>10</v>
      </c>
    </row>
    <row r="1452" spans="1:14" x14ac:dyDescent="0.25">
      <c r="A1452" s="11" t="s">
        <v>207</v>
      </c>
      <c r="B1452" s="12">
        <v>45224</v>
      </c>
      <c r="C1452" s="11" t="s">
        <v>662</v>
      </c>
      <c r="D1452" s="11" t="s">
        <v>43</v>
      </c>
      <c r="E1452" s="14" t="s">
        <v>288</v>
      </c>
      <c r="F1452" s="14" t="s">
        <v>288</v>
      </c>
      <c r="G1452" s="14" t="s">
        <v>173</v>
      </c>
      <c r="I1452" s="11">
        <f t="shared" si="68"/>
        <v>3</v>
      </c>
      <c r="J1452" s="16">
        <v>700</v>
      </c>
      <c r="M1452" s="17">
        <f t="shared" si="66"/>
        <v>206153.89</v>
      </c>
      <c r="N1452" s="11">
        <f t="shared" si="67"/>
        <v>10</v>
      </c>
    </row>
    <row r="1453" spans="1:14" x14ac:dyDescent="0.25">
      <c r="A1453" s="11" t="s">
        <v>207</v>
      </c>
      <c r="B1453" s="12">
        <v>45224</v>
      </c>
      <c r="C1453" s="11" t="s">
        <v>688</v>
      </c>
      <c r="D1453" s="11" t="s">
        <v>43</v>
      </c>
      <c r="E1453" s="14" t="s">
        <v>288</v>
      </c>
      <c r="F1453" s="14" t="s">
        <v>288</v>
      </c>
      <c r="G1453" s="14" t="s">
        <v>173</v>
      </c>
      <c r="I1453" s="11">
        <f t="shared" si="68"/>
        <v>3</v>
      </c>
      <c r="J1453" s="16">
        <v>1650</v>
      </c>
      <c r="M1453" s="17">
        <f t="shared" si="66"/>
        <v>207803.89</v>
      </c>
      <c r="N1453" s="11">
        <f t="shared" si="67"/>
        <v>10</v>
      </c>
    </row>
    <row r="1454" spans="1:14" x14ac:dyDescent="0.25">
      <c r="A1454" s="11" t="s">
        <v>207</v>
      </c>
      <c r="B1454" s="12">
        <v>45225</v>
      </c>
      <c r="C1454" s="11" t="s">
        <v>662</v>
      </c>
      <c r="D1454" s="11" t="s">
        <v>43</v>
      </c>
      <c r="E1454" s="14" t="s">
        <v>288</v>
      </c>
      <c r="F1454" s="14" t="s">
        <v>288</v>
      </c>
      <c r="G1454" s="14" t="s">
        <v>173</v>
      </c>
      <c r="I1454" s="11">
        <f t="shared" si="68"/>
        <v>3</v>
      </c>
      <c r="J1454" s="16">
        <v>160</v>
      </c>
      <c r="M1454" s="17">
        <f t="shared" si="66"/>
        <v>207963.89</v>
      </c>
      <c r="N1454" s="11">
        <f t="shared" si="67"/>
        <v>10</v>
      </c>
    </row>
    <row r="1455" spans="1:14" x14ac:dyDescent="0.25">
      <c r="A1455" s="11" t="s">
        <v>207</v>
      </c>
      <c r="B1455" s="12">
        <v>45225</v>
      </c>
      <c r="C1455" s="11" t="s">
        <v>688</v>
      </c>
      <c r="D1455" s="11" t="s">
        <v>43</v>
      </c>
      <c r="E1455" s="14" t="s">
        <v>288</v>
      </c>
      <c r="F1455" s="14" t="s">
        <v>288</v>
      </c>
      <c r="G1455" s="14" t="s">
        <v>173</v>
      </c>
      <c r="I1455" s="11">
        <f t="shared" si="68"/>
        <v>3</v>
      </c>
      <c r="J1455" s="16">
        <v>1610</v>
      </c>
      <c r="M1455" s="17">
        <f t="shared" si="66"/>
        <v>209573.89</v>
      </c>
      <c r="N1455" s="11">
        <f t="shared" si="67"/>
        <v>10</v>
      </c>
    </row>
    <row r="1456" spans="1:14" x14ac:dyDescent="0.25">
      <c r="A1456" s="11" t="s">
        <v>207</v>
      </c>
      <c r="B1456" s="12">
        <v>45225</v>
      </c>
      <c r="C1456" s="11" t="s">
        <v>688</v>
      </c>
      <c r="D1456" s="11" t="s">
        <v>43</v>
      </c>
      <c r="E1456" s="14" t="s">
        <v>429</v>
      </c>
      <c r="F1456" s="14" t="s">
        <v>429</v>
      </c>
      <c r="G1456" s="14" t="s">
        <v>428</v>
      </c>
      <c r="I1456" s="11">
        <f t="shared" si="68"/>
        <v>1</v>
      </c>
      <c r="J1456" s="16">
        <v>160</v>
      </c>
      <c r="M1456" s="17">
        <f t="shared" si="66"/>
        <v>209733.89</v>
      </c>
      <c r="N1456" s="11">
        <f t="shared" si="67"/>
        <v>10</v>
      </c>
    </row>
    <row r="1457" spans="1:14" x14ac:dyDescent="0.25">
      <c r="A1457" s="11" t="s">
        <v>207</v>
      </c>
      <c r="B1457" s="12">
        <v>45225</v>
      </c>
      <c r="C1457" s="11" t="s">
        <v>688</v>
      </c>
      <c r="D1457" s="11" t="s">
        <v>43</v>
      </c>
      <c r="E1457" s="13" t="s">
        <v>79</v>
      </c>
      <c r="F1457" s="14" t="s">
        <v>79</v>
      </c>
      <c r="G1457" s="14" t="s">
        <v>400</v>
      </c>
      <c r="I1457" s="11">
        <f t="shared" si="68"/>
        <v>2</v>
      </c>
      <c r="J1457" s="16">
        <v>2014.42</v>
      </c>
      <c r="M1457" s="17">
        <f t="shared" si="66"/>
        <v>211748.31000000003</v>
      </c>
      <c r="N1457" s="11">
        <f t="shared" si="67"/>
        <v>10</v>
      </c>
    </row>
    <row r="1458" spans="1:14" x14ac:dyDescent="0.25">
      <c r="A1458" s="11" t="s">
        <v>207</v>
      </c>
      <c r="B1458" s="12">
        <v>45225</v>
      </c>
      <c r="C1458" s="11" t="s">
        <v>688</v>
      </c>
      <c r="D1458" s="11" t="s">
        <v>43</v>
      </c>
      <c r="E1458" s="13" t="s">
        <v>79</v>
      </c>
      <c r="F1458" s="14" t="s">
        <v>79</v>
      </c>
      <c r="G1458" s="14" t="s">
        <v>400</v>
      </c>
      <c r="I1458" s="11">
        <f t="shared" si="68"/>
        <v>2</v>
      </c>
      <c r="J1458" s="16">
        <v>1393.25</v>
      </c>
      <c r="M1458" s="17">
        <f t="shared" si="66"/>
        <v>213141.56000000003</v>
      </c>
      <c r="N1458" s="11">
        <f t="shared" si="67"/>
        <v>10</v>
      </c>
    </row>
    <row r="1459" spans="1:14" x14ac:dyDescent="0.25">
      <c r="A1459" s="11" t="s">
        <v>207</v>
      </c>
      <c r="B1459" s="12">
        <v>45225</v>
      </c>
      <c r="C1459" s="11" t="s">
        <v>688</v>
      </c>
      <c r="D1459" s="11" t="s">
        <v>43</v>
      </c>
      <c r="E1459" s="13" t="s">
        <v>357</v>
      </c>
      <c r="F1459" s="14" t="s">
        <v>13</v>
      </c>
      <c r="G1459" s="14" t="s">
        <v>400</v>
      </c>
      <c r="I1459" s="11">
        <f t="shared" si="68"/>
        <v>2</v>
      </c>
      <c r="J1459" s="16">
        <v>593.39</v>
      </c>
      <c r="M1459" s="17">
        <f t="shared" si="66"/>
        <v>213734.95000000004</v>
      </c>
      <c r="N1459" s="11">
        <f t="shared" si="67"/>
        <v>10</v>
      </c>
    </row>
    <row r="1460" spans="1:14" x14ac:dyDescent="0.25">
      <c r="A1460" s="11" t="s">
        <v>207</v>
      </c>
      <c r="B1460" s="12">
        <v>45225</v>
      </c>
      <c r="C1460" s="11" t="s">
        <v>688</v>
      </c>
      <c r="D1460" s="11" t="s">
        <v>43</v>
      </c>
      <c r="E1460" s="13" t="s">
        <v>357</v>
      </c>
      <c r="F1460" s="14" t="s">
        <v>13</v>
      </c>
      <c r="G1460" s="14" t="s">
        <v>400</v>
      </c>
      <c r="I1460" s="11">
        <f t="shared" si="68"/>
        <v>2</v>
      </c>
      <c r="J1460" s="16">
        <v>12</v>
      </c>
      <c r="M1460" s="17">
        <f t="shared" si="66"/>
        <v>213746.95000000004</v>
      </c>
      <c r="N1460" s="11">
        <f t="shared" si="67"/>
        <v>10</v>
      </c>
    </row>
    <row r="1461" spans="1:14" x14ac:dyDescent="0.25">
      <c r="A1461" s="11" t="s">
        <v>207</v>
      </c>
      <c r="B1461" s="12">
        <v>45225</v>
      </c>
      <c r="C1461" s="11" t="s">
        <v>688</v>
      </c>
      <c r="D1461" s="11" t="s">
        <v>43</v>
      </c>
      <c r="E1461" s="13" t="s">
        <v>357</v>
      </c>
      <c r="F1461" s="14" t="s">
        <v>13</v>
      </c>
      <c r="G1461" s="14" t="s">
        <v>400</v>
      </c>
      <c r="I1461" s="11">
        <f t="shared" si="68"/>
        <v>2</v>
      </c>
      <c r="J1461" s="16">
        <v>302.95999999999998</v>
      </c>
      <c r="M1461" s="17">
        <f t="shared" si="66"/>
        <v>214049.91000000003</v>
      </c>
      <c r="N1461" s="11">
        <f t="shared" si="67"/>
        <v>10</v>
      </c>
    </row>
    <row r="1462" spans="1:14" x14ac:dyDescent="0.25">
      <c r="A1462" s="11" t="s">
        <v>0</v>
      </c>
      <c r="B1462" s="12">
        <v>45225</v>
      </c>
      <c r="C1462" s="11" t="s">
        <v>688</v>
      </c>
      <c r="D1462" s="11" t="s">
        <v>694</v>
      </c>
      <c r="E1462" s="13" t="s">
        <v>182</v>
      </c>
      <c r="F1462" s="14" t="s">
        <v>365</v>
      </c>
      <c r="G1462" s="14" t="s">
        <v>402</v>
      </c>
      <c r="I1462" s="11">
        <f t="shared" si="68"/>
        <v>5</v>
      </c>
      <c r="K1462" s="16">
        <v>1.89</v>
      </c>
      <c r="M1462" s="17">
        <f t="shared" si="66"/>
        <v>214048.02000000002</v>
      </c>
      <c r="N1462" s="11">
        <f t="shared" si="67"/>
        <v>10</v>
      </c>
    </row>
    <row r="1463" spans="1:14" x14ac:dyDescent="0.25">
      <c r="A1463" s="11" t="s">
        <v>0</v>
      </c>
      <c r="B1463" s="12">
        <v>45225</v>
      </c>
      <c r="C1463" s="11" t="s">
        <v>688</v>
      </c>
      <c r="D1463" s="11" t="s">
        <v>694</v>
      </c>
      <c r="E1463" s="13" t="s">
        <v>182</v>
      </c>
      <c r="F1463" s="14" t="s">
        <v>23</v>
      </c>
      <c r="G1463" s="14" t="s">
        <v>402</v>
      </c>
      <c r="I1463" s="11">
        <f t="shared" si="68"/>
        <v>5</v>
      </c>
      <c r="K1463" s="16">
        <v>18.25</v>
      </c>
      <c r="M1463" s="17">
        <f t="shared" si="66"/>
        <v>214029.77000000002</v>
      </c>
      <c r="N1463" s="11">
        <f t="shared" si="67"/>
        <v>10</v>
      </c>
    </row>
    <row r="1464" spans="1:14" x14ac:dyDescent="0.25">
      <c r="A1464" s="11" t="s">
        <v>207</v>
      </c>
      <c r="B1464" s="12">
        <v>45225</v>
      </c>
      <c r="C1464" s="11" t="s">
        <v>688</v>
      </c>
      <c r="D1464" s="11" t="s">
        <v>43</v>
      </c>
      <c r="E1464" s="13" t="s">
        <v>456</v>
      </c>
      <c r="F1464" s="14" t="s">
        <v>456</v>
      </c>
      <c r="G1464" s="14" t="s">
        <v>400</v>
      </c>
      <c r="I1464" s="11">
        <f t="shared" si="68"/>
        <v>2</v>
      </c>
      <c r="J1464" s="16">
        <v>276.8</v>
      </c>
      <c r="M1464" s="17">
        <f t="shared" si="66"/>
        <v>214306.57</v>
      </c>
      <c r="N1464" s="11">
        <f t="shared" si="67"/>
        <v>10</v>
      </c>
    </row>
    <row r="1465" spans="1:14" ht="26.4" x14ac:dyDescent="0.25">
      <c r="A1465" s="11" t="s">
        <v>0</v>
      </c>
      <c r="B1465" s="12">
        <v>45225</v>
      </c>
      <c r="C1465" s="11" t="s">
        <v>688</v>
      </c>
      <c r="D1465" s="11" t="s">
        <v>692</v>
      </c>
      <c r="E1465" s="13" t="s">
        <v>726</v>
      </c>
      <c r="F1465" s="14" t="s">
        <v>91</v>
      </c>
      <c r="G1465" s="14" t="s">
        <v>404</v>
      </c>
      <c r="H1465" s="15" t="s">
        <v>638</v>
      </c>
      <c r="I1465" s="11">
        <f t="shared" si="68"/>
        <v>5</v>
      </c>
      <c r="K1465" s="16">
        <v>927.84</v>
      </c>
      <c r="M1465" s="17">
        <f t="shared" si="66"/>
        <v>213378.73</v>
      </c>
      <c r="N1465" s="11">
        <f t="shared" si="67"/>
        <v>10</v>
      </c>
    </row>
    <row r="1466" spans="1:14" x14ac:dyDescent="0.25">
      <c r="A1466" s="11" t="s">
        <v>0</v>
      </c>
      <c r="B1466" s="12">
        <v>45225</v>
      </c>
      <c r="C1466" s="11" t="s">
        <v>688</v>
      </c>
      <c r="D1466" s="11" t="s">
        <v>692</v>
      </c>
      <c r="E1466" s="13" t="s">
        <v>724</v>
      </c>
      <c r="F1466" s="14" t="s">
        <v>119</v>
      </c>
      <c r="G1466" s="14" t="s">
        <v>404</v>
      </c>
      <c r="H1466" s="15">
        <v>1282047</v>
      </c>
      <c r="I1466" s="11">
        <f t="shared" si="68"/>
        <v>5</v>
      </c>
      <c r="K1466" s="16">
        <v>1484.73</v>
      </c>
      <c r="M1466" s="17">
        <f t="shared" si="66"/>
        <v>211894</v>
      </c>
      <c r="N1466" s="11">
        <f t="shared" si="67"/>
        <v>10</v>
      </c>
    </row>
    <row r="1467" spans="1:14" x14ac:dyDescent="0.25">
      <c r="A1467" s="11" t="s">
        <v>0</v>
      </c>
      <c r="B1467" s="12">
        <v>45225</v>
      </c>
      <c r="C1467" s="11" t="s">
        <v>688</v>
      </c>
      <c r="D1467" s="11" t="s">
        <v>692</v>
      </c>
      <c r="E1467" s="13" t="s">
        <v>108</v>
      </c>
      <c r="F1467" s="14" t="s">
        <v>107</v>
      </c>
      <c r="G1467" s="14" t="s">
        <v>173</v>
      </c>
      <c r="H1467" s="15" t="s">
        <v>426</v>
      </c>
      <c r="I1467" s="11">
        <f t="shared" si="68"/>
        <v>6</v>
      </c>
      <c r="K1467" s="16">
        <v>1050</v>
      </c>
      <c r="M1467" s="17">
        <f t="shared" si="66"/>
        <v>210844</v>
      </c>
      <c r="N1467" s="11">
        <f t="shared" si="67"/>
        <v>10</v>
      </c>
    </row>
    <row r="1468" spans="1:14" x14ac:dyDescent="0.25">
      <c r="A1468" s="11" t="s">
        <v>207</v>
      </c>
      <c r="B1468" s="12">
        <v>45226</v>
      </c>
      <c r="C1468" s="11" t="s">
        <v>688</v>
      </c>
      <c r="D1468" s="11" t="s">
        <v>43</v>
      </c>
      <c r="E1468" s="13" t="s">
        <v>79</v>
      </c>
      <c r="F1468" s="14" t="s">
        <v>79</v>
      </c>
      <c r="G1468" s="14" t="s">
        <v>400</v>
      </c>
      <c r="I1468" s="11">
        <f t="shared" si="68"/>
        <v>2</v>
      </c>
      <c r="J1468" s="16">
        <v>2811.68</v>
      </c>
      <c r="M1468" s="17">
        <f t="shared" si="66"/>
        <v>213655.67999999999</v>
      </c>
      <c r="N1468" s="11">
        <f t="shared" si="67"/>
        <v>10</v>
      </c>
    </row>
    <row r="1469" spans="1:14" x14ac:dyDescent="0.25">
      <c r="A1469" s="11" t="s">
        <v>207</v>
      </c>
      <c r="B1469" s="12">
        <v>45226</v>
      </c>
      <c r="C1469" s="11" t="s">
        <v>688</v>
      </c>
      <c r="D1469" s="11" t="s">
        <v>43</v>
      </c>
      <c r="E1469" s="13" t="s">
        <v>79</v>
      </c>
      <c r="F1469" s="14" t="s">
        <v>79</v>
      </c>
      <c r="G1469" s="14" t="s">
        <v>400</v>
      </c>
      <c r="I1469" s="11">
        <f t="shared" si="68"/>
        <v>2</v>
      </c>
      <c r="J1469" s="16">
        <v>2003.99</v>
      </c>
      <c r="M1469" s="17">
        <f t="shared" si="66"/>
        <v>215659.66999999998</v>
      </c>
      <c r="N1469" s="11">
        <f t="shared" si="67"/>
        <v>10</v>
      </c>
    </row>
    <row r="1470" spans="1:14" x14ac:dyDescent="0.25">
      <c r="A1470" s="11" t="s">
        <v>207</v>
      </c>
      <c r="B1470" s="12">
        <v>45226</v>
      </c>
      <c r="C1470" s="11" t="s">
        <v>688</v>
      </c>
      <c r="D1470" s="11" t="s">
        <v>43</v>
      </c>
      <c r="E1470" s="13" t="s">
        <v>79</v>
      </c>
      <c r="F1470" s="14" t="s">
        <v>79</v>
      </c>
      <c r="G1470" s="14" t="s">
        <v>400</v>
      </c>
      <c r="I1470" s="11">
        <f t="shared" si="68"/>
        <v>2</v>
      </c>
      <c r="J1470" s="16">
        <v>96.34</v>
      </c>
      <c r="M1470" s="17">
        <f t="shared" si="66"/>
        <v>215756.00999999998</v>
      </c>
      <c r="N1470" s="11">
        <f t="shared" si="67"/>
        <v>10</v>
      </c>
    </row>
    <row r="1471" spans="1:14" x14ac:dyDescent="0.25">
      <c r="A1471" s="11" t="s">
        <v>207</v>
      </c>
      <c r="B1471" s="12">
        <v>45226</v>
      </c>
      <c r="C1471" s="11" t="s">
        <v>662</v>
      </c>
      <c r="D1471" s="11" t="s">
        <v>43</v>
      </c>
      <c r="E1471" s="13" t="s">
        <v>357</v>
      </c>
      <c r="F1471" s="14" t="s">
        <v>13</v>
      </c>
      <c r="G1471" s="14" t="s">
        <v>400</v>
      </c>
      <c r="I1471" s="11">
        <f t="shared" si="68"/>
        <v>2</v>
      </c>
      <c r="J1471" s="16">
        <v>187.07</v>
      </c>
      <c r="M1471" s="17">
        <f t="shared" si="66"/>
        <v>215943.08</v>
      </c>
      <c r="N1471" s="11">
        <f t="shared" si="67"/>
        <v>10</v>
      </c>
    </row>
    <row r="1472" spans="1:14" x14ac:dyDescent="0.25">
      <c r="A1472" s="11" t="s">
        <v>207</v>
      </c>
      <c r="B1472" s="12">
        <v>45226</v>
      </c>
      <c r="C1472" s="11" t="s">
        <v>688</v>
      </c>
      <c r="D1472" s="11" t="s">
        <v>43</v>
      </c>
      <c r="E1472" s="13" t="s">
        <v>357</v>
      </c>
      <c r="F1472" s="14" t="s">
        <v>13</v>
      </c>
      <c r="G1472" s="14" t="s">
        <v>400</v>
      </c>
      <c r="I1472" s="11">
        <f t="shared" si="68"/>
        <v>2</v>
      </c>
      <c r="J1472" s="16">
        <v>89.08</v>
      </c>
      <c r="M1472" s="17">
        <f t="shared" si="66"/>
        <v>216032.15999999997</v>
      </c>
      <c r="N1472" s="11">
        <f t="shared" si="67"/>
        <v>10</v>
      </c>
    </row>
    <row r="1473" spans="1:14" x14ac:dyDescent="0.25">
      <c r="A1473" s="11" t="s">
        <v>207</v>
      </c>
      <c r="B1473" s="12">
        <v>45226</v>
      </c>
      <c r="C1473" s="11" t="s">
        <v>688</v>
      </c>
      <c r="D1473" s="11" t="s">
        <v>43</v>
      </c>
      <c r="E1473" s="13" t="s">
        <v>357</v>
      </c>
      <c r="F1473" s="14" t="s">
        <v>13</v>
      </c>
      <c r="G1473" s="14" t="s">
        <v>400</v>
      </c>
      <c r="I1473" s="11">
        <f t="shared" si="68"/>
        <v>2</v>
      </c>
      <c r="J1473" s="16">
        <v>42.03</v>
      </c>
      <c r="M1473" s="17">
        <f t="shared" si="66"/>
        <v>216074.18999999997</v>
      </c>
      <c r="N1473" s="11">
        <f t="shared" si="67"/>
        <v>10</v>
      </c>
    </row>
    <row r="1474" spans="1:14" x14ac:dyDescent="0.25">
      <c r="A1474" s="11" t="s">
        <v>207</v>
      </c>
      <c r="B1474" s="12">
        <v>45226</v>
      </c>
      <c r="C1474" s="11" t="s">
        <v>688</v>
      </c>
      <c r="D1474" s="11" t="s">
        <v>43</v>
      </c>
      <c r="E1474" s="13" t="s">
        <v>357</v>
      </c>
      <c r="F1474" s="14" t="s">
        <v>13</v>
      </c>
      <c r="G1474" s="14" t="s">
        <v>400</v>
      </c>
      <c r="I1474" s="11">
        <f t="shared" si="68"/>
        <v>2</v>
      </c>
      <c r="J1474" s="16">
        <v>172.97</v>
      </c>
      <c r="M1474" s="17">
        <f t="shared" si="66"/>
        <v>216247.15999999997</v>
      </c>
      <c r="N1474" s="11">
        <f t="shared" si="67"/>
        <v>10</v>
      </c>
    </row>
    <row r="1475" spans="1:14" x14ac:dyDescent="0.25">
      <c r="A1475" s="11" t="s">
        <v>0</v>
      </c>
      <c r="B1475" s="12">
        <v>45226</v>
      </c>
      <c r="C1475" s="11" t="s">
        <v>688</v>
      </c>
      <c r="D1475" s="11" t="s">
        <v>694</v>
      </c>
      <c r="E1475" s="13" t="s">
        <v>182</v>
      </c>
      <c r="F1475" s="14" t="s">
        <v>365</v>
      </c>
      <c r="G1475" s="14" t="s">
        <v>402</v>
      </c>
      <c r="I1475" s="11">
        <f t="shared" si="68"/>
        <v>5</v>
      </c>
      <c r="K1475" s="16">
        <v>0.61</v>
      </c>
      <c r="M1475" s="17">
        <f t="shared" ref="M1475:M1538" si="69">IF(B1475=0, "",M1474+ J1475-K1475)</f>
        <v>216246.55</v>
      </c>
      <c r="N1475" s="11">
        <f t="shared" ref="N1475:N1538" si="70">IF(B1475=0, "", MONTH(B1475))</f>
        <v>10</v>
      </c>
    </row>
    <row r="1476" spans="1:14" x14ac:dyDescent="0.25">
      <c r="A1476" s="11" t="s">
        <v>0</v>
      </c>
      <c r="B1476" s="12">
        <v>45226</v>
      </c>
      <c r="C1476" s="11" t="s">
        <v>688</v>
      </c>
      <c r="D1476" s="11" t="s">
        <v>694</v>
      </c>
      <c r="E1476" s="13" t="s">
        <v>182</v>
      </c>
      <c r="F1476" s="14" t="s">
        <v>23</v>
      </c>
      <c r="G1476" s="14" t="s">
        <v>402</v>
      </c>
      <c r="I1476" s="11">
        <f t="shared" si="68"/>
        <v>5</v>
      </c>
      <c r="K1476" s="16">
        <v>21</v>
      </c>
      <c r="M1476" s="17">
        <f t="shared" si="69"/>
        <v>216225.55</v>
      </c>
      <c r="N1476" s="11">
        <f t="shared" si="70"/>
        <v>10</v>
      </c>
    </row>
    <row r="1477" spans="1:14" x14ac:dyDescent="0.25">
      <c r="A1477" s="11" t="s">
        <v>207</v>
      </c>
      <c r="B1477" s="12">
        <v>45226</v>
      </c>
      <c r="C1477" s="11" t="s">
        <v>688</v>
      </c>
      <c r="D1477" s="11" t="s">
        <v>43</v>
      </c>
      <c r="E1477" s="13" t="s">
        <v>288</v>
      </c>
      <c r="F1477" s="14" t="s">
        <v>288</v>
      </c>
      <c r="G1477" s="14" t="s">
        <v>173</v>
      </c>
      <c r="I1477" s="11">
        <f t="shared" ref="I1477:I1540" si="71">IF(AND(G1477="MERCADO PAGO",A1477="FATURAMENTO"),1,IF(AND(OR(G1477="MERCADO PAGO",G1477="pix mercado pago",G1477= "débito automático mercado pago", G1477= "boleto mercado pago"),A1477="DESPESAS"),4,IF(AND(G1477="SAFRA",A1477="FATURAMENTO"),2,IF(AND(OR(G1477="SAFRA",G1477="PIX SAFRA", G1477="DÉBITO AUTOMÁTICO SAFRA", G1477= "BOLETO SAFRA", G1477= "transferência safra"), A1477="DESPESAS"),5,IF(AND(G1477="espécie",A1477="FATURAMENTO"),3,IF(AND(G1477="espécie",A1477="DESPESAS"),6))))))</f>
        <v>3</v>
      </c>
      <c r="J1477" s="16">
        <v>1477</v>
      </c>
      <c r="M1477" s="17">
        <f t="shared" si="69"/>
        <v>217702.55</v>
      </c>
      <c r="N1477" s="11">
        <f t="shared" si="70"/>
        <v>10</v>
      </c>
    </row>
    <row r="1478" spans="1:14" x14ac:dyDescent="0.25">
      <c r="A1478" s="11" t="s">
        <v>207</v>
      </c>
      <c r="B1478" s="12">
        <v>45226</v>
      </c>
      <c r="C1478" s="11" t="s">
        <v>688</v>
      </c>
      <c r="D1478" s="11" t="s">
        <v>43</v>
      </c>
      <c r="E1478" s="14" t="s">
        <v>429</v>
      </c>
      <c r="F1478" s="14" t="s">
        <v>429</v>
      </c>
      <c r="G1478" s="14" t="s">
        <v>428</v>
      </c>
      <c r="I1478" s="11">
        <f t="shared" si="71"/>
        <v>1</v>
      </c>
      <c r="J1478" s="16">
        <v>100</v>
      </c>
      <c r="M1478" s="17">
        <f t="shared" si="69"/>
        <v>217802.55</v>
      </c>
      <c r="N1478" s="11">
        <f t="shared" si="70"/>
        <v>10</v>
      </c>
    </row>
    <row r="1479" spans="1:14" x14ac:dyDescent="0.25">
      <c r="A1479" s="11" t="s">
        <v>207</v>
      </c>
      <c r="B1479" s="12">
        <v>45226</v>
      </c>
      <c r="C1479" s="11" t="s">
        <v>688</v>
      </c>
      <c r="D1479" s="11" t="s">
        <v>43</v>
      </c>
      <c r="E1479" s="13" t="s">
        <v>457</v>
      </c>
      <c r="F1479" s="14" t="s">
        <v>457</v>
      </c>
      <c r="G1479" s="14" t="s">
        <v>400</v>
      </c>
      <c r="I1479" s="11">
        <f t="shared" si="71"/>
        <v>2</v>
      </c>
      <c r="J1479" s="16">
        <v>87.25</v>
      </c>
      <c r="M1479" s="17">
        <f t="shared" si="69"/>
        <v>217889.8</v>
      </c>
      <c r="N1479" s="11">
        <f t="shared" si="70"/>
        <v>10</v>
      </c>
    </row>
    <row r="1480" spans="1:14" x14ac:dyDescent="0.25">
      <c r="A1480" s="11" t="s">
        <v>0</v>
      </c>
      <c r="B1480" s="12">
        <v>45226</v>
      </c>
      <c r="C1480" s="11" t="s">
        <v>688</v>
      </c>
      <c r="D1480" s="11" t="s">
        <v>692</v>
      </c>
      <c r="E1480" s="13" t="s">
        <v>179</v>
      </c>
      <c r="F1480" s="14" t="s">
        <v>28</v>
      </c>
      <c r="G1480" s="14" t="s">
        <v>404</v>
      </c>
      <c r="H1480" s="15">
        <v>38</v>
      </c>
      <c r="I1480" s="11">
        <f t="shared" si="71"/>
        <v>5</v>
      </c>
      <c r="K1480" s="16">
        <v>2766.1</v>
      </c>
      <c r="M1480" s="17">
        <f t="shared" si="69"/>
        <v>215123.69999999998</v>
      </c>
      <c r="N1480" s="11">
        <f t="shared" si="70"/>
        <v>10</v>
      </c>
    </row>
    <row r="1481" spans="1:14" x14ac:dyDescent="0.25">
      <c r="A1481" s="11" t="s">
        <v>0</v>
      </c>
      <c r="B1481" s="12">
        <v>45226</v>
      </c>
      <c r="C1481" s="11" t="s">
        <v>688</v>
      </c>
      <c r="D1481" s="11" t="s">
        <v>692</v>
      </c>
      <c r="E1481" s="13" t="s">
        <v>267</v>
      </c>
      <c r="F1481" s="14" t="s">
        <v>301</v>
      </c>
      <c r="G1481" s="14" t="s">
        <v>404</v>
      </c>
      <c r="H1481" s="15">
        <v>4</v>
      </c>
      <c r="I1481" s="11">
        <f t="shared" si="71"/>
        <v>5</v>
      </c>
      <c r="K1481" s="16">
        <v>984</v>
      </c>
      <c r="M1481" s="17">
        <f t="shared" si="69"/>
        <v>214139.69999999998</v>
      </c>
      <c r="N1481" s="11">
        <f t="shared" si="70"/>
        <v>10</v>
      </c>
    </row>
    <row r="1482" spans="1:14" x14ac:dyDescent="0.25">
      <c r="A1482" s="11" t="s">
        <v>0</v>
      </c>
      <c r="B1482" s="12">
        <v>45226</v>
      </c>
      <c r="C1482" s="11" t="s">
        <v>688</v>
      </c>
      <c r="D1482" s="11" t="s">
        <v>720</v>
      </c>
      <c r="E1482" s="13" t="s">
        <v>393</v>
      </c>
      <c r="F1482" s="14" t="s">
        <v>393</v>
      </c>
      <c r="G1482" s="14" t="s">
        <v>404</v>
      </c>
      <c r="H1482" s="15">
        <v>736</v>
      </c>
      <c r="I1482" s="11">
        <f t="shared" si="71"/>
        <v>5</v>
      </c>
      <c r="K1482" s="16">
        <v>70</v>
      </c>
      <c r="M1482" s="17">
        <f t="shared" si="69"/>
        <v>214069.69999999998</v>
      </c>
      <c r="N1482" s="11">
        <f t="shared" si="70"/>
        <v>10</v>
      </c>
    </row>
    <row r="1483" spans="1:14" x14ac:dyDescent="0.25">
      <c r="A1483" s="11" t="s">
        <v>0</v>
      </c>
      <c r="B1483" s="12">
        <v>45226</v>
      </c>
      <c r="C1483" s="11" t="s">
        <v>688</v>
      </c>
      <c r="D1483" s="11" t="s">
        <v>698</v>
      </c>
      <c r="E1483" s="13" t="s">
        <v>183</v>
      </c>
      <c r="F1483" s="14" t="s">
        <v>458</v>
      </c>
      <c r="G1483" s="14" t="s">
        <v>404</v>
      </c>
      <c r="H1483" s="15" t="s">
        <v>20</v>
      </c>
      <c r="I1483" s="11">
        <f t="shared" si="71"/>
        <v>5</v>
      </c>
      <c r="K1483" s="16">
        <v>100</v>
      </c>
      <c r="M1483" s="17">
        <f t="shared" si="69"/>
        <v>213969.69999999998</v>
      </c>
      <c r="N1483" s="11">
        <f t="shared" si="70"/>
        <v>10</v>
      </c>
    </row>
    <row r="1484" spans="1:14" x14ac:dyDescent="0.25">
      <c r="A1484" s="11" t="s">
        <v>0</v>
      </c>
      <c r="B1484" s="12">
        <v>45226</v>
      </c>
      <c r="C1484" s="11" t="s">
        <v>688</v>
      </c>
      <c r="D1484" s="11" t="s">
        <v>720</v>
      </c>
      <c r="E1484" s="13" t="s">
        <v>183</v>
      </c>
      <c r="F1484" s="14" t="s">
        <v>366</v>
      </c>
      <c r="G1484" s="14" t="s">
        <v>404</v>
      </c>
      <c r="H1484" s="15">
        <v>58</v>
      </c>
      <c r="I1484" s="11">
        <f t="shared" si="71"/>
        <v>5</v>
      </c>
      <c r="K1484" s="16">
        <v>80</v>
      </c>
      <c r="M1484" s="17">
        <f t="shared" si="69"/>
        <v>213889.69999999998</v>
      </c>
      <c r="N1484" s="11">
        <f t="shared" si="70"/>
        <v>10</v>
      </c>
    </row>
    <row r="1485" spans="1:14" ht="26.4" x14ac:dyDescent="0.25">
      <c r="A1485" s="11" t="s">
        <v>0</v>
      </c>
      <c r="B1485" s="12">
        <v>45226</v>
      </c>
      <c r="C1485" s="11" t="s">
        <v>688</v>
      </c>
      <c r="D1485" s="11" t="s">
        <v>692</v>
      </c>
      <c r="E1485" s="13" t="s">
        <v>725</v>
      </c>
      <c r="F1485" s="14" t="s">
        <v>27</v>
      </c>
      <c r="G1485" s="14" t="s">
        <v>404</v>
      </c>
      <c r="H1485" s="15" t="s">
        <v>496</v>
      </c>
      <c r="I1485" s="11">
        <f t="shared" si="71"/>
        <v>5</v>
      </c>
      <c r="K1485" s="16">
        <v>176.28</v>
      </c>
      <c r="M1485" s="17">
        <f t="shared" si="69"/>
        <v>213713.41999999998</v>
      </c>
      <c r="N1485" s="11">
        <f t="shared" si="70"/>
        <v>10</v>
      </c>
    </row>
    <row r="1486" spans="1:14" x14ac:dyDescent="0.25">
      <c r="A1486" s="11" t="s">
        <v>0</v>
      </c>
      <c r="B1486" s="12">
        <v>45226</v>
      </c>
      <c r="C1486" s="11" t="s">
        <v>688</v>
      </c>
      <c r="D1486" s="11" t="s">
        <v>692</v>
      </c>
      <c r="E1486" s="13" t="s">
        <v>730</v>
      </c>
      <c r="F1486" s="14" t="s">
        <v>34</v>
      </c>
      <c r="G1486" s="14" t="s">
        <v>404</v>
      </c>
      <c r="H1486" s="15">
        <v>11281</v>
      </c>
      <c r="I1486" s="11">
        <f t="shared" si="71"/>
        <v>5</v>
      </c>
      <c r="K1486" s="16">
        <v>1863.39</v>
      </c>
      <c r="M1486" s="17">
        <f t="shared" si="69"/>
        <v>211850.02999999997</v>
      </c>
      <c r="N1486" s="11">
        <f t="shared" si="70"/>
        <v>10</v>
      </c>
    </row>
    <row r="1487" spans="1:14" x14ac:dyDescent="0.25">
      <c r="A1487" s="11" t="s">
        <v>207</v>
      </c>
      <c r="B1487" s="12">
        <v>45227</v>
      </c>
      <c r="C1487" s="11" t="s">
        <v>688</v>
      </c>
      <c r="D1487" s="11" t="s">
        <v>43</v>
      </c>
      <c r="E1487" s="14" t="s">
        <v>429</v>
      </c>
      <c r="F1487" s="14" t="s">
        <v>429</v>
      </c>
      <c r="G1487" s="14" t="s">
        <v>428</v>
      </c>
      <c r="I1487" s="11">
        <f t="shared" si="71"/>
        <v>1</v>
      </c>
      <c r="J1487" s="16">
        <v>2446.1999999999998</v>
      </c>
      <c r="M1487" s="17">
        <f t="shared" si="69"/>
        <v>214296.22999999998</v>
      </c>
      <c r="N1487" s="11">
        <f t="shared" si="70"/>
        <v>10</v>
      </c>
    </row>
    <row r="1488" spans="1:14" x14ac:dyDescent="0.25">
      <c r="A1488" s="11" t="s">
        <v>207</v>
      </c>
      <c r="B1488" s="12">
        <v>45227</v>
      </c>
      <c r="C1488" s="11" t="s">
        <v>662</v>
      </c>
      <c r="D1488" s="11" t="s">
        <v>43</v>
      </c>
      <c r="E1488" s="14" t="s">
        <v>288</v>
      </c>
      <c r="F1488" s="14" t="s">
        <v>288</v>
      </c>
      <c r="G1488" s="14" t="s">
        <v>173</v>
      </c>
      <c r="I1488" s="11">
        <f t="shared" si="71"/>
        <v>3</v>
      </c>
      <c r="J1488" s="16">
        <v>2440</v>
      </c>
      <c r="M1488" s="17">
        <f t="shared" si="69"/>
        <v>216736.22999999998</v>
      </c>
      <c r="N1488" s="11">
        <f t="shared" si="70"/>
        <v>10</v>
      </c>
    </row>
    <row r="1489" spans="1:14" x14ac:dyDescent="0.25">
      <c r="A1489" s="11" t="s">
        <v>207</v>
      </c>
      <c r="B1489" s="12">
        <v>45228</v>
      </c>
      <c r="C1489" s="11" t="s">
        <v>688</v>
      </c>
      <c r="D1489" s="11" t="s">
        <v>43</v>
      </c>
      <c r="E1489" s="14" t="s">
        <v>429</v>
      </c>
      <c r="F1489" s="14" t="s">
        <v>429</v>
      </c>
      <c r="G1489" s="14" t="s">
        <v>428</v>
      </c>
      <c r="I1489" s="11">
        <f t="shared" si="71"/>
        <v>1</v>
      </c>
      <c r="J1489" s="16">
        <v>2480</v>
      </c>
      <c r="M1489" s="17">
        <f t="shared" si="69"/>
        <v>219216.22999999998</v>
      </c>
      <c r="N1489" s="11">
        <f t="shared" si="70"/>
        <v>10</v>
      </c>
    </row>
    <row r="1490" spans="1:14" x14ac:dyDescent="0.25">
      <c r="A1490" s="11" t="s">
        <v>207</v>
      </c>
      <c r="B1490" s="12">
        <v>45228</v>
      </c>
      <c r="C1490" s="11" t="s">
        <v>662</v>
      </c>
      <c r="D1490" s="11" t="s">
        <v>43</v>
      </c>
      <c r="E1490" s="14" t="s">
        <v>288</v>
      </c>
      <c r="F1490" s="14" t="s">
        <v>288</v>
      </c>
      <c r="G1490" s="14" t="s">
        <v>173</v>
      </c>
      <c r="I1490" s="11">
        <f t="shared" si="71"/>
        <v>3</v>
      </c>
      <c r="J1490" s="16">
        <v>1750</v>
      </c>
      <c r="M1490" s="17">
        <f t="shared" si="69"/>
        <v>220966.22999999998</v>
      </c>
      <c r="N1490" s="11">
        <f t="shared" si="70"/>
        <v>10</v>
      </c>
    </row>
    <row r="1491" spans="1:14" x14ac:dyDescent="0.25">
      <c r="A1491" s="11" t="s">
        <v>207</v>
      </c>
      <c r="B1491" s="12">
        <v>45229</v>
      </c>
      <c r="C1491" s="11" t="s">
        <v>662</v>
      </c>
      <c r="D1491" s="11" t="s">
        <v>43</v>
      </c>
      <c r="E1491" s="14" t="s">
        <v>288</v>
      </c>
      <c r="F1491" s="14" t="s">
        <v>288</v>
      </c>
      <c r="G1491" s="14" t="s">
        <v>173</v>
      </c>
      <c r="I1491" s="11">
        <f t="shared" si="71"/>
        <v>3</v>
      </c>
      <c r="J1491" s="16">
        <v>600</v>
      </c>
      <c r="M1491" s="17">
        <f t="shared" si="69"/>
        <v>221566.22999999998</v>
      </c>
      <c r="N1491" s="11">
        <f t="shared" si="70"/>
        <v>10</v>
      </c>
    </row>
    <row r="1492" spans="1:14" x14ac:dyDescent="0.25">
      <c r="A1492" s="11" t="s">
        <v>0</v>
      </c>
      <c r="B1492" s="12">
        <v>45229</v>
      </c>
      <c r="C1492" s="11" t="s">
        <v>688</v>
      </c>
      <c r="D1492" s="11" t="s">
        <v>692</v>
      </c>
      <c r="E1492" s="13" t="s">
        <v>179</v>
      </c>
      <c r="F1492" s="14" t="s">
        <v>378</v>
      </c>
      <c r="G1492" s="14" t="s">
        <v>404</v>
      </c>
      <c r="H1492" s="15">
        <v>11</v>
      </c>
      <c r="I1492" s="11">
        <f t="shared" si="71"/>
        <v>5</v>
      </c>
      <c r="K1492" s="16">
        <v>1235</v>
      </c>
      <c r="M1492" s="17">
        <f t="shared" si="69"/>
        <v>220331.22999999998</v>
      </c>
      <c r="N1492" s="11">
        <f t="shared" si="70"/>
        <v>10</v>
      </c>
    </row>
    <row r="1493" spans="1:14" x14ac:dyDescent="0.25">
      <c r="A1493" s="11" t="s">
        <v>0</v>
      </c>
      <c r="B1493" s="12">
        <v>45229</v>
      </c>
      <c r="C1493" s="11" t="s">
        <v>688</v>
      </c>
      <c r="D1493" s="11" t="s">
        <v>694</v>
      </c>
      <c r="E1493" s="13" t="s">
        <v>6</v>
      </c>
      <c r="F1493" s="14" t="s">
        <v>60</v>
      </c>
      <c r="G1493" s="14" t="s">
        <v>404</v>
      </c>
      <c r="H1493" s="15">
        <v>121414</v>
      </c>
      <c r="I1493" s="11">
        <f t="shared" si="71"/>
        <v>5</v>
      </c>
      <c r="K1493" s="16">
        <v>112.5</v>
      </c>
      <c r="M1493" s="17">
        <f t="shared" si="69"/>
        <v>220218.72999999998</v>
      </c>
      <c r="N1493" s="11">
        <f t="shared" si="70"/>
        <v>10</v>
      </c>
    </row>
    <row r="1494" spans="1:14" x14ac:dyDescent="0.25">
      <c r="A1494" s="11" t="s">
        <v>0</v>
      </c>
      <c r="B1494" s="12">
        <v>45229</v>
      </c>
      <c r="C1494" s="11" t="s">
        <v>688</v>
      </c>
      <c r="D1494" s="11" t="s">
        <v>692</v>
      </c>
      <c r="E1494" s="13" t="s">
        <v>725</v>
      </c>
      <c r="F1494" s="14" t="s">
        <v>33</v>
      </c>
      <c r="G1494" s="14" t="s">
        <v>404</v>
      </c>
      <c r="H1494" s="15">
        <v>25006</v>
      </c>
      <c r="I1494" s="11">
        <f t="shared" si="71"/>
        <v>5</v>
      </c>
      <c r="K1494" s="16">
        <v>749.31</v>
      </c>
      <c r="M1494" s="17">
        <f t="shared" si="69"/>
        <v>219469.41999999998</v>
      </c>
      <c r="N1494" s="11">
        <f t="shared" si="70"/>
        <v>10</v>
      </c>
    </row>
    <row r="1495" spans="1:14" x14ac:dyDescent="0.25">
      <c r="A1495" s="11" t="s">
        <v>207</v>
      </c>
      <c r="B1495" s="12">
        <v>45229</v>
      </c>
      <c r="C1495" s="11" t="s">
        <v>688</v>
      </c>
      <c r="D1495" s="11" t="s">
        <v>43</v>
      </c>
      <c r="E1495" s="13" t="s">
        <v>357</v>
      </c>
      <c r="F1495" s="14" t="s">
        <v>13</v>
      </c>
      <c r="G1495" s="14" t="s">
        <v>400</v>
      </c>
      <c r="I1495" s="11">
        <f t="shared" si="71"/>
        <v>2</v>
      </c>
      <c r="J1495" s="16">
        <v>464.72</v>
      </c>
      <c r="M1495" s="17">
        <f t="shared" si="69"/>
        <v>219934.13999999998</v>
      </c>
      <c r="N1495" s="11">
        <f t="shared" si="70"/>
        <v>10</v>
      </c>
    </row>
    <row r="1496" spans="1:14" x14ac:dyDescent="0.25">
      <c r="A1496" s="11" t="s">
        <v>207</v>
      </c>
      <c r="B1496" s="12">
        <v>45229</v>
      </c>
      <c r="C1496" s="11" t="s">
        <v>662</v>
      </c>
      <c r="D1496" s="11" t="s">
        <v>43</v>
      </c>
      <c r="E1496" s="13" t="s">
        <v>357</v>
      </c>
      <c r="F1496" s="14" t="s">
        <v>13</v>
      </c>
      <c r="G1496" s="14" t="s">
        <v>400</v>
      </c>
      <c r="I1496" s="11">
        <f t="shared" si="71"/>
        <v>2</v>
      </c>
      <c r="J1496" s="16">
        <v>46.34</v>
      </c>
      <c r="M1496" s="17">
        <f t="shared" si="69"/>
        <v>219980.47999999998</v>
      </c>
      <c r="N1496" s="11">
        <f t="shared" si="70"/>
        <v>10</v>
      </c>
    </row>
    <row r="1497" spans="1:14" x14ac:dyDescent="0.25">
      <c r="A1497" s="11" t="s">
        <v>207</v>
      </c>
      <c r="B1497" s="12">
        <v>45229</v>
      </c>
      <c r="C1497" s="11" t="s">
        <v>688</v>
      </c>
      <c r="D1497" s="11" t="s">
        <v>43</v>
      </c>
      <c r="E1497" s="13" t="s">
        <v>357</v>
      </c>
      <c r="F1497" s="14" t="s">
        <v>13</v>
      </c>
      <c r="G1497" s="14" t="s">
        <v>400</v>
      </c>
      <c r="I1497" s="11">
        <f t="shared" si="71"/>
        <v>2</v>
      </c>
      <c r="J1497" s="16">
        <v>378.59</v>
      </c>
      <c r="M1497" s="17">
        <f t="shared" si="69"/>
        <v>220359.06999999998</v>
      </c>
      <c r="N1497" s="11">
        <f t="shared" si="70"/>
        <v>10</v>
      </c>
    </row>
    <row r="1498" spans="1:14" x14ac:dyDescent="0.25">
      <c r="A1498" s="11" t="s">
        <v>207</v>
      </c>
      <c r="B1498" s="12">
        <v>45229</v>
      </c>
      <c r="C1498" s="11" t="s">
        <v>688</v>
      </c>
      <c r="D1498" s="11" t="s">
        <v>43</v>
      </c>
      <c r="E1498" s="13" t="s">
        <v>357</v>
      </c>
      <c r="F1498" s="14" t="s">
        <v>13</v>
      </c>
      <c r="G1498" s="14" t="s">
        <v>400</v>
      </c>
      <c r="I1498" s="11">
        <f t="shared" si="71"/>
        <v>2</v>
      </c>
      <c r="J1498" s="16">
        <v>278.73</v>
      </c>
      <c r="M1498" s="17">
        <f t="shared" si="69"/>
        <v>220637.8</v>
      </c>
      <c r="N1498" s="11">
        <f t="shared" si="70"/>
        <v>10</v>
      </c>
    </row>
    <row r="1499" spans="1:14" x14ac:dyDescent="0.25">
      <c r="A1499" s="11" t="s">
        <v>207</v>
      </c>
      <c r="B1499" s="12">
        <v>45229</v>
      </c>
      <c r="C1499" s="11" t="s">
        <v>688</v>
      </c>
      <c r="D1499" s="11" t="s">
        <v>43</v>
      </c>
      <c r="E1499" s="13" t="s">
        <v>357</v>
      </c>
      <c r="F1499" s="14" t="s">
        <v>13</v>
      </c>
      <c r="G1499" s="14" t="s">
        <v>400</v>
      </c>
      <c r="I1499" s="11">
        <f t="shared" si="71"/>
        <v>2</v>
      </c>
      <c r="J1499" s="16">
        <v>1206.17</v>
      </c>
      <c r="M1499" s="17">
        <f t="shared" si="69"/>
        <v>221843.97</v>
      </c>
      <c r="N1499" s="11">
        <f t="shared" si="70"/>
        <v>10</v>
      </c>
    </row>
    <row r="1500" spans="1:14" x14ac:dyDescent="0.25">
      <c r="A1500" s="11" t="s">
        <v>207</v>
      </c>
      <c r="B1500" s="12">
        <v>45229</v>
      </c>
      <c r="C1500" s="11" t="s">
        <v>688</v>
      </c>
      <c r="D1500" s="11" t="s">
        <v>43</v>
      </c>
      <c r="E1500" s="13" t="s">
        <v>357</v>
      </c>
      <c r="F1500" s="14" t="s">
        <v>13</v>
      </c>
      <c r="G1500" s="14" t="s">
        <v>400</v>
      </c>
      <c r="I1500" s="11">
        <f t="shared" si="71"/>
        <v>2</v>
      </c>
      <c r="J1500" s="16">
        <v>543</v>
      </c>
      <c r="M1500" s="17">
        <f t="shared" si="69"/>
        <v>222386.97</v>
      </c>
      <c r="N1500" s="11">
        <f t="shared" si="70"/>
        <v>10</v>
      </c>
    </row>
    <row r="1501" spans="1:14" x14ac:dyDescent="0.25">
      <c r="A1501" s="11" t="s">
        <v>207</v>
      </c>
      <c r="B1501" s="12">
        <v>45229</v>
      </c>
      <c r="C1501" s="11" t="s">
        <v>662</v>
      </c>
      <c r="D1501" s="11" t="s">
        <v>43</v>
      </c>
      <c r="E1501" s="13" t="s">
        <v>357</v>
      </c>
      <c r="F1501" s="14" t="s">
        <v>13</v>
      </c>
      <c r="G1501" s="14" t="s">
        <v>400</v>
      </c>
      <c r="I1501" s="11">
        <f t="shared" si="71"/>
        <v>2</v>
      </c>
      <c r="J1501" s="16">
        <v>806.09</v>
      </c>
      <c r="M1501" s="17">
        <f t="shared" si="69"/>
        <v>223193.06</v>
      </c>
      <c r="N1501" s="11">
        <f t="shared" si="70"/>
        <v>10</v>
      </c>
    </row>
    <row r="1502" spans="1:14" x14ac:dyDescent="0.25">
      <c r="A1502" s="11" t="s">
        <v>207</v>
      </c>
      <c r="B1502" s="12">
        <v>45229</v>
      </c>
      <c r="C1502" s="11" t="s">
        <v>662</v>
      </c>
      <c r="D1502" s="11" t="s">
        <v>43</v>
      </c>
      <c r="E1502" s="13" t="s">
        <v>357</v>
      </c>
      <c r="F1502" s="14" t="s">
        <v>13</v>
      </c>
      <c r="G1502" s="14" t="s">
        <v>400</v>
      </c>
      <c r="I1502" s="11">
        <f t="shared" si="71"/>
        <v>2</v>
      </c>
      <c r="J1502" s="16">
        <v>14.85</v>
      </c>
      <c r="M1502" s="17">
        <f t="shared" si="69"/>
        <v>223207.91</v>
      </c>
      <c r="N1502" s="11">
        <f t="shared" si="70"/>
        <v>10</v>
      </c>
    </row>
    <row r="1503" spans="1:14" x14ac:dyDescent="0.25">
      <c r="A1503" s="11" t="s">
        <v>207</v>
      </c>
      <c r="B1503" s="12">
        <v>45229</v>
      </c>
      <c r="C1503" s="11" t="s">
        <v>688</v>
      </c>
      <c r="D1503" s="11" t="s">
        <v>43</v>
      </c>
      <c r="E1503" s="13" t="s">
        <v>357</v>
      </c>
      <c r="F1503" s="14" t="s">
        <v>13</v>
      </c>
      <c r="G1503" s="14" t="s">
        <v>400</v>
      </c>
      <c r="I1503" s="11">
        <f t="shared" si="71"/>
        <v>2</v>
      </c>
      <c r="J1503" s="16">
        <v>583.04999999999995</v>
      </c>
      <c r="M1503" s="17">
        <f t="shared" si="69"/>
        <v>223790.96</v>
      </c>
      <c r="N1503" s="11">
        <f t="shared" si="70"/>
        <v>10</v>
      </c>
    </row>
    <row r="1504" spans="1:14" x14ac:dyDescent="0.25">
      <c r="A1504" s="11" t="s">
        <v>207</v>
      </c>
      <c r="B1504" s="12">
        <v>45229</v>
      </c>
      <c r="C1504" s="11" t="s">
        <v>688</v>
      </c>
      <c r="D1504" s="11" t="s">
        <v>43</v>
      </c>
      <c r="E1504" s="13" t="s">
        <v>357</v>
      </c>
      <c r="F1504" s="14" t="s">
        <v>13</v>
      </c>
      <c r="G1504" s="14" t="s">
        <v>400</v>
      </c>
      <c r="I1504" s="11">
        <f t="shared" si="71"/>
        <v>2</v>
      </c>
      <c r="J1504" s="16">
        <v>250.32</v>
      </c>
      <c r="M1504" s="17">
        <f t="shared" si="69"/>
        <v>224041.28</v>
      </c>
      <c r="N1504" s="11">
        <f t="shared" si="70"/>
        <v>10</v>
      </c>
    </row>
    <row r="1505" spans="1:14" x14ac:dyDescent="0.25">
      <c r="A1505" s="11" t="s">
        <v>207</v>
      </c>
      <c r="B1505" s="12">
        <v>45229</v>
      </c>
      <c r="C1505" s="11" t="s">
        <v>688</v>
      </c>
      <c r="D1505" s="11" t="s">
        <v>43</v>
      </c>
      <c r="E1505" s="13" t="s">
        <v>357</v>
      </c>
      <c r="F1505" s="14" t="s">
        <v>13</v>
      </c>
      <c r="G1505" s="14" t="s">
        <v>400</v>
      </c>
      <c r="I1505" s="11">
        <f t="shared" si="71"/>
        <v>2</v>
      </c>
      <c r="J1505" s="16">
        <v>725.94</v>
      </c>
      <c r="M1505" s="17">
        <f t="shared" si="69"/>
        <v>224767.22</v>
      </c>
      <c r="N1505" s="11">
        <f t="shared" si="70"/>
        <v>10</v>
      </c>
    </row>
    <row r="1506" spans="1:14" x14ac:dyDescent="0.25">
      <c r="A1506" s="11" t="s">
        <v>207</v>
      </c>
      <c r="B1506" s="12">
        <v>45229</v>
      </c>
      <c r="C1506" s="11" t="s">
        <v>688</v>
      </c>
      <c r="D1506" s="11" t="s">
        <v>43</v>
      </c>
      <c r="E1506" s="13" t="s">
        <v>357</v>
      </c>
      <c r="F1506" s="14" t="s">
        <v>13</v>
      </c>
      <c r="G1506" s="14" t="s">
        <v>400</v>
      </c>
      <c r="I1506" s="11">
        <f t="shared" si="71"/>
        <v>2</v>
      </c>
      <c r="J1506" s="16">
        <v>84.92</v>
      </c>
      <c r="M1506" s="17">
        <f t="shared" si="69"/>
        <v>224852.14</v>
      </c>
      <c r="N1506" s="11">
        <f t="shared" si="70"/>
        <v>10</v>
      </c>
    </row>
    <row r="1507" spans="1:14" x14ac:dyDescent="0.25">
      <c r="A1507" s="11" t="s">
        <v>207</v>
      </c>
      <c r="B1507" s="12">
        <v>45229</v>
      </c>
      <c r="C1507" s="11" t="s">
        <v>688</v>
      </c>
      <c r="D1507" s="11" t="s">
        <v>43</v>
      </c>
      <c r="E1507" s="13" t="s">
        <v>357</v>
      </c>
      <c r="F1507" s="14" t="s">
        <v>13</v>
      </c>
      <c r="G1507" s="14" t="s">
        <v>400</v>
      </c>
      <c r="I1507" s="11">
        <f t="shared" si="71"/>
        <v>2</v>
      </c>
      <c r="J1507" s="16">
        <v>122.54</v>
      </c>
      <c r="M1507" s="17">
        <f t="shared" si="69"/>
        <v>224974.68000000002</v>
      </c>
      <c r="N1507" s="11">
        <f t="shared" si="70"/>
        <v>10</v>
      </c>
    </row>
    <row r="1508" spans="1:14" x14ac:dyDescent="0.25">
      <c r="A1508" s="11" t="s">
        <v>207</v>
      </c>
      <c r="B1508" s="12">
        <v>45229</v>
      </c>
      <c r="C1508" s="11" t="s">
        <v>688</v>
      </c>
      <c r="D1508" s="11" t="s">
        <v>43</v>
      </c>
      <c r="E1508" s="13" t="s">
        <v>79</v>
      </c>
      <c r="F1508" s="14" t="s">
        <v>79</v>
      </c>
      <c r="G1508" s="14" t="s">
        <v>400</v>
      </c>
      <c r="I1508" s="11">
        <f t="shared" si="71"/>
        <v>2</v>
      </c>
      <c r="J1508" s="16">
        <v>18279.87</v>
      </c>
      <c r="M1508" s="17">
        <f t="shared" si="69"/>
        <v>243254.55000000002</v>
      </c>
      <c r="N1508" s="11">
        <f t="shared" si="70"/>
        <v>10</v>
      </c>
    </row>
    <row r="1509" spans="1:14" x14ac:dyDescent="0.25">
      <c r="A1509" s="11" t="s">
        <v>207</v>
      </c>
      <c r="B1509" s="12">
        <v>45229</v>
      </c>
      <c r="C1509" s="11" t="s">
        <v>688</v>
      </c>
      <c r="D1509" s="11" t="s">
        <v>43</v>
      </c>
      <c r="E1509" s="13" t="s">
        <v>79</v>
      </c>
      <c r="F1509" s="14" t="s">
        <v>79</v>
      </c>
      <c r="G1509" s="14" t="s">
        <v>400</v>
      </c>
      <c r="I1509" s="11">
        <f t="shared" si="71"/>
        <v>2</v>
      </c>
      <c r="J1509" s="16">
        <v>14606.69</v>
      </c>
      <c r="M1509" s="17">
        <f t="shared" si="69"/>
        <v>257861.24000000002</v>
      </c>
      <c r="N1509" s="11">
        <f t="shared" si="70"/>
        <v>10</v>
      </c>
    </row>
    <row r="1510" spans="1:14" x14ac:dyDescent="0.25">
      <c r="A1510" s="11" t="s">
        <v>207</v>
      </c>
      <c r="B1510" s="12">
        <v>45229</v>
      </c>
      <c r="C1510" s="11" t="s">
        <v>688</v>
      </c>
      <c r="D1510" s="11" t="s">
        <v>43</v>
      </c>
      <c r="E1510" s="13" t="s">
        <v>79</v>
      </c>
      <c r="F1510" s="14" t="s">
        <v>79</v>
      </c>
      <c r="G1510" s="14" t="s">
        <v>400</v>
      </c>
      <c r="I1510" s="11">
        <f t="shared" si="71"/>
        <v>2</v>
      </c>
      <c r="J1510" s="16">
        <v>1315.08</v>
      </c>
      <c r="M1510" s="17">
        <f t="shared" si="69"/>
        <v>259176.32000000001</v>
      </c>
      <c r="N1510" s="11">
        <f t="shared" si="70"/>
        <v>10</v>
      </c>
    </row>
    <row r="1511" spans="1:14" x14ac:dyDescent="0.25">
      <c r="A1511" s="11" t="s">
        <v>207</v>
      </c>
      <c r="B1511" s="12">
        <v>45229</v>
      </c>
      <c r="C1511" s="11" t="s">
        <v>688</v>
      </c>
      <c r="D1511" s="11" t="s">
        <v>43</v>
      </c>
      <c r="E1511" s="13" t="s">
        <v>79</v>
      </c>
      <c r="F1511" s="14" t="s">
        <v>79</v>
      </c>
      <c r="G1511" s="14" t="s">
        <v>400</v>
      </c>
      <c r="I1511" s="11">
        <f t="shared" si="71"/>
        <v>2</v>
      </c>
      <c r="J1511" s="16">
        <v>88.37</v>
      </c>
      <c r="M1511" s="17">
        <f t="shared" si="69"/>
        <v>259264.69</v>
      </c>
      <c r="N1511" s="11">
        <f t="shared" si="70"/>
        <v>10</v>
      </c>
    </row>
    <row r="1512" spans="1:14" x14ac:dyDescent="0.25">
      <c r="A1512" s="11" t="s">
        <v>207</v>
      </c>
      <c r="B1512" s="12">
        <v>45229</v>
      </c>
      <c r="C1512" s="11" t="s">
        <v>688</v>
      </c>
      <c r="D1512" s="11" t="s">
        <v>43</v>
      </c>
      <c r="E1512" s="13" t="s">
        <v>79</v>
      </c>
      <c r="F1512" s="14" t="s">
        <v>79</v>
      </c>
      <c r="G1512" s="14" t="s">
        <v>400</v>
      </c>
      <c r="I1512" s="11">
        <f t="shared" si="71"/>
        <v>2</v>
      </c>
      <c r="J1512" s="16">
        <v>218.17</v>
      </c>
      <c r="M1512" s="17">
        <f t="shared" si="69"/>
        <v>259482.86000000002</v>
      </c>
      <c r="N1512" s="11">
        <f t="shared" si="70"/>
        <v>10</v>
      </c>
    </row>
    <row r="1513" spans="1:14" x14ac:dyDescent="0.25">
      <c r="A1513" s="11" t="s">
        <v>0</v>
      </c>
      <c r="B1513" s="12">
        <v>45229</v>
      </c>
      <c r="C1513" s="11" t="s">
        <v>688</v>
      </c>
      <c r="D1513" s="11" t="s">
        <v>692</v>
      </c>
      <c r="E1513" s="13" t="s">
        <v>717</v>
      </c>
      <c r="F1513" s="14" t="s">
        <v>76</v>
      </c>
      <c r="G1513" s="14" t="s">
        <v>404</v>
      </c>
      <c r="H1513" s="15">
        <v>1201178</v>
      </c>
      <c r="I1513" s="11">
        <f t="shared" si="71"/>
        <v>5</v>
      </c>
      <c r="K1513" s="16">
        <v>479.35</v>
      </c>
      <c r="M1513" s="17">
        <f t="shared" si="69"/>
        <v>259003.51</v>
      </c>
      <c r="N1513" s="11">
        <f t="shared" si="70"/>
        <v>10</v>
      </c>
    </row>
    <row r="1514" spans="1:14" x14ac:dyDescent="0.25">
      <c r="A1514" s="11" t="s">
        <v>0</v>
      </c>
      <c r="B1514" s="12">
        <v>45229</v>
      </c>
      <c r="C1514" s="11" t="s">
        <v>688</v>
      </c>
      <c r="D1514" s="11" t="s">
        <v>692</v>
      </c>
      <c r="E1514" s="13" t="s">
        <v>169</v>
      </c>
      <c r="F1514" s="14" t="s">
        <v>50</v>
      </c>
      <c r="G1514" s="14" t="s">
        <v>404</v>
      </c>
      <c r="H1514" s="15">
        <v>1200597</v>
      </c>
      <c r="I1514" s="11">
        <f t="shared" si="71"/>
        <v>5</v>
      </c>
      <c r="K1514" s="16">
        <v>600</v>
      </c>
      <c r="M1514" s="17">
        <f t="shared" si="69"/>
        <v>258403.51</v>
      </c>
      <c r="N1514" s="11">
        <f t="shared" si="70"/>
        <v>10</v>
      </c>
    </row>
    <row r="1515" spans="1:14" x14ac:dyDescent="0.25">
      <c r="A1515" s="11" t="s">
        <v>0</v>
      </c>
      <c r="B1515" s="12">
        <v>45229</v>
      </c>
      <c r="C1515" s="11" t="s">
        <v>688</v>
      </c>
      <c r="D1515" s="11" t="s">
        <v>701</v>
      </c>
      <c r="E1515" s="13" t="s">
        <v>283</v>
      </c>
      <c r="F1515" s="14" t="s">
        <v>459</v>
      </c>
      <c r="G1515" s="14" t="s">
        <v>404</v>
      </c>
      <c r="H1515" s="15">
        <v>1</v>
      </c>
      <c r="I1515" s="11">
        <f t="shared" si="71"/>
        <v>5</v>
      </c>
      <c r="K1515" s="16">
        <v>2800</v>
      </c>
      <c r="M1515" s="17">
        <f t="shared" si="69"/>
        <v>255603.51</v>
      </c>
      <c r="N1515" s="11">
        <f t="shared" si="70"/>
        <v>10</v>
      </c>
    </row>
    <row r="1516" spans="1:14" x14ac:dyDescent="0.25">
      <c r="A1516" s="11" t="s">
        <v>0</v>
      </c>
      <c r="B1516" s="12">
        <v>45229</v>
      </c>
      <c r="C1516" s="11" t="s">
        <v>688</v>
      </c>
      <c r="D1516" s="11" t="s">
        <v>694</v>
      </c>
      <c r="E1516" s="13" t="s">
        <v>181</v>
      </c>
      <c r="F1516" s="14" t="s">
        <v>460</v>
      </c>
      <c r="G1516" s="14" t="s">
        <v>404</v>
      </c>
      <c r="H1516" s="15">
        <v>4847</v>
      </c>
      <c r="I1516" s="11">
        <f t="shared" si="71"/>
        <v>5</v>
      </c>
      <c r="K1516" s="16">
        <v>400</v>
      </c>
      <c r="M1516" s="17">
        <f t="shared" si="69"/>
        <v>255203.51</v>
      </c>
      <c r="N1516" s="11">
        <f t="shared" si="70"/>
        <v>10</v>
      </c>
    </row>
    <row r="1517" spans="1:14" x14ac:dyDescent="0.25">
      <c r="A1517" s="11" t="s">
        <v>0</v>
      </c>
      <c r="B1517" s="12">
        <v>45229</v>
      </c>
      <c r="C1517" s="11" t="s">
        <v>688</v>
      </c>
      <c r="D1517" s="11" t="s">
        <v>692</v>
      </c>
      <c r="E1517" s="13" t="s">
        <v>725</v>
      </c>
      <c r="F1517" s="14" t="s">
        <v>27</v>
      </c>
      <c r="G1517" s="14" t="s">
        <v>404</v>
      </c>
      <c r="H1517" s="15">
        <v>14042</v>
      </c>
      <c r="I1517" s="11">
        <f t="shared" si="71"/>
        <v>5</v>
      </c>
      <c r="K1517" s="16">
        <v>237.9</v>
      </c>
      <c r="M1517" s="17">
        <f t="shared" si="69"/>
        <v>254965.61000000002</v>
      </c>
      <c r="N1517" s="11">
        <f t="shared" si="70"/>
        <v>10</v>
      </c>
    </row>
    <row r="1518" spans="1:14" x14ac:dyDescent="0.25">
      <c r="A1518" s="11" t="s">
        <v>0</v>
      </c>
      <c r="B1518" s="12">
        <v>45229</v>
      </c>
      <c r="C1518" s="11" t="s">
        <v>688</v>
      </c>
      <c r="D1518" s="11" t="s">
        <v>692</v>
      </c>
      <c r="E1518" s="13" t="s">
        <v>143</v>
      </c>
      <c r="F1518" s="14" t="s">
        <v>36</v>
      </c>
      <c r="G1518" s="14" t="s">
        <v>403</v>
      </c>
      <c r="H1518" s="15">
        <v>220418</v>
      </c>
      <c r="I1518" s="11">
        <f t="shared" si="71"/>
        <v>5</v>
      </c>
      <c r="K1518" s="16">
        <v>1415.24</v>
      </c>
      <c r="M1518" s="17">
        <f t="shared" si="69"/>
        <v>253550.37000000002</v>
      </c>
      <c r="N1518" s="11">
        <f t="shared" si="70"/>
        <v>10</v>
      </c>
    </row>
    <row r="1519" spans="1:14" x14ac:dyDescent="0.25">
      <c r="A1519" s="11" t="s">
        <v>0</v>
      </c>
      <c r="B1519" s="12">
        <v>45229</v>
      </c>
      <c r="C1519" s="11" t="s">
        <v>688</v>
      </c>
      <c r="D1519" s="11" t="s">
        <v>694</v>
      </c>
      <c r="E1519" s="13" t="s">
        <v>182</v>
      </c>
      <c r="F1519" s="14" t="s">
        <v>23</v>
      </c>
      <c r="G1519" s="14" t="s">
        <v>402</v>
      </c>
      <c r="I1519" s="11">
        <f t="shared" si="71"/>
        <v>5</v>
      </c>
      <c r="K1519" s="16">
        <v>41.43</v>
      </c>
      <c r="M1519" s="17">
        <f t="shared" si="69"/>
        <v>253508.94000000003</v>
      </c>
      <c r="N1519" s="11">
        <f t="shared" si="70"/>
        <v>10</v>
      </c>
    </row>
    <row r="1520" spans="1:14" x14ac:dyDescent="0.25">
      <c r="A1520" s="11" t="s">
        <v>0</v>
      </c>
      <c r="B1520" s="12">
        <v>45229</v>
      </c>
      <c r="C1520" s="11" t="s">
        <v>688</v>
      </c>
      <c r="D1520" s="11" t="s">
        <v>694</v>
      </c>
      <c r="E1520" s="13" t="s">
        <v>182</v>
      </c>
      <c r="F1520" s="14" t="s">
        <v>365</v>
      </c>
      <c r="G1520" s="14" t="s">
        <v>402</v>
      </c>
      <c r="I1520" s="11">
        <f t="shared" si="71"/>
        <v>5</v>
      </c>
      <c r="K1520" s="16">
        <v>11.39</v>
      </c>
      <c r="M1520" s="17">
        <f t="shared" si="69"/>
        <v>253497.55000000002</v>
      </c>
      <c r="N1520" s="11">
        <f t="shared" si="70"/>
        <v>10</v>
      </c>
    </row>
    <row r="1521" spans="1:14" x14ac:dyDescent="0.25">
      <c r="A1521" s="11" t="s">
        <v>207</v>
      </c>
      <c r="B1521" s="12">
        <v>45229</v>
      </c>
      <c r="C1521" s="11" t="s">
        <v>688</v>
      </c>
      <c r="D1521" s="11" t="s">
        <v>43</v>
      </c>
      <c r="E1521" s="13" t="s">
        <v>461</v>
      </c>
      <c r="F1521" s="14" t="s">
        <v>461</v>
      </c>
      <c r="G1521" s="14" t="s">
        <v>400</v>
      </c>
      <c r="I1521" s="11">
        <f t="shared" si="71"/>
        <v>2</v>
      </c>
      <c r="J1521" s="16">
        <v>1662.6</v>
      </c>
      <c r="M1521" s="17">
        <f t="shared" si="69"/>
        <v>255160.15000000002</v>
      </c>
      <c r="N1521" s="11">
        <f t="shared" si="70"/>
        <v>10</v>
      </c>
    </row>
    <row r="1522" spans="1:14" x14ac:dyDescent="0.25">
      <c r="A1522" s="11" t="s">
        <v>0</v>
      </c>
      <c r="B1522" s="12">
        <v>45229</v>
      </c>
      <c r="C1522" s="11" t="s">
        <v>688</v>
      </c>
      <c r="D1522" s="11" t="s">
        <v>696</v>
      </c>
      <c r="E1522" s="13" t="s">
        <v>358</v>
      </c>
      <c r="F1522" s="14" t="s">
        <v>358</v>
      </c>
      <c r="G1522" s="14" t="s">
        <v>407</v>
      </c>
      <c r="H1522" s="15" t="s">
        <v>426</v>
      </c>
      <c r="I1522" s="11">
        <f t="shared" si="71"/>
        <v>4</v>
      </c>
      <c r="K1522" s="16">
        <v>1051</v>
      </c>
      <c r="M1522" s="17">
        <f t="shared" si="69"/>
        <v>254109.15000000002</v>
      </c>
      <c r="N1522" s="11">
        <f t="shared" si="70"/>
        <v>10</v>
      </c>
    </row>
    <row r="1523" spans="1:14" x14ac:dyDescent="0.25">
      <c r="A1523" s="11" t="s">
        <v>0</v>
      </c>
      <c r="B1523" s="12">
        <v>45229</v>
      </c>
      <c r="C1523" s="11" t="s">
        <v>688</v>
      </c>
      <c r="D1523" s="11" t="s">
        <v>696</v>
      </c>
      <c r="E1523" s="13" t="s">
        <v>358</v>
      </c>
      <c r="F1523" s="14" t="s">
        <v>358</v>
      </c>
      <c r="G1523" s="14" t="s">
        <v>407</v>
      </c>
      <c r="H1523" s="15" t="s">
        <v>426</v>
      </c>
      <c r="I1523" s="11">
        <f t="shared" si="71"/>
        <v>4</v>
      </c>
      <c r="K1523" s="16">
        <v>1200</v>
      </c>
      <c r="M1523" s="17">
        <f t="shared" si="69"/>
        <v>252909.15000000002</v>
      </c>
      <c r="N1523" s="11">
        <f t="shared" si="70"/>
        <v>10</v>
      </c>
    </row>
    <row r="1524" spans="1:14" x14ac:dyDescent="0.25">
      <c r="A1524" s="11" t="s">
        <v>0</v>
      </c>
      <c r="B1524" s="12">
        <v>45229</v>
      </c>
      <c r="C1524" s="11" t="s">
        <v>688</v>
      </c>
      <c r="D1524" s="11" t="s">
        <v>696</v>
      </c>
      <c r="E1524" s="13" t="s">
        <v>358</v>
      </c>
      <c r="F1524" s="14" t="s">
        <v>358</v>
      </c>
      <c r="G1524" s="14" t="s">
        <v>407</v>
      </c>
      <c r="H1524" s="15" t="s">
        <v>426</v>
      </c>
      <c r="I1524" s="11">
        <f t="shared" si="71"/>
        <v>4</v>
      </c>
      <c r="K1524" s="16">
        <v>901</v>
      </c>
      <c r="M1524" s="17">
        <f t="shared" si="69"/>
        <v>252008.15000000002</v>
      </c>
      <c r="N1524" s="11">
        <f t="shared" si="70"/>
        <v>10</v>
      </c>
    </row>
    <row r="1525" spans="1:14" x14ac:dyDescent="0.25">
      <c r="A1525" s="11" t="s">
        <v>0</v>
      </c>
      <c r="B1525" s="12">
        <v>45229</v>
      </c>
      <c r="C1525" s="11" t="s">
        <v>688</v>
      </c>
      <c r="D1525" s="11" t="s">
        <v>696</v>
      </c>
      <c r="E1525" s="13" t="s">
        <v>358</v>
      </c>
      <c r="F1525" s="14" t="s">
        <v>358</v>
      </c>
      <c r="G1525" s="14" t="s">
        <v>407</v>
      </c>
      <c r="H1525" s="15" t="s">
        <v>426</v>
      </c>
      <c r="I1525" s="11">
        <f t="shared" si="71"/>
        <v>4</v>
      </c>
      <c r="K1525" s="16">
        <v>1401</v>
      </c>
      <c r="M1525" s="17">
        <f t="shared" si="69"/>
        <v>250607.15000000002</v>
      </c>
      <c r="N1525" s="11">
        <f t="shared" si="70"/>
        <v>10</v>
      </c>
    </row>
    <row r="1526" spans="1:14" x14ac:dyDescent="0.25">
      <c r="A1526" s="11" t="s">
        <v>0</v>
      </c>
      <c r="B1526" s="12">
        <v>45229</v>
      </c>
      <c r="C1526" s="11" t="s">
        <v>688</v>
      </c>
      <c r="D1526" s="11" t="s">
        <v>696</v>
      </c>
      <c r="E1526" s="13" t="s">
        <v>358</v>
      </c>
      <c r="F1526" s="14" t="s">
        <v>358</v>
      </c>
      <c r="G1526" s="14" t="s">
        <v>407</v>
      </c>
      <c r="H1526" s="15" t="s">
        <v>426</v>
      </c>
      <c r="I1526" s="11">
        <f t="shared" si="71"/>
        <v>4</v>
      </c>
      <c r="K1526" s="16">
        <v>750</v>
      </c>
      <c r="M1526" s="17">
        <f t="shared" si="69"/>
        <v>249857.15000000002</v>
      </c>
      <c r="N1526" s="11">
        <f t="shared" si="70"/>
        <v>10</v>
      </c>
    </row>
    <row r="1527" spans="1:14" x14ac:dyDescent="0.25">
      <c r="A1527" s="11" t="s">
        <v>0</v>
      </c>
      <c r="B1527" s="12">
        <v>45229</v>
      </c>
      <c r="C1527" s="11" t="s">
        <v>688</v>
      </c>
      <c r="D1527" s="11" t="s">
        <v>696</v>
      </c>
      <c r="E1527" s="13" t="s">
        <v>358</v>
      </c>
      <c r="F1527" s="14" t="s">
        <v>358</v>
      </c>
      <c r="G1527" s="14" t="s">
        <v>407</v>
      </c>
      <c r="H1527" s="15" t="s">
        <v>426</v>
      </c>
      <c r="I1527" s="11">
        <f t="shared" si="71"/>
        <v>4</v>
      </c>
      <c r="K1527" s="16">
        <v>1250</v>
      </c>
      <c r="M1527" s="17">
        <f t="shared" si="69"/>
        <v>248607.15000000002</v>
      </c>
      <c r="N1527" s="11">
        <f t="shared" si="70"/>
        <v>10</v>
      </c>
    </row>
    <row r="1528" spans="1:14" x14ac:dyDescent="0.25">
      <c r="A1528" s="11" t="s">
        <v>0</v>
      </c>
      <c r="B1528" s="12">
        <v>45229</v>
      </c>
      <c r="C1528" s="11" t="s">
        <v>688</v>
      </c>
      <c r="D1528" s="11" t="s">
        <v>696</v>
      </c>
      <c r="E1528" s="13" t="s">
        <v>358</v>
      </c>
      <c r="F1528" s="14" t="s">
        <v>358</v>
      </c>
      <c r="G1528" s="14" t="s">
        <v>407</v>
      </c>
      <c r="H1528" s="15" t="s">
        <v>426</v>
      </c>
      <c r="I1528" s="11">
        <f t="shared" si="71"/>
        <v>4</v>
      </c>
      <c r="K1528" s="16">
        <v>700</v>
      </c>
      <c r="M1528" s="17">
        <f t="shared" si="69"/>
        <v>247907.15000000002</v>
      </c>
      <c r="N1528" s="11">
        <f t="shared" si="70"/>
        <v>10</v>
      </c>
    </row>
    <row r="1529" spans="1:14" x14ac:dyDescent="0.25">
      <c r="A1529" s="11" t="s">
        <v>0</v>
      </c>
      <c r="B1529" s="12">
        <v>45229</v>
      </c>
      <c r="C1529" s="11" t="s">
        <v>688</v>
      </c>
      <c r="D1529" s="11" t="s">
        <v>696</v>
      </c>
      <c r="E1529" s="13" t="s">
        <v>358</v>
      </c>
      <c r="F1529" s="14" t="s">
        <v>358</v>
      </c>
      <c r="G1529" s="14" t="s">
        <v>407</v>
      </c>
      <c r="H1529" s="15" t="s">
        <v>426</v>
      </c>
      <c r="I1529" s="11">
        <f t="shared" si="71"/>
        <v>4</v>
      </c>
      <c r="K1529" s="16">
        <v>660</v>
      </c>
      <c r="M1529" s="17">
        <f t="shared" si="69"/>
        <v>247247.15000000002</v>
      </c>
      <c r="N1529" s="11">
        <f t="shared" si="70"/>
        <v>10</v>
      </c>
    </row>
    <row r="1530" spans="1:14" x14ac:dyDescent="0.25">
      <c r="A1530" s="11" t="s">
        <v>0</v>
      </c>
      <c r="B1530" s="12">
        <v>45229</v>
      </c>
      <c r="C1530" s="11" t="s">
        <v>688</v>
      </c>
      <c r="D1530" s="11" t="s">
        <v>696</v>
      </c>
      <c r="E1530" s="13" t="s">
        <v>358</v>
      </c>
      <c r="F1530" s="14" t="s">
        <v>358</v>
      </c>
      <c r="G1530" s="14" t="s">
        <v>407</v>
      </c>
      <c r="H1530" s="15" t="s">
        <v>426</v>
      </c>
      <c r="I1530" s="11">
        <f t="shared" si="71"/>
        <v>4</v>
      </c>
      <c r="K1530" s="16">
        <v>660</v>
      </c>
      <c r="M1530" s="17">
        <f t="shared" si="69"/>
        <v>246587.15000000002</v>
      </c>
      <c r="N1530" s="11">
        <f t="shared" si="70"/>
        <v>10</v>
      </c>
    </row>
    <row r="1531" spans="1:14" x14ac:dyDescent="0.25">
      <c r="A1531" s="11" t="s">
        <v>0</v>
      </c>
      <c r="B1531" s="12">
        <v>45229</v>
      </c>
      <c r="C1531" s="11" t="s">
        <v>688</v>
      </c>
      <c r="D1531" s="11" t="s">
        <v>696</v>
      </c>
      <c r="E1531" s="13" t="s">
        <v>358</v>
      </c>
      <c r="F1531" s="14" t="s">
        <v>358</v>
      </c>
      <c r="G1531" s="14" t="s">
        <v>407</v>
      </c>
      <c r="H1531" s="15" t="s">
        <v>426</v>
      </c>
      <c r="I1531" s="11">
        <f t="shared" si="71"/>
        <v>4</v>
      </c>
      <c r="K1531" s="16">
        <v>900</v>
      </c>
      <c r="M1531" s="17">
        <f t="shared" si="69"/>
        <v>245687.15000000002</v>
      </c>
      <c r="N1531" s="11">
        <f t="shared" si="70"/>
        <v>10</v>
      </c>
    </row>
    <row r="1532" spans="1:14" x14ac:dyDescent="0.25">
      <c r="A1532" s="11" t="s">
        <v>0</v>
      </c>
      <c r="B1532" s="12">
        <v>45229</v>
      </c>
      <c r="C1532" s="11" t="s">
        <v>688</v>
      </c>
      <c r="D1532" s="11" t="s">
        <v>696</v>
      </c>
      <c r="E1532" s="13" t="s">
        <v>358</v>
      </c>
      <c r="F1532" s="14" t="s">
        <v>358</v>
      </c>
      <c r="G1532" s="14" t="s">
        <v>407</v>
      </c>
      <c r="H1532" s="15" t="s">
        <v>426</v>
      </c>
      <c r="I1532" s="11">
        <f t="shared" si="71"/>
        <v>4</v>
      </c>
      <c r="K1532" s="16">
        <v>1300</v>
      </c>
      <c r="M1532" s="17">
        <f t="shared" si="69"/>
        <v>244387.15000000002</v>
      </c>
      <c r="N1532" s="11">
        <f t="shared" si="70"/>
        <v>10</v>
      </c>
    </row>
    <row r="1533" spans="1:14" x14ac:dyDescent="0.25">
      <c r="A1533" s="11" t="s">
        <v>0</v>
      </c>
      <c r="B1533" s="12">
        <v>45229</v>
      </c>
      <c r="C1533" s="11" t="s">
        <v>688</v>
      </c>
      <c r="D1533" s="11" t="s">
        <v>696</v>
      </c>
      <c r="E1533" s="13" t="s">
        <v>358</v>
      </c>
      <c r="F1533" s="14" t="s">
        <v>358</v>
      </c>
      <c r="G1533" s="14" t="s">
        <v>407</v>
      </c>
      <c r="H1533" s="15" t="s">
        <v>426</v>
      </c>
      <c r="I1533" s="11">
        <f t="shared" si="71"/>
        <v>4</v>
      </c>
      <c r="K1533" s="16">
        <v>140</v>
      </c>
      <c r="M1533" s="17">
        <f t="shared" si="69"/>
        <v>244247.15000000002</v>
      </c>
      <c r="N1533" s="11">
        <f t="shared" si="70"/>
        <v>10</v>
      </c>
    </row>
    <row r="1534" spans="1:14" x14ac:dyDescent="0.25">
      <c r="A1534" s="11" t="s">
        <v>0</v>
      </c>
      <c r="B1534" s="12">
        <v>45229</v>
      </c>
      <c r="C1534" s="11" t="s">
        <v>688</v>
      </c>
      <c r="D1534" s="11" t="s">
        <v>696</v>
      </c>
      <c r="E1534" s="13" t="s">
        <v>358</v>
      </c>
      <c r="F1534" s="14" t="s">
        <v>358</v>
      </c>
      <c r="G1534" s="14" t="s">
        <v>407</v>
      </c>
      <c r="H1534" s="15" t="s">
        <v>426</v>
      </c>
      <c r="I1534" s="11">
        <f t="shared" si="71"/>
        <v>4</v>
      </c>
      <c r="K1534" s="16">
        <v>280</v>
      </c>
      <c r="M1534" s="17">
        <f t="shared" si="69"/>
        <v>243967.15000000002</v>
      </c>
      <c r="N1534" s="11">
        <f t="shared" si="70"/>
        <v>10</v>
      </c>
    </row>
    <row r="1535" spans="1:14" x14ac:dyDescent="0.25">
      <c r="A1535" s="11" t="s">
        <v>0</v>
      </c>
      <c r="B1535" s="12">
        <v>45230</v>
      </c>
      <c r="C1535" s="11" t="s">
        <v>688</v>
      </c>
      <c r="D1535" s="11" t="s">
        <v>696</v>
      </c>
      <c r="E1535" s="13" t="s">
        <v>358</v>
      </c>
      <c r="F1535" s="14" t="s">
        <v>358</v>
      </c>
      <c r="G1535" s="14" t="s">
        <v>407</v>
      </c>
      <c r="H1535" s="15" t="s">
        <v>426</v>
      </c>
      <c r="I1535" s="11">
        <f t="shared" si="71"/>
        <v>4</v>
      </c>
      <c r="K1535" s="16">
        <v>120</v>
      </c>
      <c r="M1535" s="17">
        <f t="shared" si="69"/>
        <v>243847.15000000002</v>
      </c>
      <c r="N1535" s="11">
        <f t="shared" si="70"/>
        <v>10</v>
      </c>
    </row>
    <row r="1536" spans="1:14" x14ac:dyDescent="0.25">
      <c r="A1536" s="11" t="s">
        <v>0</v>
      </c>
      <c r="B1536" s="12">
        <v>45230</v>
      </c>
      <c r="C1536" s="11" t="s">
        <v>688</v>
      </c>
      <c r="D1536" s="11" t="s">
        <v>696</v>
      </c>
      <c r="E1536" s="13" t="s">
        <v>358</v>
      </c>
      <c r="F1536" s="14" t="s">
        <v>358</v>
      </c>
      <c r="G1536" s="14" t="s">
        <v>407</v>
      </c>
      <c r="H1536" s="15" t="s">
        <v>426</v>
      </c>
      <c r="I1536" s="11">
        <f t="shared" si="71"/>
        <v>4</v>
      </c>
      <c r="K1536" s="16">
        <v>99</v>
      </c>
      <c r="M1536" s="17">
        <f t="shared" si="69"/>
        <v>243748.15000000002</v>
      </c>
      <c r="N1536" s="11">
        <f t="shared" si="70"/>
        <v>10</v>
      </c>
    </row>
    <row r="1537" spans="1:14" x14ac:dyDescent="0.25">
      <c r="A1537" s="11" t="s">
        <v>0</v>
      </c>
      <c r="B1537" s="12">
        <v>45230</v>
      </c>
      <c r="C1537" s="11" t="s">
        <v>688</v>
      </c>
      <c r="D1537" s="11" t="s">
        <v>696</v>
      </c>
      <c r="E1537" s="13" t="s">
        <v>358</v>
      </c>
      <c r="F1537" s="14" t="s">
        <v>358</v>
      </c>
      <c r="G1537" s="14" t="s">
        <v>407</v>
      </c>
      <c r="H1537" s="15" t="s">
        <v>426</v>
      </c>
      <c r="I1537" s="11">
        <f t="shared" si="71"/>
        <v>4</v>
      </c>
      <c r="K1537" s="16">
        <v>99</v>
      </c>
      <c r="M1537" s="17">
        <f t="shared" si="69"/>
        <v>243649.15000000002</v>
      </c>
      <c r="N1537" s="11">
        <f t="shared" si="70"/>
        <v>10</v>
      </c>
    </row>
    <row r="1538" spans="1:14" x14ac:dyDescent="0.25">
      <c r="A1538" s="11" t="s">
        <v>0</v>
      </c>
      <c r="B1538" s="12">
        <v>45230</v>
      </c>
      <c r="C1538" s="11" t="s">
        <v>688</v>
      </c>
      <c r="D1538" s="11" t="s">
        <v>696</v>
      </c>
      <c r="E1538" s="13" t="s">
        <v>358</v>
      </c>
      <c r="F1538" s="14" t="s">
        <v>358</v>
      </c>
      <c r="G1538" s="14" t="s">
        <v>407</v>
      </c>
      <c r="H1538" s="15" t="s">
        <v>426</v>
      </c>
      <c r="I1538" s="11">
        <f t="shared" si="71"/>
        <v>4</v>
      </c>
      <c r="K1538" s="16">
        <v>99</v>
      </c>
      <c r="M1538" s="17">
        <f t="shared" si="69"/>
        <v>243550.15000000002</v>
      </c>
      <c r="N1538" s="11">
        <f t="shared" si="70"/>
        <v>10</v>
      </c>
    </row>
    <row r="1539" spans="1:14" x14ac:dyDescent="0.25">
      <c r="A1539" s="11" t="s">
        <v>0</v>
      </c>
      <c r="B1539" s="12">
        <v>45230</v>
      </c>
      <c r="C1539" s="11" t="s">
        <v>688</v>
      </c>
      <c r="D1539" s="11" t="s">
        <v>696</v>
      </c>
      <c r="E1539" s="13" t="s">
        <v>358</v>
      </c>
      <c r="F1539" s="14" t="s">
        <v>358</v>
      </c>
      <c r="G1539" s="14" t="s">
        <v>407</v>
      </c>
      <c r="H1539" s="15" t="s">
        <v>426</v>
      </c>
      <c r="I1539" s="11">
        <f t="shared" si="71"/>
        <v>4</v>
      </c>
      <c r="K1539" s="16">
        <v>180</v>
      </c>
      <c r="M1539" s="17">
        <f t="shared" ref="M1539:M1602" si="72">IF(B1539=0, "",M1538+ J1539-K1539)</f>
        <v>243370.15000000002</v>
      </c>
      <c r="N1539" s="11">
        <f t="shared" ref="N1539:N1602" si="73">IF(B1539=0, "", MONTH(B1539))</f>
        <v>10</v>
      </c>
    </row>
    <row r="1540" spans="1:14" x14ac:dyDescent="0.25">
      <c r="A1540" s="11" t="s">
        <v>207</v>
      </c>
      <c r="B1540" s="12">
        <v>45230</v>
      </c>
      <c r="C1540" s="11" t="s">
        <v>688</v>
      </c>
      <c r="D1540" s="11" t="s">
        <v>43</v>
      </c>
      <c r="E1540" s="13" t="s">
        <v>79</v>
      </c>
      <c r="F1540" s="14" t="s">
        <v>79</v>
      </c>
      <c r="G1540" s="14" t="s">
        <v>400</v>
      </c>
      <c r="I1540" s="11">
        <f t="shared" si="71"/>
        <v>2</v>
      </c>
      <c r="J1540" s="16">
        <v>4595.68</v>
      </c>
      <c r="M1540" s="17">
        <f t="shared" si="72"/>
        <v>247965.83000000002</v>
      </c>
      <c r="N1540" s="11">
        <f t="shared" si="73"/>
        <v>10</v>
      </c>
    </row>
    <row r="1541" spans="1:14" x14ac:dyDescent="0.25">
      <c r="A1541" s="11" t="s">
        <v>207</v>
      </c>
      <c r="B1541" s="12">
        <v>45230</v>
      </c>
      <c r="C1541" s="11" t="s">
        <v>688</v>
      </c>
      <c r="D1541" s="11" t="s">
        <v>43</v>
      </c>
      <c r="E1541" s="13" t="s">
        <v>79</v>
      </c>
      <c r="F1541" s="14" t="s">
        <v>79</v>
      </c>
      <c r="G1541" s="14" t="s">
        <v>400</v>
      </c>
      <c r="I1541" s="11">
        <f t="shared" ref="I1541:I1604" si="74">IF(AND(G1541="MERCADO PAGO",A1541="FATURAMENTO"),1,IF(AND(OR(G1541="MERCADO PAGO",G1541="pix mercado pago",G1541= "débito automático mercado pago", G1541= "boleto mercado pago"),A1541="DESPESAS"),4,IF(AND(G1541="SAFRA",A1541="FATURAMENTO"),2,IF(AND(OR(G1541="SAFRA",G1541="PIX SAFRA", G1541="DÉBITO AUTOMÁTICO SAFRA", G1541= "BOLETO SAFRA", G1541= "transferência safra"), A1541="DESPESAS"),5,IF(AND(G1541="espécie",A1541="FATURAMENTO"),3,IF(AND(G1541="espécie",A1541="DESPESAS"),6))))))</f>
        <v>2</v>
      </c>
      <c r="J1541" s="16">
        <v>2615.14</v>
      </c>
      <c r="M1541" s="17">
        <f t="shared" si="72"/>
        <v>250580.97000000003</v>
      </c>
      <c r="N1541" s="11">
        <f t="shared" si="73"/>
        <v>10</v>
      </c>
    </row>
    <row r="1542" spans="1:14" x14ac:dyDescent="0.25">
      <c r="A1542" s="11" t="s">
        <v>207</v>
      </c>
      <c r="B1542" s="12">
        <v>45230</v>
      </c>
      <c r="C1542" s="11" t="s">
        <v>688</v>
      </c>
      <c r="D1542" s="11" t="s">
        <v>43</v>
      </c>
      <c r="E1542" s="13" t="s">
        <v>363</v>
      </c>
      <c r="F1542" s="14" t="s">
        <v>363</v>
      </c>
      <c r="G1542" s="14" t="s">
        <v>400</v>
      </c>
      <c r="I1542" s="11">
        <f t="shared" si="74"/>
        <v>2</v>
      </c>
      <c r="J1542" s="16">
        <v>198.31</v>
      </c>
      <c r="M1542" s="17">
        <f t="shared" si="72"/>
        <v>250779.28000000003</v>
      </c>
      <c r="N1542" s="11">
        <f t="shared" si="73"/>
        <v>10</v>
      </c>
    </row>
    <row r="1543" spans="1:14" x14ac:dyDescent="0.25">
      <c r="A1543" s="11" t="s">
        <v>207</v>
      </c>
      <c r="B1543" s="12">
        <v>45230</v>
      </c>
      <c r="C1543" s="11" t="s">
        <v>688</v>
      </c>
      <c r="D1543" s="11" t="s">
        <v>43</v>
      </c>
      <c r="E1543" s="13" t="s">
        <v>363</v>
      </c>
      <c r="F1543" s="14" t="s">
        <v>363</v>
      </c>
      <c r="G1543" s="14" t="s">
        <v>400</v>
      </c>
      <c r="I1543" s="11">
        <f t="shared" si="74"/>
        <v>2</v>
      </c>
      <c r="J1543" s="16">
        <v>165.98</v>
      </c>
      <c r="M1543" s="17">
        <f t="shared" si="72"/>
        <v>250945.26000000004</v>
      </c>
      <c r="N1543" s="11">
        <f t="shared" si="73"/>
        <v>10</v>
      </c>
    </row>
    <row r="1544" spans="1:14" x14ac:dyDescent="0.25">
      <c r="A1544" s="11" t="s">
        <v>207</v>
      </c>
      <c r="B1544" s="12">
        <v>45230</v>
      </c>
      <c r="C1544" s="11" t="s">
        <v>688</v>
      </c>
      <c r="D1544" s="11" t="s">
        <v>43</v>
      </c>
      <c r="E1544" s="13" t="s">
        <v>357</v>
      </c>
      <c r="F1544" s="14" t="s">
        <v>13</v>
      </c>
      <c r="G1544" s="14" t="s">
        <v>400</v>
      </c>
      <c r="I1544" s="11">
        <f t="shared" si="74"/>
        <v>2</v>
      </c>
      <c r="J1544" s="16">
        <v>88.59</v>
      </c>
      <c r="M1544" s="17">
        <f t="shared" si="72"/>
        <v>251033.85000000003</v>
      </c>
      <c r="N1544" s="11">
        <f t="shared" si="73"/>
        <v>10</v>
      </c>
    </row>
    <row r="1545" spans="1:14" x14ac:dyDescent="0.25">
      <c r="A1545" s="11" t="s">
        <v>207</v>
      </c>
      <c r="B1545" s="12">
        <v>45230</v>
      </c>
      <c r="C1545" s="11" t="s">
        <v>688</v>
      </c>
      <c r="D1545" s="11" t="s">
        <v>43</v>
      </c>
      <c r="E1545" s="13" t="s">
        <v>357</v>
      </c>
      <c r="F1545" s="14" t="s">
        <v>13</v>
      </c>
      <c r="G1545" s="14" t="s">
        <v>400</v>
      </c>
      <c r="I1545" s="11">
        <f t="shared" si="74"/>
        <v>2</v>
      </c>
      <c r="J1545" s="16">
        <v>1006.12</v>
      </c>
      <c r="M1545" s="17">
        <f t="shared" si="72"/>
        <v>252039.97000000003</v>
      </c>
      <c r="N1545" s="11">
        <f t="shared" si="73"/>
        <v>10</v>
      </c>
    </row>
    <row r="1546" spans="1:14" x14ac:dyDescent="0.25">
      <c r="A1546" s="11" t="s">
        <v>207</v>
      </c>
      <c r="B1546" s="12">
        <v>45230</v>
      </c>
      <c r="C1546" s="11" t="s">
        <v>688</v>
      </c>
      <c r="D1546" s="11" t="s">
        <v>43</v>
      </c>
      <c r="E1546" s="13" t="s">
        <v>357</v>
      </c>
      <c r="F1546" s="14" t="s">
        <v>13</v>
      </c>
      <c r="G1546" s="14" t="s">
        <v>400</v>
      </c>
      <c r="I1546" s="11">
        <f t="shared" si="74"/>
        <v>2</v>
      </c>
      <c r="J1546" s="16">
        <v>53.89</v>
      </c>
      <c r="M1546" s="17">
        <f t="shared" si="72"/>
        <v>252093.86000000004</v>
      </c>
      <c r="N1546" s="11">
        <f t="shared" si="73"/>
        <v>10</v>
      </c>
    </row>
    <row r="1547" spans="1:14" x14ac:dyDescent="0.25">
      <c r="A1547" s="11" t="s">
        <v>207</v>
      </c>
      <c r="B1547" s="12">
        <v>45230</v>
      </c>
      <c r="C1547" s="11" t="s">
        <v>688</v>
      </c>
      <c r="D1547" s="11" t="s">
        <v>43</v>
      </c>
      <c r="E1547" s="13" t="s">
        <v>357</v>
      </c>
      <c r="F1547" s="14" t="s">
        <v>13</v>
      </c>
      <c r="G1547" s="14" t="s">
        <v>400</v>
      </c>
      <c r="I1547" s="11">
        <f t="shared" si="74"/>
        <v>2</v>
      </c>
      <c r="J1547" s="16">
        <v>131.19999999999999</v>
      </c>
      <c r="M1547" s="17">
        <f t="shared" si="72"/>
        <v>252225.06000000006</v>
      </c>
      <c r="N1547" s="11">
        <f t="shared" si="73"/>
        <v>10</v>
      </c>
    </row>
    <row r="1548" spans="1:14" x14ac:dyDescent="0.25">
      <c r="A1548" s="11" t="s">
        <v>0</v>
      </c>
      <c r="B1548" s="12">
        <v>45230</v>
      </c>
      <c r="C1548" s="11" t="s">
        <v>688</v>
      </c>
      <c r="D1548" s="11" t="s">
        <v>694</v>
      </c>
      <c r="E1548" s="13" t="s">
        <v>182</v>
      </c>
      <c r="F1548" s="14" t="s">
        <v>365</v>
      </c>
      <c r="G1548" s="14" t="s">
        <v>402</v>
      </c>
      <c r="I1548" s="11">
        <f t="shared" si="74"/>
        <v>5</v>
      </c>
      <c r="K1548" s="16">
        <v>2.97</v>
      </c>
      <c r="M1548" s="17">
        <f t="shared" si="72"/>
        <v>252222.09000000005</v>
      </c>
      <c r="N1548" s="11">
        <f t="shared" si="73"/>
        <v>10</v>
      </c>
    </row>
    <row r="1549" spans="1:14" x14ac:dyDescent="0.25">
      <c r="A1549" s="11" t="s">
        <v>0</v>
      </c>
      <c r="B1549" s="12">
        <v>45230</v>
      </c>
      <c r="C1549" s="11" t="s">
        <v>688</v>
      </c>
      <c r="D1549" s="11" t="s">
        <v>694</v>
      </c>
      <c r="E1549" s="13" t="s">
        <v>182</v>
      </c>
      <c r="F1549" s="14" t="s">
        <v>23</v>
      </c>
      <c r="G1549" s="14" t="s">
        <v>402</v>
      </c>
      <c r="I1549" s="11">
        <f t="shared" si="74"/>
        <v>5</v>
      </c>
      <c r="K1549" s="16">
        <v>12.04</v>
      </c>
      <c r="M1549" s="17">
        <f t="shared" si="72"/>
        <v>252210.05000000005</v>
      </c>
      <c r="N1549" s="11">
        <f t="shared" si="73"/>
        <v>10</v>
      </c>
    </row>
    <row r="1550" spans="1:14" x14ac:dyDescent="0.25">
      <c r="A1550" s="11" t="s">
        <v>0</v>
      </c>
      <c r="B1550" s="12">
        <v>45230</v>
      </c>
      <c r="C1550" s="11" t="s">
        <v>688</v>
      </c>
      <c r="D1550" s="11" t="s">
        <v>692</v>
      </c>
      <c r="E1550" s="13" t="s">
        <v>143</v>
      </c>
      <c r="F1550" s="14" t="s">
        <v>31</v>
      </c>
      <c r="G1550" s="14" t="s">
        <v>403</v>
      </c>
      <c r="H1550" s="15">
        <v>2882750</v>
      </c>
      <c r="I1550" s="11">
        <f t="shared" si="74"/>
        <v>5</v>
      </c>
      <c r="K1550" s="16">
        <v>543.33000000000004</v>
      </c>
      <c r="M1550" s="17">
        <f t="shared" si="72"/>
        <v>251666.72000000006</v>
      </c>
      <c r="N1550" s="11">
        <f t="shared" si="73"/>
        <v>10</v>
      </c>
    </row>
    <row r="1551" spans="1:14" x14ac:dyDescent="0.25">
      <c r="A1551" s="11" t="s">
        <v>207</v>
      </c>
      <c r="B1551" s="12">
        <v>45230</v>
      </c>
      <c r="C1551" s="11" t="s">
        <v>688</v>
      </c>
      <c r="D1551" s="11" t="s">
        <v>43</v>
      </c>
      <c r="E1551" s="13" t="s">
        <v>462</v>
      </c>
      <c r="F1551" s="14" t="s">
        <v>462</v>
      </c>
      <c r="G1551" s="14" t="s">
        <v>400</v>
      </c>
      <c r="I1551" s="11">
        <f t="shared" si="74"/>
        <v>2</v>
      </c>
      <c r="J1551" s="16">
        <v>434.95</v>
      </c>
      <c r="M1551" s="17">
        <f t="shared" si="72"/>
        <v>252101.67000000007</v>
      </c>
      <c r="N1551" s="11">
        <f t="shared" si="73"/>
        <v>10</v>
      </c>
    </row>
    <row r="1552" spans="1:14" x14ac:dyDescent="0.25">
      <c r="A1552" s="11" t="s">
        <v>0</v>
      </c>
      <c r="B1552" s="12">
        <v>45230</v>
      </c>
      <c r="C1552" s="11" t="s">
        <v>688</v>
      </c>
      <c r="D1552" s="11" t="s">
        <v>692</v>
      </c>
      <c r="E1552" s="13" t="s">
        <v>719</v>
      </c>
      <c r="F1552" s="14" t="s">
        <v>58</v>
      </c>
      <c r="G1552" s="14" t="s">
        <v>404</v>
      </c>
      <c r="H1552" s="15">
        <v>1204730</v>
      </c>
      <c r="I1552" s="11">
        <f t="shared" si="74"/>
        <v>5</v>
      </c>
      <c r="K1552" s="16">
        <v>1161</v>
      </c>
      <c r="M1552" s="17">
        <f t="shared" si="72"/>
        <v>250940.67000000007</v>
      </c>
      <c r="N1552" s="11">
        <f t="shared" si="73"/>
        <v>10</v>
      </c>
    </row>
    <row r="1553" spans="1:14" ht="26.4" x14ac:dyDescent="0.25">
      <c r="A1553" s="11" t="s">
        <v>0</v>
      </c>
      <c r="B1553" s="12">
        <v>45230</v>
      </c>
      <c r="C1553" s="11" t="s">
        <v>688</v>
      </c>
      <c r="D1553" s="11" t="s">
        <v>692</v>
      </c>
      <c r="E1553" s="13" t="s">
        <v>725</v>
      </c>
      <c r="F1553" s="14" t="s">
        <v>27</v>
      </c>
      <c r="G1553" s="14" t="s">
        <v>404</v>
      </c>
      <c r="H1553" s="15" t="s">
        <v>497</v>
      </c>
      <c r="I1553" s="11">
        <f t="shared" si="74"/>
        <v>5</v>
      </c>
      <c r="K1553" s="16">
        <v>1229.26</v>
      </c>
      <c r="M1553" s="17">
        <f t="shared" si="72"/>
        <v>249711.41000000006</v>
      </c>
      <c r="N1553" s="11">
        <f t="shared" si="73"/>
        <v>10</v>
      </c>
    </row>
    <row r="1554" spans="1:14" x14ac:dyDescent="0.25">
      <c r="A1554" s="11" t="s">
        <v>207</v>
      </c>
      <c r="B1554" s="12">
        <v>45230</v>
      </c>
      <c r="C1554" s="11" t="s">
        <v>688</v>
      </c>
      <c r="D1554" s="11" t="s">
        <v>43</v>
      </c>
      <c r="E1554" s="14" t="s">
        <v>288</v>
      </c>
      <c r="F1554" s="14" t="s">
        <v>288</v>
      </c>
      <c r="G1554" s="14" t="s">
        <v>173</v>
      </c>
      <c r="I1554" s="11">
        <f t="shared" si="74"/>
        <v>3</v>
      </c>
      <c r="J1554" s="16">
        <v>3492</v>
      </c>
      <c r="M1554" s="17">
        <f t="shared" si="72"/>
        <v>253203.41000000006</v>
      </c>
      <c r="N1554" s="11">
        <f t="shared" si="73"/>
        <v>10</v>
      </c>
    </row>
    <row r="1555" spans="1:14" x14ac:dyDescent="0.25">
      <c r="A1555" s="11" t="s">
        <v>0</v>
      </c>
      <c r="B1555" s="12">
        <v>45230</v>
      </c>
      <c r="C1555" s="11" t="s">
        <v>688</v>
      </c>
      <c r="D1555" s="11" t="s">
        <v>1</v>
      </c>
      <c r="E1555" s="13" t="s">
        <v>424</v>
      </c>
      <c r="F1555" s="14" t="s">
        <v>423</v>
      </c>
      <c r="G1555" s="14" t="s">
        <v>425</v>
      </c>
      <c r="H1555" s="15" t="s">
        <v>426</v>
      </c>
      <c r="I1555" s="11">
        <f>IF(AND(G1555="MERCADO PAGO",A1555="FATURAMENTO"),1,IF(AND(OR(G1555="MERCADO PAGO",G1555="pix mercado pago",G1555= "débito automático mercado pago", G1555= "boleto mercado pago"),A1555="DESPESAS"),4,IF(AND(G1555="SAFRA",A1555="FATURAMENTO"),2,IF(AND(OR(G1555="SAFRA",G1555="PIX SAFRA", G1555="DÉBITO AUTOMÁTICO SAFRA", G1555= "BOLETO SAFRA", G1555= "transferência safra"), A1555="DESPESAS"),5,IF(AND(G1555="espécie",A1555="FATURAMENTO"),3,IF(AND(G1555="espécie",A1555="DESPESAS"),6))))))</f>
        <v>5</v>
      </c>
      <c r="K1555" s="16">
        <v>30000</v>
      </c>
      <c r="M1555" s="17">
        <f t="shared" si="72"/>
        <v>223203.41000000006</v>
      </c>
      <c r="N1555" s="11">
        <f t="shared" si="73"/>
        <v>10</v>
      </c>
    </row>
    <row r="1556" spans="1:14" x14ac:dyDescent="0.25">
      <c r="A1556" s="11" t="s">
        <v>207</v>
      </c>
      <c r="B1556" s="12">
        <v>45231</v>
      </c>
      <c r="C1556" s="11" t="s">
        <v>662</v>
      </c>
      <c r="D1556" s="11" t="s">
        <v>43</v>
      </c>
      <c r="E1556" s="13" t="s">
        <v>382</v>
      </c>
      <c r="F1556" s="14" t="s">
        <v>13</v>
      </c>
      <c r="G1556" s="14" t="s">
        <v>400</v>
      </c>
      <c r="I1556" s="11">
        <f t="shared" si="74"/>
        <v>2</v>
      </c>
      <c r="J1556" s="16">
        <v>29.59</v>
      </c>
      <c r="M1556" s="17">
        <f t="shared" si="72"/>
        <v>223233.00000000006</v>
      </c>
      <c r="N1556" s="11">
        <f t="shared" si="73"/>
        <v>11</v>
      </c>
    </row>
    <row r="1557" spans="1:14" x14ac:dyDescent="0.25">
      <c r="A1557" s="11" t="s">
        <v>207</v>
      </c>
      <c r="B1557" s="12">
        <v>45231</v>
      </c>
      <c r="C1557" s="11" t="s">
        <v>688</v>
      </c>
      <c r="D1557" s="11" t="s">
        <v>43</v>
      </c>
      <c r="E1557" s="13" t="s">
        <v>382</v>
      </c>
      <c r="F1557" s="14" t="s">
        <v>13</v>
      </c>
      <c r="G1557" s="14" t="s">
        <v>400</v>
      </c>
      <c r="I1557" s="11">
        <f t="shared" si="74"/>
        <v>2</v>
      </c>
      <c r="J1557" s="16">
        <v>583.88</v>
      </c>
      <c r="M1557" s="17">
        <f t="shared" si="72"/>
        <v>223816.88000000006</v>
      </c>
      <c r="N1557" s="11">
        <f t="shared" si="73"/>
        <v>11</v>
      </c>
    </row>
    <row r="1558" spans="1:14" x14ac:dyDescent="0.25">
      <c r="A1558" s="11" t="s">
        <v>207</v>
      </c>
      <c r="B1558" s="12">
        <v>45231</v>
      </c>
      <c r="C1558" s="11" t="s">
        <v>688</v>
      </c>
      <c r="D1558" s="11" t="s">
        <v>43</v>
      </c>
      <c r="E1558" s="13" t="s">
        <v>382</v>
      </c>
      <c r="F1558" s="14" t="s">
        <v>13</v>
      </c>
      <c r="G1558" s="14" t="s">
        <v>400</v>
      </c>
      <c r="I1558" s="11">
        <f t="shared" si="74"/>
        <v>2</v>
      </c>
      <c r="J1558" s="16">
        <v>516.87</v>
      </c>
      <c r="M1558" s="17">
        <f t="shared" si="72"/>
        <v>224333.75000000006</v>
      </c>
      <c r="N1558" s="11">
        <f t="shared" si="73"/>
        <v>11</v>
      </c>
    </row>
    <row r="1559" spans="1:14" x14ac:dyDescent="0.25">
      <c r="A1559" s="11" t="s">
        <v>207</v>
      </c>
      <c r="B1559" s="12">
        <v>45231</v>
      </c>
      <c r="C1559" s="11" t="s">
        <v>662</v>
      </c>
      <c r="D1559" s="11" t="s">
        <v>43</v>
      </c>
      <c r="E1559" s="13" t="s">
        <v>382</v>
      </c>
      <c r="F1559" s="14" t="s">
        <v>13</v>
      </c>
      <c r="G1559" s="14" t="s">
        <v>400</v>
      </c>
      <c r="I1559" s="11">
        <f t="shared" si="74"/>
        <v>2</v>
      </c>
      <c r="J1559" s="16">
        <v>683.75</v>
      </c>
      <c r="M1559" s="17">
        <f t="shared" si="72"/>
        <v>225017.50000000006</v>
      </c>
      <c r="N1559" s="11">
        <f t="shared" si="73"/>
        <v>11</v>
      </c>
    </row>
    <row r="1560" spans="1:14" x14ac:dyDescent="0.25">
      <c r="A1560" s="11" t="s">
        <v>207</v>
      </c>
      <c r="B1560" s="12">
        <v>45231</v>
      </c>
      <c r="C1560" s="11" t="s">
        <v>688</v>
      </c>
      <c r="D1560" s="11" t="s">
        <v>43</v>
      </c>
      <c r="E1560" s="13" t="s">
        <v>80</v>
      </c>
      <c r="F1560" s="14" t="s">
        <v>79</v>
      </c>
      <c r="G1560" s="14" t="s">
        <v>400</v>
      </c>
      <c r="I1560" s="11">
        <f t="shared" si="74"/>
        <v>2</v>
      </c>
      <c r="J1560" s="16">
        <v>4243.18</v>
      </c>
      <c r="M1560" s="17">
        <f t="shared" si="72"/>
        <v>229260.68000000005</v>
      </c>
      <c r="N1560" s="11">
        <f t="shared" si="73"/>
        <v>11</v>
      </c>
    </row>
    <row r="1561" spans="1:14" x14ac:dyDescent="0.25">
      <c r="A1561" s="11" t="s">
        <v>207</v>
      </c>
      <c r="B1561" s="12">
        <v>45231</v>
      </c>
      <c r="C1561" s="11" t="s">
        <v>688</v>
      </c>
      <c r="D1561" s="11" t="s">
        <v>43</v>
      </c>
      <c r="E1561" s="13" t="s">
        <v>81</v>
      </c>
      <c r="F1561" s="14" t="s">
        <v>79</v>
      </c>
      <c r="G1561" s="14" t="s">
        <v>400</v>
      </c>
      <c r="I1561" s="11">
        <f t="shared" si="74"/>
        <v>2</v>
      </c>
      <c r="J1561" s="16">
        <v>1996.7</v>
      </c>
      <c r="M1561" s="17">
        <f t="shared" si="72"/>
        <v>231257.38000000006</v>
      </c>
      <c r="N1561" s="11">
        <f t="shared" si="73"/>
        <v>11</v>
      </c>
    </row>
    <row r="1562" spans="1:14" x14ac:dyDescent="0.25">
      <c r="A1562" s="11" t="s">
        <v>207</v>
      </c>
      <c r="B1562" s="12">
        <v>45231</v>
      </c>
      <c r="C1562" s="11" t="s">
        <v>688</v>
      </c>
      <c r="D1562" s="11" t="s">
        <v>43</v>
      </c>
      <c r="E1562" s="13" t="s">
        <v>83</v>
      </c>
      <c r="F1562" s="14" t="s">
        <v>79</v>
      </c>
      <c r="G1562" s="14" t="s">
        <v>400</v>
      </c>
      <c r="I1562" s="11">
        <f t="shared" si="74"/>
        <v>2</v>
      </c>
      <c r="J1562" s="16">
        <v>140.68</v>
      </c>
      <c r="M1562" s="17">
        <f t="shared" si="72"/>
        <v>231398.06000000006</v>
      </c>
      <c r="N1562" s="11">
        <f t="shared" si="73"/>
        <v>11</v>
      </c>
    </row>
    <row r="1563" spans="1:14" x14ac:dyDescent="0.25">
      <c r="A1563" s="11" t="s">
        <v>0</v>
      </c>
      <c r="B1563" s="12">
        <v>45231</v>
      </c>
      <c r="C1563" s="11" t="s">
        <v>688</v>
      </c>
      <c r="D1563" s="11" t="s">
        <v>47</v>
      </c>
      <c r="E1563" s="13" t="s">
        <v>464</v>
      </c>
      <c r="F1563" s="14" t="s">
        <v>463</v>
      </c>
      <c r="G1563" s="14" t="s">
        <v>404</v>
      </c>
      <c r="H1563" s="15">
        <v>4</v>
      </c>
      <c r="I1563" s="11">
        <f t="shared" si="74"/>
        <v>5</v>
      </c>
      <c r="K1563" s="16">
        <v>550</v>
      </c>
      <c r="M1563" s="17">
        <f t="shared" si="72"/>
        <v>230848.06000000006</v>
      </c>
      <c r="N1563" s="11">
        <f t="shared" si="73"/>
        <v>11</v>
      </c>
    </row>
    <row r="1564" spans="1:14" x14ac:dyDescent="0.25">
      <c r="A1564" s="11" t="s">
        <v>0</v>
      </c>
      <c r="B1564" s="12">
        <v>45231</v>
      </c>
      <c r="C1564" s="11" t="s">
        <v>688</v>
      </c>
      <c r="D1564" s="11" t="s">
        <v>692</v>
      </c>
      <c r="E1564" s="13" t="s">
        <v>179</v>
      </c>
      <c r="F1564" s="14" t="s">
        <v>378</v>
      </c>
      <c r="G1564" s="14" t="s">
        <v>404</v>
      </c>
      <c r="H1564" s="15">
        <v>14</v>
      </c>
      <c r="I1564" s="11">
        <f t="shared" si="74"/>
        <v>5</v>
      </c>
      <c r="K1564" s="16">
        <v>2500</v>
      </c>
      <c r="M1564" s="17">
        <f t="shared" si="72"/>
        <v>228348.06000000006</v>
      </c>
      <c r="N1564" s="11">
        <f t="shared" si="73"/>
        <v>11</v>
      </c>
    </row>
    <row r="1565" spans="1:14" x14ac:dyDescent="0.25">
      <c r="A1565" s="11" t="s">
        <v>0</v>
      </c>
      <c r="B1565" s="12">
        <v>45231</v>
      </c>
      <c r="C1565" s="11" t="s">
        <v>688</v>
      </c>
      <c r="D1565" s="11" t="s">
        <v>692</v>
      </c>
      <c r="E1565" s="13" t="s">
        <v>143</v>
      </c>
      <c r="F1565" s="14" t="s">
        <v>59</v>
      </c>
      <c r="G1565" s="14" t="s">
        <v>404</v>
      </c>
      <c r="H1565" s="15">
        <v>454690</v>
      </c>
      <c r="I1565" s="11">
        <f t="shared" si="74"/>
        <v>5</v>
      </c>
      <c r="K1565" s="16">
        <v>980.74</v>
      </c>
      <c r="M1565" s="17">
        <f t="shared" si="72"/>
        <v>227367.32000000007</v>
      </c>
      <c r="N1565" s="11">
        <f t="shared" si="73"/>
        <v>11</v>
      </c>
    </row>
    <row r="1566" spans="1:14" x14ac:dyDescent="0.25">
      <c r="A1566" s="11" t="s">
        <v>0</v>
      </c>
      <c r="B1566" s="12">
        <v>45231</v>
      </c>
      <c r="C1566" s="11" t="s">
        <v>688</v>
      </c>
      <c r="D1566" s="11" t="s">
        <v>692</v>
      </c>
      <c r="E1566" s="13" t="s">
        <v>179</v>
      </c>
      <c r="F1566" s="14" t="s">
        <v>28</v>
      </c>
      <c r="G1566" s="14" t="s">
        <v>404</v>
      </c>
      <c r="H1566" s="15">
        <v>41</v>
      </c>
      <c r="I1566" s="11">
        <f t="shared" si="74"/>
        <v>5</v>
      </c>
      <c r="K1566" s="16">
        <v>3025</v>
      </c>
      <c r="M1566" s="17">
        <f t="shared" si="72"/>
        <v>224342.32000000007</v>
      </c>
      <c r="N1566" s="11">
        <f t="shared" si="73"/>
        <v>11</v>
      </c>
    </row>
    <row r="1567" spans="1:14" x14ac:dyDescent="0.25">
      <c r="A1567" s="11" t="s">
        <v>0</v>
      </c>
      <c r="B1567" s="12">
        <v>45231</v>
      </c>
      <c r="C1567" s="11" t="s">
        <v>688</v>
      </c>
      <c r="D1567" s="11" t="s">
        <v>692</v>
      </c>
      <c r="E1567" s="13" t="s">
        <v>725</v>
      </c>
      <c r="F1567" s="14" t="s">
        <v>27</v>
      </c>
      <c r="G1567" s="14" t="s">
        <v>404</v>
      </c>
      <c r="H1567" s="15">
        <v>14069</v>
      </c>
      <c r="I1567" s="11">
        <f t="shared" si="74"/>
        <v>5</v>
      </c>
      <c r="K1567" s="16">
        <v>749.01</v>
      </c>
      <c r="M1567" s="17">
        <f t="shared" si="72"/>
        <v>223593.31000000006</v>
      </c>
      <c r="N1567" s="11">
        <f t="shared" si="73"/>
        <v>11</v>
      </c>
    </row>
    <row r="1568" spans="1:14" x14ac:dyDescent="0.25">
      <c r="A1568" s="11" t="s">
        <v>0</v>
      </c>
      <c r="B1568" s="12">
        <v>45231</v>
      </c>
      <c r="C1568" s="11" t="s">
        <v>688</v>
      </c>
      <c r="D1568" s="11" t="s">
        <v>694</v>
      </c>
      <c r="E1568" s="13" t="s">
        <v>182</v>
      </c>
      <c r="F1568" s="14" t="s">
        <v>23</v>
      </c>
      <c r="G1568" s="14" t="s">
        <v>402</v>
      </c>
      <c r="I1568" s="11">
        <f t="shared" si="74"/>
        <v>5</v>
      </c>
      <c r="K1568" s="16">
        <v>9.9</v>
      </c>
      <c r="M1568" s="17">
        <f t="shared" si="72"/>
        <v>223583.41000000006</v>
      </c>
      <c r="N1568" s="11">
        <f t="shared" si="73"/>
        <v>11</v>
      </c>
    </row>
    <row r="1569" spans="1:14" x14ac:dyDescent="0.25">
      <c r="A1569" s="11" t="s">
        <v>0</v>
      </c>
      <c r="B1569" s="12">
        <v>45231</v>
      </c>
      <c r="C1569" s="11" t="s">
        <v>688</v>
      </c>
      <c r="D1569" s="11" t="s">
        <v>694</v>
      </c>
      <c r="E1569" s="13" t="s">
        <v>182</v>
      </c>
      <c r="F1569" s="14" t="s">
        <v>365</v>
      </c>
      <c r="G1569" s="14" t="s">
        <v>402</v>
      </c>
      <c r="I1569" s="11">
        <f t="shared" si="74"/>
        <v>5</v>
      </c>
      <c r="K1569" s="16">
        <v>1.01</v>
      </c>
      <c r="M1569" s="17">
        <f t="shared" si="72"/>
        <v>223582.40000000005</v>
      </c>
      <c r="N1569" s="11">
        <f t="shared" si="73"/>
        <v>11</v>
      </c>
    </row>
    <row r="1570" spans="1:14" x14ac:dyDescent="0.25">
      <c r="A1570" s="11" t="s">
        <v>207</v>
      </c>
      <c r="B1570" s="12">
        <v>45231</v>
      </c>
      <c r="C1570" s="11" t="s">
        <v>688</v>
      </c>
      <c r="D1570" s="11" t="s">
        <v>43</v>
      </c>
      <c r="E1570" s="13">
        <v>45231</v>
      </c>
      <c r="F1570" s="14" t="s">
        <v>472</v>
      </c>
      <c r="G1570" s="14" t="s">
        <v>400</v>
      </c>
      <c r="I1570" s="11">
        <f t="shared" si="74"/>
        <v>2</v>
      </c>
      <c r="J1570" s="16">
        <v>147.5</v>
      </c>
      <c r="M1570" s="17">
        <f t="shared" si="72"/>
        <v>223729.90000000005</v>
      </c>
      <c r="N1570" s="11">
        <f t="shared" si="73"/>
        <v>11</v>
      </c>
    </row>
    <row r="1571" spans="1:14" x14ac:dyDescent="0.25">
      <c r="A1571" s="11" t="s">
        <v>0</v>
      </c>
      <c r="B1571" s="12">
        <v>45231</v>
      </c>
      <c r="C1571" s="11" t="s">
        <v>688</v>
      </c>
      <c r="D1571" s="11" t="s">
        <v>692</v>
      </c>
      <c r="E1571" s="13" t="s">
        <v>108</v>
      </c>
      <c r="F1571" s="14" t="s">
        <v>107</v>
      </c>
      <c r="G1571" s="14" t="s">
        <v>173</v>
      </c>
      <c r="H1571" s="15">
        <v>8</v>
      </c>
      <c r="I1571" s="11">
        <f t="shared" si="74"/>
        <v>6</v>
      </c>
      <c r="K1571" s="16">
        <v>1200</v>
      </c>
      <c r="M1571" s="17">
        <f t="shared" si="72"/>
        <v>222529.90000000005</v>
      </c>
      <c r="N1571" s="11">
        <f t="shared" si="73"/>
        <v>11</v>
      </c>
    </row>
    <row r="1572" spans="1:14" x14ac:dyDescent="0.25">
      <c r="A1572" s="11" t="s">
        <v>0</v>
      </c>
      <c r="B1572" s="12">
        <v>45231</v>
      </c>
      <c r="C1572" s="11" t="s">
        <v>688</v>
      </c>
      <c r="D1572" s="11" t="s">
        <v>696</v>
      </c>
      <c r="E1572" s="13" t="s">
        <v>591</v>
      </c>
      <c r="F1572" s="14" t="s">
        <v>590</v>
      </c>
      <c r="G1572" s="14" t="s">
        <v>407</v>
      </c>
      <c r="H1572" s="15" t="s">
        <v>426</v>
      </c>
      <c r="I1572" s="11">
        <f t="shared" si="74"/>
        <v>4</v>
      </c>
      <c r="K1572" s="16">
        <v>80</v>
      </c>
      <c r="M1572" s="17">
        <f t="shared" si="72"/>
        <v>222449.90000000005</v>
      </c>
      <c r="N1572" s="11">
        <f t="shared" si="73"/>
        <v>11</v>
      </c>
    </row>
    <row r="1573" spans="1:14" x14ac:dyDescent="0.25">
      <c r="A1573" s="11" t="s">
        <v>207</v>
      </c>
      <c r="B1573" s="12">
        <v>45231</v>
      </c>
      <c r="C1573" s="11" t="s">
        <v>688</v>
      </c>
      <c r="D1573" s="11" t="s">
        <v>43</v>
      </c>
      <c r="E1573" s="14" t="s">
        <v>288</v>
      </c>
      <c r="F1573" s="14" t="s">
        <v>288</v>
      </c>
      <c r="G1573" s="14" t="s">
        <v>173</v>
      </c>
      <c r="I1573" s="11">
        <f t="shared" si="74"/>
        <v>3</v>
      </c>
      <c r="J1573" s="16">
        <v>2070</v>
      </c>
      <c r="M1573" s="17">
        <f t="shared" si="72"/>
        <v>224519.90000000005</v>
      </c>
      <c r="N1573" s="11">
        <f t="shared" si="73"/>
        <v>11</v>
      </c>
    </row>
    <row r="1574" spans="1:14" x14ac:dyDescent="0.25">
      <c r="A1574" s="11" t="s">
        <v>207</v>
      </c>
      <c r="B1574" s="12">
        <v>45231</v>
      </c>
      <c r="C1574" s="11" t="s">
        <v>688</v>
      </c>
      <c r="D1574" s="11" t="s">
        <v>43</v>
      </c>
      <c r="E1574" s="14" t="s">
        <v>429</v>
      </c>
      <c r="F1574" s="14" t="s">
        <v>429</v>
      </c>
      <c r="G1574" s="14" t="s">
        <v>428</v>
      </c>
      <c r="I1574" s="11">
        <f t="shared" si="74"/>
        <v>1</v>
      </c>
      <c r="J1574" s="16">
        <v>1530.5</v>
      </c>
      <c r="M1574" s="17">
        <f t="shared" si="72"/>
        <v>226050.40000000005</v>
      </c>
      <c r="N1574" s="11">
        <f t="shared" si="73"/>
        <v>11</v>
      </c>
    </row>
    <row r="1575" spans="1:14" x14ac:dyDescent="0.25">
      <c r="A1575" s="11" t="s">
        <v>207</v>
      </c>
      <c r="B1575" s="12">
        <v>45232</v>
      </c>
      <c r="C1575" s="11" t="s">
        <v>662</v>
      </c>
      <c r="D1575" s="11" t="s">
        <v>43</v>
      </c>
      <c r="E1575" s="14" t="s">
        <v>288</v>
      </c>
      <c r="F1575" s="14" t="s">
        <v>288</v>
      </c>
      <c r="G1575" s="14" t="s">
        <v>173</v>
      </c>
      <c r="I1575" s="11">
        <f t="shared" si="74"/>
        <v>3</v>
      </c>
      <c r="J1575" s="16">
        <v>800</v>
      </c>
      <c r="M1575" s="17">
        <f t="shared" si="72"/>
        <v>226850.40000000005</v>
      </c>
      <c r="N1575" s="11">
        <f t="shared" si="73"/>
        <v>11</v>
      </c>
    </row>
    <row r="1576" spans="1:14" x14ac:dyDescent="0.25">
      <c r="A1576" s="11" t="s">
        <v>207</v>
      </c>
      <c r="B1576" s="12">
        <v>45232</v>
      </c>
      <c r="C1576" s="11" t="s">
        <v>688</v>
      </c>
      <c r="D1576" s="11" t="s">
        <v>43</v>
      </c>
      <c r="E1576" s="14" t="s">
        <v>288</v>
      </c>
      <c r="F1576" s="14" t="s">
        <v>288</v>
      </c>
      <c r="G1576" s="14" t="s">
        <v>173</v>
      </c>
      <c r="I1576" s="11">
        <f t="shared" si="74"/>
        <v>3</v>
      </c>
      <c r="J1576" s="16">
        <v>2550</v>
      </c>
      <c r="M1576" s="17">
        <f t="shared" si="72"/>
        <v>229400.40000000005</v>
      </c>
      <c r="N1576" s="11">
        <f t="shared" si="73"/>
        <v>11</v>
      </c>
    </row>
    <row r="1577" spans="1:14" x14ac:dyDescent="0.25">
      <c r="A1577" s="11" t="s">
        <v>0</v>
      </c>
      <c r="B1577" s="12">
        <v>45232</v>
      </c>
      <c r="C1577" s="11" t="s">
        <v>688</v>
      </c>
      <c r="D1577" s="11" t="s">
        <v>696</v>
      </c>
      <c r="E1577" s="13" t="s">
        <v>594</v>
      </c>
      <c r="F1577" s="14" t="s">
        <v>593</v>
      </c>
      <c r="G1577" s="14" t="s">
        <v>407</v>
      </c>
      <c r="H1577" s="15" t="s">
        <v>426</v>
      </c>
      <c r="I1577" s="11">
        <f t="shared" si="74"/>
        <v>4</v>
      </c>
      <c r="K1577" s="16">
        <v>3042</v>
      </c>
      <c r="M1577" s="17">
        <f t="shared" si="72"/>
        <v>226358.40000000005</v>
      </c>
      <c r="N1577" s="11">
        <f t="shared" si="73"/>
        <v>11</v>
      </c>
    </row>
    <row r="1578" spans="1:14" x14ac:dyDescent="0.25">
      <c r="A1578" s="11" t="s">
        <v>207</v>
      </c>
      <c r="B1578" s="12">
        <v>45232</v>
      </c>
      <c r="C1578" s="11" t="s">
        <v>688</v>
      </c>
      <c r="D1578" s="11" t="s">
        <v>43</v>
      </c>
      <c r="E1578" s="14" t="s">
        <v>429</v>
      </c>
      <c r="F1578" s="14" t="s">
        <v>429</v>
      </c>
      <c r="G1578" s="14" t="s">
        <v>428</v>
      </c>
      <c r="I1578" s="11">
        <f t="shared" si="74"/>
        <v>1</v>
      </c>
      <c r="J1578" s="16">
        <v>8367.64</v>
      </c>
      <c r="M1578" s="17">
        <f t="shared" si="72"/>
        <v>234726.04000000004</v>
      </c>
      <c r="N1578" s="11">
        <f t="shared" si="73"/>
        <v>11</v>
      </c>
    </row>
    <row r="1579" spans="1:14" x14ac:dyDescent="0.25">
      <c r="A1579" s="11" t="s">
        <v>207</v>
      </c>
      <c r="B1579" s="12">
        <v>45233</v>
      </c>
      <c r="C1579" s="11" t="s">
        <v>662</v>
      </c>
      <c r="D1579" s="11" t="s">
        <v>43</v>
      </c>
      <c r="E1579" s="13" t="s">
        <v>288</v>
      </c>
      <c r="F1579" s="14" t="s">
        <v>288</v>
      </c>
      <c r="G1579" s="14" t="s">
        <v>173</v>
      </c>
      <c r="I1579" s="11">
        <f t="shared" si="74"/>
        <v>3</v>
      </c>
      <c r="J1579" s="16">
        <v>150</v>
      </c>
      <c r="M1579" s="17">
        <f t="shared" si="72"/>
        <v>234876.04000000004</v>
      </c>
      <c r="N1579" s="11">
        <f t="shared" si="73"/>
        <v>11</v>
      </c>
    </row>
    <row r="1580" spans="1:14" x14ac:dyDescent="0.25">
      <c r="A1580" s="11" t="s">
        <v>207</v>
      </c>
      <c r="B1580" s="12">
        <v>45233</v>
      </c>
      <c r="C1580" s="11" t="s">
        <v>688</v>
      </c>
      <c r="D1580" s="11" t="s">
        <v>43</v>
      </c>
      <c r="E1580" s="14" t="s">
        <v>288</v>
      </c>
      <c r="F1580" s="14" t="s">
        <v>288</v>
      </c>
      <c r="G1580" s="14" t="s">
        <v>173</v>
      </c>
      <c r="I1580" s="11">
        <f t="shared" si="74"/>
        <v>3</v>
      </c>
      <c r="J1580" s="16">
        <v>1800</v>
      </c>
      <c r="M1580" s="17">
        <f t="shared" si="72"/>
        <v>236676.04000000004</v>
      </c>
      <c r="N1580" s="11">
        <f t="shared" si="73"/>
        <v>11</v>
      </c>
    </row>
    <row r="1581" spans="1:14" x14ac:dyDescent="0.25">
      <c r="A1581" s="11" t="s">
        <v>0</v>
      </c>
      <c r="B1581" s="12">
        <v>45233</v>
      </c>
      <c r="C1581" s="11" t="s">
        <v>688</v>
      </c>
      <c r="D1581" s="11" t="s">
        <v>692</v>
      </c>
      <c r="E1581" s="13" t="s">
        <v>724</v>
      </c>
      <c r="F1581" s="14" t="s">
        <v>119</v>
      </c>
      <c r="G1581" s="14" t="s">
        <v>404</v>
      </c>
      <c r="H1581" s="15">
        <v>1284581</v>
      </c>
      <c r="I1581" s="11">
        <f t="shared" si="74"/>
        <v>5</v>
      </c>
      <c r="K1581" s="16">
        <v>2291.5100000000002</v>
      </c>
      <c r="M1581" s="17">
        <f t="shared" si="72"/>
        <v>234384.53000000003</v>
      </c>
      <c r="N1581" s="11">
        <f t="shared" si="73"/>
        <v>11</v>
      </c>
    </row>
    <row r="1582" spans="1:14" x14ac:dyDescent="0.25">
      <c r="A1582" s="11" t="s">
        <v>0</v>
      </c>
      <c r="B1582" s="12">
        <v>45233</v>
      </c>
      <c r="C1582" s="11" t="s">
        <v>688</v>
      </c>
      <c r="D1582" s="11" t="s">
        <v>692</v>
      </c>
      <c r="E1582" s="13" t="s">
        <v>725</v>
      </c>
      <c r="F1582" s="14" t="s">
        <v>27</v>
      </c>
      <c r="G1582" s="14" t="s">
        <v>404</v>
      </c>
      <c r="H1582" s="15">
        <v>14088</v>
      </c>
      <c r="I1582" s="11">
        <f t="shared" si="74"/>
        <v>5</v>
      </c>
      <c r="K1582" s="16">
        <v>1631.85</v>
      </c>
      <c r="M1582" s="17">
        <f t="shared" si="72"/>
        <v>232752.68000000002</v>
      </c>
      <c r="N1582" s="11">
        <f t="shared" si="73"/>
        <v>11</v>
      </c>
    </row>
    <row r="1583" spans="1:14" x14ac:dyDescent="0.25">
      <c r="A1583" s="11" t="s">
        <v>207</v>
      </c>
      <c r="B1583" s="12">
        <v>45233</v>
      </c>
      <c r="C1583" s="11" t="s">
        <v>688</v>
      </c>
      <c r="D1583" s="11" t="s">
        <v>43</v>
      </c>
      <c r="E1583" s="14" t="s">
        <v>429</v>
      </c>
      <c r="F1583" s="14" t="s">
        <v>429</v>
      </c>
      <c r="G1583" s="14" t="s">
        <v>428</v>
      </c>
      <c r="I1583" s="11">
        <f t="shared" si="74"/>
        <v>1</v>
      </c>
      <c r="J1583" s="16">
        <v>10501.3</v>
      </c>
      <c r="M1583" s="17">
        <f t="shared" si="72"/>
        <v>243253.98</v>
      </c>
      <c r="N1583" s="11">
        <f t="shared" si="73"/>
        <v>11</v>
      </c>
    </row>
    <row r="1584" spans="1:14" x14ac:dyDescent="0.25">
      <c r="A1584" s="11" t="s">
        <v>207</v>
      </c>
      <c r="B1584" s="12">
        <v>45233</v>
      </c>
      <c r="C1584" s="11" t="s">
        <v>688</v>
      </c>
      <c r="D1584" s="11" t="s">
        <v>43</v>
      </c>
      <c r="E1584" s="13" t="s">
        <v>382</v>
      </c>
      <c r="F1584" s="14" t="s">
        <v>13</v>
      </c>
      <c r="G1584" s="14" t="s">
        <v>400</v>
      </c>
      <c r="I1584" s="11">
        <f t="shared" si="74"/>
        <v>2</v>
      </c>
      <c r="J1584" s="16">
        <v>38.11</v>
      </c>
      <c r="M1584" s="17">
        <f t="shared" si="72"/>
        <v>243292.09</v>
      </c>
      <c r="N1584" s="11">
        <f t="shared" si="73"/>
        <v>11</v>
      </c>
    </row>
    <row r="1585" spans="1:14" x14ac:dyDescent="0.25">
      <c r="A1585" s="11" t="s">
        <v>207</v>
      </c>
      <c r="B1585" s="12">
        <v>45233</v>
      </c>
      <c r="C1585" s="11" t="s">
        <v>688</v>
      </c>
      <c r="D1585" s="11" t="s">
        <v>43</v>
      </c>
      <c r="E1585" s="13" t="s">
        <v>382</v>
      </c>
      <c r="F1585" s="14" t="s">
        <v>13</v>
      </c>
      <c r="G1585" s="14" t="s">
        <v>400</v>
      </c>
      <c r="I1585" s="11">
        <f t="shared" si="74"/>
        <v>2</v>
      </c>
      <c r="J1585" s="16">
        <v>51.49</v>
      </c>
      <c r="M1585" s="17">
        <f t="shared" si="72"/>
        <v>243343.58</v>
      </c>
      <c r="N1585" s="11">
        <f t="shared" si="73"/>
        <v>11</v>
      </c>
    </row>
    <row r="1586" spans="1:14" x14ac:dyDescent="0.25">
      <c r="A1586" s="11" t="s">
        <v>207</v>
      </c>
      <c r="B1586" s="12">
        <v>45233</v>
      </c>
      <c r="C1586" s="11" t="s">
        <v>688</v>
      </c>
      <c r="D1586" s="11" t="s">
        <v>43</v>
      </c>
      <c r="E1586" s="13" t="s">
        <v>382</v>
      </c>
      <c r="F1586" s="14" t="s">
        <v>13</v>
      </c>
      <c r="G1586" s="14" t="s">
        <v>400</v>
      </c>
      <c r="I1586" s="11">
        <f t="shared" si="74"/>
        <v>2</v>
      </c>
      <c r="J1586" s="16">
        <v>794.8</v>
      </c>
      <c r="M1586" s="17">
        <f t="shared" si="72"/>
        <v>244138.37999999998</v>
      </c>
      <c r="N1586" s="11">
        <f t="shared" si="73"/>
        <v>11</v>
      </c>
    </row>
    <row r="1587" spans="1:14" x14ac:dyDescent="0.25">
      <c r="A1587" s="11" t="s">
        <v>207</v>
      </c>
      <c r="B1587" s="12">
        <v>45233</v>
      </c>
      <c r="C1587" s="11" t="s">
        <v>688</v>
      </c>
      <c r="D1587" s="11" t="s">
        <v>43</v>
      </c>
      <c r="E1587" s="13" t="s">
        <v>382</v>
      </c>
      <c r="F1587" s="14" t="s">
        <v>13</v>
      </c>
      <c r="G1587" s="14" t="s">
        <v>400</v>
      </c>
      <c r="I1587" s="11">
        <f t="shared" si="74"/>
        <v>2</v>
      </c>
      <c r="J1587" s="16">
        <v>505.19</v>
      </c>
      <c r="M1587" s="17">
        <f t="shared" si="72"/>
        <v>244643.56999999998</v>
      </c>
      <c r="N1587" s="11">
        <f t="shared" si="73"/>
        <v>11</v>
      </c>
    </row>
    <row r="1588" spans="1:14" x14ac:dyDescent="0.25">
      <c r="A1588" s="11" t="s">
        <v>207</v>
      </c>
      <c r="B1588" s="12">
        <v>45233</v>
      </c>
      <c r="C1588" s="11" t="s">
        <v>688</v>
      </c>
      <c r="D1588" s="11" t="s">
        <v>43</v>
      </c>
      <c r="E1588" s="13" t="s">
        <v>382</v>
      </c>
      <c r="F1588" s="14" t="s">
        <v>13</v>
      </c>
      <c r="G1588" s="14" t="s">
        <v>400</v>
      </c>
      <c r="I1588" s="11">
        <f t="shared" si="74"/>
        <v>2</v>
      </c>
      <c r="J1588" s="16">
        <v>60.77</v>
      </c>
      <c r="M1588" s="17">
        <f t="shared" si="72"/>
        <v>244704.33999999997</v>
      </c>
      <c r="N1588" s="11">
        <f t="shared" si="73"/>
        <v>11</v>
      </c>
    </row>
    <row r="1589" spans="1:14" x14ac:dyDescent="0.25">
      <c r="A1589" s="11" t="s">
        <v>207</v>
      </c>
      <c r="B1589" s="12">
        <v>45233</v>
      </c>
      <c r="C1589" s="11" t="s">
        <v>688</v>
      </c>
      <c r="D1589" s="11" t="s">
        <v>43</v>
      </c>
      <c r="E1589" s="13" t="s">
        <v>382</v>
      </c>
      <c r="F1589" s="14" t="s">
        <v>13</v>
      </c>
      <c r="G1589" s="14" t="s">
        <v>400</v>
      </c>
      <c r="I1589" s="11">
        <f t="shared" si="74"/>
        <v>2</v>
      </c>
      <c r="J1589" s="16">
        <v>83.14</v>
      </c>
      <c r="M1589" s="17">
        <f t="shared" si="72"/>
        <v>244787.47999999998</v>
      </c>
      <c r="N1589" s="11">
        <f t="shared" si="73"/>
        <v>11</v>
      </c>
    </row>
    <row r="1590" spans="1:14" x14ac:dyDescent="0.25">
      <c r="A1590" s="11" t="s">
        <v>207</v>
      </c>
      <c r="B1590" s="12">
        <v>45233</v>
      </c>
      <c r="C1590" s="11" t="s">
        <v>688</v>
      </c>
      <c r="D1590" s="11" t="s">
        <v>43</v>
      </c>
      <c r="E1590" s="13" t="s">
        <v>382</v>
      </c>
      <c r="F1590" s="14" t="s">
        <v>13</v>
      </c>
      <c r="G1590" s="14" t="s">
        <v>400</v>
      </c>
      <c r="I1590" s="11">
        <f t="shared" si="74"/>
        <v>2</v>
      </c>
      <c r="J1590" s="16">
        <v>70.77</v>
      </c>
      <c r="M1590" s="17">
        <f t="shared" si="72"/>
        <v>244858.24999999997</v>
      </c>
      <c r="N1590" s="11">
        <f t="shared" si="73"/>
        <v>11</v>
      </c>
    </row>
    <row r="1591" spans="1:14" x14ac:dyDescent="0.25">
      <c r="A1591" s="11" t="s">
        <v>207</v>
      </c>
      <c r="B1591" s="12">
        <v>45233</v>
      </c>
      <c r="C1591" s="11" t="s">
        <v>688</v>
      </c>
      <c r="D1591" s="11" t="s">
        <v>43</v>
      </c>
      <c r="E1591" s="13" t="s">
        <v>80</v>
      </c>
      <c r="F1591" s="14" t="s">
        <v>79</v>
      </c>
      <c r="G1591" s="14" t="s">
        <v>400</v>
      </c>
      <c r="I1591" s="11">
        <f t="shared" si="74"/>
        <v>2</v>
      </c>
      <c r="J1591" s="16">
        <v>4947.12</v>
      </c>
      <c r="M1591" s="17">
        <f t="shared" si="72"/>
        <v>249805.36999999997</v>
      </c>
      <c r="N1591" s="11">
        <f t="shared" si="73"/>
        <v>11</v>
      </c>
    </row>
    <row r="1592" spans="1:14" x14ac:dyDescent="0.25">
      <c r="A1592" s="11" t="s">
        <v>207</v>
      </c>
      <c r="B1592" s="12">
        <v>45233</v>
      </c>
      <c r="C1592" s="11" t="s">
        <v>688</v>
      </c>
      <c r="D1592" s="11" t="s">
        <v>43</v>
      </c>
      <c r="E1592" s="13" t="s">
        <v>81</v>
      </c>
      <c r="F1592" s="14" t="s">
        <v>79</v>
      </c>
      <c r="G1592" s="14" t="s">
        <v>400</v>
      </c>
      <c r="I1592" s="11">
        <f t="shared" si="74"/>
        <v>2</v>
      </c>
      <c r="J1592" s="16">
        <v>3571.69</v>
      </c>
      <c r="M1592" s="17">
        <f t="shared" si="72"/>
        <v>253377.05999999997</v>
      </c>
      <c r="N1592" s="11">
        <f t="shared" si="73"/>
        <v>11</v>
      </c>
    </row>
    <row r="1593" spans="1:14" x14ac:dyDescent="0.25">
      <c r="A1593" s="11" t="s">
        <v>207</v>
      </c>
      <c r="B1593" s="12">
        <v>45233</v>
      </c>
      <c r="C1593" s="11" t="s">
        <v>688</v>
      </c>
      <c r="D1593" s="11" t="s">
        <v>43</v>
      </c>
      <c r="E1593" s="13" t="s">
        <v>82</v>
      </c>
      <c r="F1593" s="14" t="s">
        <v>79</v>
      </c>
      <c r="G1593" s="14" t="s">
        <v>400</v>
      </c>
      <c r="I1593" s="11">
        <f t="shared" si="74"/>
        <v>2</v>
      </c>
      <c r="J1593" s="16">
        <v>402.91</v>
      </c>
      <c r="M1593" s="17">
        <f t="shared" si="72"/>
        <v>253779.96999999997</v>
      </c>
      <c r="N1593" s="11">
        <f t="shared" si="73"/>
        <v>11</v>
      </c>
    </row>
    <row r="1594" spans="1:14" x14ac:dyDescent="0.25">
      <c r="A1594" s="11" t="s">
        <v>0</v>
      </c>
      <c r="B1594" s="12">
        <v>45233</v>
      </c>
      <c r="C1594" s="11" t="s">
        <v>688</v>
      </c>
      <c r="D1594" s="11" t="s">
        <v>692</v>
      </c>
      <c r="E1594" s="13" t="s">
        <v>492</v>
      </c>
      <c r="F1594" s="14" t="s">
        <v>111</v>
      </c>
      <c r="G1594" s="14" t="s">
        <v>404</v>
      </c>
      <c r="H1594" s="15" t="s">
        <v>465</v>
      </c>
      <c r="I1594" s="11">
        <f t="shared" si="74"/>
        <v>5</v>
      </c>
      <c r="K1594" s="16">
        <v>7273</v>
      </c>
      <c r="M1594" s="17">
        <f t="shared" si="72"/>
        <v>246506.96999999997</v>
      </c>
      <c r="N1594" s="11">
        <f t="shared" si="73"/>
        <v>11</v>
      </c>
    </row>
    <row r="1595" spans="1:14" x14ac:dyDescent="0.25">
      <c r="A1595" s="11" t="s">
        <v>0</v>
      </c>
      <c r="B1595" s="12">
        <v>45233</v>
      </c>
      <c r="C1595" s="11" t="s">
        <v>688</v>
      </c>
      <c r="D1595" s="11" t="s">
        <v>692</v>
      </c>
      <c r="E1595" s="13" t="s">
        <v>229</v>
      </c>
      <c r="F1595" s="14" t="s">
        <v>116</v>
      </c>
      <c r="G1595" s="14" t="s">
        <v>404</v>
      </c>
      <c r="H1595" s="15">
        <v>60</v>
      </c>
      <c r="I1595" s="11">
        <f t="shared" si="74"/>
        <v>5</v>
      </c>
      <c r="K1595" s="16">
        <v>1337</v>
      </c>
      <c r="M1595" s="17">
        <f t="shared" si="72"/>
        <v>245169.96999999997</v>
      </c>
      <c r="N1595" s="11">
        <f t="shared" si="73"/>
        <v>11</v>
      </c>
    </row>
    <row r="1596" spans="1:14" x14ac:dyDescent="0.25">
      <c r="A1596" s="11" t="s">
        <v>0</v>
      </c>
      <c r="B1596" s="12">
        <v>45233</v>
      </c>
      <c r="C1596" s="11" t="s">
        <v>688</v>
      </c>
      <c r="D1596" s="11" t="s">
        <v>720</v>
      </c>
      <c r="E1596" s="13" t="s">
        <v>183</v>
      </c>
      <c r="F1596" s="14" t="s">
        <v>366</v>
      </c>
      <c r="G1596" s="14" t="s">
        <v>404</v>
      </c>
      <c r="H1596" s="15">
        <v>58</v>
      </c>
      <c r="I1596" s="11">
        <f t="shared" si="74"/>
        <v>5</v>
      </c>
      <c r="K1596" s="16">
        <v>150</v>
      </c>
      <c r="M1596" s="17">
        <f t="shared" si="72"/>
        <v>245019.96999999997</v>
      </c>
      <c r="N1596" s="11">
        <f t="shared" si="73"/>
        <v>11</v>
      </c>
    </row>
    <row r="1597" spans="1:14" x14ac:dyDescent="0.25">
      <c r="A1597" s="11" t="s">
        <v>0</v>
      </c>
      <c r="B1597" s="12">
        <v>45233</v>
      </c>
      <c r="C1597" s="11" t="s">
        <v>688</v>
      </c>
      <c r="D1597" s="11" t="s">
        <v>720</v>
      </c>
      <c r="E1597" s="13" t="s">
        <v>183</v>
      </c>
      <c r="F1597" s="14" t="s">
        <v>466</v>
      </c>
      <c r="G1597" s="14" t="s">
        <v>404</v>
      </c>
      <c r="H1597" s="15" t="s">
        <v>20</v>
      </c>
      <c r="I1597" s="11">
        <f t="shared" si="74"/>
        <v>5</v>
      </c>
      <c r="K1597" s="16">
        <v>100</v>
      </c>
      <c r="M1597" s="17">
        <f t="shared" si="72"/>
        <v>244919.96999999997</v>
      </c>
      <c r="N1597" s="11">
        <f t="shared" si="73"/>
        <v>11</v>
      </c>
    </row>
    <row r="1598" spans="1:14" x14ac:dyDescent="0.25">
      <c r="A1598" s="11" t="s">
        <v>0</v>
      </c>
      <c r="B1598" s="12">
        <v>45233</v>
      </c>
      <c r="C1598" s="11" t="s">
        <v>688</v>
      </c>
      <c r="D1598" s="11" t="s">
        <v>694</v>
      </c>
      <c r="E1598" s="13" t="s">
        <v>182</v>
      </c>
      <c r="F1598" s="14" t="s">
        <v>365</v>
      </c>
      <c r="G1598" s="14" t="s">
        <v>402</v>
      </c>
      <c r="I1598" s="11">
        <f t="shared" si="74"/>
        <v>5</v>
      </c>
      <c r="K1598" s="16">
        <v>7.66</v>
      </c>
      <c r="M1598" s="17">
        <f t="shared" si="72"/>
        <v>244912.30999999997</v>
      </c>
      <c r="N1598" s="11">
        <f t="shared" si="73"/>
        <v>11</v>
      </c>
    </row>
    <row r="1599" spans="1:14" x14ac:dyDescent="0.25">
      <c r="A1599" s="11" t="s">
        <v>0</v>
      </c>
      <c r="B1599" s="12">
        <v>45233</v>
      </c>
      <c r="C1599" s="11" t="s">
        <v>688</v>
      </c>
      <c r="D1599" s="11" t="s">
        <v>694</v>
      </c>
      <c r="E1599" s="13" t="s">
        <v>182</v>
      </c>
      <c r="F1599" s="14" t="s">
        <v>23</v>
      </c>
      <c r="G1599" s="14" t="s">
        <v>402</v>
      </c>
      <c r="I1599" s="11">
        <f t="shared" si="74"/>
        <v>5</v>
      </c>
      <c r="K1599" s="16">
        <v>48.59</v>
      </c>
      <c r="M1599" s="17">
        <f t="shared" si="72"/>
        <v>244863.71999999997</v>
      </c>
      <c r="N1599" s="11">
        <f t="shared" si="73"/>
        <v>11</v>
      </c>
    </row>
    <row r="1600" spans="1:14" ht="26.4" x14ac:dyDescent="0.25">
      <c r="A1600" s="11" t="s">
        <v>0</v>
      </c>
      <c r="B1600" s="12">
        <v>45233</v>
      </c>
      <c r="C1600" s="11" t="s">
        <v>688</v>
      </c>
      <c r="D1600" s="11" t="s">
        <v>692</v>
      </c>
      <c r="E1600" s="13" t="s">
        <v>143</v>
      </c>
      <c r="F1600" s="14" t="s">
        <v>224</v>
      </c>
      <c r="G1600" s="14" t="s">
        <v>403</v>
      </c>
      <c r="H1600" s="15" t="s">
        <v>454</v>
      </c>
      <c r="I1600" s="11">
        <f t="shared" si="74"/>
        <v>5</v>
      </c>
      <c r="K1600" s="16">
        <v>1238.98</v>
      </c>
      <c r="M1600" s="17">
        <f t="shared" si="72"/>
        <v>243624.73999999996</v>
      </c>
      <c r="N1600" s="11">
        <f t="shared" si="73"/>
        <v>11</v>
      </c>
    </row>
    <row r="1601" spans="1:14" x14ac:dyDescent="0.25">
      <c r="A1601" s="11" t="s">
        <v>0</v>
      </c>
      <c r="B1601" s="12">
        <v>45233</v>
      </c>
      <c r="C1601" s="11" t="s">
        <v>688</v>
      </c>
      <c r="D1601" s="11" t="s">
        <v>692</v>
      </c>
      <c r="E1601" s="13" t="s">
        <v>467</v>
      </c>
      <c r="F1601" s="14" t="s">
        <v>768</v>
      </c>
      <c r="G1601" s="14" t="s">
        <v>403</v>
      </c>
      <c r="H1601" s="15">
        <v>25972</v>
      </c>
      <c r="I1601" s="11">
        <f t="shared" si="74"/>
        <v>5</v>
      </c>
      <c r="K1601" s="16">
        <v>746.62</v>
      </c>
      <c r="M1601" s="17">
        <f t="shared" si="72"/>
        <v>242878.11999999997</v>
      </c>
      <c r="N1601" s="11">
        <f t="shared" si="73"/>
        <v>11</v>
      </c>
    </row>
    <row r="1602" spans="1:14" x14ac:dyDescent="0.25">
      <c r="A1602" s="11" t="s">
        <v>0</v>
      </c>
      <c r="B1602" s="12">
        <v>45233</v>
      </c>
      <c r="C1602" s="11" t="s">
        <v>688</v>
      </c>
      <c r="D1602" s="11" t="s">
        <v>692</v>
      </c>
      <c r="E1602" s="13" t="s">
        <v>467</v>
      </c>
      <c r="F1602" s="14" t="s">
        <v>769</v>
      </c>
      <c r="G1602" s="14" t="s">
        <v>403</v>
      </c>
      <c r="H1602" s="15">
        <v>27224</v>
      </c>
      <c r="I1602" s="11">
        <f t="shared" si="74"/>
        <v>5</v>
      </c>
      <c r="K1602" s="16">
        <v>210.42</v>
      </c>
      <c r="M1602" s="17">
        <f t="shared" si="72"/>
        <v>242667.69999999995</v>
      </c>
      <c r="N1602" s="11">
        <f t="shared" si="73"/>
        <v>11</v>
      </c>
    </row>
    <row r="1603" spans="1:14" x14ac:dyDescent="0.25">
      <c r="A1603" s="11" t="s">
        <v>207</v>
      </c>
      <c r="B1603" s="12">
        <v>45233</v>
      </c>
      <c r="C1603" s="11" t="s">
        <v>688</v>
      </c>
      <c r="D1603" s="11" t="s">
        <v>43</v>
      </c>
      <c r="E1603" s="13">
        <v>45233</v>
      </c>
      <c r="F1603" s="14" t="s">
        <v>472</v>
      </c>
      <c r="G1603" s="14" t="s">
        <v>400</v>
      </c>
      <c r="I1603" s="11">
        <f t="shared" si="74"/>
        <v>2</v>
      </c>
      <c r="J1603" s="16">
        <v>950.65</v>
      </c>
      <c r="M1603" s="17">
        <f t="shared" ref="M1603:M1666" si="75">IF(B1603=0, "",M1602+ J1603-K1603)</f>
        <v>243618.34999999995</v>
      </c>
      <c r="N1603" s="11">
        <f t="shared" ref="N1603:N1666" si="76">IF(B1603=0, "", MONTH(B1603))</f>
        <v>11</v>
      </c>
    </row>
    <row r="1604" spans="1:14" x14ac:dyDescent="0.25">
      <c r="A1604" s="11" t="s">
        <v>207</v>
      </c>
      <c r="B1604" s="12">
        <v>45234</v>
      </c>
      <c r="C1604" s="11" t="s">
        <v>662</v>
      </c>
      <c r="D1604" s="11" t="s">
        <v>43</v>
      </c>
      <c r="E1604" s="13" t="s">
        <v>288</v>
      </c>
      <c r="F1604" s="14" t="s">
        <v>288</v>
      </c>
      <c r="G1604" s="14" t="s">
        <v>173</v>
      </c>
      <c r="I1604" s="11">
        <f t="shared" si="74"/>
        <v>3</v>
      </c>
      <c r="J1604" s="16">
        <v>1750</v>
      </c>
      <c r="M1604" s="17">
        <f t="shared" si="75"/>
        <v>245368.34999999995</v>
      </c>
      <c r="N1604" s="11">
        <f t="shared" si="76"/>
        <v>11</v>
      </c>
    </row>
    <row r="1605" spans="1:14" x14ac:dyDescent="0.25">
      <c r="A1605" s="11" t="s">
        <v>0</v>
      </c>
      <c r="B1605" s="12">
        <v>45233</v>
      </c>
      <c r="C1605" s="11" t="s">
        <v>688</v>
      </c>
      <c r="D1605" s="11" t="s">
        <v>697</v>
      </c>
      <c r="E1605" s="13" t="s">
        <v>753</v>
      </c>
      <c r="F1605" s="14" t="s">
        <v>752</v>
      </c>
      <c r="G1605" s="14" t="s">
        <v>407</v>
      </c>
      <c r="H1605" s="15" t="s">
        <v>426</v>
      </c>
      <c r="I1605" s="11">
        <f t="shared" ref="I1605:I1669" si="77">IF(AND(G1605="MERCADO PAGO",A1605="FATURAMENTO"),1,IF(AND(OR(G1605="MERCADO PAGO",G1605="pix mercado pago",G1605= "débito automático mercado pago", G1605= "boleto mercado pago"),A1605="DESPESAS"),4,IF(AND(G1605="SAFRA",A1605="FATURAMENTO"),2,IF(AND(OR(G1605="SAFRA",G1605="PIX SAFRA", G1605="DÉBITO AUTOMÁTICO SAFRA", G1605= "BOLETO SAFRA", G1605= "transferência safra"), A1605="DESPESAS"),5,IF(AND(G1605="espécie",A1605="FATURAMENTO"),3,IF(AND(G1605="espécie",A1605="DESPESAS"),6))))))</f>
        <v>4</v>
      </c>
      <c r="K1605" s="16">
        <v>334.93</v>
      </c>
      <c r="M1605" s="17">
        <f t="shared" si="75"/>
        <v>245033.41999999995</v>
      </c>
      <c r="N1605" s="11">
        <f t="shared" si="76"/>
        <v>11</v>
      </c>
    </row>
    <row r="1606" spans="1:14" x14ac:dyDescent="0.25">
      <c r="A1606" s="11" t="s">
        <v>207</v>
      </c>
      <c r="B1606" s="12">
        <v>45234</v>
      </c>
      <c r="C1606" s="11" t="s">
        <v>688</v>
      </c>
      <c r="D1606" s="11" t="s">
        <v>43</v>
      </c>
      <c r="E1606" s="14" t="s">
        <v>288</v>
      </c>
      <c r="F1606" s="14" t="s">
        <v>288</v>
      </c>
      <c r="G1606" s="14" t="s">
        <v>173</v>
      </c>
      <c r="I1606" s="11">
        <f t="shared" si="77"/>
        <v>3</v>
      </c>
      <c r="J1606" s="16">
        <v>670</v>
      </c>
      <c r="M1606" s="17">
        <f t="shared" si="75"/>
        <v>245703.41999999995</v>
      </c>
      <c r="N1606" s="11">
        <f t="shared" si="76"/>
        <v>11</v>
      </c>
    </row>
    <row r="1607" spans="1:14" x14ac:dyDescent="0.25">
      <c r="A1607" s="11" t="s">
        <v>207</v>
      </c>
      <c r="B1607" s="12">
        <v>45234</v>
      </c>
      <c r="C1607" s="11" t="s">
        <v>688</v>
      </c>
      <c r="D1607" s="11" t="s">
        <v>43</v>
      </c>
      <c r="E1607" s="14" t="s">
        <v>429</v>
      </c>
      <c r="F1607" s="14" t="s">
        <v>429</v>
      </c>
      <c r="G1607" s="14" t="s">
        <v>428</v>
      </c>
      <c r="I1607" s="11">
        <f t="shared" si="77"/>
        <v>1</v>
      </c>
      <c r="J1607" s="16">
        <v>6571.7</v>
      </c>
      <c r="M1607" s="17">
        <f t="shared" si="75"/>
        <v>252275.11999999997</v>
      </c>
      <c r="N1607" s="11">
        <f t="shared" si="76"/>
        <v>11</v>
      </c>
    </row>
    <row r="1608" spans="1:14" x14ac:dyDescent="0.25">
      <c r="A1608" s="11" t="s">
        <v>207</v>
      </c>
      <c r="B1608" s="12">
        <v>45235</v>
      </c>
      <c r="C1608" s="11" t="s">
        <v>662</v>
      </c>
      <c r="D1608" s="11" t="s">
        <v>43</v>
      </c>
      <c r="E1608" s="14" t="s">
        <v>288</v>
      </c>
      <c r="F1608" s="14" t="s">
        <v>288</v>
      </c>
      <c r="G1608" s="14" t="s">
        <v>173</v>
      </c>
      <c r="I1608" s="11">
        <f t="shared" si="77"/>
        <v>3</v>
      </c>
      <c r="J1608" s="16">
        <v>1680</v>
      </c>
      <c r="M1608" s="17">
        <f t="shared" si="75"/>
        <v>253955.11999999997</v>
      </c>
      <c r="N1608" s="11">
        <f t="shared" si="76"/>
        <v>11</v>
      </c>
    </row>
    <row r="1609" spans="1:14" x14ac:dyDescent="0.25">
      <c r="A1609" s="11" t="s">
        <v>207</v>
      </c>
      <c r="B1609" s="12">
        <v>45235</v>
      </c>
      <c r="C1609" s="11" t="s">
        <v>688</v>
      </c>
      <c r="D1609" s="11" t="s">
        <v>43</v>
      </c>
      <c r="E1609" s="14" t="s">
        <v>288</v>
      </c>
      <c r="F1609" s="14" t="s">
        <v>288</v>
      </c>
      <c r="G1609" s="14" t="s">
        <v>173</v>
      </c>
      <c r="I1609" s="11">
        <f t="shared" si="77"/>
        <v>3</v>
      </c>
      <c r="J1609" s="16">
        <v>797</v>
      </c>
      <c r="M1609" s="17">
        <f t="shared" si="75"/>
        <v>254752.11999999997</v>
      </c>
      <c r="N1609" s="11">
        <f t="shared" si="76"/>
        <v>11</v>
      </c>
    </row>
    <row r="1610" spans="1:14" x14ac:dyDescent="0.25">
      <c r="A1610" s="11" t="s">
        <v>207</v>
      </c>
      <c r="B1610" s="12">
        <v>45235</v>
      </c>
      <c r="C1610" s="11" t="s">
        <v>688</v>
      </c>
      <c r="D1610" s="11" t="s">
        <v>43</v>
      </c>
      <c r="E1610" s="14" t="s">
        <v>429</v>
      </c>
      <c r="F1610" s="14" t="s">
        <v>429</v>
      </c>
      <c r="G1610" s="14" t="s">
        <v>428</v>
      </c>
      <c r="I1610" s="11">
        <f t="shared" si="77"/>
        <v>1</v>
      </c>
      <c r="J1610" s="16">
        <v>7521.76</v>
      </c>
      <c r="M1610" s="17">
        <f t="shared" si="75"/>
        <v>262273.87999999995</v>
      </c>
      <c r="N1610" s="11">
        <f t="shared" si="76"/>
        <v>11</v>
      </c>
    </row>
    <row r="1611" spans="1:14" x14ac:dyDescent="0.25">
      <c r="A1611" s="11" t="s">
        <v>207</v>
      </c>
      <c r="B1611" s="12">
        <v>45236</v>
      </c>
      <c r="C1611" s="11" t="s">
        <v>662</v>
      </c>
      <c r="D1611" s="11" t="s">
        <v>43</v>
      </c>
      <c r="E1611" s="14" t="s">
        <v>288</v>
      </c>
      <c r="F1611" s="14" t="s">
        <v>288</v>
      </c>
      <c r="G1611" s="14" t="s">
        <v>173</v>
      </c>
      <c r="I1611" s="11">
        <f t="shared" si="77"/>
        <v>3</v>
      </c>
      <c r="J1611" s="16">
        <v>240</v>
      </c>
      <c r="M1611" s="17">
        <f t="shared" si="75"/>
        <v>262513.87999999995</v>
      </c>
      <c r="N1611" s="11">
        <f t="shared" si="76"/>
        <v>11</v>
      </c>
    </row>
    <row r="1612" spans="1:14" x14ac:dyDescent="0.25">
      <c r="A1612" s="11" t="s">
        <v>207</v>
      </c>
      <c r="B1612" s="12">
        <v>45236</v>
      </c>
      <c r="C1612" s="11" t="s">
        <v>688</v>
      </c>
      <c r="D1612" s="11" t="s">
        <v>43</v>
      </c>
      <c r="E1612" s="14" t="s">
        <v>288</v>
      </c>
      <c r="F1612" s="14" t="s">
        <v>288</v>
      </c>
      <c r="G1612" s="14" t="s">
        <v>173</v>
      </c>
      <c r="I1612" s="11">
        <f t="shared" si="77"/>
        <v>3</v>
      </c>
      <c r="J1612" s="16">
        <v>1388</v>
      </c>
      <c r="M1612" s="17">
        <f t="shared" si="75"/>
        <v>263901.87999999995</v>
      </c>
      <c r="N1612" s="11">
        <f t="shared" si="76"/>
        <v>11</v>
      </c>
    </row>
    <row r="1613" spans="1:14" x14ac:dyDescent="0.25">
      <c r="A1613" s="11" t="s">
        <v>0</v>
      </c>
      <c r="B1613" s="12">
        <v>45236</v>
      </c>
      <c r="C1613" s="11" t="s">
        <v>688</v>
      </c>
      <c r="D1613" s="11" t="s">
        <v>701</v>
      </c>
      <c r="E1613" s="13" t="s">
        <v>468</v>
      </c>
      <c r="F1613" s="14" t="s">
        <v>35</v>
      </c>
      <c r="G1613" s="14" t="s">
        <v>404</v>
      </c>
      <c r="H1613" s="15" t="s">
        <v>519</v>
      </c>
      <c r="I1613" s="11">
        <f t="shared" si="77"/>
        <v>5</v>
      </c>
      <c r="K1613" s="16">
        <v>231.82</v>
      </c>
      <c r="M1613" s="17">
        <f t="shared" si="75"/>
        <v>263670.05999999994</v>
      </c>
      <c r="N1613" s="11">
        <f t="shared" si="76"/>
        <v>11</v>
      </c>
    </row>
    <row r="1614" spans="1:14" ht="39.6" x14ac:dyDescent="0.25">
      <c r="A1614" s="11" t="s">
        <v>0</v>
      </c>
      <c r="B1614" s="12">
        <v>45236</v>
      </c>
      <c r="C1614" s="11" t="s">
        <v>689</v>
      </c>
      <c r="D1614" s="11" t="s">
        <v>701</v>
      </c>
      <c r="E1614" s="13" t="s">
        <v>469</v>
      </c>
      <c r="F1614" s="14" t="s">
        <v>35</v>
      </c>
      <c r="G1614" s="14" t="s">
        <v>404</v>
      </c>
      <c r="H1614" s="15" t="s">
        <v>520</v>
      </c>
      <c r="I1614" s="11">
        <f t="shared" si="77"/>
        <v>5</v>
      </c>
      <c r="K1614" s="16">
        <v>2739.9</v>
      </c>
      <c r="M1614" s="17">
        <f t="shared" si="75"/>
        <v>260930.15999999995</v>
      </c>
      <c r="N1614" s="11">
        <f t="shared" si="76"/>
        <v>11</v>
      </c>
    </row>
    <row r="1615" spans="1:14" x14ac:dyDescent="0.25">
      <c r="A1615" s="11" t="s">
        <v>0</v>
      </c>
      <c r="B1615" s="12">
        <v>45236</v>
      </c>
      <c r="C1615" s="11" t="s">
        <v>688</v>
      </c>
      <c r="D1615" s="11" t="s">
        <v>701</v>
      </c>
      <c r="E1615" s="13" t="s">
        <v>180</v>
      </c>
      <c r="F1615" s="14" t="s">
        <v>37</v>
      </c>
      <c r="G1615" s="14" t="s">
        <v>404</v>
      </c>
      <c r="H1615" s="15" t="s">
        <v>96</v>
      </c>
      <c r="I1615" s="11">
        <f t="shared" si="77"/>
        <v>5</v>
      </c>
      <c r="K1615" s="16">
        <v>459.49</v>
      </c>
      <c r="M1615" s="17">
        <f t="shared" si="75"/>
        <v>260470.66999999995</v>
      </c>
      <c r="N1615" s="11">
        <f t="shared" si="76"/>
        <v>11</v>
      </c>
    </row>
    <row r="1616" spans="1:14" x14ac:dyDescent="0.25">
      <c r="A1616" s="11" t="s">
        <v>748</v>
      </c>
      <c r="B1616" s="12">
        <v>45236</v>
      </c>
      <c r="C1616" s="11" t="s">
        <v>688</v>
      </c>
      <c r="D1616" s="11" t="s">
        <v>692</v>
      </c>
      <c r="E1616" s="13" t="s">
        <v>179</v>
      </c>
      <c r="F1616" s="14" t="s">
        <v>51</v>
      </c>
      <c r="G1616" s="14" t="s">
        <v>404</v>
      </c>
      <c r="H1616" s="15">
        <v>13</v>
      </c>
      <c r="I1616" s="11" t="b">
        <f t="shared" ref="I1616" si="78">IF(AND(G1616="MERCADO PAGO",A1616="FATURAMENTO"),1,IF(AND(OR(G1616="MERCADO PAGO",G1616="pix mercado pago",G1616= "débito automático mercado pago", G1616= "boleto mercado pago"),A1616="DESPESAS"),4,IF(AND(G1616="SAFRA",A1616="FATURAMENTO"),2,IF(AND(OR(G1616="SAFRA",G1616="PIX SAFRA", G1616="DÉBITO AUTOMÁTICO SAFRA", G1616= "BOLETO SAFRA", G1616= "transferência safra"), A1616="DESPESAS"),5,IF(AND(G1616="espécie",A1616="FATURAMENTO"),3,IF(AND(G1616="espécie",A1616="DESPESAS"),6))))))</f>
        <v>0</v>
      </c>
      <c r="K1616" s="16">
        <v>975</v>
      </c>
      <c r="M1616" s="17">
        <f t="shared" si="75"/>
        <v>259495.66999999995</v>
      </c>
      <c r="N1616" s="11">
        <f t="shared" si="76"/>
        <v>11</v>
      </c>
    </row>
    <row r="1617" spans="1:14" x14ac:dyDescent="0.25">
      <c r="A1617" s="11" t="s">
        <v>0</v>
      </c>
      <c r="B1617" s="12">
        <v>45236</v>
      </c>
      <c r="C1617" s="11" t="s">
        <v>688</v>
      </c>
      <c r="D1617" s="11" t="s">
        <v>692</v>
      </c>
      <c r="E1617" s="13" t="s">
        <v>179</v>
      </c>
      <c r="F1617" s="14" t="s">
        <v>51</v>
      </c>
      <c r="G1617" s="14" t="s">
        <v>404</v>
      </c>
      <c r="H1617" s="15">
        <v>13</v>
      </c>
      <c r="I1617" s="11">
        <f t="shared" si="77"/>
        <v>5</v>
      </c>
      <c r="K1617" s="16">
        <v>975</v>
      </c>
      <c r="M1617" s="17">
        <f t="shared" si="75"/>
        <v>258520.66999999995</v>
      </c>
      <c r="N1617" s="11">
        <f t="shared" si="76"/>
        <v>11</v>
      </c>
    </row>
    <row r="1618" spans="1:14" x14ac:dyDescent="0.25">
      <c r="A1618" s="11" t="s">
        <v>207</v>
      </c>
      <c r="B1618" s="12">
        <v>45236</v>
      </c>
      <c r="C1618" s="11" t="s">
        <v>688</v>
      </c>
      <c r="D1618" s="11" t="s">
        <v>43</v>
      </c>
      <c r="E1618" s="14" t="s">
        <v>429</v>
      </c>
      <c r="F1618" s="14" t="s">
        <v>429</v>
      </c>
      <c r="G1618" s="14" t="s">
        <v>428</v>
      </c>
      <c r="I1618" s="11">
        <f t="shared" si="77"/>
        <v>1</v>
      </c>
      <c r="J1618" s="16">
        <v>598</v>
      </c>
      <c r="M1618" s="17">
        <f t="shared" si="75"/>
        <v>259118.66999999995</v>
      </c>
      <c r="N1618" s="11">
        <f t="shared" si="76"/>
        <v>11</v>
      </c>
    </row>
    <row r="1619" spans="1:14" x14ac:dyDescent="0.25">
      <c r="A1619" s="11" t="s">
        <v>748</v>
      </c>
      <c r="B1619" s="12">
        <v>45236</v>
      </c>
      <c r="C1619" s="11" t="s">
        <v>688</v>
      </c>
      <c r="D1619" s="11" t="s">
        <v>692</v>
      </c>
      <c r="E1619" s="13" t="s">
        <v>179</v>
      </c>
      <c r="F1619" s="14" t="s">
        <v>51</v>
      </c>
      <c r="G1619" s="14" t="s">
        <v>400</v>
      </c>
      <c r="I1619" s="11" t="b">
        <f t="shared" si="77"/>
        <v>0</v>
      </c>
      <c r="J1619" s="16">
        <v>975</v>
      </c>
      <c r="M1619" s="17">
        <f t="shared" si="75"/>
        <v>260093.66999999995</v>
      </c>
      <c r="N1619" s="11">
        <f t="shared" si="76"/>
        <v>11</v>
      </c>
    </row>
    <row r="1620" spans="1:14" x14ac:dyDescent="0.25">
      <c r="A1620" s="11" t="s">
        <v>0</v>
      </c>
      <c r="B1620" s="12">
        <v>45236</v>
      </c>
      <c r="C1620" s="11" t="s">
        <v>688</v>
      </c>
      <c r="D1620" s="11" t="s">
        <v>47</v>
      </c>
      <c r="E1620" s="13" t="s">
        <v>471</v>
      </c>
      <c r="F1620" s="14" t="s">
        <v>470</v>
      </c>
      <c r="G1620" s="14" t="s">
        <v>404</v>
      </c>
      <c r="H1620" s="15">
        <v>6</v>
      </c>
      <c r="I1620" s="11">
        <f t="shared" si="77"/>
        <v>5</v>
      </c>
      <c r="K1620" s="16">
        <v>400</v>
      </c>
      <c r="M1620" s="17">
        <f t="shared" si="75"/>
        <v>259693.66999999995</v>
      </c>
      <c r="N1620" s="11">
        <f t="shared" si="76"/>
        <v>11</v>
      </c>
    </row>
    <row r="1621" spans="1:14" ht="26.4" x14ac:dyDescent="0.25">
      <c r="A1621" s="11" t="s">
        <v>0</v>
      </c>
      <c r="B1621" s="12">
        <v>45236</v>
      </c>
      <c r="C1621" s="11" t="s">
        <v>688</v>
      </c>
      <c r="D1621" s="11" t="s">
        <v>692</v>
      </c>
      <c r="E1621" s="13" t="s">
        <v>725</v>
      </c>
      <c r="F1621" s="14" t="s">
        <v>27</v>
      </c>
      <c r="G1621" s="14" t="s">
        <v>404</v>
      </c>
      <c r="H1621" s="15" t="s">
        <v>498</v>
      </c>
      <c r="I1621" s="11">
        <f t="shared" si="77"/>
        <v>5</v>
      </c>
      <c r="K1621" s="16">
        <v>3840.24</v>
      </c>
      <c r="M1621" s="17">
        <f t="shared" si="75"/>
        <v>255853.42999999996</v>
      </c>
      <c r="N1621" s="11">
        <f t="shared" si="76"/>
        <v>11</v>
      </c>
    </row>
    <row r="1622" spans="1:14" x14ac:dyDescent="0.25">
      <c r="A1622" s="11" t="s">
        <v>207</v>
      </c>
      <c r="B1622" s="12">
        <v>45236</v>
      </c>
      <c r="C1622" s="11" t="s">
        <v>688</v>
      </c>
      <c r="D1622" s="11" t="s">
        <v>43</v>
      </c>
      <c r="E1622" s="13" t="s">
        <v>382</v>
      </c>
      <c r="F1622" s="14" t="s">
        <v>13</v>
      </c>
      <c r="G1622" s="14" t="s">
        <v>400</v>
      </c>
      <c r="I1622" s="11">
        <f t="shared" si="77"/>
        <v>2</v>
      </c>
      <c r="J1622" s="16">
        <v>219.62</v>
      </c>
      <c r="M1622" s="17">
        <f t="shared" si="75"/>
        <v>256073.04999999996</v>
      </c>
      <c r="N1622" s="11">
        <f t="shared" si="76"/>
        <v>11</v>
      </c>
    </row>
    <row r="1623" spans="1:14" x14ac:dyDescent="0.25">
      <c r="A1623" s="11" t="s">
        <v>207</v>
      </c>
      <c r="B1623" s="12">
        <v>45236</v>
      </c>
      <c r="C1623" s="11" t="s">
        <v>688</v>
      </c>
      <c r="D1623" s="11" t="s">
        <v>43</v>
      </c>
      <c r="E1623" s="13" t="s">
        <v>382</v>
      </c>
      <c r="F1623" s="14" t="s">
        <v>13</v>
      </c>
      <c r="G1623" s="14" t="s">
        <v>400</v>
      </c>
      <c r="I1623" s="11">
        <f t="shared" si="77"/>
        <v>2</v>
      </c>
      <c r="J1623" s="16">
        <v>571.57000000000005</v>
      </c>
      <c r="M1623" s="17">
        <f t="shared" si="75"/>
        <v>256644.61999999997</v>
      </c>
      <c r="N1623" s="11">
        <f t="shared" si="76"/>
        <v>11</v>
      </c>
    </row>
    <row r="1624" spans="1:14" x14ac:dyDescent="0.25">
      <c r="A1624" s="11" t="s">
        <v>207</v>
      </c>
      <c r="B1624" s="12">
        <v>45236</v>
      </c>
      <c r="C1624" s="11" t="s">
        <v>688</v>
      </c>
      <c r="D1624" s="11" t="s">
        <v>43</v>
      </c>
      <c r="E1624" s="13" t="s">
        <v>382</v>
      </c>
      <c r="F1624" s="14" t="s">
        <v>13</v>
      </c>
      <c r="G1624" s="14" t="s">
        <v>400</v>
      </c>
      <c r="I1624" s="11">
        <f t="shared" si="77"/>
        <v>2</v>
      </c>
      <c r="J1624" s="16">
        <v>286.39999999999998</v>
      </c>
      <c r="M1624" s="17">
        <f t="shared" si="75"/>
        <v>256931.01999999996</v>
      </c>
      <c r="N1624" s="11">
        <f t="shared" si="76"/>
        <v>11</v>
      </c>
    </row>
    <row r="1625" spans="1:14" x14ac:dyDescent="0.25">
      <c r="A1625" s="11" t="s">
        <v>207</v>
      </c>
      <c r="B1625" s="12">
        <v>45236</v>
      </c>
      <c r="C1625" s="11" t="s">
        <v>688</v>
      </c>
      <c r="D1625" s="11" t="s">
        <v>43</v>
      </c>
      <c r="E1625" s="13" t="s">
        <v>382</v>
      </c>
      <c r="F1625" s="14" t="s">
        <v>13</v>
      </c>
      <c r="G1625" s="14" t="s">
        <v>400</v>
      </c>
      <c r="I1625" s="11">
        <f t="shared" si="77"/>
        <v>2</v>
      </c>
      <c r="J1625" s="16">
        <v>1207.07</v>
      </c>
      <c r="M1625" s="17">
        <f t="shared" si="75"/>
        <v>258138.08999999997</v>
      </c>
      <c r="N1625" s="11">
        <f t="shared" si="76"/>
        <v>11</v>
      </c>
    </row>
    <row r="1626" spans="1:14" x14ac:dyDescent="0.25">
      <c r="A1626" s="11" t="s">
        <v>207</v>
      </c>
      <c r="B1626" s="12">
        <v>45236</v>
      </c>
      <c r="C1626" s="11" t="s">
        <v>688</v>
      </c>
      <c r="D1626" s="11" t="s">
        <v>43</v>
      </c>
      <c r="E1626" s="13" t="s">
        <v>382</v>
      </c>
      <c r="F1626" s="14" t="s">
        <v>13</v>
      </c>
      <c r="G1626" s="14" t="s">
        <v>400</v>
      </c>
      <c r="I1626" s="11">
        <f t="shared" si="77"/>
        <v>2</v>
      </c>
      <c r="J1626" s="16">
        <v>304.56</v>
      </c>
      <c r="M1626" s="17">
        <f t="shared" si="75"/>
        <v>258442.64999999997</v>
      </c>
      <c r="N1626" s="11">
        <f t="shared" si="76"/>
        <v>11</v>
      </c>
    </row>
    <row r="1627" spans="1:14" x14ac:dyDescent="0.25">
      <c r="A1627" s="11" t="s">
        <v>207</v>
      </c>
      <c r="B1627" s="12">
        <v>45236</v>
      </c>
      <c r="C1627" s="11" t="s">
        <v>688</v>
      </c>
      <c r="D1627" s="11" t="s">
        <v>43</v>
      </c>
      <c r="E1627" s="13" t="s">
        <v>382</v>
      </c>
      <c r="F1627" s="14" t="s">
        <v>13</v>
      </c>
      <c r="G1627" s="14" t="s">
        <v>400</v>
      </c>
      <c r="I1627" s="11">
        <f t="shared" si="77"/>
        <v>2</v>
      </c>
      <c r="J1627" s="16">
        <v>1967.72</v>
      </c>
      <c r="M1627" s="17">
        <f t="shared" si="75"/>
        <v>260410.36999999997</v>
      </c>
      <c r="N1627" s="11">
        <f t="shared" si="76"/>
        <v>11</v>
      </c>
    </row>
    <row r="1628" spans="1:14" x14ac:dyDescent="0.25">
      <c r="A1628" s="11" t="s">
        <v>207</v>
      </c>
      <c r="B1628" s="12">
        <v>45236</v>
      </c>
      <c r="C1628" s="11" t="s">
        <v>688</v>
      </c>
      <c r="D1628" s="11" t="s">
        <v>43</v>
      </c>
      <c r="E1628" s="13" t="s">
        <v>382</v>
      </c>
      <c r="F1628" s="14" t="s">
        <v>13</v>
      </c>
      <c r="G1628" s="14" t="s">
        <v>400</v>
      </c>
      <c r="I1628" s="11">
        <f t="shared" si="77"/>
        <v>2</v>
      </c>
      <c r="J1628" s="16">
        <v>623.72</v>
      </c>
      <c r="M1628" s="17">
        <f t="shared" si="75"/>
        <v>261034.08999999997</v>
      </c>
      <c r="N1628" s="11">
        <f t="shared" si="76"/>
        <v>11</v>
      </c>
    </row>
    <row r="1629" spans="1:14" x14ac:dyDescent="0.25">
      <c r="A1629" s="11" t="s">
        <v>207</v>
      </c>
      <c r="B1629" s="12">
        <v>45236</v>
      </c>
      <c r="C1629" s="11" t="s">
        <v>688</v>
      </c>
      <c r="D1629" s="11" t="s">
        <v>43</v>
      </c>
      <c r="E1629" s="13" t="s">
        <v>382</v>
      </c>
      <c r="F1629" s="14" t="s">
        <v>13</v>
      </c>
      <c r="G1629" s="14" t="s">
        <v>400</v>
      </c>
      <c r="I1629" s="11">
        <f t="shared" si="77"/>
        <v>2</v>
      </c>
      <c r="J1629" s="16">
        <v>369.88</v>
      </c>
      <c r="M1629" s="17">
        <f t="shared" si="75"/>
        <v>261403.96999999997</v>
      </c>
      <c r="N1629" s="11">
        <f t="shared" si="76"/>
        <v>11</v>
      </c>
    </row>
    <row r="1630" spans="1:14" x14ac:dyDescent="0.25">
      <c r="A1630" s="11" t="s">
        <v>207</v>
      </c>
      <c r="B1630" s="12">
        <v>45236</v>
      </c>
      <c r="C1630" s="11" t="s">
        <v>688</v>
      </c>
      <c r="D1630" s="11" t="s">
        <v>43</v>
      </c>
      <c r="E1630" s="13" t="s">
        <v>382</v>
      </c>
      <c r="F1630" s="14" t="s">
        <v>13</v>
      </c>
      <c r="G1630" s="14" t="s">
        <v>400</v>
      </c>
      <c r="I1630" s="11">
        <f t="shared" si="77"/>
        <v>2</v>
      </c>
      <c r="J1630" s="16">
        <v>445.01</v>
      </c>
      <c r="M1630" s="17">
        <f t="shared" si="75"/>
        <v>261848.97999999998</v>
      </c>
      <c r="N1630" s="11">
        <f t="shared" si="76"/>
        <v>11</v>
      </c>
    </row>
    <row r="1631" spans="1:14" x14ac:dyDescent="0.25">
      <c r="A1631" s="11" t="s">
        <v>207</v>
      </c>
      <c r="B1631" s="12">
        <v>45236</v>
      </c>
      <c r="C1631" s="11" t="s">
        <v>688</v>
      </c>
      <c r="D1631" s="11" t="s">
        <v>43</v>
      </c>
      <c r="E1631" s="13" t="s">
        <v>382</v>
      </c>
      <c r="F1631" s="14" t="s">
        <v>13</v>
      </c>
      <c r="G1631" s="14" t="s">
        <v>400</v>
      </c>
      <c r="I1631" s="11">
        <f t="shared" si="77"/>
        <v>2</v>
      </c>
      <c r="J1631" s="16">
        <v>518.66</v>
      </c>
      <c r="M1631" s="17">
        <f t="shared" si="75"/>
        <v>262367.63999999996</v>
      </c>
      <c r="N1631" s="11">
        <f t="shared" si="76"/>
        <v>11</v>
      </c>
    </row>
    <row r="1632" spans="1:14" x14ac:dyDescent="0.25">
      <c r="A1632" s="11" t="s">
        <v>207</v>
      </c>
      <c r="B1632" s="12">
        <v>45236</v>
      </c>
      <c r="C1632" s="11" t="s">
        <v>688</v>
      </c>
      <c r="D1632" s="11" t="s">
        <v>43</v>
      </c>
      <c r="E1632" s="13" t="s">
        <v>382</v>
      </c>
      <c r="F1632" s="14" t="s">
        <v>13</v>
      </c>
      <c r="G1632" s="14" t="s">
        <v>400</v>
      </c>
      <c r="I1632" s="11">
        <f t="shared" si="77"/>
        <v>2</v>
      </c>
      <c r="J1632" s="16">
        <v>1684.79</v>
      </c>
      <c r="M1632" s="17">
        <f t="shared" si="75"/>
        <v>264052.42999999993</v>
      </c>
      <c r="N1632" s="11">
        <f t="shared" si="76"/>
        <v>11</v>
      </c>
    </row>
    <row r="1633" spans="1:14" x14ac:dyDescent="0.25">
      <c r="A1633" s="11" t="s">
        <v>207</v>
      </c>
      <c r="B1633" s="12">
        <v>45236</v>
      </c>
      <c r="C1633" s="11" t="s">
        <v>688</v>
      </c>
      <c r="D1633" s="11" t="s">
        <v>43</v>
      </c>
      <c r="E1633" s="13" t="s">
        <v>80</v>
      </c>
      <c r="F1633" s="14" t="s">
        <v>79</v>
      </c>
      <c r="G1633" s="14" t="s">
        <v>400</v>
      </c>
      <c r="I1633" s="11">
        <f t="shared" si="77"/>
        <v>2</v>
      </c>
      <c r="J1633" s="16">
        <v>11274.7</v>
      </c>
      <c r="M1633" s="17">
        <f t="shared" si="75"/>
        <v>275327.12999999995</v>
      </c>
      <c r="N1633" s="11">
        <f t="shared" si="76"/>
        <v>11</v>
      </c>
    </row>
    <row r="1634" spans="1:14" x14ac:dyDescent="0.25">
      <c r="A1634" s="11" t="s">
        <v>207</v>
      </c>
      <c r="B1634" s="12">
        <v>45236</v>
      </c>
      <c r="C1634" s="11" t="s">
        <v>688</v>
      </c>
      <c r="D1634" s="11" t="s">
        <v>43</v>
      </c>
      <c r="E1634" s="13" t="s">
        <v>81</v>
      </c>
      <c r="F1634" s="14" t="s">
        <v>79</v>
      </c>
      <c r="G1634" s="14" t="s">
        <v>400</v>
      </c>
      <c r="I1634" s="11">
        <f t="shared" si="77"/>
        <v>2</v>
      </c>
      <c r="J1634" s="16">
        <v>12445.91</v>
      </c>
      <c r="M1634" s="17">
        <f t="shared" si="75"/>
        <v>287773.03999999992</v>
      </c>
      <c r="N1634" s="11">
        <f t="shared" si="76"/>
        <v>11</v>
      </c>
    </row>
    <row r="1635" spans="1:14" x14ac:dyDescent="0.25">
      <c r="A1635" s="11" t="s">
        <v>207</v>
      </c>
      <c r="B1635" s="12">
        <v>45236</v>
      </c>
      <c r="C1635" s="11" t="s">
        <v>688</v>
      </c>
      <c r="D1635" s="11" t="s">
        <v>43</v>
      </c>
      <c r="E1635" s="13" t="s">
        <v>82</v>
      </c>
      <c r="F1635" s="14" t="s">
        <v>79</v>
      </c>
      <c r="G1635" s="14" t="s">
        <v>400</v>
      </c>
      <c r="I1635" s="11">
        <f t="shared" si="77"/>
        <v>2</v>
      </c>
      <c r="J1635" s="16">
        <v>1258.98</v>
      </c>
      <c r="M1635" s="17">
        <f t="shared" si="75"/>
        <v>289032.0199999999</v>
      </c>
      <c r="N1635" s="11">
        <f t="shared" si="76"/>
        <v>11</v>
      </c>
    </row>
    <row r="1636" spans="1:14" x14ac:dyDescent="0.25">
      <c r="A1636" s="11" t="s">
        <v>207</v>
      </c>
      <c r="B1636" s="12">
        <v>45236</v>
      </c>
      <c r="C1636" s="11" t="s">
        <v>688</v>
      </c>
      <c r="D1636" s="11" t="s">
        <v>43</v>
      </c>
      <c r="E1636" s="13" t="s">
        <v>83</v>
      </c>
      <c r="F1636" s="14" t="s">
        <v>79</v>
      </c>
      <c r="G1636" s="14" t="s">
        <v>400</v>
      </c>
      <c r="I1636" s="11">
        <f t="shared" si="77"/>
        <v>2</v>
      </c>
      <c r="J1636" s="16">
        <v>63.85</v>
      </c>
      <c r="M1636" s="17">
        <f t="shared" si="75"/>
        <v>289095.86999999988</v>
      </c>
      <c r="N1636" s="11">
        <f t="shared" si="76"/>
        <v>11</v>
      </c>
    </row>
    <row r="1637" spans="1:14" x14ac:dyDescent="0.25">
      <c r="A1637" s="11" t="s">
        <v>0</v>
      </c>
      <c r="B1637" s="12">
        <v>45236</v>
      </c>
      <c r="C1637" s="11" t="s">
        <v>688</v>
      </c>
      <c r="D1637" s="11" t="s">
        <v>692</v>
      </c>
      <c r="E1637" s="13" t="s">
        <v>229</v>
      </c>
      <c r="F1637" s="14" t="s">
        <v>116</v>
      </c>
      <c r="G1637" s="14" t="s">
        <v>404</v>
      </c>
      <c r="H1637" s="15">
        <v>59</v>
      </c>
      <c r="I1637" s="11">
        <f t="shared" si="77"/>
        <v>5</v>
      </c>
      <c r="K1637" s="16">
        <v>1257.5</v>
      </c>
      <c r="M1637" s="17">
        <f t="shared" si="75"/>
        <v>287838.36999999988</v>
      </c>
      <c r="N1637" s="11">
        <f t="shared" si="76"/>
        <v>11</v>
      </c>
    </row>
    <row r="1638" spans="1:14" x14ac:dyDescent="0.25">
      <c r="A1638" s="11" t="s">
        <v>207</v>
      </c>
      <c r="B1638" s="12">
        <v>45236</v>
      </c>
      <c r="C1638" s="11" t="s">
        <v>688</v>
      </c>
      <c r="D1638" s="11" t="s">
        <v>43</v>
      </c>
      <c r="E1638" s="13">
        <v>45236</v>
      </c>
      <c r="F1638" s="14" t="s">
        <v>472</v>
      </c>
      <c r="G1638" s="14" t="s">
        <v>400</v>
      </c>
      <c r="I1638" s="11">
        <f t="shared" si="77"/>
        <v>2</v>
      </c>
      <c r="J1638" s="16">
        <v>1700.8</v>
      </c>
      <c r="M1638" s="17">
        <f t="shared" si="75"/>
        <v>289539.16999999987</v>
      </c>
      <c r="N1638" s="11">
        <f t="shared" si="76"/>
        <v>11</v>
      </c>
    </row>
    <row r="1639" spans="1:14" x14ac:dyDescent="0.25">
      <c r="A1639" s="11" t="s">
        <v>0</v>
      </c>
      <c r="B1639" s="12">
        <v>45236</v>
      </c>
      <c r="C1639" s="11" t="s">
        <v>688</v>
      </c>
      <c r="D1639" s="11" t="s">
        <v>694</v>
      </c>
      <c r="E1639" s="13" t="s">
        <v>182</v>
      </c>
      <c r="F1639" s="14" t="s">
        <v>365</v>
      </c>
      <c r="G1639" s="14" t="s">
        <v>402</v>
      </c>
      <c r="I1639" s="11">
        <f t="shared" si="77"/>
        <v>5</v>
      </c>
      <c r="K1639" s="16">
        <v>11.63</v>
      </c>
      <c r="M1639" s="17">
        <f t="shared" si="75"/>
        <v>289527.53999999986</v>
      </c>
      <c r="N1639" s="11">
        <f t="shared" si="76"/>
        <v>11</v>
      </c>
    </row>
    <row r="1640" spans="1:14" x14ac:dyDescent="0.25">
      <c r="A1640" s="11" t="s">
        <v>0</v>
      </c>
      <c r="B1640" s="12">
        <v>45236</v>
      </c>
      <c r="C1640" s="11" t="s">
        <v>688</v>
      </c>
      <c r="D1640" s="11" t="s">
        <v>694</v>
      </c>
      <c r="E1640" s="13" t="s">
        <v>182</v>
      </c>
      <c r="F1640" s="14" t="s">
        <v>23</v>
      </c>
      <c r="G1640" s="14" t="s">
        <v>402</v>
      </c>
      <c r="I1640" s="11">
        <f t="shared" si="77"/>
        <v>5</v>
      </c>
      <c r="K1640" s="16">
        <v>73.25</v>
      </c>
      <c r="M1640" s="17">
        <f t="shared" si="75"/>
        <v>289454.28999999986</v>
      </c>
      <c r="N1640" s="11">
        <f t="shared" si="76"/>
        <v>11</v>
      </c>
    </row>
    <row r="1641" spans="1:14" x14ac:dyDescent="0.25">
      <c r="A1641" s="11" t="s">
        <v>0</v>
      </c>
      <c r="B1641" s="12">
        <v>45236</v>
      </c>
      <c r="C1641" s="11" t="s">
        <v>688</v>
      </c>
      <c r="D1641" s="11" t="s">
        <v>692</v>
      </c>
      <c r="E1641" s="13" t="s">
        <v>717</v>
      </c>
      <c r="F1641" s="14" t="s">
        <v>76</v>
      </c>
      <c r="G1641" s="14" t="s">
        <v>404</v>
      </c>
      <c r="H1641" s="15">
        <v>1207721</v>
      </c>
      <c r="I1641" s="11">
        <f t="shared" si="77"/>
        <v>5</v>
      </c>
      <c r="K1641" s="16">
        <v>1353.74</v>
      </c>
      <c r="M1641" s="17">
        <f t="shared" si="75"/>
        <v>288100.54999999987</v>
      </c>
      <c r="N1641" s="11">
        <f t="shared" si="76"/>
        <v>11</v>
      </c>
    </row>
    <row r="1642" spans="1:14" x14ac:dyDescent="0.25">
      <c r="A1642" s="11" t="s">
        <v>0</v>
      </c>
      <c r="B1642" s="12">
        <v>45236</v>
      </c>
      <c r="C1642" s="11" t="s">
        <v>688</v>
      </c>
      <c r="D1642" s="11" t="s">
        <v>692</v>
      </c>
      <c r="E1642" s="13" t="s">
        <v>179</v>
      </c>
      <c r="F1642" s="14" t="s">
        <v>51</v>
      </c>
      <c r="G1642" s="14" t="s">
        <v>404</v>
      </c>
      <c r="H1642" s="15">
        <v>13</v>
      </c>
      <c r="I1642" s="11">
        <f t="shared" si="77"/>
        <v>5</v>
      </c>
      <c r="K1642" s="16">
        <v>2240</v>
      </c>
      <c r="M1642" s="17">
        <f t="shared" si="75"/>
        <v>285860.54999999987</v>
      </c>
      <c r="N1642" s="11">
        <f t="shared" si="76"/>
        <v>11</v>
      </c>
    </row>
    <row r="1643" spans="1:14" x14ac:dyDescent="0.25">
      <c r="A1643" s="11" t="s">
        <v>0</v>
      </c>
      <c r="B1643" s="12">
        <v>45236</v>
      </c>
      <c r="C1643" s="11" t="s">
        <v>688</v>
      </c>
      <c r="D1643" s="11" t="s">
        <v>720</v>
      </c>
      <c r="E1643" s="13" t="s">
        <v>183</v>
      </c>
      <c r="F1643" s="14" t="s">
        <v>473</v>
      </c>
      <c r="G1643" s="14" t="s">
        <v>404</v>
      </c>
      <c r="H1643" s="15" t="s">
        <v>437</v>
      </c>
      <c r="I1643" s="11">
        <f t="shared" si="77"/>
        <v>5</v>
      </c>
      <c r="K1643" s="16">
        <v>280</v>
      </c>
      <c r="M1643" s="17">
        <f t="shared" si="75"/>
        <v>285580.54999999987</v>
      </c>
      <c r="N1643" s="11">
        <f t="shared" si="76"/>
        <v>11</v>
      </c>
    </row>
    <row r="1644" spans="1:14" x14ac:dyDescent="0.25">
      <c r="A1644" s="11" t="s">
        <v>0</v>
      </c>
      <c r="B1644" s="12">
        <v>45236</v>
      </c>
      <c r="C1644" s="11" t="s">
        <v>688</v>
      </c>
      <c r="D1644" s="11" t="s">
        <v>692</v>
      </c>
      <c r="E1644" s="13" t="s">
        <v>169</v>
      </c>
      <c r="F1644" s="14" t="s">
        <v>50</v>
      </c>
      <c r="G1644" s="14" t="s">
        <v>404</v>
      </c>
      <c r="H1644" s="15">
        <v>1204715</v>
      </c>
      <c r="I1644" s="11">
        <f t="shared" si="77"/>
        <v>5</v>
      </c>
      <c r="K1644" s="16">
        <v>1125</v>
      </c>
      <c r="M1644" s="17">
        <f t="shared" si="75"/>
        <v>284455.54999999987</v>
      </c>
      <c r="N1644" s="11">
        <f t="shared" si="76"/>
        <v>11</v>
      </c>
    </row>
    <row r="1645" spans="1:14" x14ac:dyDescent="0.25">
      <c r="A1645" s="11" t="s">
        <v>0</v>
      </c>
      <c r="B1645" s="12">
        <v>45236</v>
      </c>
      <c r="C1645" s="11" t="s">
        <v>688</v>
      </c>
      <c r="D1645" s="11" t="s">
        <v>47</v>
      </c>
      <c r="E1645" s="13" t="s">
        <v>475</v>
      </c>
      <c r="F1645" s="14" t="s">
        <v>474</v>
      </c>
      <c r="G1645" s="14" t="s">
        <v>404</v>
      </c>
      <c r="H1645" s="15" t="s">
        <v>476</v>
      </c>
      <c r="I1645" s="11">
        <f t="shared" si="77"/>
        <v>5</v>
      </c>
      <c r="K1645" s="16">
        <v>400</v>
      </c>
      <c r="M1645" s="17">
        <f t="shared" si="75"/>
        <v>284055.54999999987</v>
      </c>
      <c r="N1645" s="11">
        <f t="shared" si="76"/>
        <v>11</v>
      </c>
    </row>
    <row r="1646" spans="1:14" ht="52.8" x14ac:dyDescent="0.25">
      <c r="A1646" s="11" t="s">
        <v>0</v>
      </c>
      <c r="B1646" s="12">
        <v>45236</v>
      </c>
      <c r="C1646" s="11" t="s">
        <v>688</v>
      </c>
      <c r="D1646" s="11" t="s">
        <v>692</v>
      </c>
      <c r="E1646" s="13" t="s">
        <v>725</v>
      </c>
      <c r="F1646" s="14" t="s">
        <v>27</v>
      </c>
      <c r="G1646" s="14" t="s">
        <v>404</v>
      </c>
      <c r="H1646" s="15" t="s">
        <v>499</v>
      </c>
      <c r="I1646" s="11">
        <f t="shared" si="77"/>
        <v>5</v>
      </c>
      <c r="K1646" s="16">
        <v>1026.4100000000001</v>
      </c>
      <c r="M1646" s="17">
        <f t="shared" si="75"/>
        <v>283029.1399999999</v>
      </c>
      <c r="N1646" s="11">
        <f t="shared" si="76"/>
        <v>11</v>
      </c>
    </row>
    <row r="1647" spans="1:14" ht="66" x14ac:dyDescent="0.25">
      <c r="A1647" s="11" t="s">
        <v>0</v>
      </c>
      <c r="B1647" s="12">
        <v>45236</v>
      </c>
      <c r="C1647" s="11" t="s">
        <v>688</v>
      </c>
      <c r="D1647" s="11" t="s">
        <v>701</v>
      </c>
      <c r="E1647" s="242" t="s">
        <v>477</v>
      </c>
      <c r="F1647" s="14" t="s">
        <v>35</v>
      </c>
      <c r="G1647" s="14" t="s">
        <v>404</v>
      </c>
      <c r="H1647" s="15" t="s">
        <v>521</v>
      </c>
      <c r="I1647" s="11">
        <f t="shared" si="77"/>
        <v>5</v>
      </c>
      <c r="K1647" s="16">
        <v>3039.5</v>
      </c>
      <c r="M1647" s="17">
        <f t="shared" si="75"/>
        <v>279989.6399999999</v>
      </c>
      <c r="N1647" s="11">
        <f t="shared" si="76"/>
        <v>11</v>
      </c>
    </row>
    <row r="1648" spans="1:14" x14ac:dyDescent="0.25">
      <c r="A1648" s="11" t="s">
        <v>0</v>
      </c>
      <c r="B1648" s="12">
        <v>45236</v>
      </c>
      <c r="C1648" s="11" t="s">
        <v>688</v>
      </c>
      <c r="D1648" s="11" t="s">
        <v>701</v>
      </c>
      <c r="E1648" s="13" t="s">
        <v>118</v>
      </c>
      <c r="F1648" s="14" t="s">
        <v>204</v>
      </c>
      <c r="G1648" s="14" t="s">
        <v>404</v>
      </c>
      <c r="H1648" s="15">
        <v>40</v>
      </c>
      <c r="I1648" s="11">
        <f t="shared" si="77"/>
        <v>5</v>
      </c>
      <c r="K1648" s="16">
        <v>396.94</v>
      </c>
      <c r="M1648" s="17">
        <f t="shared" si="75"/>
        <v>279592.6999999999</v>
      </c>
      <c r="N1648" s="11">
        <f t="shared" si="76"/>
        <v>11</v>
      </c>
    </row>
    <row r="1649" spans="1:14" x14ac:dyDescent="0.25">
      <c r="A1649" s="11" t="s">
        <v>0</v>
      </c>
      <c r="B1649" s="12">
        <v>45236</v>
      </c>
      <c r="C1649" s="11" t="s">
        <v>688</v>
      </c>
      <c r="D1649" s="11" t="s">
        <v>696</v>
      </c>
      <c r="E1649" s="13" t="s">
        <v>595</v>
      </c>
      <c r="F1649" s="14" t="s">
        <v>261</v>
      </c>
      <c r="G1649" s="14" t="s">
        <v>407</v>
      </c>
      <c r="H1649" s="15" t="s">
        <v>426</v>
      </c>
      <c r="I1649" s="11">
        <f t="shared" si="77"/>
        <v>4</v>
      </c>
      <c r="K1649" s="16">
        <v>500</v>
      </c>
      <c r="M1649" s="17">
        <f t="shared" si="75"/>
        <v>279092.6999999999</v>
      </c>
      <c r="N1649" s="11">
        <f t="shared" si="76"/>
        <v>11</v>
      </c>
    </row>
    <row r="1650" spans="1:14" x14ac:dyDescent="0.25">
      <c r="A1650" s="11" t="s">
        <v>0</v>
      </c>
      <c r="B1650" s="12">
        <v>45236</v>
      </c>
      <c r="C1650" s="11" t="s">
        <v>688</v>
      </c>
      <c r="D1650" s="11" t="s">
        <v>696</v>
      </c>
      <c r="E1650" s="13" t="s">
        <v>596</v>
      </c>
      <c r="F1650" s="14" t="s">
        <v>63</v>
      </c>
      <c r="G1650" s="14" t="s">
        <v>407</v>
      </c>
      <c r="H1650" s="15" t="s">
        <v>426</v>
      </c>
      <c r="I1650" s="11">
        <f t="shared" si="77"/>
        <v>4</v>
      </c>
      <c r="K1650" s="16">
        <v>400</v>
      </c>
      <c r="M1650" s="17">
        <f t="shared" si="75"/>
        <v>278692.6999999999</v>
      </c>
      <c r="N1650" s="11">
        <f t="shared" si="76"/>
        <v>11</v>
      </c>
    </row>
    <row r="1651" spans="1:14" x14ac:dyDescent="0.25">
      <c r="A1651" s="11" t="s">
        <v>0</v>
      </c>
      <c r="B1651" s="12">
        <v>45236</v>
      </c>
      <c r="C1651" s="11" t="s">
        <v>688</v>
      </c>
      <c r="D1651" s="11" t="s">
        <v>47</v>
      </c>
      <c r="E1651" s="13" t="s">
        <v>597</v>
      </c>
      <c r="F1651" s="14" t="s">
        <v>63</v>
      </c>
      <c r="G1651" s="14" t="s">
        <v>407</v>
      </c>
      <c r="H1651" s="15" t="s">
        <v>426</v>
      </c>
      <c r="I1651" s="11">
        <f t="shared" si="77"/>
        <v>4</v>
      </c>
      <c r="K1651" s="16">
        <v>100</v>
      </c>
      <c r="M1651" s="17">
        <f t="shared" si="75"/>
        <v>278592.6999999999</v>
      </c>
      <c r="N1651" s="11">
        <f t="shared" si="76"/>
        <v>11</v>
      </c>
    </row>
    <row r="1652" spans="1:14" x14ac:dyDescent="0.25">
      <c r="A1652" s="11" t="s">
        <v>207</v>
      </c>
      <c r="B1652" s="12">
        <v>45237</v>
      </c>
      <c r="C1652" s="11" t="s">
        <v>662</v>
      </c>
      <c r="D1652" s="11" t="s">
        <v>43</v>
      </c>
      <c r="E1652" s="13" t="s">
        <v>288</v>
      </c>
      <c r="F1652" s="14" t="s">
        <v>288</v>
      </c>
      <c r="G1652" s="14" t="s">
        <v>173</v>
      </c>
      <c r="I1652" s="11">
        <f t="shared" si="77"/>
        <v>3</v>
      </c>
      <c r="J1652" s="16">
        <v>500</v>
      </c>
      <c r="M1652" s="17">
        <f t="shared" si="75"/>
        <v>279092.6999999999</v>
      </c>
      <c r="N1652" s="11">
        <f t="shared" si="76"/>
        <v>11</v>
      </c>
    </row>
    <row r="1653" spans="1:14" x14ac:dyDescent="0.25">
      <c r="A1653" s="11" t="s">
        <v>207</v>
      </c>
      <c r="B1653" s="12">
        <v>45237</v>
      </c>
      <c r="C1653" s="11" t="s">
        <v>688</v>
      </c>
      <c r="D1653" s="11" t="s">
        <v>43</v>
      </c>
      <c r="E1653" s="14" t="s">
        <v>288</v>
      </c>
      <c r="F1653" s="14" t="s">
        <v>288</v>
      </c>
      <c r="G1653" s="14" t="s">
        <v>173</v>
      </c>
      <c r="I1653" s="11">
        <f t="shared" si="77"/>
        <v>3</v>
      </c>
      <c r="J1653" s="16">
        <v>2650</v>
      </c>
      <c r="M1653" s="17">
        <f t="shared" si="75"/>
        <v>281742.6999999999</v>
      </c>
      <c r="N1653" s="11">
        <f t="shared" si="76"/>
        <v>11</v>
      </c>
    </row>
    <row r="1654" spans="1:14" x14ac:dyDescent="0.25">
      <c r="A1654" s="11" t="s">
        <v>207</v>
      </c>
      <c r="B1654" s="12">
        <v>45237</v>
      </c>
      <c r="C1654" s="11" t="s">
        <v>688</v>
      </c>
      <c r="D1654" s="11" t="s">
        <v>43</v>
      </c>
      <c r="E1654" s="14" t="s">
        <v>429</v>
      </c>
      <c r="F1654" s="14" t="s">
        <v>429</v>
      </c>
      <c r="G1654" s="14" t="s">
        <v>428</v>
      </c>
      <c r="I1654" s="11">
        <f t="shared" si="77"/>
        <v>1</v>
      </c>
      <c r="J1654" s="16">
        <v>8807.42</v>
      </c>
      <c r="M1654" s="17">
        <f t="shared" si="75"/>
        <v>290550.11999999988</v>
      </c>
      <c r="N1654" s="11">
        <f t="shared" si="76"/>
        <v>11</v>
      </c>
    </row>
    <row r="1655" spans="1:14" x14ac:dyDescent="0.25">
      <c r="A1655" s="11" t="s">
        <v>207</v>
      </c>
      <c r="B1655" s="12">
        <v>45237</v>
      </c>
      <c r="C1655" s="11" t="s">
        <v>662</v>
      </c>
      <c r="D1655" s="11" t="s">
        <v>43</v>
      </c>
      <c r="E1655" s="13" t="s">
        <v>80</v>
      </c>
      <c r="F1655" s="14" t="s">
        <v>79</v>
      </c>
      <c r="G1655" s="14" t="s">
        <v>400</v>
      </c>
      <c r="I1655" s="11">
        <f t="shared" si="77"/>
        <v>2</v>
      </c>
      <c r="J1655" s="16">
        <v>3900</v>
      </c>
      <c r="M1655" s="17">
        <f t="shared" si="75"/>
        <v>294450.11999999988</v>
      </c>
      <c r="N1655" s="11">
        <f t="shared" si="76"/>
        <v>11</v>
      </c>
    </row>
    <row r="1656" spans="1:14" x14ac:dyDescent="0.25">
      <c r="A1656" s="11" t="s">
        <v>207</v>
      </c>
      <c r="B1656" s="12">
        <v>45237</v>
      </c>
      <c r="C1656" s="11" t="s">
        <v>688</v>
      </c>
      <c r="D1656" s="11" t="s">
        <v>43</v>
      </c>
      <c r="E1656" s="13" t="s">
        <v>80</v>
      </c>
      <c r="F1656" s="14" t="s">
        <v>79</v>
      </c>
      <c r="G1656" s="14" t="s">
        <v>400</v>
      </c>
      <c r="I1656" s="11">
        <f t="shared" si="77"/>
        <v>2</v>
      </c>
      <c r="J1656" s="16">
        <v>1568.26</v>
      </c>
      <c r="M1656" s="17">
        <f t="shared" si="75"/>
        <v>296018.37999999989</v>
      </c>
      <c r="N1656" s="11">
        <f t="shared" si="76"/>
        <v>11</v>
      </c>
    </row>
    <row r="1657" spans="1:14" x14ac:dyDescent="0.25">
      <c r="A1657" s="11" t="s">
        <v>207</v>
      </c>
      <c r="B1657" s="12">
        <v>45237</v>
      </c>
      <c r="C1657" s="11" t="s">
        <v>688</v>
      </c>
      <c r="D1657" s="11" t="s">
        <v>43</v>
      </c>
      <c r="E1657" s="13" t="s">
        <v>81</v>
      </c>
      <c r="F1657" s="14" t="s">
        <v>79</v>
      </c>
      <c r="G1657" s="14" t="s">
        <v>400</v>
      </c>
      <c r="I1657" s="11">
        <f t="shared" si="77"/>
        <v>2</v>
      </c>
      <c r="J1657" s="16">
        <v>4090.93</v>
      </c>
      <c r="M1657" s="17">
        <f t="shared" si="75"/>
        <v>300109.30999999988</v>
      </c>
      <c r="N1657" s="11">
        <f t="shared" si="76"/>
        <v>11</v>
      </c>
    </row>
    <row r="1658" spans="1:14" x14ac:dyDescent="0.25">
      <c r="A1658" s="11" t="s">
        <v>207</v>
      </c>
      <c r="B1658" s="12">
        <v>45237</v>
      </c>
      <c r="C1658" s="11" t="s">
        <v>688</v>
      </c>
      <c r="D1658" s="11" t="s">
        <v>43</v>
      </c>
      <c r="E1658" s="13" t="s">
        <v>83</v>
      </c>
      <c r="F1658" s="14" t="s">
        <v>79</v>
      </c>
      <c r="G1658" s="14" t="s">
        <v>400</v>
      </c>
      <c r="I1658" s="11">
        <f t="shared" si="77"/>
        <v>2</v>
      </c>
      <c r="J1658" s="16">
        <v>246.71</v>
      </c>
      <c r="M1658" s="17">
        <f t="shared" si="75"/>
        <v>300356.0199999999</v>
      </c>
      <c r="N1658" s="11">
        <f t="shared" si="76"/>
        <v>11</v>
      </c>
    </row>
    <row r="1659" spans="1:14" x14ac:dyDescent="0.25">
      <c r="A1659" s="11" t="s">
        <v>207</v>
      </c>
      <c r="B1659" s="12">
        <v>45237</v>
      </c>
      <c r="C1659" s="11" t="s">
        <v>688</v>
      </c>
      <c r="D1659" s="11" t="s">
        <v>43</v>
      </c>
      <c r="E1659" s="13" t="s">
        <v>382</v>
      </c>
      <c r="F1659" s="14" t="s">
        <v>13</v>
      </c>
      <c r="G1659" s="14" t="s">
        <v>400</v>
      </c>
      <c r="I1659" s="11">
        <f t="shared" si="77"/>
        <v>2</v>
      </c>
      <c r="J1659" s="16">
        <v>62.06</v>
      </c>
      <c r="M1659" s="17">
        <f t="shared" si="75"/>
        <v>300418.0799999999</v>
      </c>
      <c r="N1659" s="11">
        <f t="shared" si="76"/>
        <v>11</v>
      </c>
    </row>
    <row r="1660" spans="1:14" x14ac:dyDescent="0.25">
      <c r="A1660" s="11" t="s">
        <v>207</v>
      </c>
      <c r="B1660" s="12">
        <v>45237</v>
      </c>
      <c r="C1660" s="11" t="s">
        <v>688</v>
      </c>
      <c r="D1660" s="11" t="s">
        <v>43</v>
      </c>
      <c r="E1660" s="13" t="s">
        <v>382</v>
      </c>
      <c r="F1660" s="14" t="s">
        <v>13</v>
      </c>
      <c r="G1660" s="14" t="s">
        <v>400</v>
      </c>
      <c r="I1660" s="11">
        <f t="shared" si="77"/>
        <v>2</v>
      </c>
      <c r="J1660" s="16">
        <v>889.93</v>
      </c>
      <c r="M1660" s="17">
        <f t="shared" si="75"/>
        <v>301308.00999999989</v>
      </c>
      <c r="N1660" s="11">
        <f t="shared" si="76"/>
        <v>11</v>
      </c>
    </row>
    <row r="1661" spans="1:14" x14ac:dyDescent="0.25">
      <c r="A1661" s="11" t="s">
        <v>207</v>
      </c>
      <c r="B1661" s="12">
        <v>45237</v>
      </c>
      <c r="C1661" s="11" t="s">
        <v>688</v>
      </c>
      <c r="D1661" s="11" t="s">
        <v>43</v>
      </c>
      <c r="E1661" s="13" t="s">
        <v>382</v>
      </c>
      <c r="F1661" s="14" t="s">
        <v>13</v>
      </c>
      <c r="G1661" s="14" t="s">
        <v>400</v>
      </c>
      <c r="I1661" s="11">
        <f t="shared" si="77"/>
        <v>2</v>
      </c>
      <c r="J1661" s="16">
        <v>19.399999999999999</v>
      </c>
      <c r="M1661" s="17">
        <f t="shared" si="75"/>
        <v>301327.40999999992</v>
      </c>
      <c r="N1661" s="11">
        <f t="shared" si="76"/>
        <v>11</v>
      </c>
    </row>
    <row r="1662" spans="1:14" x14ac:dyDescent="0.25">
      <c r="A1662" s="11" t="s">
        <v>207</v>
      </c>
      <c r="B1662" s="12">
        <v>45237</v>
      </c>
      <c r="C1662" s="11" t="s">
        <v>688</v>
      </c>
      <c r="D1662" s="11" t="s">
        <v>43</v>
      </c>
      <c r="E1662" s="13" t="s">
        <v>382</v>
      </c>
      <c r="F1662" s="14" t="s">
        <v>13</v>
      </c>
      <c r="G1662" s="14" t="s">
        <v>400</v>
      </c>
      <c r="I1662" s="11">
        <f t="shared" si="77"/>
        <v>2</v>
      </c>
      <c r="J1662" s="16">
        <v>175.29</v>
      </c>
      <c r="M1662" s="17">
        <f t="shared" si="75"/>
        <v>301502.6999999999</v>
      </c>
      <c r="N1662" s="11">
        <f t="shared" si="76"/>
        <v>11</v>
      </c>
    </row>
    <row r="1663" spans="1:14" x14ac:dyDescent="0.25">
      <c r="A1663" s="11" t="s">
        <v>0</v>
      </c>
      <c r="B1663" s="12">
        <v>45237</v>
      </c>
      <c r="C1663" s="11" t="s">
        <v>688</v>
      </c>
      <c r="D1663" s="11" t="s">
        <v>694</v>
      </c>
      <c r="E1663" s="13" t="s">
        <v>182</v>
      </c>
      <c r="F1663" s="14" t="s">
        <v>365</v>
      </c>
      <c r="G1663" s="14" t="s">
        <v>402</v>
      </c>
      <c r="I1663" s="11">
        <f t="shared" si="77"/>
        <v>5</v>
      </c>
      <c r="K1663" s="16">
        <v>1.06</v>
      </c>
      <c r="M1663" s="17">
        <f t="shared" si="75"/>
        <v>301501.6399999999</v>
      </c>
      <c r="N1663" s="11">
        <f t="shared" si="76"/>
        <v>11</v>
      </c>
    </row>
    <row r="1664" spans="1:14" x14ac:dyDescent="0.25">
      <c r="A1664" s="11" t="s">
        <v>0</v>
      </c>
      <c r="B1664" s="12">
        <v>45237</v>
      </c>
      <c r="C1664" s="11" t="s">
        <v>688</v>
      </c>
      <c r="D1664" s="11" t="s">
        <v>694</v>
      </c>
      <c r="E1664" s="13" t="s">
        <v>182</v>
      </c>
      <c r="F1664" s="14" t="s">
        <v>23</v>
      </c>
      <c r="G1664" s="14" t="s">
        <v>402</v>
      </c>
      <c r="I1664" s="11">
        <f t="shared" si="77"/>
        <v>5</v>
      </c>
      <c r="K1664" s="16">
        <v>28.22</v>
      </c>
      <c r="M1664" s="17">
        <f t="shared" si="75"/>
        <v>301473.41999999993</v>
      </c>
      <c r="N1664" s="11">
        <f t="shared" si="76"/>
        <v>11</v>
      </c>
    </row>
    <row r="1665" spans="1:14" x14ac:dyDescent="0.25">
      <c r="A1665" s="11" t="s">
        <v>0</v>
      </c>
      <c r="B1665" s="12">
        <v>45237</v>
      </c>
      <c r="C1665" s="11" t="s">
        <v>688</v>
      </c>
      <c r="D1665" s="11" t="s">
        <v>692</v>
      </c>
      <c r="E1665" s="13" t="s">
        <v>143</v>
      </c>
      <c r="F1665" s="14" t="s">
        <v>59</v>
      </c>
      <c r="G1665" s="14" t="s">
        <v>403</v>
      </c>
      <c r="H1665" s="15" t="s">
        <v>103</v>
      </c>
      <c r="I1665" s="11">
        <f t="shared" si="77"/>
        <v>5</v>
      </c>
      <c r="K1665" s="16">
        <v>760.51</v>
      </c>
      <c r="M1665" s="17">
        <f t="shared" si="75"/>
        <v>300712.90999999992</v>
      </c>
      <c r="N1665" s="11">
        <f t="shared" si="76"/>
        <v>11</v>
      </c>
    </row>
    <row r="1666" spans="1:14" x14ac:dyDescent="0.25">
      <c r="A1666" s="11" t="s">
        <v>0</v>
      </c>
      <c r="B1666" s="12">
        <v>45237</v>
      </c>
      <c r="C1666" s="11" t="s">
        <v>688</v>
      </c>
      <c r="D1666" s="11" t="s">
        <v>692</v>
      </c>
      <c r="E1666" s="13" t="s">
        <v>229</v>
      </c>
      <c r="F1666" s="14" t="s">
        <v>116</v>
      </c>
      <c r="G1666" s="14" t="s">
        <v>404</v>
      </c>
      <c r="H1666" s="15">
        <v>10811</v>
      </c>
      <c r="I1666" s="11">
        <f t="shared" si="77"/>
        <v>5</v>
      </c>
      <c r="K1666" s="16">
        <v>1758</v>
      </c>
      <c r="M1666" s="17">
        <f t="shared" si="75"/>
        <v>298954.90999999992</v>
      </c>
      <c r="N1666" s="11">
        <f t="shared" si="76"/>
        <v>11</v>
      </c>
    </row>
    <row r="1667" spans="1:14" x14ac:dyDescent="0.25">
      <c r="A1667" s="11" t="s">
        <v>0</v>
      </c>
      <c r="B1667" s="12">
        <v>45237</v>
      </c>
      <c r="C1667" s="11" t="s">
        <v>688</v>
      </c>
      <c r="D1667" s="11" t="s">
        <v>701</v>
      </c>
      <c r="E1667" s="13" t="s">
        <v>479</v>
      </c>
      <c r="F1667" s="14" t="s">
        <v>478</v>
      </c>
      <c r="G1667" s="14" t="s">
        <v>404</v>
      </c>
      <c r="H1667" s="15">
        <v>2514</v>
      </c>
      <c r="I1667" s="11">
        <f t="shared" si="77"/>
        <v>5</v>
      </c>
      <c r="K1667" s="16">
        <v>330</v>
      </c>
      <c r="M1667" s="17">
        <f t="shared" ref="M1667:M1730" si="79">IF(B1667=0, "",M1666+ J1667-K1667)</f>
        <v>298624.90999999992</v>
      </c>
      <c r="N1667" s="11">
        <f t="shared" ref="N1667:N1730" si="80">IF(B1667=0, "", MONTH(B1667))</f>
        <v>11</v>
      </c>
    </row>
    <row r="1668" spans="1:14" x14ac:dyDescent="0.25">
      <c r="A1668" s="11" t="s">
        <v>0</v>
      </c>
      <c r="B1668" s="12">
        <v>45237</v>
      </c>
      <c r="C1668" s="11" t="s">
        <v>688</v>
      </c>
      <c r="D1668" s="11" t="s">
        <v>698</v>
      </c>
      <c r="E1668" s="13" t="s">
        <v>481</v>
      </c>
      <c r="F1668" s="14" t="s">
        <v>480</v>
      </c>
      <c r="G1668" s="14" t="s">
        <v>404</v>
      </c>
      <c r="H1668" s="15">
        <v>10</v>
      </c>
      <c r="I1668" s="11">
        <f t="shared" si="77"/>
        <v>5</v>
      </c>
      <c r="K1668" s="16">
        <v>680</v>
      </c>
      <c r="M1668" s="17">
        <f t="shared" si="79"/>
        <v>297944.90999999992</v>
      </c>
      <c r="N1668" s="11">
        <f t="shared" si="80"/>
        <v>11</v>
      </c>
    </row>
    <row r="1669" spans="1:14" x14ac:dyDescent="0.25">
      <c r="A1669" s="11" t="s">
        <v>0</v>
      </c>
      <c r="B1669" s="12">
        <v>45237</v>
      </c>
      <c r="C1669" s="11" t="s">
        <v>688</v>
      </c>
      <c r="D1669" s="11" t="s">
        <v>692</v>
      </c>
      <c r="E1669" s="13" t="s">
        <v>482</v>
      </c>
      <c r="F1669" s="14" t="s">
        <v>35</v>
      </c>
      <c r="G1669" s="14" t="s">
        <v>404</v>
      </c>
      <c r="H1669" s="15">
        <v>159530</v>
      </c>
      <c r="I1669" s="11">
        <f t="shared" si="77"/>
        <v>5</v>
      </c>
      <c r="K1669" s="16">
        <v>818</v>
      </c>
      <c r="M1669" s="17">
        <f t="shared" si="79"/>
        <v>297126.90999999992</v>
      </c>
      <c r="N1669" s="11">
        <f t="shared" si="80"/>
        <v>11</v>
      </c>
    </row>
    <row r="1670" spans="1:14" x14ac:dyDescent="0.25">
      <c r="A1670" s="11" t="s">
        <v>0</v>
      </c>
      <c r="B1670" s="12">
        <v>45237</v>
      </c>
      <c r="C1670" s="11" t="s">
        <v>688</v>
      </c>
      <c r="D1670" s="11" t="s">
        <v>692</v>
      </c>
      <c r="E1670" s="13" t="s">
        <v>483</v>
      </c>
      <c r="F1670" s="14" t="s">
        <v>35</v>
      </c>
      <c r="G1670" s="14" t="s">
        <v>404</v>
      </c>
      <c r="H1670" s="15">
        <v>89424</v>
      </c>
      <c r="I1670" s="11">
        <f t="shared" ref="I1670:I1733" si="81">IF(AND(G1670="MERCADO PAGO",A1670="FATURAMENTO"),1,IF(AND(OR(G1670="MERCADO PAGO",G1670="pix mercado pago",G1670= "débito automático mercado pago", G1670= "boleto mercado pago"),A1670="DESPESAS"),4,IF(AND(G1670="SAFRA",A1670="FATURAMENTO"),2,IF(AND(OR(G1670="SAFRA",G1670="PIX SAFRA", G1670="DÉBITO AUTOMÁTICO SAFRA", G1670= "BOLETO SAFRA", G1670= "transferência safra"), A1670="DESPESAS"),5,IF(AND(G1670="espécie",A1670="FATURAMENTO"),3,IF(AND(G1670="espécie",A1670="DESPESAS"),6))))))</f>
        <v>5</v>
      </c>
      <c r="K1670" s="16">
        <v>643.5</v>
      </c>
      <c r="M1670" s="17">
        <f t="shared" si="79"/>
        <v>296483.40999999992</v>
      </c>
      <c r="N1670" s="11">
        <f t="shared" si="80"/>
        <v>11</v>
      </c>
    </row>
    <row r="1671" spans="1:14" x14ac:dyDescent="0.25">
      <c r="A1671" s="11" t="s">
        <v>0</v>
      </c>
      <c r="B1671" s="12">
        <v>45237</v>
      </c>
      <c r="C1671" s="11" t="s">
        <v>688</v>
      </c>
      <c r="D1671" s="11" t="s">
        <v>701</v>
      </c>
      <c r="E1671" s="13" t="s">
        <v>484</v>
      </c>
      <c r="F1671" s="14" t="s">
        <v>35</v>
      </c>
      <c r="G1671" s="14" t="s">
        <v>404</v>
      </c>
      <c r="H1671" s="15" t="s">
        <v>522</v>
      </c>
      <c r="I1671" s="11">
        <f t="shared" si="81"/>
        <v>5</v>
      </c>
      <c r="K1671" s="16">
        <v>1496.4</v>
      </c>
      <c r="M1671" s="17">
        <f t="shared" si="79"/>
        <v>294987.00999999989</v>
      </c>
      <c r="N1671" s="11">
        <f t="shared" si="80"/>
        <v>11</v>
      </c>
    </row>
    <row r="1672" spans="1:14" x14ac:dyDescent="0.25">
      <c r="A1672" s="11" t="s">
        <v>0</v>
      </c>
      <c r="B1672" s="12">
        <v>45237</v>
      </c>
      <c r="C1672" s="11" t="s">
        <v>688</v>
      </c>
      <c r="D1672" s="11" t="s">
        <v>692</v>
      </c>
      <c r="E1672" s="13" t="s">
        <v>143</v>
      </c>
      <c r="F1672" s="14" t="s">
        <v>59</v>
      </c>
      <c r="G1672" s="14" t="s">
        <v>404</v>
      </c>
      <c r="H1672" s="15" t="s">
        <v>103</v>
      </c>
      <c r="I1672" s="11">
        <f t="shared" si="81"/>
        <v>5</v>
      </c>
      <c r="K1672" s="16">
        <v>1376.2</v>
      </c>
      <c r="M1672" s="17">
        <f t="shared" si="79"/>
        <v>293610.80999999988</v>
      </c>
      <c r="N1672" s="11">
        <f t="shared" si="80"/>
        <v>11</v>
      </c>
    </row>
    <row r="1673" spans="1:14" x14ac:dyDescent="0.25">
      <c r="A1673" s="11" t="s">
        <v>0</v>
      </c>
      <c r="B1673" s="12">
        <v>45237</v>
      </c>
      <c r="C1673" s="11" t="s">
        <v>688</v>
      </c>
      <c r="D1673" s="11" t="s">
        <v>692</v>
      </c>
      <c r="E1673" s="13" t="s">
        <v>108</v>
      </c>
      <c r="F1673" s="14" t="s">
        <v>107</v>
      </c>
      <c r="G1673" s="14" t="s">
        <v>173</v>
      </c>
      <c r="H1673" s="15">
        <v>8</v>
      </c>
      <c r="I1673" s="11">
        <f t="shared" si="81"/>
        <v>6</v>
      </c>
      <c r="K1673" s="16">
        <v>600</v>
      </c>
      <c r="M1673" s="17">
        <f t="shared" si="79"/>
        <v>293010.80999999988</v>
      </c>
      <c r="N1673" s="11">
        <f t="shared" si="80"/>
        <v>11</v>
      </c>
    </row>
    <row r="1674" spans="1:14" x14ac:dyDescent="0.25">
      <c r="A1674" s="11" t="s">
        <v>207</v>
      </c>
      <c r="B1674" s="12">
        <v>45237</v>
      </c>
      <c r="C1674" s="11" t="s">
        <v>688</v>
      </c>
      <c r="D1674" s="11" t="s">
        <v>43</v>
      </c>
      <c r="E1674" s="13">
        <v>45237</v>
      </c>
      <c r="F1674" s="14" t="s">
        <v>472</v>
      </c>
      <c r="G1674" s="14" t="s">
        <v>400</v>
      </c>
      <c r="I1674" s="11">
        <f t="shared" si="81"/>
        <v>2</v>
      </c>
      <c r="J1674" s="16">
        <v>157.6</v>
      </c>
      <c r="M1674" s="17">
        <f t="shared" si="79"/>
        <v>293168.40999999986</v>
      </c>
      <c r="N1674" s="11">
        <f t="shared" si="80"/>
        <v>11</v>
      </c>
    </row>
    <row r="1675" spans="1:14" x14ac:dyDescent="0.25">
      <c r="A1675" s="11" t="s">
        <v>0</v>
      </c>
      <c r="B1675" s="12">
        <v>45237</v>
      </c>
      <c r="C1675" s="11" t="s">
        <v>688</v>
      </c>
      <c r="D1675" s="11" t="s">
        <v>696</v>
      </c>
      <c r="E1675" s="13" t="s">
        <v>595</v>
      </c>
      <c r="F1675" s="14" t="s">
        <v>598</v>
      </c>
      <c r="G1675" s="14" t="s">
        <v>407</v>
      </c>
      <c r="H1675" s="15" t="s">
        <v>426</v>
      </c>
      <c r="I1675" s="11">
        <f t="shared" si="81"/>
        <v>4</v>
      </c>
      <c r="K1675" s="16">
        <v>350</v>
      </c>
      <c r="M1675" s="17">
        <f t="shared" si="79"/>
        <v>292818.40999999986</v>
      </c>
      <c r="N1675" s="11">
        <f t="shared" si="80"/>
        <v>11</v>
      </c>
    </row>
    <row r="1676" spans="1:14" x14ac:dyDescent="0.25">
      <c r="A1676" s="11" t="s">
        <v>207</v>
      </c>
      <c r="B1676" s="12">
        <v>45238</v>
      </c>
      <c r="C1676" s="11" t="s">
        <v>688</v>
      </c>
      <c r="D1676" s="11" t="s">
        <v>43</v>
      </c>
      <c r="E1676" s="13" t="s">
        <v>381</v>
      </c>
      <c r="F1676" s="14" t="s">
        <v>363</v>
      </c>
      <c r="G1676" s="14" t="s">
        <v>400</v>
      </c>
      <c r="I1676" s="11">
        <f t="shared" si="81"/>
        <v>2</v>
      </c>
      <c r="J1676" s="16">
        <v>73.290000000000006</v>
      </c>
      <c r="M1676" s="17">
        <f t="shared" si="79"/>
        <v>292891.69999999984</v>
      </c>
      <c r="N1676" s="11">
        <f t="shared" si="80"/>
        <v>11</v>
      </c>
    </row>
    <row r="1677" spans="1:14" x14ac:dyDescent="0.25">
      <c r="A1677" s="11" t="s">
        <v>207</v>
      </c>
      <c r="B1677" s="12">
        <v>45238</v>
      </c>
      <c r="C1677" s="11" t="s">
        <v>688</v>
      </c>
      <c r="D1677" s="11" t="s">
        <v>43</v>
      </c>
      <c r="E1677" s="13" t="s">
        <v>382</v>
      </c>
      <c r="F1677" s="14" t="s">
        <v>13</v>
      </c>
      <c r="G1677" s="14" t="s">
        <v>400</v>
      </c>
      <c r="I1677" s="11">
        <f t="shared" si="81"/>
        <v>2</v>
      </c>
      <c r="J1677" s="16">
        <v>831.73</v>
      </c>
      <c r="M1677" s="17">
        <f t="shared" si="79"/>
        <v>293723.42999999982</v>
      </c>
      <c r="N1677" s="11">
        <f t="shared" si="80"/>
        <v>11</v>
      </c>
    </row>
    <row r="1678" spans="1:14" x14ac:dyDescent="0.25">
      <c r="A1678" s="11" t="s">
        <v>207</v>
      </c>
      <c r="B1678" s="12">
        <v>45238</v>
      </c>
      <c r="C1678" s="11" t="s">
        <v>688</v>
      </c>
      <c r="D1678" s="11" t="s">
        <v>43</v>
      </c>
      <c r="E1678" s="13" t="s">
        <v>382</v>
      </c>
      <c r="F1678" s="14" t="s">
        <v>13</v>
      </c>
      <c r="G1678" s="14" t="s">
        <v>400</v>
      </c>
      <c r="I1678" s="11">
        <f t="shared" si="81"/>
        <v>2</v>
      </c>
      <c r="J1678" s="16">
        <v>40.28</v>
      </c>
      <c r="M1678" s="17">
        <f t="shared" si="79"/>
        <v>293763.70999999985</v>
      </c>
      <c r="N1678" s="11">
        <f t="shared" si="80"/>
        <v>11</v>
      </c>
    </row>
    <row r="1679" spans="1:14" x14ac:dyDescent="0.25">
      <c r="A1679" s="11" t="s">
        <v>207</v>
      </c>
      <c r="B1679" s="12">
        <v>45238</v>
      </c>
      <c r="C1679" s="11" t="s">
        <v>688</v>
      </c>
      <c r="D1679" s="11" t="s">
        <v>43</v>
      </c>
      <c r="E1679" s="13" t="s">
        <v>382</v>
      </c>
      <c r="F1679" s="14" t="s">
        <v>13</v>
      </c>
      <c r="G1679" s="14" t="s">
        <v>400</v>
      </c>
      <c r="I1679" s="11">
        <f t="shared" si="81"/>
        <v>2</v>
      </c>
      <c r="J1679" s="16">
        <v>66.42</v>
      </c>
      <c r="M1679" s="17">
        <f t="shared" si="79"/>
        <v>293830.12999999983</v>
      </c>
      <c r="N1679" s="11">
        <f t="shared" si="80"/>
        <v>11</v>
      </c>
    </row>
    <row r="1680" spans="1:14" x14ac:dyDescent="0.25">
      <c r="A1680" s="11" t="s">
        <v>0</v>
      </c>
      <c r="B1680" s="12">
        <v>45238</v>
      </c>
      <c r="C1680" s="11" t="s">
        <v>688</v>
      </c>
      <c r="D1680" s="11" t="s">
        <v>699</v>
      </c>
      <c r="E1680" s="13" t="s">
        <v>98</v>
      </c>
      <c r="F1680" s="14" t="s">
        <v>206</v>
      </c>
      <c r="G1680" s="14" t="s">
        <v>404</v>
      </c>
      <c r="H1680" s="15">
        <v>7504</v>
      </c>
      <c r="I1680" s="11">
        <f t="shared" si="81"/>
        <v>5</v>
      </c>
      <c r="K1680" s="16">
        <v>272.63</v>
      </c>
      <c r="M1680" s="17">
        <f t="shared" si="79"/>
        <v>293557.49999999983</v>
      </c>
      <c r="N1680" s="11">
        <f t="shared" si="80"/>
        <v>11</v>
      </c>
    </row>
    <row r="1681" spans="1:14" x14ac:dyDescent="0.25">
      <c r="A1681" s="11" t="s">
        <v>207</v>
      </c>
      <c r="B1681" s="12">
        <v>45238</v>
      </c>
      <c r="C1681" s="11" t="s">
        <v>688</v>
      </c>
      <c r="D1681" s="11" t="s">
        <v>43</v>
      </c>
      <c r="E1681" s="13" t="s">
        <v>80</v>
      </c>
      <c r="F1681" s="14" t="s">
        <v>79</v>
      </c>
      <c r="G1681" s="14" t="s">
        <v>400</v>
      </c>
      <c r="I1681" s="11">
        <f t="shared" si="81"/>
        <v>2</v>
      </c>
      <c r="J1681" s="16">
        <v>2527.98</v>
      </c>
      <c r="M1681" s="17">
        <f t="shared" si="79"/>
        <v>296085.47999999981</v>
      </c>
      <c r="N1681" s="11">
        <f t="shared" si="80"/>
        <v>11</v>
      </c>
    </row>
    <row r="1682" spans="1:14" x14ac:dyDescent="0.25">
      <c r="A1682" s="11" t="s">
        <v>207</v>
      </c>
      <c r="B1682" s="12">
        <v>45238</v>
      </c>
      <c r="C1682" s="11" t="s">
        <v>688</v>
      </c>
      <c r="D1682" s="11" t="s">
        <v>43</v>
      </c>
      <c r="E1682" s="13" t="s">
        <v>81</v>
      </c>
      <c r="F1682" s="14" t="s">
        <v>79</v>
      </c>
      <c r="G1682" s="14" t="s">
        <v>400</v>
      </c>
      <c r="I1682" s="11">
        <f t="shared" si="81"/>
        <v>2</v>
      </c>
      <c r="J1682" s="16">
        <v>2188.6999999999998</v>
      </c>
      <c r="M1682" s="17">
        <f t="shared" si="79"/>
        <v>298274.17999999982</v>
      </c>
      <c r="N1682" s="11">
        <f t="shared" si="80"/>
        <v>11</v>
      </c>
    </row>
    <row r="1683" spans="1:14" x14ac:dyDescent="0.25">
      <c r="A1683" s="11" t="s">
        <v>207</v>
      </c>
      <c r="B1683" s="12">
        <v>45238</v>
      </c>
      <c r="C1683" s="11" t="s">
        <v>688</v>
      </c>
      <c r="D1683" s="11" t="s">
        <v>43</v>
      </c>
      <c r="E1683" s="13" t="s">
        <v>83</v>
      </c>
      <c r="F1683" s="14" t="s">
        <v>79</v>
      </c>
      <c r="G1683" s="14" t="s">
        <v>400</v>
      </c>
      <c r="I1683" s="11">
        <f t="shared" si="81"/>
        <v>2</v>
      </c>
      <c r="J1683" s="16">
        <v>317.05</v>
      </c>
      <c r="M1683" s="17">
        <f t="shared" si="79"/>
        <v>298591.22999999981</v>
      </c>
      <c r="N1683" s="11">
        <f t="shared" si="80"/>
        <v>11</v>
      </c>
    </row>
    <row r="1684" spans="1:14" x14ac:dyDescent="0.25">
      <c r="A1684" s="11" t="s">
        <v>0</v>
      </c>
      <c r="B1684" s="12">
        <v>45238</v>
      </c>
      <c r="C1684" s="11" t="s">
        <v>688</v>
      </c>
      <c r="D1684" s="11" t="s">
        <v>694</v>
      </c>
      <c r="E1684" s="13" t="s">
        <v>182</v>
      </c>
      <c r="F1684" s="14" t="s">
        <v>365</v>
      </c>
      <c r="G1684" s="14" t="s">
        <v>402</v>
      </c>
      <c r="I1684" s="11">
        <f t="shared" si="81"/>
        <v>5</v>
      </c>
      <c r="K1684" s="16">
        <v>0.39</v>
      </c>
      <c r="M1684" s="17">
        <f t="shared" si="79"/>
        <v>298590.83999999979</v>
      </c>
      <c r="N1684" s="11">
        <f t="shared" si="80"/>
        <v>11</v>
      </c>
    </row>
    <row r="1685" spans="1:14" x14ac:dyDescent="0.25">
      <c r="A1685" s="11" t="s">
        <v>0</v>
      </c>
      <c r="B1685" s="12">
        <v>45238</v>
      </c>
      <c r="C1685" s="11" t="s">
        <v>688</v>
      </c>
      <c r="D1685" s="11" t="s">
        <v>694</v>
      </c>
      <c r="E1685" s="13" t="s">
        <v>182</v>
      </c>
      <c r="F1685" s="14" t="s">
        <v>23</v>
      </c>
      <c r="G1685" s="14" t="s">
        <v>402</v>
      </c>
      <c r="I1685" s="11">
        <f t="shared" si="81"/>
        <v>5</v>
      </c>
      <c r="K1685" s="16">
        <v>9.9</v>
      </c>
      <c r="M1685" s="17">
        <f t="shared" si="79"/>
        <v>298580.93999999977</v>
      </c>
      <c r="N1685" s="11">
        <f t="shared" si="80"/>
        <v>11</v>
      </c>
    </row>
    <row r="1686" spans="1:14" x14ac:dyDescent="0.25">
      <c r="A1686" s="11" t="s">
        <v>0</v>
      </c>
      <c r="B1686" s="12">
        <v>45238</v>
      </c>
      <c r="C1686" s="11" t="s">
        <v>688</v>
      </c>
      <c r="D1686" s="11" t="s">
        <v>692</v>
      </c>
      <c r="E1686" s="13" t="s">
        <v>179</v>
      </c>
      <c r="F1686" s="14" t="s">
        <v>28</v>
      </c>
      <c r="G1686" s="14" t="s">
        <v>404</v>
      </c>
      <c r="H1686" s="15">
        <v>44</v>
      </c>
      <c r="I1686" s="11">
        <f t="shared" si="81"/>
        <v>5</v>
      </c>
      <c r="K1686" s="16">
        <v>2556</v>
      </c>
      <c r="M1686" s="17">
        <f t="shared" si="79"/>
        <v>296024.93999999977</v>
      </c>
      <c r="N1686" s="11">
        <f t="shared" si="80"/>
        <v>11</v>
      </c>
    </row>
    <row r="1687" spans="1:14" x14ac:dyDescent="0.25">
      <c r="A1687" s="11" t="s">
        <v>0</v>
      </c>
      <c r="B1687" s="12">
        <v>45238</v>
      </c>
      <c r="C1687" s="11" t="s">
        <v>688</v>
      </c>
      <c r="D1687" s="11" t="s">
        <v>692</v>
      </c>
      <c r="E1687" s="13" t="s">
        <v>725</v>
      </c>
      <c r="F1687" s="14" t="s">
        <v>27</v>
      </c>
      <c r="G1687" s="14" t="s">
        <v>404</v>
      </c>
      <c r="H1687" s="15">
        <v>14188</v>
      </c>
      <c r="I1687" s="11">
        <f t="shared" si="81"/>
        <v>5</v>
      </c>
      <c r="K1687" s="16">
        <v>129.87</v>
      </c>
      <c r="M1687" s="17">
        <f t="shared" si="79"/>
        <v>295895.06999999977</v>
      </c>
      <c r="N1687" s="11">
        <f t="shared" si="80"/>
        <v>11</v>
      </c>
    </row>
    <row r="1688" spans="1:14" x14ac:dyDescent="0.25">
      <c r="A1688" s="11" t="s">
        <v>0</v>
      </c>
      <c r="B1688" s="12">
        <v>45238</v>
      </c>
      <c r="C1688" s="11" t="s">
        <v>688</v>
      </c>
      <c r="D1688" s="11" t="s">
        <v>692</v>
      </c>
      <c r="E1688" s="13" t="s">
        <v>725</v>
      </c>
      <c r="F1688" s="14" t="s">
        <v>27</v>
      </c>
      <c r="G1688" s="14" t="s">
        <v>404</v>
      </c>
      <c r="H1688" s="15">
        <v>14187</v>
      </c>
      <c r="I1688" s="11">
        <f t="shared" si="81"/>
        <v>5</v>
      </c>
      <c r="K1688" s="16">
        <v>1137.97</v>
      </c>
      <c r="M1688" s="17">
        <f t="shared" si="79"/>
        <v>294757.0999999998</v>
      </c>
      <c r="N1688" s="11">
        <f t="shared" si="80"/>
        <v>11</v>
      </c>
    </row>
    <row r="1689" spans="1:14" x14ac:dyDescent="0.25">
      <c r="A1689" s="11" t="s">
        <v>207</v>
      </c>
      <c r="B1689" s="12">
        <v>45238</v>
      </c>
      <c r="C1689" s="11" t="s">
        <v>688</v>
      </c>
      <c r="D1689" s="11" t="s">
        <v>43</v>
      </c>
      <c r="E1689" s="13">
        <v>45238</v>
      </c>
      <c r="F1689" s="14" t="s">
        <v>472</v>
      </c>
      <c r="G1689" s="14" t="s">
        <v>400</v>
      </c>
      <c r="I1689" s="11">
        <f t="shared" si="81"/>
        <v>2</v>
      </c>
      <c r="J1689" s="16">
        <v>57.2</v>
      </c>
      <c r="M1689" s="17">
        <f t="shared" si="79"/>
        <v>294814.29999999981</v>
      </c>
      <c r="N1689" s="11">
        <f t="shared" si="80"/>
        <v>11</v>
      </c>
    </row>
    <row r="1690" spans="1:14" x14ac:dyDescent="0.25">
      <c r="A1690" s="11" t="s">
        <v>0</v>
      </c>
      <c r="B1690" s="12">
        <v>45238</v>
      </c>
      <c r="C1690" s="11" t="s">
        <v>688</v>
      </c>
      <c r="D1690" s="11" t="s">
        <v>694</v>
      </c>
      <c r="E1690" s="13" t="s">
        <v>2</v>
      </c>
      <c r="F1690" s="14" t="s">
        <v>599</v>
      </c>
      <c r="G1690" s="14" t="s">
        <v>407</v>
      </c>
      <c r="H1690" s="15" t="s">
        <v>426</v>
      </c>
      <c r="I1690" s="11">
        <f t="shared" si="81"/>
        <v>4</v>
      </c>
      <c r="K1690" s="16">
        <v>87</v>
      </c>
      <c r="M1690" s="17">
        <f t="shared" si="79"/>
        <v>294727.29999999981</v>
      </c>
      <c r="N1690" s="11">
        <f t="shared" si="80"/>
        <v>11</v>
      </c>
    </row>
    <row r="1691" spans="1:14" x14ac:dyDescent="0.25">
      <c r="A1691" s="11" t="s">
        <v>207</v>
      </c>
      <c r="B1691" s="12">
        <v>45238</v>
      </c>
      <c r="C1691" s="11" t="s">
        <v>688</v>
      </c>
      <c r="D1691" s="11" t="s">
        <v>43</v>
      </c>
      <c r="E1691" s="14" t="s">
        <v>288</v>
      </c>
      <c r="F1691" s="14" t="s">
        <v>288</v>
      </c>
      <c r="G1691" s="14" t="s">
        <v>173</v>
      </c>
      <c r="I1691" s="11">
        <f t="shared" si="81"/>
        <v>3</v>
      </c>
      <c r="J1691" s="16">
        <v>2270</v>
      </c>
      <c r="M1691" s="17">
        <f t="shared" si="79"/>
        <v>296997.29999999981</v>
      </c>
      <c r="N1691" s="11">
        <f t="shared" si="80"/>
        <v>11</v>
      </c>
    </row>
    <row r="1692" spans="1:14" x14ac:dyDescent="0.25">
      <c r="A1692" s="11" t="s">
        <v>207</v>
      </c>
      <c r="B1692" s="12">
        <v>45238</v>
      </c>
      <c r="C1692" s="11" t="s">
        <v>688</v>
      </c>
      <c r="D1692" s="11" t="s">
        <v>43</v>
      </c>
      <c r="E1692" s="14" t="s">
        <v>429</v>
      </c>
      <c r="F1692" s="14" t="s">
        <v>429</v>
      </c>
      <c r="G1692" s="14" t="s">
        <v>428</v>
      </c>
      <c r="I1692" s="11">
        <f t="shared" si="81"/>
        <v>1</v>
      </c>
      <c r="J1692" s="16">
        <v>2142.1</v>
      </c>
      <c r="M1692" s="17">
        <f t="shared" si="79"/>
        <v>299139.39999999979</v>
      </c>
      <c r="N1692" s="11">
        <f t="shared" si="80"/>
        <v>11</v>
      </c>
    </row>
    <row r="1693" spans="1:14" x14ac:dyDescent="0.25">
      <c r="A1693" s="11" t="s">
        <v>207</v>
      </c>
      <c r="B1693" s="12">
        <v>45239</v>
      </c>
      <c r="C1693" s="11" t="s">
        <v>662</v>
      </c>
      <c r="D1693" s="11" t="s">
        <v>43</v>
      </c>
      <c r="E1693" s="14" t="s">
        <v>288</v>
      </c>
      <c r="F1693" s="14" t="s">
        <v>288</v>
      </c>
      <c r="G1693" s="14" t="s">
        <v>173</v>
      </c>
      <c r="I1693" s="11">
        <f t="shared" si="81"/>
        <v>3</v>
      </c>
      <c r="J1693" s="16">
        <v>1150</v>
      </c>
      <c r="M1693" s="17">
        <f t="shared" si="79"/>
        <v>300289.39999999979</v>
      </c>
      <c r="N1693" s="11">
        <f t="shared" si="80"/>
        <v>11</v>
      </c>
    </row>
    <row r="1694" spans="1:14" x14ac:dyDescent="0.25">
      <c r="A1694" s="11" t="s">
        <v>207</v>
      </c>
      <c r="B1694" s="12">
        <v>45239</v>
      </c>
      <c r="C1694" s="11" t="s">
        <v>688</v>
      </c>
      <c r="D1694" s="11" t="s">
        <v>43</v>
      </c>
      <c r="E1694" s="14" t="s">
        <v>288</v>
      </c>
      <c r="F1694" s="14" t="s">
        <v>288</v>
      </c>
      <c r="G1694" s="14" t="s">
        <v>173</v>
      </c>
      <c r="I1694" s="11">
        <f t="shared" si="81"/>
        <v>3</v>
      </c>
      <c r="J1694" s="16">
        <v>2120</v>
      </c>
      <c r="M1694" s="17">
        <f t="shared" si="79"/>
        <v>302409.39999999979</v>
      </c>
      <c r="N1694" s="11">
        <f t="shared" si="80"/>
        <v>11</v>
      </c>
    </row>
    <row r="1695" spans="1:14" x14ac:dyDescent="0.25">
      <c r="A1695" s="11" t="s">
        <v>207</v>
      </c>
      <c r="B1695" s="12">
        <v>45239</v>
      </c>
      <c r="C1695" s="11" t="s">
        <v>688</v>
      </c>
      <c r="D1695" s="11" t="s">
        <v>43</v>
      </c>
      <c r="E1695" s="14" t="s">
        <v>429</v>
      </c>
      <c r="F1695" s="14" t="s">
        <v>429</v>
      </c>
      <c r="G1695" s="14" t="s">
        <v>428</v>
      </c>
      <c r="I1695" s="11">
        <f t="shared" si="81"/>
        <v>1</v>
      </c>
      <c r="J1695" s="16">
        <v>3634</v>
      </c>
      <c r="M1695" s="17">
        <f t="shared" si="79"/>
        <v>306043.39999999979</v>
      </c>
      <c r="N1695" s="11">
        <f t="shared" si="80"/>
        <v>11</v>
      </c>
    </row>
    <row r="1696" spans="1:14" x14ac:dyDescent="0.25">
      <c r="A1696" s="11" t="s">
        <v>207</v>
      </c>
      <c r="B1696" s="12">
        <v>45239</v>
      </c>
      <c r="C1696" s="11" t="s">
        <v>688</v>
      </c>
      <c r="D1696" s="11" t="s">
        <v>43</v>
      </c>
      <c r="E1696" s="13" t="s">
        <v>80</v>
      </c>
      <c r="F1696" s="14" t="s">
        <v>79</v>
      </c>
      <c r="G1696" s="14" t="s">
        <v>400</v>
      </c>
      <c r="I1696" s="11">
        <f t="shared" si="81"/>
        <v>2</v>
      </c>
      <c r="J1696" s="16">
        <v>4407.8100000000004</v>
      </c>
      <c r="M1696" s="17">
        <f t="shared" si="79"/>
        <v>310451.20999999979</v>
      </c>
      <c r="N1696" s="11">
        <f t="shared" si="80"/>
        <v>11</v>
      </c>
    </row>
    <row r="1697" spans="1:14" x14ac:dyDescent="0.25">
      <c r="A1697" s="11" t="s">
        <v>207</v>
      </c>
      <c r="B1697" s="12">
        <v>45239</v>
      </c>
      <c r="C1697" s="11" t="s">
        <v>688</v>
      </c>
      <c r="D1697" s="11" t="s">
        <v>43</v>
      </c>
      <c r="E1697" s="13" t="s">
        <v>81</v>
      </c>
      <c r="F1697" s="14" t="s">
        <v>79</v>
      </c>
      <c r="G1697" s="14" t="s">
        <v>400</v>
      </c>
      <c r="I1697" s="11">
        <f t="shared" si="81"/>
        <v>2</v>
      </c>
      <c r="J1697" s="16">
        <v>3279.95</v>
      </c>
      <c r="M1697" s="17">
        <f t="shared" si="79"/>
        <v>313731.1599999998</v>
      </c>
      <c r="N1697" s="11">
        <f t="shared" si="80"/>
        <v>11</v>
      </c>
    </row>
    <row r="1698" spans="1:14" x14ac:dyDescent="0.25">
      <c r="A1698" s="11" t="s">
        <v>207</v>
      </c>
      <c r="B1698" s="12">
        <v>45239</v>
      </c>
      <c r="C1698" s="11" t="s">
        <v>688</v>
      </c>
      <c r="D1698" s="11" t="s">
        <v>43</v>
      </c>
      <c r="E1698" s="13" t="s">
        <v>83</v>
      </c>
      <c r="F1698" s="14" t="s">
        <v>79</v>
      </c>
      <c r="G1698" s="14" t="s">
        <v>400</v>
      </c>
      <c r="I1698" s="11">
        <f t="shared" si="81"/>
        <v>2</v>
      </c>
      <c r="J1698" s="16">
        <v>185.62</v>
      </c>
      <c r="M1698" s="17">
        <f t="shared" si="79"/>
        <v>313916.7799999998</v>
      </c>
      <c r="N1698" s="11">
        <f t="shared" si="80"/>
        <v>11</v>
      </c>
    </row>
    <row r="1699" spans="1:14" x14ac:dyDescent="0.25">
      <c r="A1699" s="11" t="s">
        <v>207</v>
      </c>
      <c r="B1699" s="12">
        <v>45239</v>
      </c>
      <c r="C1699" s="11" t="s">
        <v>688</v>
      </c>
      <c r="D1699" s="11" t="s">
        <v>43</v>
      </c>
      <c r="E1699" s="13" t="s">
        <v>382</v>
      </c>
      <c r="F1699" s="14" t="s">
        <v>13</v>
      </c>
      <c r="G1699" s="14" t="s">
        <v>400</v>
      </c>
      <c r="I1699" s="11">
        <f t="shared" si="81"/>
        <v>2</v>
      </c>
      <c r="J1699" s="16">
        <v>96.01</v>
      </c>
      <c r="M1699" s="17">
        <f t="shared" si="79"/>
        <v>314012.7899999998</v>
      </c>
      <c r="N1699" s="11">
        <f t="shared" si="80"/>
        <v>11</v>
      </c>
    </row>
    <row r="1700" spans="1:14" x14ac:dyDescent="0.25">
      <c r="A1700" s="11" t="s">
        <v>207</v>
      </c>
      <c r="B1700" s="12">
        <v>45239</v>
      </c>
      <c r="C1700" s="11" t="s">
        <v>688</v>
      </c>
      <c r="D1700" s="11" t="s">
        <v>43</v>
      </c>
      <c r="E1700" s="13" t="s">
        <v>382</v>
      </c>
      <c r="F1700" s="14" t="s">
        <v>13</v>
      </c>
      <c r="G1700" s="14" t="s">
        <v>400</v>
      </c>
      <c r="I1700" s="11">
        <f t="shared" si="81"/>
        <v>2</v>
      </c>
      <c r="J1700" s="16">
        <v>1209.04</v>
      </c>
      <c r="M1700" s="17">
        <f t="shared" si="79"/>
        <v>315221.82999999978</v>
      </c>
      <c r="N1700" s="11">
        <f t="shared" si="80"/>
        <v>11</v>
      </c>
    </row>
    <row r="1701" spans="1:14" x14ac:dyDescent="0.25">
      <c r="A1701" s="11" t="s">
        <v>207</v>
      </c>
      <c r="B1701" s="12">
        <v>45239</v>
      </c>
      <c r="C1701" s="11" t="s">
        <v>688</v>
      </c>
      <c r="D1701" s="11" t="s">
        <v>43</v>
      </c>
      <c r="E1701" s="13" t="s">
        <v>382</v>
      </c>
      <c r="F1701" s="14" t="s">
        <v>13</v>
      </c>
      <c r="G1701" s="14" t="s">
        <v>400</v>
      </c>
      <c r="I1701" s="11">
        <f t="shared" si="81"/>
        <v>2</v>
      </c>
      <c r="J1701" s="16">
        <v>136.88</v>
      </c>
      <c r="M1701" s="17">
        <f t="shared" si="79"/>
        <v>315358.70999999979</v>
      </c>
      <c r="N1701" s="11">
        <f t="shared" si="80"/>
        <v>11</v>
      </c>
    </row>
    <row r="1702" spans="1:14" x14ac:dyDescent="0.25">
      <c r="A1702" s="11" t="s">
        <v>0</v>
      </c>
      <c r="B1702" s="12">
        <v>45239</v>
      </c>
      <c r="C1702" s="11" t="s">
        <v>688</v>
      </c>
      <c r="D1702" s="11" t="s">
        <v>694</v>
      </c>
      <c r="E1702" s="13" t="s">
        <v>182</v>
      </c>
      <c r="F1702" s="14" t="s">
        <v>365</v>
      </c>
      <c r="G1702" s="14" t="s">
        <v>402</v>
      </c>
      <c r="I1702" s="11">
        <f t="shared" si="81"/>
        <v>5</v>
      </c>
      <c r="K1702" s="16">
        <v>5.3</v>
      </c>
      <c r="M1702" s="17">
        <f t="shared" si="79"/>
        <v>315353.4099999998</v>
      </c>
      <c r="N1702" s="11">
        <f t="shared" si="80"/>
        <v>11</v>
      </c>
    </row>
    <row r="1703" spans="1:14" x14ac:dyDescent="0.25">
      <c r="A1703" s="11" t="s">
        <v>0</v>
      </c>
      <c r="B1703" s="12">
        <v>45239</v>
      </c>
      <c r="C1703" s="11" t="s">
        <v>688</v>
      </c>
      <c r="D1703" s="11" t="s">
        <v>694</v>
      </c>
      <c r="E1703" s="13" t="s">
        <v>182</v>
      </c>
      <c r="F1703" s="14" t="s">
        <v>23</v>
      </c>
      <c r="G1703" s="14" t="s">
        <v>402</v>
      </c>
      <c r="I1703" s="11">
        <f t="shared" si="81"/>
        <v>5</v>
      </c>
      <c r="K1703" s="16">
        <v>30.47</v>
      </c>
      <c r="M1703" s="17">
        <f t="shared" si="79"/>
        <v>315322.93999999983</v>
      </c>
      <c r="N1703" s="11">
        <f t="shared" si="80"/>
        <v>11</v>
      </c>
    </row>
    <row r="1704" spans="1:14" x14ac:dyDescent="0.25">
      <c r="A1704" s="11" t="s">
        <v>207</v>
      </c>
      <c r="B1704" s="12">
        <v>45239</v>
      </c>
      <c r="C1704" s="11" t="s">
        <v>688</v>
      </c>
      <c r="D1704" s="11" t="s">
        <v>43</v>
      </c>
      <c r="E1704" s="13">
        <v>45239</v>
      </c>
      <c r="F1704" s="14" t="s">
        <v>472</v>
      </c>
      <c r="G1704" s="14" t="s">
        <v>400</v>
      </c>
      <c r="I1704" s="11">
        <f t="shared" si="81"/>
        <v>2</v>
      </c>
      <c r="J1704" s="16">
        <v>771.19</v>
      </c>
      <c r="M1704" s="17">
        <f t="shared" si="79"/>
        <v>316094.12999999983</v>
      </c>
      <c r="N1704" s="11">
        <f t="shared" si="80"/>
        <v>11</v>
      </c>
    </row>
    <row r="1705" spans="1:14" x14ac:dyDescent="0.25">
      <c r="A1705" s="11" t="s">
        <v>0</v>
      </c>
      <c r="B1705" s="12">
        <v>45239</v>
      </c>
      <c r="C1705" s="11" t="s">
        <v>688</v>
      </c>
      <c r="D1705" s="11" t="s">
        <v>698</v>
      </c>
      <c r="E1705" s="13" t="s">
        <v>489</v>
      </c>
      <c r="F1705" s="14" t="s">
        <v>393</v>
      </c>
      <c r="G1705" s="14" t="s">
        <v>404</v>
      </c>
      <c r="H1705" s="15" t="s">
        <v>476</v>
      </c>
      <c r="I1705" s="11">
        <f t="shared" si="81"/>
        <v>5</v>
      </c>
      <c r="K1705" s="16">
        <v>294.26</v>
      </c>
      <c r="M1705" s="17">
        <f t="shared" si="79"/>
        <v>315799.86999999982</v>
      </c>
      <c r="N1705" s="11">
        <f t="shared" si="80"/>
        <v>11</v>
      </c>
    </row>
    <row r="1706" spans="1:14" x14ac:dyDescent="0.25">
      <c r="A1706" s="11" t="s">
        <v>0</v>
      </c>
      <c r="B1706" s="12">
        <v>45239</v>
      </c>
      <c r="C1706" s="11" t="s">
        <v>688</v>
      </c>
      <c r="D1706" s="11" t="s">
        <v>692</v>
      </c>
      <c r="E1706" s="13" t="s">
        <v>724</v>
      </c>
      <c r="F1706" s="14" t="s">
        <v>119</v>
      </c>
      <c r="G1706" s="14" t="s">
        <v>404</v>
      </c>
      <c r="H1706" s="15" t="s">
        <v>437</v>
      </c>
      <c r="I1706" s="11">
        <f t="shared" si="81"/>
        <v>5</v>
      </c>
      <c r="K1706" s="16">
        <v>5592.78</v>
      </c>
      <c r="M1706" s="17">
        <f t="shared" si="79"/>
        <v>310207.08999999979</v>
      </c>
      <c r="N1706" s="11">
        <f t="shared" si="80"/>
        <v>11</v>
      </c>
    </row>
    <row r="1707" spans="1:14" x14ac:dyDescent="0.25">
      <c r="A1707" s="11" t="s">
        <v>0</v>
      </c>
      <c r="B1707" s="12">
        <v>45239</v>
      </c>
      <c r="C1707" s="11" t="s">
        <v>688</v>
      </c>
      <c r="D1707" s="11" t="s">
        <v>47</v>
      </c>
      <c r="E1707" s="13" t="s">
        <v>387</v>
      </c>
      <c r="F1707" s="14" t="s">
        <v>474</v>
      </c>
      <c r="G1707" s="14" t="s">
        <v>404</v>
      </c>
      <c r="H1707" s="15">
        <v>4</v>
      </c>
      <c r="I1707" s="11">
        <f t="shared" si="81"/>
        <v>5</v>
      </c>
      <c r="K1707" s="16">
        <v>200</v>
      </c>
      <c r="M1707" s="17">
        <f t="shared" si="79"/>
        <v>310007.08999999979</v>
      </c>
      <c r="N1707" s="11">
        <f t="shared" si="80"/>
        <v>11</v>
      </c>
    </row>
    <row r="1708" spans="1:14" x14ac:dyDescent="0.25">
      <c r="A1708" s="11" t="s">
        <v>0</v>
      </c>
      <c r="B1708" s="12">
        <v>45239</v>
      </c>
      <c r="C1708" s="11" t="s">
        <v>688</v>
      </c>
      <c r="D1708" s="11" t="s">
        <v>692</v>
      </c>
      <c r="E1708" s="13" t="s">
        <v>725</v>
      </c>
      <c r="F1708" s="14" t="s">
        <v>33</v>
      </c>
      <c r="G1708" s="14" t="s">
        <v>404</v>
      </c>
      <c r="H1708" s="15">
        <v>25160</v>
      </c>
      <c r="I1708" s="11">
        <f t="shared" si="81"/>
        <v>5</v>
      </c>
      <c r="K1708" s="16">
        <v>563.47</v>
      </c>
      <c r="M1708" s="17">
        <f t="shared" si="79"/>
        <v>309443.61999999982</v>
      </c>
      <c r="N1708" s="11">
        <f t="shared" si="80"/>
        <v>11</v>
      </c>
    </row>
    <row r="1709" spans="1:14" x14ac:dyDescent="0.25">
      <c r="A1709" s="11" t="s">
        <v>0</v>
      </c>
      <c r="B1709" s="12">
        <v>45239</v>
      </c>
      <c r="C1709" s="11" t="s">
        <v>688</v>
      </c>
      <c r="D1709" s="11" t="s">
        <v>698</v>
      </c>
      <c r="E1709" s="13" t="s">
        <v>491</v>
      </c>
      <c r="F1709" s="14" t="s">
        <v>490</v>
      </c>
      <c r="G1709" s="14" t="s">
        <v>404</v>
      </c>
      <c r="H1709" s="15" t="s">
        <v>20</v>
      </c>
      <c r="I1709" s="11">
        <f t="shared" si="81"/>
        <v>5</v>
      </c>
      <c r="K1709" s="16">
        <v>35</v>
      </c>
      <c r="M1709" s="17">
        <f t="shared" si="79"/>
        <v>309408.61999999982</v>
      </c>
      <c r="N1709" s="11">
        <f t="shared" si="80"/>
        <v>11</v>
      </c>
    </row>
    <row r="1710" spans="1:14" x14ac:dyDescent="0.25">
      <c r="A1710" s="11" t="s">
        <v>0</v>
      </c>
      <c r="B1710" s="12">
        <v>45239</v>
      </c>
      <c r="C1710" s="11" t="s">
        <v>688</v>
      </c>
      <c r="D1710" s="11" t="s">
        <v>692</v>
      </c>
      <c r="E1710" s="13" t="s">
        <v>108</v>
      </c>
      <c r="F1710" s="14" t="s">
        <v>107</v>
      </c>
      <c r="G1710" s="14" t="s">
        <v>173</v>
      </c>
      <c r="H1710" s="15">
        <v>8</v>
      </c>
      <c r="I1710" s="11">
        <f t="shared" si="81"/>
        <v>6</v>
      </c>
      <c r="K1710" s="16">
        <v>600</v>
      </c>
      <c r="M1710" s="17">
        <f t="shared" si="79"/>
        <v>308808.61999999982</v>
      </c>
      <c r="N1710" s="11">
        <f t="shared" si="80"/>
        <v>11</v>
      </c>
    </row>
    <row r="1711" spans="1:14" x14ac:dyDescent="0.25">
      <c r="A1711" s="11" t="s">
        <v>207</v>
      </c>
      <c r="B1711" s="12">
        <v>45240</v>
      </c>
      <c r="C1711" s="11" t="s">
        <v>688</v>
      </c>
      <c r="D1711" s="11" t="s">
        <v>43</v>
      </c>
      <c r="E1711" s="14" t="s">
        <v>288</v>
      </c>
      <c r="F1711" s="14" t="s">
        <v>288</v>
      </c>
      <c r="G1711" s="14" t="s">
        <v>173</v>
      </c>
      <c r="I1711" s="11">
        <f t="shared" si="81"/>
        <v>3</v>
      </c>
      <c r="J1711" s="16">
        <v>2400</v>
      </c>
      <c r="M1711" s="17">
        <f t="shared" si="79"/>
        <v>311208.61999999982</v>
      </c>
      <c r="N1711" s="11">
        <f t="shared" si="80"/>
        <v>11</v>
      </c>
    </row>
    <row r="1712" spans="1:14" x14ac:dyDescent="0.25">
      <c r="A1712" s="11" t="s">
        <v>207</v>
      </c>
      <c r="B1712" s="12">
        <v>45240</v>
      </c>
      <c r="C1712" s="11" t="s">
        <v>688</v>
      </c>
      <c r="D1712" s="11" t="s">
        <v>43</v>
      </c>
      <c r="E1712" s="14" t="s">
        <v>429</v>
      </c>
      <c r="F1712" s="14" t="s">
        <v>429</v>
      </c>
      <c r="G1712" s="14" t="s">
        <v>428</v>
      </c>
      <c r="I1712" s="11">
        <f t="shared" si="81"/>
        <v>1</v>
      </c>
      <c r="J1712" s="16">
        <v>4695.2</v>
      </c>
      <c r="M1712" s="17">
        <f t="shared" si="79"/>
        <v>315903.81999999983</v>
      </c>
      <c r="N1712" s="11">
        <f t="shared" si="80"/>
        <v>11</v>
      </c>
    </row>
    <row r="1713" spans="1:14" x14ac:dyDescent="0.25">
      <c r="A1713" s="11" t="s">
        <v>207</v>
      </c>
      <c r="B1713" s="12">
        <v>45240</v>
      </c>
      <c r="C1713" s="11" t="s">
        <v>688</v>
      </c>
      <c r="D1713" s="11" t="s">
        <v>43</v>
      </c>
      <c r="E1713" s="13" t="s">
        <v>80</v>
      </c>
      <c r="F1713" s="14" t="s">
        <v>79</v>
      </c>
      <c r="G1713" s="14" t="s">
        <v>400</v>
      </c>
      <c r="I1713" s="11">
        <f t="shared" si="81"/>
        <v>2</v>
      </c>
      <c r="J1713" s="16">
        <v>4876.25</v>
      </c>
      <c r="M1713" s="17">
        <f t="shared" si="79"/>
        <v>320780.06999999983</v>
      </c>
      <c r="N1713" s="11">
        <f t="shared" si="80"/>
        <v>11</v>
      </c>
    </row>
    <row r="1714" spans="1:14" x14ac:dyDescent="0.25">
      <c r="A1714" s="11" t="s">
        <v>207</v>
      </c>
      <c r="B1714" s="12">
        <v>45240</v>
      </c>
      <c r="C1714" s="11" t="s">
        <v>688</v>
      </c>
      <c r="D1714" s="11" t="s">
        <v>43</v>
      </c>
      <c r="E1714" s="13" t="s">
        <v>81</v>
      </c>
      <c r="F1714" s="14" t="s">
        <v>79</v>
      </c>
      <c r="G1714" s="14" t="s">
        <v>400</v>
      </c>
      <c r="I1714" s="11">
        <f t="shared" si="81"/>
        <v>2</v>
      </c>
      <c r="J1714" s="16">
        <v>4433.32</v>
      </c>
      <c r="M1714" s="17">
        <f t="shared" si="79"/>
        <v>325213.38999999984</v>
      </c>
      <c r="N1714" s="11">
        <f t="shared" si="80"/>
        <v>11</v>
      </c>
    </row>
    <row r="1715" spans="1:14" x14ac:dyDescent="0.25">
      <c r="A1715" s="11" t="s">
        <v>207</v>
      </c>
      <c r="B1715" s="12">
        <v>45240</v>
      </c>
      <c r="C1715" s="11" t="s">
        <v>688</v>
      </c>
      <c r="D1715" s="11" t="s">
        <v>43</v>
      </c>
      <c r="E1715" s="13" t="s">
        <v>381</v>
      </c>
      <c r="F1715" s="14" t="s">
        <v>363</v>
      </c>
      <c r="G1715" s="14" t="s">
        <v>400</v>
      </c>
      <c r="I1715" s="11">
        <f t="shared" si="81"/>
        <v>2</v>
      </c>
      <c r="J1715" s="16">
        <v>15.09</v>
      </c>
      <c r="M1715" s="17">
        <f t="shared" si="79"/>
        <v>325228.47999999986</v>
      </c>
      <c r="N1715" s="11">
        <f t="shared" si="80"/>
        <v>11</v>
      </c>
    </row>
    <row r="1716" spans="1:14" x14ac:dyDescent="0.25">
      <c r="A1716" s="11" t="s">
        <v>207</v>
      </c>
      <c r="B1716" s="12">
        <v>45240</v>
      </c>
      <c r="C1716" s="11" t="s">
        <v>688</v>
      </c>
      <c r="D1716" s="11" t="s">
        <v>43</v>
      </c>
      <c r="E1716" s="13" t="s">
        <v>382</v>
      </c>
      <c r="F1716" s="14" t="s">
        <v>13</v>
      </c>
      <c r="G1716" s="14" t="s">
        <v>400</v>
      </c>
      <c r="I1716" s="11">
        <f t="shared" si="81"/>
        <v>2</v>
      </c>
      <c r="J1716" s="16">
        <v>135.01</v>
      </c>
      <c r="M1716" s="17">
        <f t="shared" si="79"/>
        <v>325363.48999999987</v>
      </c>
      <c r="N1716" s="11">
        <f t="shared" si="80"/>
        <v>11</v>
      </c>
    </row>
    <row r="1717" spans="1:14" x14ac:dyDescent="0.25">
      <c r="A1717" s="11" t="s">
        <v>207</v>
      </c>
      <c r="B1717" s="12">
        <v>45240</v>
      </c>
      <c r="C1717" s="11" t="s">
        <v>688</v>
      </c>
      <c r="D1717" s="11" t="s">
        <v>43</v>
      </c>
      <c r="E1717" s="13" t="s">
        <v>382</v>
      </c>
      <c r="F1717" s="14" t="s">
        <v>13</v>
      </c>
      <c r="G1717" s="14" t="s">
        <v>400</v>
      </c>
      <c r="I1717" s="11">
        <f t="shared" si="81"/>
        <v>2</v>
      </c>
      <c r="J1717" s="16">
        <v>886.07</v>
      </c>
      <c r="M1717" s="17">
        <f t="shared" si="79"/>
        <v>326249.55999999988</v>
      </c>
      <c r="N1717" s="11">
        <f t="shared" si="80"/>
        <v>11</v>
      </c>
    </row>
    <row r="1718" spans="1:14" x14ac:dyDescent="0.25">
      <c r="A1718" s="11" t="s">
        <v>207</v>
      </c>
      <c r="B1718" s="12">
        <v>45240</v>
      </c>
      <c r="C1718" s="11" t="s">
        <v>688</v>
      </c>
      <c r="D1718" s="11" t="s">
        <v>43</v>
      </c>
      <c r="E1718" s="13" t="s">
        <v>382</v>
      </c>
      <c r="F1718" s="14" t="s">
        <v>13</v>
      </c>
      <c r="G1718" s="14" t="s">
        <v>400</v>
      </c>
      <c r="I1718" s="11">
        <f t="shared" si="81"/>
        <v>2</v>
      </c>
      <c r="J1718" s="16">
        <v>71.13</v>
      </c>
      <c r="M1718" s="17">
        <f t="shared" si="79"/>
        <v>326320.68999999989</v>
      </c>
      <c r="N1718" s="11">
        <f t="shared" si="80"/>
        <v>11</v>
      </c>
    </row>
    <row r="1719" spans="1:14" x14ac:dyDescent="0.25">
      <c r="A1719" s="11" t="s">
        <v>207</v>
      </c>
      <c r="B1719" s="12">
        <v>45240</v>
      </c>
      <c r="C1719" s="11" t="s">
        <v>688</v>
      </c>
      <c r="D1719" s="11" t="s">
        <v>43</v>
      </c>
      <c r="E1719" s="13" t="s">
        <v>382</v>
      </c>
      <c r="F1719" s="14" t="s">
        <v>13</v>
      </c>
      <c r="G1719" s="14" t="s">
        <v>400</v>
      </c>
      <c r="I1719" s="11">
        <f t="shared" si="81"/>
        <v>2</v>
      </c>
      <c r="J1719" s="16">
        <v>368.8</v>
      </c>
      <c r="M1719" s="17">
        <f t="shared" si="79"/>
        <v>326689.48999999987</v>
      </c>
      <c r="N1719" s="11">
        <f t="shared" si="80"/>
        <v>11</v>
      </c>
    </row>
    <row r="1720" spans="1:14" x14ac:dyDescent="0.25">
      <c r="A1720" s="11" t="s">
        <v>0</v>
      </c>
      <c r="B1720" s="12">
        <v>45240</v>
      </c>
      <c r="C1720" s="11" t="s">
        <v>688</v>
      </c>
      <c r="D1720" s="11" t="s">
        <v>694</v>
      </c>
      <c r="E1720" s="13" t="s">
        <v>182</v>
      </c>
      <c r="F1720" s="14" t="s">
        <v>365</v>
      </c>
      <c r="G1720" s="14" t="s">
        <v>402</v>
      </c>
      <c r="I1720" s="11">
        <f t="shared" si="81"/>
        <v>5</v>
      </c>
      <c r="K1720" s="16">
        <v>1.07</v>
      </c>
      <c r="M1720" s="17">
        <f t="shared" si="79"/>
        <v>326688.41999999987</v>
      </c>
      <c r="N1720" s="11">
        <f t="shared" si="80"/>
        <v>11</v>
      </c>
    </row>
    <row r="1721" spans="1:14" x14ac:dyDescent="0.25">
      <c r="A1721" s="11" t="s">
        <v>0</v>
      </c>
      <c r="B1721" s="12">
        <v>45240</v>
      </c>
      <c r="C1721" s="11" t="s">
        <v>688</v>
      </c>
      <c r="D1721" s="11" t="s">
        <v>694</v>
      </c>
      <c r="E1721" s="13" t="s">
        <v>182</v>
      </c>
      <c r="F1721" s="14" t="s">
        <v>23</v>
      </c>
      <c r="G1721" s="14" t="s">
        <v>402</v>
      </c>
      <c r="I1721" s="11">
        <f t="shared" si="81"/>
        <v>5</v>
      </c>
      <c r="K1721" s="16">
        <v>20.93</v>
      </c>
      <c r="M1721" s="17">
        <f t="shared" si="79"/>
        <v>326667.48999999987</v>
      </c>
      <c r="N1721" s="11">
        <f t="shared" si="80"/>
        <v>11</v>
      </c>
    </row>
    <row r="1722" spans="1:14" x14ac:dyDescent="0.25">
      <c r="A1722" s="11" t="s">
        <v>207</v>
      </c>
      <c r="B1722" s="12">
        <v>45240</v>
      </c>
      <c r="C1722" s="11" t="s">
        <v>662</v>
      </c>
      <c r="D1722" s="11" t="s">
        <v>43</v>
      </c>
      <c r="E1722" s="13">
        <v>45240</v>
      </c>
      <c r="F1722" s="14" t="s">
        <v>472</v>
      </c>
      <c r="G1722" s="14" t="s">
        <v>400</v>
      </c>
      <c r="I1722" s="11">
        <f t="shared" si="81"/>
        <v>2</v>
      </c>
      <c r="J1722" s="16">
        <v>154.5</v>
      </c>
      <c r="M1722" s="17">
        <f t="shared" si="79"/>
        <v>326821.98999999987</v>
      </c>
      <c r="N1722" s="11">
        <f t="shared" si="80"/>
        <v>11</v>
      </c>
    </row>
    <row r="1723" spans="1:14" x14ac:dyDescent="0.25">
      <c r="A1723" s="11" t="s">
        <v>0</v>
      </c>
      <c r="B1723" s="12">
        <v>45240</v>
      </c>
      <c r="C1723" s="11" t="s">
        <v>688</v>
      </c>
      <c r="D1723" s="11" t="s">
        <v>692</v>
      </c>
      <c r="E1723" s="13" t="s">
        <v>492</v>
      </c>
      <c r="F1723" s="14" t="s">
        <v>111</v>
      </c>
      <c r="G1723" s="14" t="s">
        <v>404</v>
      </c>
      <c r="H1723" s="15" t="s">
        <v>517</v>
      </c>
      <c r="I1723" s="11">
        <f t="shared" si="81"/>
        <v>5</v>
      </c>
      <c r="K1723" s="16">
        <v>4462</v>
      </c>
      <c r="M1723" s="17">
        <f t="shared" si="79"/>
        <v>322359.98999999987</v>
      </c>
      <c r="N1723" s="11">
        <f t="shared" si="80"/>
        <v>11</v>
      </c>
    </row>
    <row r="1724" spans="1:14" x14ac:dyDescent="0.25">
      <c r="A1724" s="11" t="s">
        <v>0</v>
      </c>
      <c r="B1724" s="12">
        <v>45240</v>
      </c>
      <c r="C1724" s="11" t="s">
        <v>688</v>
      </c>
      <c r="D1724" s="11" t="s">
        <v>701</v>
      </c>
      <c r="E1724" s="13" t="s">
        <v>728</v>
      </c>
      <c r="F1724" s="14" t="s">
        <v>676</v>
      </c>
      <c r="G1724" s="14" t="s">
        <v>404</v>
      </c>
      <c r="H1724" s="15">
        <v>4</v>
      </c>
      <c r="I1724" s="11">
        <f t="shared" si="81"/>
        <v>5</v>
      </c>
      <c r="K1724" s="16">
        <v>525.70000000000005</v>
      </c>
      <c r="M1724" s="17">
        <f t="shared" si="79"/>
        <v>321834.28999999986</v>
      </c>
      <c r="N1724" s="11">
        <f t="shared" si="80"/>
        <v>11</v>
      </c>
    </row>
    <row r="1725" spans="1:14" x14ac:dyDescent="0.25">
      <c r="A1725" s="11" t="s">
        <v>0</v>
      </c>
      <c r="B1725" s="12">
        <v>45240</v>
      </c>
      <c r="C1725" s="11" t="s">
        <v>688</v>
      </c>
      <c r="D1725" s="11" t="s">
        <v>47</v>
      </c>
      <c r="E1725" s="13" t="s">
        <v>494</v>
      </c>
      <c r="F1725" s="14" t="s">
        <v>493</v>
      </c>
      <c r="G1725" s="14" t="s">
        <v>404</v>
      </c>
      <c r="H1725" s="15">
        <v>2</v>
      </c>
      <c r="I1725" s="11">
        <f t="shared" si="81"/>
        <v>5</v>
      </c>
      <c r="K1725" s="16">
        <v>700</v>
      </c>
      <c r="M1725" s="17">
        <f t="shared" si="79"/>
        <v>321134.28999999986</v>
      </c>
      <c r="N1725" s="11">
        <f t="shared" si="80"/>
        <v>11</v>
      </c>
    </row>
    <row r="1726" spans="1:14" ht="26.4" x14ac:dyDescent="0.25">
      <c r="A1726" s="11" t="s">
        <v>0</v>
      </c>
      <c r="B1726" s="12">
        <v>45240</v>
      </c>
      <c r="C1726" s="11" t="s">
        <v>688</v>
      </c>
      <c r="D1726" s="11" t="s">
        <v>692</v>
      </c>
      <c r="E1726" s="13" t="s">
        <v>725</v>
      </c>
      <c r="F1726" s="14" t="s">
        <v>27</v>
      </c>
      <c r="G1726" s="14" t="s">
        <v>404</v>
      </c>
      <c r="H1726" s="15" t="s">
        <v>500</v>
      </c>
      <c r="I1726" s="11">
        <f t="shared" si="81"/>
        <v>5</v>
      </c>
      <c r="K1726" s="16">
        <v>3188.21</v>
      </c>
      <c r="M1726" s="17">
        <f t="shared" si="79"/>
        <v>317946.07999999984</v>
      </c>
      <c r="N1726" s="11">
        <f t="shared" si="80"/>
        <v>11</v>
      </c>
    </row>
    <row r="1727" spans="1:14" x14ac:dyDescent="0.25">
      <c r="A1727" s="11" t="s">
        <v>0</v>
      </c>
      <c r="B1727" s="12">
        <v>45240</v>
      </c>
      <c r="C1727" s="11" t="s">
        <v>688</v>
      </c>
      <c r="D1727" s="11" t="s">
        <v>701</v>
      </c>
      <c r="E1727" s="13" t="s">
        <v>118</v>
      </c>
      <c r="F1727" s="14" t="s">
        <v>204</v>
      </c>
      <c r="G1727" s="14" t="s">
        <v>404</v>
      </c>
      <c r="H1727" s="15">
        <v>44</v>
      </c>
      <c r="I1727" s="11">
        <f t="shared" si="81"/>
        <v>5</v>
      </c>
      <c r="K1727" s="16">
        <v>239.94</v>
      </c>
      <c r="M1727" s="17">
        <f t="shared" si="79"/>
        <v>317706.13999999984</v>
      </c>
      <c r="N1727" s="11">
        <f t="shared" si="80"/>
        <v>11</v>
      </c>
    </row>
    <row r="1728" spans="1:14" x14ac:dyDescent="0.25">
      <c r="A1728" s="11" t="s">
        <v>0</v>
      </c>
      <c r="B1728" s="12">
        <v>45240</v>
      </c>
      <c r="C1728" s="11" t="s">
        <v>688</v>
      </c>
      <c r="D1728" s="11" t="s">
        <v>694</v>
      </c>
      <c r="E1728" s="13" t="s">
        <v>5</v>
      </c>
      <c r="F1728" s="14" t="s">
        <v>110</v>
      </c>
      <c r="G1728" s="14" t="s">
        <v>404</v>
      </c>
      <c r="H1728" s="15">
        <v>120</v>
      </c>
      <c r="I1728" s="11">
        <f t="shared" si="81"/>
        <v>5</v>
      </c>
      <c r="K1728" s="16">
        <v>300</v>
      </c>
      <c r="M1728" s="17">
        <f t="shared" si="79"/>
        <v>317406.13999999984</v>
      </c>
      <c r="N1728" s="11">
        <f t="shared" si="80"/>
        <v>11</v>
      </c>
    </row>
    <row r="1729" spans="1:14" x14ac:dyDescent="0.25">
      <c r="A1729" s="11" t="s">
        <v>0</v>
      </c>
      <c r="B1729" s="12">
        <v>45241</v>
      </c>
      <c r="C1729" s="11" t="s">
        <v>688</v>
      </c>
      <c r="D1729" s="11" t="s">
        <v>694</v>
      </c>
      <c r="E1729" s="13" t="s">
        <v>181</v>
      </c>
      <c r="F1729" s="14" t="s">
        <v>600</v>
      </c>
      <c r="G1729" s="14" t="s">
        <v>407</v>
      </c>
      <c r="H1729" s="15" t="s">
        <v>426</v>
      </c>
      <c r="I1729" s="11">
        <f t="shared" si="81"/>
        <v>4</v>
      </c>
      <c r="K1729" s="16">
        <v>1100</v>
      </c>
      <c r="M1729" s="17">
        <f t="shared" si="79"/>
        <v>316306.13999999984</v>
      </c>
      <c r="N1729" s="11">
        <f t="shared" si="80"/>
        <v>11</v>
      </c>
    </row>
    <row r="1730" spans="1:14" x14ac:dyDescent="0.25">
      <c r="A1730" s="11" t="s">
        <v>207</v>
      </c>
      <c r="B1730" s="12">
        <v>45241</v>
      </c>
      <c r="C1730" s="11" t="s">
        <v>662</v>
      </c>
      <c r="D1730" s="11" t="s">
        <v>43</v>
      </c>
      <c r="E1730" s="14" t="s">
        <v>288</v>
      </c>
      <c r="F1730" s="14" t="s">
        <v>288</v>
      </c>
      <c r="G1730" s="14" t="s">
        <v>173</v>
      </c>
      <c r="I1730" s="11">
        <f t="shared" si="81"/>
        <v>3</v>
      </c>
      <c r="J1730" s="16">
        <v>100</v>
      </c>
      <c r="M1730" s="17">
        <f t="shared" si="79"/>
        <v>316406.13999999984</v>
      </c>
      <c r="N1730" s="11">
        <f t="shared" si="80"/>
        <v>11</v>
      </c>
    </row>
    <row r="1731" spans="1:14" x14ac:dyDescent="0.25">
      <c r="A1731" s="11" t="s">
        <v>207</v>
      </c>
      <c r="B1731" s="12">
        <v>45241</v>
      </c>
      <c r="C1731" s="11" t="s">
        <v>688</v>
      </c>
      <c r="D1731" s="11" t="s">
        <v>43</v>
      </c>
      <c r="E1731" s="14" t="s">
        <v>288</v>
      </c>
      <c r="F1731" s="14" t="s">
        <v>288</v>
      </c>
      <c r="G1731" s="14" t="s">
        <v>173</v>
      </c>
      <c r="I1731" s="11">
        <f t="shared" si="81"/>
        <v>3</v>
      </c>
      <c r="J1731" s="16">
        <v>2210</v>
      </c>
      <c r="M1731" s="17">
        <f t="shared" ref="M1731:M1794" si="82">IF(B1731=0, "",M1730+ J1731-K1731)</f>
        <v>318616.13999999984</v>
      </c>
      <c r="N1731" s="11">
        <f t="shared" ref="N1731:N1794" si="83">IF(B1731=0, "", MONTH(B1731))</f>
        <v>11</v>
      </c>
    </row>
    <row r="1732" spans="1:14" x14ac:dyDescent="0.25">
      <c r="A1732" s="11" t="s">
        <v>207</v>
      </c>
      <c r="B1732" s="12">
        <v>45241</v>
      </c>
      <c r="C1732" s="11" t="s">
        <v>688</v>
      </c>
      <c r="D1732" s="11" t="s">
        <v>43</v>
      </c>
      <c r="E1732" s="14" t="s">
        <v>429</v>
      </c>
      <c r="F1732" s="14" t="s">
        <v>429</v>
      </c>
      <c r="G1732" s="14" t="s">
        <v>428</v>
      </c>
      <c r="I1732" s="11">
        <f t="shared" si="81"/>
        <v>1</v>
      </c>
      <c r="J1732" s="16">
        <v>6124.8</v>
      </c>
      <c r="M1732" s="17">
        <f t="shared" si="82"/>
        <v>324740.93999999983</v>
      </c>
      <c r="N1732" s="11">
        <f t="shared" si="83"/>
        <v>11</v>
      </c>
    </row>
    <row r="1733" spans="1:14" x14ac:dyDescent="0.25">
      <c r="A1733" s="11" t="s">
        <v>207</v>
      </c>
      <c r="B1733" s="12">
        <v>45242</v>
      </c>
      <c r="C1733" s="11" t="s">
        <v>688</v>
      </c>
      <c r="D1733" s="11" t="s">
        <v>43</v>
      </c>
      <c r="E1733" s="14" t="s">
        <v>288</v>
      </c>
      <c r="F1733" s="14" t="s">
        <v>288</v>
      </c>
      <c r="G1733" s="14" t="s">
        <v>173</v>
      </c>
      <c r="I1733" s="11">
        <f t="shared" si="81"/>
        <v>3</v>
      </c>
      <c r="J1733" s="16">
        <v>2790</v>
      </c>
      <c r="M1733" s="17">
        <f t="shared" si="82"/>
        <v>327530.93999999983</v>
      </c>
      <c r="N1733" s="11">
        <f t="shared" si="83"/>
        <v>11</v>
      </c>
    </row>
    <row r="1734" spans="1:14" x14ac:dyDescent="0.25">
      <c r="A1734" s="11" t="s">
        <v>0</v>
      </c>
      <c r="B1734" s="12">
        <v>45242</v>
      </c>
      <c r="C1734" s="11" t="s">
        <v>688</v>
      </c>
      <c r="D1734" s="11" t="s">
        <v>696</v>
      </c>
      <c r="E1734" s="13" t="s">
        <v>602</v>
      </c>
      <c r="F1734" s="14" t="s">
        <v>601</v>
      </c>
      <c r="G1734" s="14" t="s">
        <v>407</v>
      </c>
      <c r="H1734" s="15" t="s">
        <v>426</v>
      </c>
      <c r="I1734" s="11">
        <f t="shared" ref="I1734:I1796" si="84">IF(AND(G1734="MERCADO PAGO",A1734="FATURAMENTO"),1,IF(AND(OR(G1734="MERCADO PAGO",G1734="pix mercado pago",G1734= "débito automático mercado pago", G1734= "boleto mercado pago"),A1734="DESPESAS"),4,IF(AND(G1734="SAFRA",A1734="FATURAMENTO"),2,IF(AND(OR(G1734="SAFRA",G1734="PIX SAFRA", G1734="DÉBITO AUTOMÁTICO SAFRA", G1734= "BOLETO SAFRA", G1734= "transferência safra"), A1734="DESPESAS"),5,IF(AND(G1734="espécie",A1734="FATURAMENTO"),3,IF(AND(G1734="espécie",A1734="DESPESAS"),6))))))</f>
        <v>4</v>
      </c>
      <c r="K1734" s="16">
        <v>80</v>
      </c>
      <c r="M1734" s="17">
        <f t="shared" si="82"/>
        <v>327450.93999999983</v>
      </c>
      <c r="N1734" s="11">
        <f t="shared" si="83"/>
        <v>11</v>
      </c>
    </row>
    <row r="1735" spans="1:14" x14ac:dyDescent="0.25">
      <c r="A1735" s="11" t="s">
        <v>0</v>
      </c>
      <c r="B1735" s="12">
        <v>45242</v>
      </c>
      <c r="C1735" s="11" t="s">
        <v>688</v>
      </c>
      <c r="D1735" s="11" t="s">
        <v>696</v>
      </c>
      <c r="E1735" s="13" t="s">
        <v>602</v>
      </c>
      <c r="F1735" s="14" t="s">
        <v>603</v>
      </c>
      <c r="G1735" s="14" t="s">
        <v>407</v>
      </c>
      <c r="H1735" s="15" t="s">
        <v>426</v>
      </c>
      <c r="I1735" s="11">
        <f t="shared" si="84"/>
        <v>4</v>
      </c>
      <c r="K1735" s="16">
        <v>60</v>
      </c>
      <c r="M1735" s="17">
        <f t="shared" si="82"/>
        <v>327390.93999999983</v>
      </c>
      <c r="N1735" s="11">
        <f t="shared" si="83"/>
        <v>11</v>
      </c>
    </row>
    <row r="1736" spans="1:14" x14ac:dyDescent="0.25">
      <c r="A1736" s="11" t="s">
        <v>0</v>
      </c>
      <c r="B1736" s="12">
        <v>45242</v>
      </c>
      <c r="C1736" s="11" t="s">
        <v>688</v>
      </c>
      <c r="D1736" s="11" t="s">
        <v>696</v>
      </c>
      <c r="E1736" s="13" t="s">
        <v>602</v>
      </c>
      <c r="F1736" s="14" t="s">
        <v>604</v>
      </c>
      <c r="G1736" s="14" t="s">
        <v>407</v>
      </c>
      <c r="H1736" s="15" t="s">
        <v>426</v>
      </c>
      <c r="I1736" s="11">
        <f t="shared" si="84"/>
        <v>4</v>
      </c>
      <c r="K1736" s="16">
        <v>120</v>
      </c>
      <c r="M1736" s="17">
        <f t="shared" si="82"/>
        <v>327270.93999999983</v>
      </c>
      <c r="N1736" s="11">
        <f t="shared" si="83"/>
        <v>11</v>
      </c>
    </row>
    <row r="1737" spans="1:14" x14ac:dyDescent="0.25">
      <c r="A1737" s="11" t="s">
        <v>0</v>
      </c>
      <c r="B1737" s="12">
        <v>45243</v>
      </c>
      <c r="C1737" s="11" t="s">
        <v>688</v>
      </c>
      <c r="D1737" s="11" t="s">
        <v>696</v>
      </c>
      <c r="E1737" s="13" t="s">
        <v>606</v>
      </c>
      <c r="F1737" s="14" t="s">
        <v>605</v>
      </c>
      <c r="G1737" s="14" t="s">
        <v>407</v>
      </c>
      <c r="H1737" s="15" t="s">
        <v>426</v>
      </c>
      <c r="I1737" s="11">
        <f t="shared" si="84"/>
        <v>4</v>
      </c>
      <c r="K1737" s="16">
        <v>1500</v>
      </c>
      <c r="M1737" s="17">
        <f t="shared" si="82"/>
        <v>325770.93999999983</v>
      </c>
      <c r="N1737" s="11">
        <f t="shared" si="83"/>
        <v>11</v>
      </c>
    </row>
    <row r="1738" spans="1:14" x14ac:dyDescent="0.25">
      <c r="A1738" s="11" t="s">
        <v>207</v>
      </c>
      <c r="B1738" s="12">
        <v>45242</v>
      </c>
      <c r="C1738" s="11" t="s">
        <v>688</v>
      </c>
      <c r="D1738" s="11" t="s">
        <v>43</v>
      </c>
      <c r="E1738" s="14" t="s">
        <v>429</v>
      </c>
      <c r="F1738" s="14" t="s">
        <v>429</v>
      </c>
      <c r="G1738" s="14" t="s">
        <v>428</v>
      </c>
      <c r="I1738" s="11">
        <f t="shared" si="84"/>
        <v>1</v>
      </c>
      <c r="J1738" s="16">
        <v>6287.75</v>
      </c>
      <c r="M1738" s="17">
        <f t="shared" si="82"/>
        <v>332058.68999999983</v>
      </c>
      <c r="N1738" s="11">
        <f t="shared" si="83"/>
        <v>11</v>
      </c>
    </row>
    <row r="1739" spans="1:14" x14ac:dyDescent="0.25">
      <c r="A1739" s="11" t="s">
        <v>207</v>
      </c>
      <c r="B1739" s="12">
        <v>45243</v>
      </c>
      <c r="C1739" s="11" t="s">
        <v>662</v>
      </c>
      <c r="D1739" s="11" t="s">
        <v>43</v>
      </c>
      <c r="E1739" s="14" t="s">
        <v>288</v>
      </c>
      <c r="F1739" s="14" t="s">
        <v>288</v>
      </c>
      <c r="G1739" s="14" t="s">
        <v>173</v>
      </c>
      <c r="I1739" s="11">
        <f t="shared" si="84"/>
        <v>3</v>
      </c>
      <c r="J1739" s="16">
        <v>3050</v>
      </c>
      <c r="M1739" s="17">
        <f t="shared" si="82"/>
        <v>335108.68999999983</v>
      </c>
      <c r="N1739" s="11">
        <f t="shared" si="83"/>
        <v>11</v>
      </c>
    </row>
    <row r="1740" spans="1:14" x14ac:dyDescent="0.25">
      <c r="A1740" s="11" t="s">
        <v>207</v>
      </c>
      <c r="B1740" s="12">
        <v>45243</v>
      </c>
      <c r="C1740" s="11" t="s">
        <v>688</v>
      </c>
      <c r="D1740" s="11" t="s">
        <v>43</v>
      </c>
      <c r="E1740" s="14" t="s">
        <v>288</v>
      </c>
      <c r="F1740" s="14" t="s">
        <v>288</v>
      </c>
      <c r="G1740" s="14" t="s">
        <v>173</v>
      </c>
      <c r="I1740" s="11">
        <f t="shared" si="84"/>
        <v>3</v>
      </c>
      <c r="J1740" s="16">
        <v>570</v>
      </c>
      <c r="M1740" s="17">
        <f t="shared" si="82"/>
        <v>335678.68999999983</v>
      </c>
      <c r="N1740" s="11">
        <f t="shared" si="83"/>
        <v>11</v>
      </c>
    </row>
    <row r="1741" spans="1:14" x14ac:dyDescent="0.25">
      <c r="A1741" s="11" t="s">
        <v>207</v>
      </c>
      <c r="B1741" s="12">
        <v>45243</v>
      </c>
      <c r="C1741" s="11" t="s">
        <v>688</v>
      </c>
      <c r="D1741" s="11" t="s">
        <v>43</v>
      </c>
      <c r="E1741" s="14" t="s">
        <v>429</v>
      </c>
      <c r="F1741" s="14" t="s">
        <v>429</v>
      </c>
      <c r="G1741" s="14" t="s">
        <v>428</v>
      </c>
      <c r="I1741" s="11">
        <f t="shared" si="84"/>
        <v>1</v>
      </c>
      <c r="J1741" s="16">
        <v>4070.5</v>
      </c>
      <c r="M1741" s="17">
        <f t="shared" si="82"/>
        <v>339749.18999999983</v>
      </c>
      <c r="N1741" s="11">
        <f t="shared" si="83"/>
        <v>11</v>
      </c>
    </row>
    <row r="1742" spans="1:14" x14ac:dyDescent="0.25">
      <c r="A1742" s="11" t="s">
        <v>207</v>
      </c>
      <c r="B1742" s="12">
        <v>45243</v>
      </c>
      <c r="C1742" s="11" t="s">
        <v>688</v>
      </c>
      <c r="D1742" s="11" t="s">
        <v>43</v>
      </c>
      <c r="E1742" s="13" t="s">
        <v>80</v>
      </c>
      <c r="F1742" s="14" t="s">
        <v>79</v>
      </c>
      <c r="G1742" s="14" t="s">
        <v>400</v>
      </c>
      <c r="I1742" s="11">
        <f t="shared" si="84"/>
        <v>2</v>
      </c>
      <c r="J1742" s="16">
        <v>10023.56</v>
      </c>
      <c r="M1742" s="17">
        <f t="shared" si="82"/>
        <v>349772.74999999983</v>
      </c>
      <c r="N1742" s="11">
        <f t="shared" si="83"/>
        <v>11</v>
      </c>
    </row>
    <row r="1743" spans="1:14" x14ac:dyDescent="0.25">
      <c r="A1743" s="11" t="s">
        <v>207</v>
      </c>
      <c r="B1743" s="12">
        <v>45243</v>
      </c>
      <c r="C1743" s="11" t="s">
        <v>688</v>
      </c>
      <c r="D1743" s="11" t="s">
        <v>43</v>
      </c>
      <c r="E1743" s="13" t="s">
        <v>81</v>
      </c>
      <c r="F1743" s="14" t="s">
        <v>79</v>
      </c>
      <c r="G1743" s="14" t="s">
        <v>400</v>
      </c>
      <c r="I1743" s="11">
        <f t="shared" si="84"/>
        <v>2</v>
      </c>
      <c r="J1743" s="16">
        <v>9233.61</v>
      </c>
      <c r="M1743" s="17">
        <f t="shared" si="82"/>
        <v>359006.35999999981</v>
      </c>
      <c r="N1743" s="11">
        <f t="shared" si="83"/>
        <v>11</v>
      </c>
    </row>
    <row r="1744" spans="1:14" x14ac:dyDescent="0.25">
      <c r="A1744" s="11" t="s">
        <v>207</v>
      </c>
      <c r="B1744" s="12">
        <v>45243</v>
      </c>
      <c r="C1744" s="11" t="s">
        <v>688</v>
      </c>
      <c r="D1744" s="11" t="s">
        <v>43</v>
      </c>
      <c r="E1744" s="13" t="s">
        <v>82</v>
      </c>
      <c r="F1744" s="14" t="s">
        <v>79</v>
      </c>
      <c r="G1744" s="14" t="s">
        <v>400</v>
      </c>
      <c r="I1744" s="11">
        <f t="shared" si="84"/>
        <v>2</v>
      </c>
      <c r="J1744" s="16">
        <v>667.87</v>
      </c>
      <c r="M1744" s="17">
        <f t="shared" si="82"/>
        <v>359674.22999999981</v>
      </c>
      <c r="N1744" s="11">
        <f t="shared" si="83"/>
        <v>11</v>
      </c>
    </row>
    <row r="1745" spans="1:14" x14ac:dyDescent="0.25">
      <c r="A1745" s="11" t="s">
        <v>207</v>
      </c>
      <c r="B1745" s="12">
        <v>45243</v>
      </c>
      <c r="C1745" s="11" t="s">
        <v>688</v>
      </c>
      <c r="D1745" s="11" t="s">
        <v>43</v>
      </c>
      <c r="E1745" s="13" t="s">
        <v>83</v>
      </c>
      <c r="F1745" s="14" t="s">
        <v>79</v>
      </c>
      <c r="G1745" s="14" t="s">
        <v>400</v>
      </c>
      <c r="I1745" s="11">
        <f t="shared" si="84"/>
        <v>2</v>
      </c>
      <c r="J1745" s="16">
        <v>597.13</v>
      </c>
      <c r="M1745" s="17">
        <f t="shared" si="82"/>
        <v>360271.35999999981</v>
      </c>
      <c r="N1745" s="11">
        <f t="shared" si="83"/>
        <v>11</v>
      </c>
    </row>
    <row r="1746" spans="1:14" x14ac:dyDescent="0.25">
      <c r="A1746" s="11" t="s">
        <v>207</v>
      </c>
      <c r="B1746" s="12">
        <v>45243</v>
      </c>
      <c r="C1746" s="11" t="s">
        <v>688</v>
      </c>
      <c r="D1746" s="11" t="s">
        <v>43</v>
      </c>
      <c r="E1746" s="13" t="s">
        <v>382</v>
      </c>
      <c r="F1746" s="14" t="s">
        <v>13</v>
      </c>
      <c r="G1746" s="14" t="s">
        <v>400</v>
      </c>
      <c r="I1746" s="11">
        <f t="shared" si="84"/>
        <v>2</v>
      </c>
      <c r="J1746" s="16">
        <v>129.56</v>
      </c>
      <c r="M1746" s="17">
        <f t="shared" si="82"/>
        <v>360400.91999999981</v>
      </c>
      <c r="N1746" s="11">
        <f t="shared" si="83"/>
        <v>11</v>
      </c>
    </row>
    <row r="1747" spans="1:14" x14ac:dyDescent="0.25">
      <c r="A1747" s="11" t="s">
        <v>207</v>
      </c>
      <c r="B1747" s="12">
        <v>45243</v>
      </c>
      <c r="C1747" s="11" t="s">
        <v>688</v>
      </c>
      <c r="D1747" s="11" t="s">
        <v>43</v>
      </c>
      <c r="E1747" s="13" t="s">
        <v>382</v>
      </c>
      <c r="F1747" s="14" t="s">
        <v>13</v>
      </c>
      <c r="G1747" s="14" t="s">
        <v>400</v>
      </c>
      <c r="I1747" s="11">
        <f t="shared" si="84"/>
        <v>2</v>
      </c>
      <c r="J1747" s="16">
        <v>1152.42</v>
      </c>
      <c r="M1747" s="17">
        <f t="shared" si="82"/>
        <v>361553.33999999979</v>
      </c>
      <c r="N1747" s="11">
        <f t="shared" si="83"/>
        <v>11</v>
      </c>
    </row>
    <row r="1748" spans="1:14" x14ac:dyDescent="0.25">
      <c r="A1748" s="11" t="s">
        <v>207</v>
      </c>
      <c r="B1748" s="12">
        <v>45243</v>
      </c>
      <c r="C1748" s="11" t="s">
        <v>688</v>
      </c>
      <c r="D1748" s="11" t="s">
        <v>43</v>
      </c>
      <c r="E1748" s="13" t="s">
        <v>382</v>
      </c>
      <c r="F1748" s="14" t="s">
        <v>13</v>
      </c>
      <c r="G1748" s="14" t="s">
        <v>400</v>
      </c>
      <c r="I1748" s="11">
        <f t="shared" si="84"/>
        <v>2</v>
      </c>
      <c r="J1748" s="16">
        <v>459.76</v>
      </c>
      <c r="M1748" s="17">
        <f t="shared" si="82"/>
        <v>362013.0999999998</v>
      </c>
      <c r="N1748" s="11">
        <f t="shared" si="83"/>
        <v>11</v>
      </c>
    </row>
    <row r="1749" spans="1:14" x14ac:dyDescent="0.25">
      <c r="A1749" s="11" t="s">
        <v>207</v>
      </c>
      <c r="B1749" s="12">
        <v>45243</v>
      </c>
      <c r="C1749" s="11" t="s">
        <v>688</v>
      </c>
      <c r="D1749" s="11" t="s">
        <v>43</v>
      </c>
      <c r="E1749" s="13" t="s">
        <v>382</v>
      </c>
      <c r="F1749" s="14" t="s">
        <v>13</v>
      </c>
      <c r="G1749" s="14" t="s">
        <v>400</v>
      </c>
      <c r="I1749" s="11">
        <f t="shared" si="84"/>
        <v>2</v>
      </c>
      <c r="J1749" s="16">
        <v>10.89</v>
      </c>
      <c r="M1749" s="17">
        <f t="shared" si="82"/>
        <v>362023.98999999982</v>
      </c>
      <c r="N1749" s="11">
        <f t="shared" si="83"/>
        <v>11</v>
      </c>
    </row>
    <row r="1750" spans="1:14" x14ac:dyDescent="0.25">
      <c r="A1750" s="11" t="s">
        <v>207</v>
      </c>
      <c r="B1750" s="12">
        <v>45243</v>
      </c>
      <c r="C1750" s="11" t="s">
        <v>688</v>
      </c>
      <c r="D1750" s="11" t="s">
        <v>43</v>
      </c>
      <c r="E1750" s="13" t="s">
        <v>382</v>
      </c>
      <c r="F1750" s="14" t="s">
        <v>13</v>
      </c>
      <c r="G1750" s="14" t="s">
        <v>400</v>
      </c>
      <c r="I1750" s="11">
        <f t="shared" si="84"/>
        <v>2</v>
      </c>
      <c r="J1750" s="16">
        <v>37.020000000000003</v>
      </c>
      <c r="M1750" s="17">
        <f t="shared" si="82"/>
        <v>362061.00999999983</v>
      </c>
      <c r="N1750" s="11">
        <f t="shared" si="83"/>
        <v>11</v>
      </c>
    </row>
    <row r="1751" spans="1:14" x14ac:dyDescent="0.25">
      <c r="A1751" s="11" t="s">
        <v>207</v>
      </c>
      <c r="B1751" s="12">
        <v>45243</v>
      </c>
      <c r="C1751" s="11" t="s">
        <v>688</v>
      </c>
      <c r="D1751" s="11" t="s">
        <v>43</v>
      </c>
      <c r="E1751" s="13" t="s">
        <v>382</v>
      </c>
      <c r="F1751" s="14" t="s">
        <v>13</v>
      </c>
      <c r="G1751" s="14" t="s">
        <v>400</v>
      </c>
      <c r="I1751" s="11">
        <f t="shared" si="84"/>
        <v>2</v>
      </c>
      <c r="J1751" s="16">
        <v>712.26</v>
      </c>
      <c r="M1751" s="17">
        <f t="shared" si="82"/>
        <v>362773.26999999984</v>
      </c>
      <c r="N1751" s="11">
        <f t="shared" si="83"/>
        <v>11</v>
      </c>
    </row>
    <row r="1752" spans="1:14" x14ac:dyDescent="0.25">
      <c r="A1752" s="11" t="s">
        <v>207</v>
      </c>
      <c r="B1752" s="12">
        <v>45243</v>
      </c>
      <c r="C1752" s="11" t="s">
        <v>688</v>
      </c>
      <c r="D1752" s="11" t="s">
        <v>43</v>
      </c>
      <c r="E1752" s="13" t="s">
        <v>382</v>
      </c>
      <c r="F1752" s="14" t="s">
        <v>13</v>
      </c>
      <c r="G1752" s="14" t="s">
        <v>400</v>
      </c>
      <c r="I1752" s="11">
        <f t="shared" si="84"/>
        <v>2</v>
      </c>
      <c r="J1752" s="16">
        <v>622.58000000000004</v>
      </c>
      <c r="M1752" s="17">
        <f t="shared" si="82"/>
        <v>363395.84999999986</v>
      </c>
      <c r="N1752" s="11">
        <f t="shared" si="83"/>
        <v>11</v>
      </c>
    </row>
    <row r="1753" spans="1:14" x14ac:dyDescent="0.25">
      <c r="A1753" s="11" t="s">
        <v>207</v>
      </c>
      <c r="B1753" s="12">
        <v>45243</v>
      </c>
      <c r="C1753" s="11" t="s">
        <v>688</v>
      </c>
      <c r="D1753" s="11" t="s">
        <v>43</v>
      </c>
      <c r="E1753" s="13" t="s">
        <v>382</v>
      </c>
      <c r="F1753" s="14" t="s">
        <v>13</v>
      </c>
      <c r="G1753" s="14" t="s">
        <v>400</v>
      </c>
      <c r="I1753" s="11">
        <f t="shared" si="84"/>
        <v>2</v>
      </c>
      <c r="J1753" s="16">
        <v>542.9</v>
      </c>
      <c r="M1753" s="17">
        <f t="shared" si="82"/>
        <v>363938.74999999988</v>
      </c>
      <c r="N1753" s="11">
        <f t="shared" si="83"/>
        <v>11</v>
      </c>
    </row>
    <row r="1754" spans="1:14" x14ac:dyDescent="0.25">
      <c r="A1754" s="11" t="s">
        <v>207</v>
      </c>
      <c r="B1754" s="12">
        <v>45243</v>
      </c>
      <c r="C1754" s="11" t="s">
        <v>688</v>
      </c>
      <c r="D1754" s="11" t="s">
        <v>43</v>
      </c>
      <c r="E1754" s="13" t="s">
        <v>382</v>
      </c>
      <c r="F1754" s="14" t="s">
        <v>13</v>
      </c>
      <c r="G1754" s="14" t="s">
        <v>400</v>
      </c>
      <c r="I1754" s="11">
        <f t="shared" si="84"/>
        <v>2</v>
      </c>
      <c r="J1754" s="16">
        <v>121.45</v>
      </c>
      <c r="M1754" s="17">
        <f t="shared" si="82"/>
        <v>364060.1999999999</v>
      </c>
      <c r="N1754" s="11">
        <f t="shared" si="83"/>
        <v>11</v>
      </c>
    </row>
    <row r="1755" spans="1:14" x14ac:dyDescent="0.25">
      <c r="A1755" s="11" t="s">
        <v>207</v>
      </c>
      <c r="B1755" s="12">
        <v>45243</v>
      </c>
      <c r="C1755" s="11" t="s">
        <v>688</v>
      </c>
      <c r="D1755" s="11" t="s">
        <v>43</v>
      </c>
      <c r="E1755" s="13" t="s">
        <v>382</v>
      </c>
      <c r="F1755" s="14" t="s">
        <v>13</v>
      </c>
      <c r="G1755" s="14" t="s">
        <v>400</v>
      </c>
      <c r="I1755" s="11">
        <f t="shared" si="84"/>
        <v>2</v>
      </c>
      <c r="J1755" s="16">
        <v>34.880000000000003</v>
      </c>
      <c r="M1755" s="17">
        <f t="shared" si="82"/>
        <v>364095.0799999999</v>
      </c>
      <c r="N1755" s="11">
        <f t="shared" si="83"/>
        <v>11</v>
      </c>
    </row>
    <row r="1756" spans="1:14" x14ac:dyDescent="0.25">
      <c r="A1756" s="11" t="s">
        <v>207</v>
      </c>
      <c r="B1756" s="12">
        <v>45243</v>
      </c>
      <c r="C1756" s="11" t="s">
        <v>688</v>
      </c>
      <c r="D1756" s="11" t="s">
        <v>43</v>
      </c>
      <c r="E1756" s="13" t="s">
        <v>382</v>
      </c>
      <c r="F1756" s="14" t="s">
        <v>13</v>
      </c>
      <c r="G1756" s="14" t="s">
        <v>400</v>
      </c>
      <c r="I1756" s="11">
        <f t="shared" si="84"/>
        <v>2</v>
      </c>
      <c r="J1756" s="16">
        <v>67.900000000000006</v>
      </c>
      <c r="M1756" s="17">
        <f t="shared" si="82"/>
        <v>364162.97999999992</v>
      </c>
      <c r="N1756" s="11">
        <f t="shared" si="83"/>
        <v>11</v>
      </c>
    </row>
    <row r="1757" spans="1:14" x14ac:dyDescent="0.25">
      <c r="A1757" s="11" t="s">
        <v>207</v>
      </c>
      <c r="B1757" s="12">
        <v>45243</v>
      </c>
      <c r="C1757" s="11" t="s">
        <v>688</v>
      </c>
      <c r="D1757" s="11" t="s">
        <v>43</v>
      </c>
      <c r="E1757" s="13" t="s">
        <v>382</v>
      </c>
      <c r="F1757" s="14" t="s">
        <v>13</v>
      </c>
      <c r="G1757" s="14" t="s">
        <v>400</v>
      </c>
      <c r="I1757" s="11">
        <f t="shared" si="84"/>
        <v>2</v>
      </c>
      <c r="J1757" s="16">
        <v>270.31</v>
      </c>
      <c r="M1757" s="17">
        <f t="shared" si="82"/>
        <v>364433.28999999992</v>
      </c>
      <c r="N1757" s="11">
        <f t="shared" si="83"/>
        <v>11</v>
      </c>
    </row>
    <row r="1758" spans="1:14" x14ac:dyDescent="0.25">
      <c r="A1758" s="11" t="s">
        <v>207</v>
      </c>
      <c r="B1758" s="12">
        <v>45243</v>
      </c>
      <c r="C1758" s="11" t="s">
        <v>688</v>
      </c>
      <c r="D1758" s="11" t="s">
        <v>43</v>
      </c>
      <c r="E1758" s="13" t="s">
        <v>382</v>
      </c>
      <c r="F1758" s="14" t="s">
        <v>13</v>
      </c>
      <c r="G1758" s="14" t="s">
        <v>400</v>
      </c>
      <c r="I1758" s="11">
        <f t="shared" si="84"/>
        <v>2</v>
      </c>
      <c r="J1758" s="16">
        <v>96.9</v>
      </c>
      <c r="M1758" s="17">
        <f t="shared" si="82"/>
        <v>364530.18999999994</v>
      </c>
      <c r="N1758" s="11">
        <f t="shared" si="83"/>
        <v>11</v>
      </c>
    </row>
    <row r="1759" spans="1:14" x14ac:dyDescent="0.25">
      <c r="A1759" s="11" t="s">
        <v>207</v>
      </c>
      <c r="B1759" s="12">
        <v>45243</v>
      </c>
      <c r="C1759" s="11" t="s">
        <v>688</v>
      </c>
      <c r="D1759" s="11" t="s">
        <v>43</v>
      </c>
      <c r="E1759" s="13" t="s">
        <v>382</v>
      </c>
      <c r="F1759" s="14" t="s">
        <v>13</v>
      </c>
      <c r="G1759" s="14" t="s">
        <v>400</v>
      </c>
      <c r="I1759" s="11">
        <f t="shared" si="84"/>
        <v>2</v>
      </c>
      <c r="J1759" s="16">
        <v>206.87</v>
      </c>
      <c r="M1759" s="17">
        <f t="shared" si="82"/>
        <v>364737.05999999994</v>
      </c>
      <c r="N1759" s="11">
        <f t="shared" si="83"/>
        <v>11</v>
      </c>
    </row>
    <row r="1760" spans="1:14" x14ac:dyDescent="0.25">
      <c r="A1760" s="11" t="s">
        <v>0</v>
      </c>
      <c r="B1760" s="12">
        <v>45243</v>
      </c>
      <c r="C1760" s="11" t="s">
        <v>688</v>
      </c>
      <c r="D1760" s="11" t="s">
        <v>694</v>
      </c>
      <c r="E1760" s="13" t="s">
        <v>182</v>
      </c>
      <c r="F1760" s="14" t="s">
        <v>365</v>
      </c>
      <c r="G1760" s="14" t="s">
        <v>402</v>
      </c>
      <c r="I1760" s="11">
        <f t="shared" si="84"/>
        <v>5</v>
      </c>
      <c r="K1760" s="16">
        <v>5.85</v>
      </c>
      <c r="M1760" s="17">
        <f t="shared" si="82"/>
        <v>364731.20999999996</v>
      </c>
      <c r="N1760" s="11">
        <f t="shared" si="83"/>
        <v>11</v>
      </c>
    </row>
    <row r="1761" spans="1:14" x14ac:dyDescent="0.25">
      <c r="A1761" s="11" t="s">
        <v>0</v>
      </c>
      <c r="B1761" s="12">
        <v>45243</v>
      </c>
      <c r="C1761" s="11" t="s">
        <v>688</v>
      </c>
      <c r="D1761" s="11" t="s">
        <v>694</v>
      </c>
      <c r="E1761" s="13" t="s">
        <v>182</v>
      </c>
      <c r="F1761" s="14" t="s">
        <v>23</v>
      </c>
      <c r="G1761" s="14" t="s">
        <v>402</v>
      </c>
      <c r="I1761" s="11">
        <f t="shared" si="84"/>
        <v>5</v>
      </c>
      <c r="K1761" s="16">
        <v>61.66</v>
      </c>
      <c r="M1761" s="17">
        <f t="shared" si="82"/>
        <v>364669.55</v>
      </c>
      <c r="N1761" s="11">
        <f t="shared" si="83"/>
        <v>11</v>
      </c>
    </row>
    <row r="1762" spans="1:14" x14ac:dyDescent="0.25">
      <c r="A1762" s="11" t="s">
        <v>0</v>
      </c>
      <c r="B1762" s="12">
        <v>45243</v>
      </c>
      <c r="C1762" s="11" t="s">
        <v>688</v>
      </c>
      <c r="D1762" s="11" t="s">
        <v>692</v>
      </c>
      <c r="E1762" s="13" t="s">
        <v>726</v>
      </c>
      <c r="F1762" s="14" t="s">
        <v>91</v>
      </c>
      <c r="G1762" s="14" t="s">
        <v>403</v>
      </c>
      <c r="H1762" s="15" t="s">
        <v>103</v>
      </c>
      <c r="I1762" s="11">
        <f t="shared" si="84"/>
        <v>5</v>
      </c>
      <c r="K1762" s="16">
        <v>289.5</v>
      </c>
      <c r="M1762" s="17">
        <f t="shared" si="82"/>
        <v>364380.05</v>
      </c>
      <c r="N1762" s="11">
        <f t="shared" si="83"/>
        <v>11</v>
      </c>
    </row>
    <row r="1763" spans="1:14" x14ac:dyDescent="0.25">
      <c r="A1763" s="11" t="s">
        <v>0</v>
      </c>
      <c r="B1763" s="12">
        <v>45243</v>
      </c>
      <c r="C1763" s="11" t="s">
        <v>688</v>
      </c>
      <c r="D1763" s="11" t="s">
        <v>692</v>
      </c>
      <c r="E1763" s="13" t="s">
        <v>726</v>
      </c>
      <c r="F1763" s="14" t="s">
        <v>91</v>
      </c>
      <c r="G1763" s="14" t="s">
        <v>403</v>
      </c>
      <c r="H1763" s="15" t="s">
        <v>103</v>
      </c>
      <c r="I1763" s="11">
        <f t="shared" si="84"/>
        <v>5</v>
      </c>
      <c r="K1763" s="16">
        <v>791.16</v>
      </c>
      <c r="M1763" s="17">
        <f t="shared" si="82"/>
        <v>363588.89</v>
      </c>
      <c r="N1763" s="11">
        <f t="shared" si="83"/>
        <v>11</v>
      </c>
    </row>
    <row r="1764" spans="1:14" ht="26.4" x14ac:dyDescent="0.25">
      <c r="A1764" s="11" t="s">
        <v>0</v>
      </c>
      <c r="B1764" s="12">
        <v>45243</v>
      </c>
      <c r="C1764" s="11" t="s">
        <v>688</v>
      </c>
      <c r="D1764" s="11" t="s">
        <v>692</v>
      </c>
      <c r="E1764" s="13" t="s">
        <v>143</v>
      </c>
      <c r="F1764" s="14" t="s">
        <v>59</v>
      </c>
      <c r="G1764" s="14" t="s">
        <v>403</v>
      </c>
      <c r="H1764" s="15" t="s">
        <v>503</v>
      </c>
      <c r="I1764" s="11">
        <f t="shared" si="84"/>
        <v>5</v>
      </c>
      <c r="K1764" s="16">
        <v>445.21</v>
      </c>
      <c r="M1764" s="17">
        <f t="shared" si="82"/>
        <v>363143.67999999999</v>
      </c>
      <c r="N1764" s="11">
        <f t="shared" si="83"/>
        <v>11</v>
      </c>
    </row>
    <row r="1765" spans="1:14" x14ac:dyDescent="0.25">
      <c r="A1765" s="11" t="s">
        <v>207</v>
      </c>
      <c r="B1765" s="12">
        <v>45243</v>
      </c>
      <c r="C1765" s="11" t="s">
        <v>688</v>
      </c>
      <c r="D1765" s="11" t="s">
        <v>43</v>
      </c>
      <c r="E1765" s="13">
        <v>45243</v>
      </c>
      <c r="F1765" s="14" t="s">
        <v>472</v>
      </c>
      <c r="G1765" s="14" t="s">
        <v>400</v>
      </c>
      <c r="I1765" s="11">
        <f t="shared" si="84"/>
        <v>2</v>
      </c>
      <c r="J1765" s="16">
        <v>996.49</v>
      </c>
      <c r="M1765" s="17">
        <f t="shared" si="82"/>
        <v>364140.17</v>
      </c>
      <c r="N1765" s="11">
        <f t="shared" si="83"/>
        <v>11</v>
      </c>
    </row>
    <row r="1766" spans="1:14" x14ac:dyDescent="0.25">
      <c r="A1766" s="11" t="s">
        <v>0</v>
      </c>
      <c r="B1766" s="12">
        <v>45243</v>
      </c>
      <c r="C1766" s="11" t="s">
        <v>688</v>
      </c>
      <c r="D1766" s="11" t="s">
        <v>47</v>
      </c>
      <c r="E1766" s="13" t="s">
        <v>162</v>
      </c>
      <c r="F1766" s="14" t="s">
        <v>504</v>
      </c>
      <c r="G1766" s="14" t="s">
        <v>404</v>
      </c>
      <c r="H1766" s="15">
        <v>11</v>
      </c>
      <c r="I1766" s="11">
        <f t="shared" si="84"/>
        <v>5</v>
      </c>
      <c r="K1766" s="16">
        <v>1320</v>
      </c>
      <c r="M1766" s="17">
        <f t="shared" si="82"/>
        <v>362820.17</v>
      </c>
      <c r="N1766" s="11">
        <f t="shared" si="83"/>
        <v>11</v>
      </c>
    </row>
    <row r="1767" spans="1:14" x14ac:dyDescent="0.25">
      <c r="A1767" s="11" t="s">
        <v>0</v>
      </c>
      <c r="B1767" s="12">
        <v>45243</v>
      </c>
      <c r="C1767" s="11" t="s">
        <v>688</v>
      </c>
      <c r="D1767" s="11" t="s">
        <v>701</v>
      </c>
      <c r="E1767" s="13" t="s">
        <v>180</v>
      </c>
      <c r="F1767" s="14" t="s">
        <v>37</v>
      </c>
      <c r="G1767" s="14" t="s">
        <v>404</v>
      </c>
      <c r="H1767" s="15" t="s">
        <v>102</v>
      </c>
      <c r="I1767" s="11">
        <f t="shared" si="84"/>
        <v>5</v>
      </c>
      <c r="K1767" s="16">
        <v>633</v>
      </c>
      <c r="M1767" s="17">
        <f t="shared" si="82"/>
        <v>362187.17</v>
      </c>
      <c r="N1767" s="11">
        <f t="shared" si="83"/>
        <v>11</v>
      </c>
    </row>
    <row r="1768" spans="1:14" x14ac:dyDescent="0.25">
      <c r="A1768" s="11" t="s">
        <v>0</v>
      </c>
      <c r="B1768" s="12">
        <v>45243</v>
      </c>
      <c r="C1768" s="11" t="s">
        <v>688</v>
      </c>
      <c r="D1768" s="11" t="s">
        <v>692</v>
      </c>
      <c r="E1768" s="13" t="s">
        <v>179</v>
      </c>
      <c r="F1768" s="14" t="s">
        <v>378</v>
      </c>
      <c r="G1768" s="14" t="s">
        <v>404</v>
      </c>
      <c r="H1768" s="15">
        <v>14</v>
      </c>
      <c r="I1768" s="11">
        <f t="shared" si="84"/>
        <v>5</v>
      </c>
      <c r="K1768" s="16">
        <v>495</v>
      </c>
      <c r="M1768" s="17">
        <f t="shared" si="82"/>
        <v>361692.17</v>
      </c>
      <c r="N1768" s="11">
        <f t="shared" si="83"/>
        <v>11</v>
      </c>
    </row>
    <row r="1769" spans="1:14" x14ac:dyDescent="0.25">
      <c r="A1769" s="11" t="s">
        <v>0</v>
      </c>
      <c r="B1769" s="12">
        <v>45243</v>
      </c>
      <c r="C1769" s="11" t="s">
        <v>688</v>
      </c>
      <c r="D1769" s="11" t="s">
        <v>692</v>
      </c>
      <c r="E1769" s="13" t="s">
        <v>725</v>
      </c>
      <c r="F1769" s="14" t="s">
        <v>27</v>
      </c>
      <c r="G1769" s="14" t="s">
        <v>404</v>
      </c>
      <c r="H1769" s="15">
        <v>14236</v>
      </c>
      <c r="I1769" s="11">
        <f t="shared" si="84"/>
        <v>5</v>
      </c>
      <c r="K1769" s="16">
        <v>404.04</v>
      </c>
      <c r="M1769" s="17">
        <f t="shared" si="82"/>
        <v>361288.13</v>
      </c>
      <c r="N1769" s="11">
        <f t="shared" si="83"/>
        <v>11</v>
      </c>
    </row>
    <row r="1770" spans="1:14" x14ac:dyDescent="0.25">
      <c r="A1770" s="11" t="s">
        <v>0</v>
      </c>
      <c r="B1770" s="12">
        <v>45243</v>
      </c>
      <c r="C1770" s="11" t="s">
        <v>688</v>
      </c>
      <c r="D1770" s="11" t="s">
        <v>692</v>
      </c>
      <c r="E1770" s="13" t="s">
        <v>229</v>
      </c>
      <c r="F1770" s="14" t="s">
        <v>116</v>
      </c>
      <c r="G1770" s="14" t="s">
        <v>404</v>
      </c>
      <c r="H1770" s="15">
        <v>62</v>
      </c>
      <c r="I1770" s="11">
        <f t="shared" si="84"/>
        <v>5</v>
      </c>
      <c r="K1770" s="16">
        <v>1660</v>
      </c>
      <c r="M1770" s="17">
        <f t="shared" si="82"/>
        <v>359628.13</v>
      </c>
      <c r="N1770" s="11">
        <f t="shared" si="83"/>
        <v>11</v>
      </c>
    </row>
    <row r="1771" spans="1:14" x14ac:dyDescent="0.25">
      <c r="A1771" s="11" t="s">
        <v>0</v>
      </c>
      <c r="B1771" s="12">
        <v>45243</v>
      </c>
      <c r="C1771" s="11" t="s">
        <v>688</v>
      </c>
      <c r="D1771" s="11" t="s">
        <v>692</v>
      </c>
      <c r="E1771" s="13" t="s">
        <v>717</v>
      </c>
      <c r="F1771" s="14" t="s">
        <v>76</v>
      </c>
      <c r="G1771" s="14" t="s">
        <v>404</v>
      </c>
      <c r="H1771" s="15">
        <v>1211812</v>
      </c>
      <c r="I1771" s="11">
        <f t="shared" si="84"/>
        <v>5</v>
      </c>
      <c r="K1771" s="16">
        <v>922.16</v>
      </c>
      <c r="M1771" s="17">
        <f t="shared" si="82"/>
        <v>358705.97000000003</v>
      </c>
      <c r="N1771" s="11">
        <f t="shared" si="83"/>
        <v>11</v>
      </c>
    </row>
    <row r="1772" spans="1:14" x14ac:dyDescent="0.25">
      <c r="A1772" s="11" t="s">
        <v>0</v>
      </c>
      <c r="B1772" s="12">
        <v>45243</v>
      </c>
      <c r="C1772" s="11" t="s">
        <v>688</v>
      </c>
      <c r="D1772" s="11" t="s">
        <v>692</v>
      </c>
      <c r="E1772" s="13" t="s">
        <v>179</v>
      </c>
      <c r="F1772" s="14" t="s">
        <v>28</v>
      </c>
      <c r="G1772" s="14" t="s">
        <v>404</v>
      </c>
      <c r="H1772" s="15">
        <v>45</v>
      </c>
      <c r="I1772" s="11">
        <f t="shared" si="84"/>
        <v>5</v>
      </c>
      <c r="K1772" s="16">
        <v>3600</v>
      </c>
      <c r="M1772" s="17">
        <f t="shared" si="82"/>
        <v>355105.97000000003</v>
      </c>
      <c r="N1772" s="11">
        <f t="shared" si="83"/>
        <v>11</v>
      </c>
    </row>
    <row r="1773" spans="1:14" x14ac:dyDescent="0.25">
      <c r="A1773" s="11" t="s">
        <v>0</v>
      </c>
      <c r="B1773" s="12">
        <v>45243</v>
      </c>
      <c r="C1773" s="11" t="s">
        <v>688</v>
      </c>
      <c r="D1773" s="11" t="s">
        <v>692</v>
      </c>
      <c r="E1773" s="13" t="s">
        <v>725</v>
      </c>
      <c r="F1773" s="14" t="s">
        <v>27</v>
      </c>
      <c r="G1773" s="14" t="s">
        <v>404</v>
      </c>
      <c r="H1773" s="15">
        <v>14227</v>
      </c>
      <c r="I1773" s="11">
        <f t="shared" si="84"/>
        <v>5</v>
      </c>
      <c r="K1773" s="16">
        <v>484.96</v>
      </c>
      <c r="M1773" s="17">
        <f t="shared" si="82"/>
        <v>354621.01</v>
      </c>
      <c r="N1773" s="11">
        <f t="shared" si="83"/>
        <v>11</v>
      </c>
    </row>
    <row r="1774" spans="1:14" x14ac:dyDescent="0.25">
      <c r="A1774" s="11" t="s">
        <v>0</v>
      </c>
      <c r="B1774" s="12">
        <v>45243</v>
      </c>
      <c r="C1774" s="11" t="s">
        <v>688</v>
      </c>
      <c r="D1774" s="11" t="s">
        <v>692</v>
      </c>
      <c r="E1774" s="13" t="s">
        <v>143</v>
      </c>
      <c r="F1774" s="14" t="s">
        <v>59</v>
      </c>
      <c r="G1774" s="14" t="s">
        <v>404</v>
      </c>
      <c r="H1774" s="15" t="s">
        <v>103</v>
      </c>
      <c r="I1774" s="11">
        <f t="shared" si="84"/>
        <v>5</v>
      </c>
      <c r="K1774" s="16">
        <v>3512.87</v>
      </c>
      <c r="M1774" s="17">
        <f t="shared" si="82"/>
        <v>351108.14</v>
      </c>
      <c r="N1774" s="11">
        <f t="shared" si="83"/>
        <v>11</v>
      </c>
    </row>
    <row r="1775" spans="1:14" x14ac:dyDescent="0.25">
      <c r="A1775" s="11" t="s">
        <v>0</v>
      </c>
      <c r="B1775" s="12">
        <v>45243</v>
      </c>
      <c r="C1775" s="11" t="s">
        <v>688</v>
      </c>
      <c r="D1775" s="11" t="s">
        <v>692</v>
      </c>
      <c r="E1775" s="62" t="s">
        <v>179</v>
      </c>
      <c r="F1775" s="158" t="s">
        <v>764</v>
      </c>
      <c r="G1775" s="14" t="s">
        <v>404</v>
      </c>
      <c r="H1775" s="15">
        <v>135491</v>
      </c>
      <c r="I1775" s="11">
        <f t="shared" si="84"/>
        <v>5</v>
      </c>
      <c r="K1775" s="16">
        <v>854.85</v>
      </c>
      <c r="M1775" s="17">
        <f t="shared" si="82"/>
        <v>350253.29000000004</v>
      </c>
      <c r="N1775" s="11">
        <f t="shared" si="83"/>
        <v>11</v>
      </c>
    </row>
    <row r="1776" spans="1:14" x14ac:dyDescent="0.25">
      <c r="A1776" s="11" t="s">
        <v>0</v>
      </c>
      <c r="B1776" s="12">
        <v>45243</v>
      </c>
      <c r="C1776" s="11" t="s">
        <v>688</v>
      </c>
      <c r="D1776" s="11" t="s">
        <v>701</v>
      </c>
      <c r="E1776" s="13" t="s">
        <v>505</v>
      </c>
      <c r="F1776" s="14" t="s">
        <v>35</v>
      </c>
      <c r="G1776" s="14" t="s">
        <v>404</v>
      </c>
      <c r="H1776" s="15">
        <v>113783</v>
      </c>
      <c r="I1776" s="11">
        <f t="shared" si="84"/>
        <v>5</v>
      </c>
      <c r="K1776" s="16">
        <v>261.01</v>
      </c>
      <c r="M1776" s="17">
        <f t="shared" si="82"/>
        <v>349992.28</v>
      </c>
      <c r="N1776" s="11">
        <f t="shared" si="83"/>
        <v>11</v>
      </c>
    </row>
    <row r="1777" spans="1:14" ht="26.4" x14ac:dyDescent="0.25">
      <c r="A1777" s="11" t="s">
        <v>0</v>
      </c>
      <c r="B1777" s="12">
        <v>45243</v>
      </c>
      <c r="C1777" s="11" t="s">
        <v>688</v>
      </c>
      <c r="D1777" s="11" t="s">
        <v>696</v>
      </c>
      <c r="E1777" s="13" t="s">
        <v>506</v>
      </c>
      <c r="F1777" s="14" t="s">
        <v>35</v>
      </c>
      <c r="G1777" s="14" t="s">
        <v>404</v>
      </c>
      <c r="H1777" s="15" t="s">
        <v>523</v>
      </c>
      <c r="I1777" s="11">
        <f t="shared" si="84"/>
        <v>5</v>
      </c>
      <c r="K1777" s="16">
        <v>530.63</v>
      </c>
      <c r="M1777" s="17">
        <f t="shared" si="82"/>
        <v>349461.65</v>
      </c>
      <c r="N1777" s="11">
        <f t="shared" si="83"/>
        <v>11</v>
      </c>
    </row>
    <row r="1778" spans="1:14" x14ac:dyDescent="0.25">
      <c r="A1778" s="11" t="s">
        <v>0</v>
      </c>
      <c r="B1778" s="12">
        <v>45243</v>
      </c>
      <c r="C1778" s="11" t="s">
        <v>688</v>
      </c>
      <c r="D1778" s="11" t="s">
        <v>692</v>
      </c>
      <c r="E1778" s="13" t="s">
        <v>143</v>
      </c>
      <c r="F1778" s="14" t="s">
        <v>35</v>
      </c>
      <c r="G1778" s="14" t="s">
        <v>404</v>
      </c>
      <c r="H1778" s="15">
        <v>173081</v>
      </c>
      <c r="I1778" s="11">
        <f t="shared" si="84"/>
        <v>5</v>
      </c>
      <c r="K1778" s="16">
        <v>314.98</v>
      </c>
      <c r="M1778" s="17">
        <f t="shared" si="82"/>
        <v>349146.67000000004</v>
      </c>
      <c r="N1778" s="11">
        <f t="shared" si="83"/>
        <v>11</v>
      </c>
    </row>
    <row r="1779" spans="1:14" ht="52.8" x14ac:dyDescent="0.25">
      <c r="A1779" s="11" t="s">
        <v>0</v>
      </c>
      <c r="B1779" s="12">
        <v>45243</v>
      </c>
      <c r="C1779" s="11" t="s">
        <v>688</v>
      </c>
      <c r="D1779" s="11" t="s">
        <v>47</v>
      </c>
      <c r="E1779" s="13" t="s">
        <v>507</v>
      </c>
      <c r="F1779" s="14" t="s">
        <v>35</v>
      </c>
      <c r="G1779" s="14" t="s">
        <v>404</v>
      </c>
      <c r="H1779" s="15" t="s">
        <v>524</v>
      </c>
      <c r="I1779" s="11">
        <f t="shared" si="84"/>
        <v>5</v>
      </c>
      <c r="K1779" s="16">
        <v>2997.59</v>
      </c>
      <c r="M1779" s="17">
        <f t="shared" si="82"/>
        <v>346149.08</v>
      </c>
      <c r="N1779" s="11">
        <f t="shared" si="83"/>
        <v>11</v>
      </c>
    </row>
    <row r="1780" spans="1:14" x14ac:dyDescent="0.25">
      <c r="A1780" s="11" t="s">
        <v>0</v>
      </c>
      <c r="B1780" s="12">
        <v>45243</v>
      </c>
      <c r="C1780" s="11" t="s">
        <v>689</v>
      </c>
      <c r="D1780" s="11" t="s">
        <v>701</v>
      </c>
      <c r="E1780" s="13" t="s">
        <v>508</v>
      </c>
      <c r="F1780" s="14" t="s">
        <v>35</v>
      </c>
      <c r="G1780" s="14" t="s">
        <v>404</v>
      </c>
      <c r="H1780" s="15" t="s">
        <v>525</v>
      </c>
      <c r="I1780" s="11">
        <f t="shared" si="84"/>
        <v>5</v>
      </c>
      <c r="K1780" s="16">
        <v>3410.7</v>
      </c>
      <c r="M1780" s="17">
        <f t="shared" si="82"/>
        <v>342738.38</v>
      </c>
      <c r="N1780" s="11">
        <f t="shared" si="83"/>
        <v>11</v>
      </c>
    </row>
    <row r="1781" spans="1:14" x14ac:dyDescent="0.25">
      <c r="A1781" s="11" t="s">
        <v>207</v>
      </c>
      <c r="B1781" s="12">
        <v>45244</v>
      </c>
      <c r="C1781" s="11" t="s">
        <v>688</v>
      </c>
      <c r="D1781" s="11" t="s">
        <v>43</v>
      </c>
      <c r="E1781" s="13" t="s">
        <v>382</v>
      </c>
      <c r="F1781" s="14" t="s">
        <v>13</v>
      </c>
      <c r="G1781" s="14" t="s">
        <v>400</v>
      </c>
      <c r="I1781" s="11">
        <f t="shared" si="84"/>
        <v>2</v>
      </c>
      <c r="J1781" s="16">
        <v>6.86</v>
      </c>
      <c r="M1781" s="17">
        <f t="shared" si="82"/>
        <v>342745.24</v>
      </c>
      <c r="N1781" s="11">
        <f t="shared" si="83"/>
        <v>11</v>
      </c>
    </row>
    <row r="1782" spans="1:14" x14ac:dyDescent="0.25">
      <c r="A1782" s="11" t="s">
        <v>207</v>
      </c>
      <c r="B1782" s="12">
        <v>45244</v>
      </c>
      <c r="C1782" s="11" t="s">
        <v>662</v>
      </c>
      <c r="D1782" s="11" t="s">
        <v>43</v>
      </c>
      <c r="E1782" s="13" t="s">
        <v>382</v>
      </c>
      <c r="F1782" s="14" t="s">
        <v>13</v>
      </c>
      <c r="G1782" s="14" t="s">
        <v>400</v>
      </c>
      <c r="I1782" s="11">
        <f t="shared" si="84"/>
        <v>2</v>
      </c>
      <c r="J1782" s="16">
        <v>252.4</v>
      </c>
      <c r="M1782" s="17">
        <f t="shared" si="82"/>
        <v>342997.64</v>
      </c>
      <c r="N1782" s="11">
        <f t="shared" si="83"/>
        <v>11</v>
      </c>
    </row>
    <row r="1783" spans="1:14" x14ac:dyDescent="0.25">
      <c r="A1783" s="11" t="s">
        <v>207</v>
      </c>
      <c r="B1783" s="12">
        <v>45244</v>
      </c>
      <c r="C1783" s="11" t="s">
        <v>662</v>
      </c>
      <c r="D1783" s="11" t="s">
        <v>43</v>
      </c>
      <c r="E1783" s="13" t="s">
        <v>382</v>
      </c>
      <c r="F1783" s="14" t="s">
        <v>13</v>
      </c>
      <c r="G1783" s="14" t="s">
        <v>400</v>
      </c>
      <c r="I1783" s="11">
        <f t="shared" si="84"/>
        <v>2</v>
      </c>
      <c r="J1783" s="16">
        <v>204.69</v>
      </c>
      <c r="M1783" s="17">
        <f t="shared" si="82"/>
        <v>343202.33</v>
      </c>
      <c r="N1783" s="11">
        <f t="shared" si="83"/>
        <v>11</v>
      </c>
    </row>
    <row r="1784" spans="1:14" x14ac:dyDescent="0.25">
      <c r="A1784" s="11" t="s">
        <v>207</v>
      </c>
      <c r="B1784" s="12">
        <v>45244</v>
      </c>
      <c r="C1784" s="11" t="s">
        <v>688</v>
      </c>
      <c r="D1784" s="11" t="s">
        <v>43</v>
      </c>
      <c r="E1784" s="13" t="s">
        <v>80</v>
      </c>
      <c r="F1784" s="14" t="s">
        <v>79</v>
      </c>
      <c r="G1784" s="14" t="s">
        <v>400</v>
      </c>
      <c r="I1784" s="11">
        <f t="shared" si="84"/>
        <v>2</v>
      </c>
      <c r="J1784" s="16">
        <v>5027.59</v>
      </c>
      <c r="M1784" s="17">
        <f t="shared" si="82"/>
        <v>348229.92000000004</v>
      </c>
      <c r="N1784" s="11">
        <f t="shared" si="83"/>
        <v>11</v>
      </c>
    </row>
    <row r="1785" spans="1:14" x14ac:dyDescent="0.25">
      <c r="A1785" s="11" t="s">
        <v>207</v>
      </c>
      <c r="B1785" s="12">
        <v>45244</v>
      </c>
      <c r="C1785" s="11" t="s">
        <v>688</v>
      </c>
      <c r="D1785" s="11" t="s">
        <v>43</v>
      </c>
      <c r="E1785" s="13" t="s">
        <v>81</v>
      </c>
      <c r="F1785" s="14" t="s">
        <v>79</v>
      </c>
      <c r="G1785" s="14" t="s">
        <v>400</v>
      </c>
      <c r="I1785" s="11">
        <f t="shared" si="84"/>
        <v>2</v>
      </c>
      <c r="J1785" s="16">
        <v>2261.96</v>
      </c>
      <c r="M1785" s="17">
        <f t="shared" si="82"/>
        <v>350491.88000000006</v>
      </c>
      <c r="N1785" s="11">
        <f t="shared" si="83"/>
        <v>11</v>
      </c>
    </row>
    <row r="1786" spans="1:14" x14ac:dyDescent="0.25">
      <c r="A1786" s="11" t="s">
        <v>0</v>
      </c>
      <c r="B1786" s="12">
        <v>45244</v>
      </c>
      <c r="C1786" s="11" t="s">
        <v>688</v>
      </c>
      <c r="D1786" s="11" t="s">
        <v>720</v>
      </c>
      <c r="E1786" s="13" t="s">
        <v>183</v>
      </c>
      <c r="F1786" s="14" t="s">
        <v>366</v>
      </c>
      <c r="G1786" s="14" t="s">
        <v>404</v>
      </c>
      <c r="H1786" s="15">
        <v>58</v>
      </c>
      <c r="I1786" s="11">
        <f t="shared" si="84"/>
        <v>5</v>
      </c>
      <c r="K1786" s="16">
        <v>40</v>
      </c>
      <c r="M1786" s="17">
        <f t="shared" si="82"/>
        <v>350451.88000000006</v>
      </c>
      <c r="N1786" s="11">
        <f t="shared" si="83"/>
        <v>11</v>
      </c>
    </row>
    <row r="1787" spans="1:14" x14ac:dyDescent="0.25">
      <c r="A1787" s="11" t="s">
        <v>207</v>
      </c>
      <c r="B1787" s="12">
        <v>45244</v>
      </c>
      <c r="C1787" s="11" t="s">
        <v>662</v>
      </c>
      <c r="D1787" s="11" t="s">
        <v>43</v>
      </c>
      <c r="E1787" s="14" t="s">
        <v>288</v>
      </c>
      <c r="F1787" s="14" t="s">
        <v>288</v>
      </c>
      <c r="G1787" s="14" t="s">
        <v>173</v>
      </c>
      <c r="I1787" s="11">
        <f t="shared" si="84"/>
        <v>3</v>
      </c>
      <c r="J1787" s="16">
        <v>300</v>
      </c>
      <c r="M1787" s="17">
        <f t="shared" si="82"/>
        <v>350751.88000000006</v>
      </c>
      <c r="N1787" s="11">
        <f t="shared" si="83"/>
        <v>11</v>
      </c>
    </row>
    <row r="1788" spans="1:14" x14ac:dyDescent="0.25">
      <c r="A1788" s="11" t="s">
        <v>207</v>
      </c>
      <c r="B1788" s="12">
        <v>45244</v>
      </c>
      <c r="C1788" s="11" t="s">
        <v>688</v>
      </c>
      <c r="D1788" s="11" t="s">
        <v>43</v>
      </c>
      <c r="E1788" s="14" t="s">
        <v>288</v>
      </c>
      <c r="F1788" s="14" t="s">
        <v>288</v>
      </c>
      <c r="G1788" s="14" t="s">
        <v>173</v>
      </c>
      <c r="I1788" s="11">
        <f t="shared" si="84"/>
        <v>3</v>
      </c>
      <c r="J1788" s="16">
        <v>4080</v>
      </c>
      <c r="M1788" s="17">
        <f t="shared" si="82"/>
        <v>354831.88000000006</v>
      </c>
      <c r="N1788" s="11">
        <f t="shared" si="83"/>
        <v>11</v>
      </c>
    </row>
    <row r="1789" spans="1:14" x14ac:dyDescent="0.25">
      <c r="A1789" s="11" t="s">
        <v>207</v>
      </c>
      <c r="B1789" s="12">
        <v>45244</v>
      </c>
      <c r="C1789" s="11" t="s">
        <v>688</v>
      </c>
      <c r="D1789" s="11" t="s">
        <v>43</v>
      </c>
      <c r="E1789" s="14" t="s">
        <v>429</v>
      </c>
      <c r="F1789" s="14" t="s">
        <v>429</v>
      </c>
      <c r="G1789" s="14" t="s">
        <v>428</v>
      </c>
      <c r="I1789" s="11">
        <f t="shared" si="84"/>
        <v>1</v>
      </c>
      <c r="J1789" s="16">
        <v>2632.33</v>
      </c>
      <c r="M1789" s="17">
        <f t="shared" si="82"/>
        <v>357464.21000000008</v>
      </c>
      <c r="N1789" s="11">
        <f t="shared" si="83"/>
        <v>11</v>
      </c>
    </row>
    <row r="1790" spans="1:14" x14ac:dyDescent="0.25">
      <c r="A1790" s="11" t="s">
        <v>207</v>
      </c>
      <c r="B1790" s="12">
        <v>45244</v>
      </c>
      <c r="C1790" s="11" t="s">
        <v>688</v>
      </c>
      <c r="D1790" s="11" t="s">
        <v>43</v>
      </c>
      <c r="E1790" s="13">
        <v>45244</v>
      </c>
      <c r="F1790" s="14" t="s">
        <v>472</v>
      </c>
      <c r="G1790" s="14" t="s">
        <v>400</v>
      </c>
      <c r="I1790" s="11">
        <f t="shared" si="84"/>
        <v>2</v>
      </c>
      <c r="J1790" s="16">
        <v>5.25</v>
      </c>
      <c r="M1790" s="17">
        <f t="shared" si="82"/>
        <v>357469.46000000008</v>
      </c>
      <c r="N1790" s="11">
        <f t="shared" si="83"/>
        <v>11</v>
      </c>
    </row>
    <row r="1791" spans="1:14" x14ac:dyDescent="0.25">
      <c r="A1791" s="11" t="s">
        <v>0</v>
      </c>
      <c r="B1791" s="12">
        <v>45244</v>
      </c>
      <c r="C1791" s="11" t="s">
        <v>688</v>
      </c>
      <c r="D1791" s="11" t="s">
        <v>694</v>
      </c>
      <c r="E1791" s="13" t="s">
        <v>182</v>
      </c>
      <c r="F1791" s="14" t="s">
        <v>365</v>
      </c>
      <c r="G1791" s="14" t="s">
        <v>402</v>
      </c>
      <c r="I1791" s="11">
        <f t="shared" si="84"/>
        <v>5</v>
      </c>
      <c r="K1791" s="16">
        <v>0.05</v>
      </c>
      <c r="M1791" s="17">
        <f t="shared" si="82"/>
        <v>357469.41000000009</v>
      </c>
      <c r="N1791" s="11">
        <f t="shared" si="83"/>
        <v>11</v>
      </c>
    </row>
    <row r="1792" spans="1:14" x14ac:dyDescent="0.25">
      <c r="A1792" s="11" t="s">
        <v>0</v>
      </c>
      <c r="B1792" s="12">
        <v>45244</v>
      </c>
      <c r="C1792" s="11" t="s">
        <v>688</v>
      </c>
      <c r="D1792" s="11" t="s">
        <v>694</v>
      </c>
      <c r="E1792" s="13" t="s">
        <v>182</v>
      </c>
      <c r="F1792" s="14" t="s">
        <v>23</v>
      </c>
      <c r="G1792" s="14" t="s">
        <v>402</v>
      </c>
      <c r="I1792" s="11">
        <f t="shared" si="84"/>
        <v>5</v>
      </c>
      <c r="K1792" s="16">
        <v>8.4600000000000009</v>
      </c>
      <c r="M1792" s="17">
        <f t="shared" si="82"/>
        <v>357460.95000000007</v>
      </c>
      <c r="N1792" s="11">
        <f t="shared" si="83"/>
        <v>11</v>
      </c>
    </row>
    <row r="1793" spans="1:14" x14ac:dyDescent="0.25">
      <c r="A1793" s="11" t="s">
        <v>0</v>
      </c>
      <c r="B1793" s="12">
        <v>45244</v>
      </c>
      <c r="C1793" s="11" t="s">
        <v>688</v>
      </c>
      <c r="D1793" s="11" t="s">
        <v>697</v>
      </c>
      <c r="E1793" s="13" t="s">
        <v>510</v>
      </c>
      <c r="F1793" s="14" t="s">
        <v>509</v>
      </c>
      <c r="G1793" s="14" t="s">
        <v>404</v>
      </c>
      <c r="I1793" s="11">
        <f t="shared" si="84"/>
        <v>5</v>
      </c>
      <c r="K1793" s="16">
        <v>728.22</v>
      </c>
      <c r="M1793" s="17">
        <f t="shared" si="82"/>
        <v>356732.7300000001</v>
      </c>
      <c r="N1793" s="11">
        <f t="shared" si="83"/>
        <v>11</v>
      </c>
    </row>
    <row r="1794" spans="1:14" x14ac:dyDescent="0.25">
      <c r="A1794" s="11" t="s">
        <v>0</v>
      </c>
      <c r="B1794" s="12">
        <v>45244</v>
      </c>
      <c r="C1794" s="11" t="s">
        <v>688</v>
      </c>
      <c r="D1794" s="11" t="s">
        <v>692</v>
      </c>
      <c r="E1794" s="13" t="s">
        <v>726</v>
      </c>
      <c r="F1794" s="14" t="s">
        <v>776</v>
      </c>
      <c r="G1794" s="14" t="s">
        <v>404</v>
      </c>
      <c r="H1794" s="15">
        <v>17197</v>
      </c>
      <c r="I1794" s="11">
        <f t="shared" si="84"/>
        <v>5</v>
      </c>
      <c r="K1794" s="16">
        <v>126.34</v>
      </c>
      <c r="M1794" s="17">
        <f t="shared" si="82"/>
        <v>356606.39000000007</v>
      </c>
      <c r="N1794" s="11">
        <f t="shared" si="83"/>
        <v>11</v>
      </c>
    </row>
    <row r="1795" spans="1:14" x14ac:dyDescent="0.25">
      <c r="A1795" s="11" t="s">
        <v>0</v>
      </c>
      <c r="B1795" s="12">
        <v>45244</v>
      </c>
      <c r="C1795" s="11" t="s">
        <v>688</v>
      </c>
      <c r="D1795" s="11" t="s">
        <v>720</v>
      </c>
      <c r="E1795" s="13" t="s">
        <v>183</v>
      </c>
      <c r="F1795" s="14" t="s">
        <v>366</v>
      </c>
      <c r="G1795" s="14" t="s">
        <v>404</v>
      </c>
      <c r="H1795" s="15">
        <v>58</v>
      </c>
      <c r="I1795" s="11">
        <f t="shared" si="84"/>
        <v>5</v>
      </c>
      <c r="K1795" s="16">
        <v>400</v>
      </c>
      <c r="M1795" s="17">
        <f t="shared" ref="M1795:M1858" si="85">IF(B1795=0, "",M1794+ J1795-K1795)</f>
        <v>356206.39000000007</v>
      </c>
      <c r="N1795" s="11">
        <f t="shared" ref="N1795:N1858" si="86">IF(B1795=0, "", MONTH(B1795))</f>
        <v>11</v>
      </c>
    </row>
    <row r="1796" spans="1:14" ht="39.6" x14ac:dyDescent="0.25">
      <c r="A1796" s="11" t="s">
        <v>0</v>
      </c>
      <c r="B1796" s="12">
        <v>45244</v>
      </c>
      <c r="C1796" s="11" t="s">
        <v>688</v>
      </c>
      <c r="D1796" s="11" t="s">
        <v>692</v>
      </c>
      <c r="E1796" s="13" t="s">
        <v>725</v>
      </c>
      <c r="F1796" s="14" t="s">
        <v>27</v>
      </c>
      <c r="G1796" s="14" t="s">
        <v>404</v>
      </c>
      <c r="H1796" s="15" t="s">
        <v>639</v>
      </c>
      <c r="I1796" s="11">
        <f t="shared" si="84"/>
        <v>5</v>
      </c>
      <c r="K1796" s="16">
        <v>1409.14</v>
      </c>
      <c r="M1796" s="17">
        <f t="shared" si="85"/>
        <v>354797.25000000006</v>
      </c>
      <c r="N1796" s="11">
        <f t="shared" si="86"/>
        <v>11</v>
      </c>
    </row>
    <row r="1797" spans="1:14" ht="26.4" x14ac:dyDescent="0.25">
      <c r="A1797" s="11" t="s">
        <v>0</v>
      </c>
      <c r="B1797" s="12">
        <v>45244</v>
      </c>
      <c r="C1797" s="11" t="s">
        <v>688</v>
      </c>
      <c r="D1797" s="11" t="s">
        <v>692</v>
      </c>
      <c r="E1797" s="13" t="s">
        <v>143</v>
      </c>
      <c r="F1797" s="14" t="s">
        <v>511</v>
      </c>
      <c r="G1797" s="14" t="s">
        <v>403</v>
      </c>
      <c r="H1797" s="15" t="s">
        <v>512</v>
      </c>
      <c r="I1797" s="11">
        <f t="shared" ref="I1797:I1860" si="87">IF(AND(G1797="MERCADO PAGO",A1797="FATURAMENTO"),1,IF(AND(OR(G1797="MERCADO PAGO",G1797="pix mercado pago",G1797= "débito automático mercado pago", G1797= "boleto mercado pago"),A1797="DESPESAS"),4,IF(AND(G1797="SAFRA",A1797="FATURAMENTO"),2,IF(AND(OR(G1797="SAFRA",G1797="PIX SAFRA", G1797="DÉBITO AUTOMÁTICO SAFRA", G1797= "BOLETO SAFRA", G1797= "transferência safra"), A1797="DESPESAS"),5,IF(AND(G1797="espécie",A1797="FATURAMENTO"),3,IF(AND(G1797="espécie",A1797="DESPESAS"),6))))))</f>
        <v>5</v>
      </c>
      <c r="K1797" s="16">
        <v>1696.65</v>
      </c>
      <c r="M1797" s="17">
        <f t="shared" si="85"/>
        <v>353100.60000000003</v>
      </c>
      <c r="N1797" s="11">
        <f t="shared" si="86"/>
        <v>11</v>
      </c>
    </row>
    <row r="1798" spans="1:14" x14ac:dyDescent="0.25">
      <c r="A1798" s="11" t="s">
        <v>0</v>
      </c>
      <c r="B1798" s="12">
        <v>45244</v>
      </c>
      <c r="C1798" s="11" t="s">
        <v>688</v>
      </c>
      <c r="D1798" s="11" t="s">
        <v>694</v>
      </c>
      <c r="E1798" s="13" t="s">
        <v>6</v>
      </c>
      <c r="F1798" s="14" t="s">
        <v>60</v>
      </c>
      <c r="G1798" s="14" t="s">
        <v>403</v>
      </c>
      <c r="H1798" s="15">
        <v>126745</v>
      </c>
      <c r="I1798" s="11">
        <f t="shared" si="87"/>
        <v>5</v>
      </c>
      <c r="K1798" s="16">
        <v>109.9</v>
      </c>
      <c r="M1798" s="17">
        <f t="shared" si="85"/>
        <v>352990.7</v>
      </c>
      <c r="N1798" s="11">
        <f t="shared" si="86"/>
        <v>11</v>
      </c>
    </row>
    <row r="1799" spans="1:14" x14ac:dyDescent="0.25">
      <c r="A1799" s="11" t="s">
        <v>0</v>
      </c>
      <c r="B1799" s="12">
        <v>45245</v>
      </c>
      <c r="C1799" s="11" t="s">
        <v>688</v>
      </c>
      <c r="D1799" s="11" t="s">
        <v>696</v>
      </c>
      <c r="E1799" s="13" t="s">
        <v>149</v>
      </c>
      <c r="F1799" s="14" t="s">
        <v>62</v>
      </c>
      <c r="G1799" s="14" t="s">
        <v>407</v>
      </c>
      <c r="H1799" s="15" t="s">
        <v>426</v>
      </c>
      <c r="I1799" s="11">
        <f t="shared" si="87"/>
        <v>4</v>
      </c>
      <c r="K1799" s="16">
        <v>1150</v>
      </c>
      <c r="M1799" s="17">
        <f t="shared" si="85"/>
        <v>351840.7</v>
      </c>
      <c r="N1799" s="11">
        <f t="shared" si="86"/>
        <v>11</v>
      </c>
    </row>
    <row r="1800" spans="1:14" x14ac:dyDescent="0.25">
      <c r="A1800" s="11" t="s">
        <v>0</v>
      </c>
      <c r="B1800" s="12">
        <v>45245</v>
      </c>
      <c r="C1800" s="11" t="s">
        <v>688</v>
      </c>
      <c r="D1800" s="11" t="s">
        <v>696</v>
      </c>
      <c r="E1800" s="13" t="s">
        <v>421</v>
      </c>
      <c r="F1800" s="14" t="s">
        <v>62</v>
      </c>
      <c r="G1800" s="14" t="s">
        <v>407</v>
      </c>
      <c r="H1800" s="15" t="s">
        <v>426</v>
      </c>
      <c r="I1800" s="11">
        <f t="shared" si="87"/>
        <v>4</v>
      </c>
      <c r="K1800" s="16">
        <v>1500</v>
      </c>
      <c r="M1800" s="17">
        <f t="shared" si="85"/>
        <v>350340.7</v>
      </c>
      <c r="N1800" s="11">
        <f t="shared" si="86"/>
        <v>11</v>
      </c>
    </row>
    <row r="1801" spans="1:14" x14ac:dyDescent="0.25">
      <c r="A1801" s="11" t="s">
        <v>0</v>
      </c>
      <c r="B1801" s="12">
        <v>45245</v>
      </c>
      <c r="C1801" s="11" t="s">
        <v>688</v>
      </c>
      <c r="D1801" s="11" t="s">
        <v>696</v>
      </c>
      <c r="E1801" s="13" t="s">
        <v>165</v>
      </c>
      <c r="F1801" s="14" t="s">
        <v>62</v>
      </c>
      <c r="G1801" s="14" t="s">
        <v>407</v>
      </c>
      <c r="H1801" s="15" t="s">
        <v>426</v>
      </c>
      <c r="I1801" s="11">
        <f t="shared" si="87"/>
        <v>4</v>
      </c>
      <c r="K1801" s="16">
        <v>1200</v>
      </c>
      <c r="M1801" s="17">
        <f t="shared" si="85"/>
        <v>349140.7</v>
      </c>
      <c r="N1801" s="11">
        <f t="shared" si="86"/>
        <v>11</v>
      </c>
    </row>
    <row r="1802" spans="1:14" x14ac:dyDescent="0.25">
      <c r="A1802" s="11" t="s">
        <v>0</v>
      </c>
      <c r="B1802" s="12">
        <v>45245</v>
      </c>
      <c r="C1802" s="11" t="s">
        <v>688</v>
      </c>
      <c r="D1802" s="11" t="s">
        <v>696</v>
      </c>
      <c r="E1802" s="13" t="s">
        <v>151</v>
      </c>
      <c r="F1802" s="14" t="s">
        <v>62</v>
      </c>
      <c r="G1802" s="14" t="s">
        <v>407</v>
      </c>
      <c r="H1802" s="15" t="s">
        <v>426</v>
      </c>
      <c r="I1802" s="11">
        <f t="shared" si="87"/>
        <v>4</v>
      </c>
      <c r="K1802" s="16">
        <v>1000</v>
      </c>
      <c r="M1802" s="17">
        <f t="shared" si="85"/>
        <v>348140.7</v>
      </c>
      <c r="N1802" s="11">
        <f t="shared" si="86"/>
        <v>11</v>
      </c>
    </row>
    <row r="1803" spans="1:14" x14ac:dyDescent="0.25">
      <c r="A1803" s="11" t="s">
        <v>0</v>
      </c>
      <c r="B1803" s="12">
        <v>45245</v>
      </c>
      <c r="C1803" s="11" t="s">
        <v>688</v>
      </c>
      <c r="D1803" s="11" t="s">
        <v>696</v>
      </c>
      <c r="E1803" s="13" t="s">
        <v>408</v>
      </c>
      <c r="F1803" s="14" t="s">
        <v>62</v>
      </c>
      <c r="G1803" s="14" t="s">
        <v>407</v>
      </c>
      <c r="H1803" s="15" t="s">
        <v>426</v>
      </c>
      <c r="I1803" s="11">
        <f t="shared" si="87"/>
        <v>4</v>
      </c>
      <c r="K1803" s="16">
        <v>2000</v>
      </c>
      <c r="M1803" s="17">
        <f t="shared" si="85"/>
        <v>346140.7</v>
      </c>
      <c r="N1803" s="11">
        <f t="shared" si="86"/>
        <v>11</v>
      </c>
    </row>
    <row r="1804" spans="1:14" x14ac:dyDescent="0.25">
      <c r="A1804" s="11" t="s">
        <v>0</v>
      </c>
      <c r="B1804" s="12">
        <v>45245</v>
      </c>
      <c r="C1804" s="11" t="s">
        <v>688</v>
      </c>
      <c r="D1804" s="11" t="s">
        <v>696</v>
      </c>
      <c r="E1804" s="13" t="s">
        <v>607</v>
      </c>
      <c r="F1804" s="14" t="s">
        <v>62</v>
      </c>
      <c r="G1804" s="14" t="s">
        <v>407</v>
      </c>
      <c r="H1804" s="15" t="s">
        <v>426</v>
      </c>
      <c r="I1804" s="11">
        <f t="shared" si="87"/>
        <v>4</v>
      </c>
      <c r="K1804" s="16">
        <v>750</v>
      </c>
      <c r="M1804" s="17">
        <f t="shared" si="85"/>
        <v>345390.7</v>
      </c>
      <c r="N1804" s="11">
        <f t="shared" si="86"/>
        <v>11</v>
      </c>
    </row>
    <row r="1805" spans="1:14" x14ac:dyDescent="0.25">
      <c r="A1805" s="11" t="s">
        <v>0</v>
      </c>
      <c r="B1805" s="12">
        <v>45245</v>
      </c>
      <c r="C1805" s="11" t="s">
        <v>688</v>
      </c>
      <c r="D1805" s="11" t="s">
        <v>696</v>
      </c>
      <c r="E1805" s="13" t="s">
        <v>608</v>
      </c>
      <c r="F1805" s="14" t="s">
        <v>62</v>
      </c>
      <c r="G1805" s="14" t="s">
        <v>407</v>
      </c>
      <c r="H1805" s="15" t="s">
        <v>426</v>
      </c>
      <c r="I1805" s="11">
        <f t="shared" si="87"/>
        <v>4</v>
      </c>
      <c r="K1805" s="16">
        <v>1125</v>
      </c>
      <c r="M1805" s="17">
        <f t="shared" si="85"/>
        <v>344265.7</v>
      </c>
      <c r="N1805" s="11">
        <f t="shared" si="86"/>
        <v>11</v>
      </c>
    </row>
    <row r="1806" spans="1:14" x14ac:dyDescent="0.25">
      <c r="A1806" s="11" t="s">
        <v>0</v>
      </c>
      <c r="B1806" s="12">
        <v>45245</v>
      </c>
      <c r="C1806" s="11" t="s">
        <v>688</v>
      </c>
      <c r="D1806" s="11" t="s">
        <v>696</v>
      </c>
      <c r="E1806" s="13" t="s">
        <v>156</v>
      </c>
      <c r="F1806" s="14" t="s">
        <v>62</v>
      </c>
      <c r="G1806" s="14" t="s">
        <v>407</v>
      </c>
      <c r="H1806" s="15" t="s">
        <v>426</v>
      </c>
      <c r="I1806" s="11">
        <f t="shared" si="87"/>
        <v>4</v>
      </c>
      <c r="K1806" s="16">
        <v>700</v>
      </c>
      <c r="M1806" s="17">
        <f t="shared" si="85"/>
        <v>343565.7</v>
      </c>
      <c r="N1806" s="11">
        <f t="shared" si="86"/>
        <v>11</v>
      </c>
    </row>
    <row r="1807" spans="1:14" x14ac:dyDescent="0.25">
      <c r="A1807" s="11" t="s">
        <v>0</v>
      </c>
      <c r="B1807" s="12">
        <v>45245</v>
      </c>
      <c r="C1807" s="11" t="s">
        <v>688</v>
      </c>
      <c r="D1807" s="11" t="s">
        <v>696</v>
      </c>
      <c r="E1807" s="13" t="s">
        <v>157</v>
      </c>
      <c r="F1807" s="14" t="s">
        <v>62</v>
      </c>
      <c r="G1807" s="14" t="s">
        <v>407</v>
      </c>
      <c r="H1807" s="15" t="s">
        <v>426</v>
      </c>
      <c r="I1807" s="11">
        <f t="shared" si="87"/>
        <v>4</v>
      </c>
      <c r="K1807" s="16">
        <v>800</v>
      </c>
      <c r="M1807" s="17">
        <f t="shared" si="85"/>
        <v>342765.7</v>
      </c>
      <c r="N1807" s="11">
        <f t="shared" si="86"/>
        <v>11</v>
      </c>
    </row>
    <row r="1808" spans="1:14" x14ac:dyDescent="0.25">
      <c r="A1808" s="11" t="s">
        <v>0</v>
      </c>
      <c r="B1808" s="12">
        <v>45245</v>
      </c>
      <c r="C1808" s="11" t="s">
        <v>688</v>
      </c>
      <c r="D1808" s="11" t="s">
        <v>696</v>
      </c>
      <c r="E1808" s="13" t="s">
        <v>158</v>
      </c>
      <c r="F1808" s="14" t="s">
        <v>62</v>
      </c>
      <c r="G1808" s="14" t="s">
        <v>407</v>
      </c>
      <c r="H1808" s="15" t="s">
        <v>426</v>
      </c>
      <c r="I1808" s="11">
        <f t="shared" si="87"/>
        <v>4</v>
      </c>
      <c r="K1808" s="16">
        <v>485</v>
      </c>
      <c r="M1808" s="17">
        <f t="shared" si="85"/>
        <v>342280.7</v>
      </c>
      <c r="N1808" s="11">
        <f t="shared" si="86"/>
        <v>11</v>
      </c>
    </row>
    <row r="1809" spans="1:14" x14ac:dyDescent="0.25">
      <c r="A1809" s="11" t="s">
        <v>0</v>
      </c>
      <c r="B1809" s="12">
        <v>45245</v>
      </c>
      <c r="C1809" s="11" t="s">
        <v>688</v>
      </c>
      <c r="D1809" s="11" t="s">
        <v>696</v>
      </c>
      <c r="E1809" s="13" t="s">
        <v>609</v>
      </c>
      <c r="F1809" s="14" t="s">
        <v>62</v>
      </c>
      <c r="G1809" s="14" t="s">
        <v>407</v>
      </c>
      <c r="H1809" s="15" t="s">
        <v>426</v>
      </c>
      <c r="I1809" s="11">
        <f t="shared" si="87"/>
        <v>4</v>
      </c>
      <c r="K1809" s="16">
        <v>400</v>
      </c>
      <c r="M1809" s="17">
        <f t="shared" si="85"/>
        <v>341880.7</v>
      </c>
      <c r="N1809" s="11">
        <f t="shared" si="86"/>
        <v>11</v>
      </c>
    </row>
    <row r="1810" spans="1:14" x14ac:dyDescent="0.25">
      <c r="A1810" s="11" t="s">
        <v>0</v>
      </c>
      <c r="B1810" s="12">
        <v>45245</v>
      </c>
      <c r="C1810" s="11" t="s">
        <v>688</v>
      </c>
      <c r="D1810" s="11" t="s">
        <v>696</v>
      </c>
      <c r="E1810" s="13" t="s">
        <v>610</v>
      </c>
      <c r="F1810" s="14" t="s">
        <v>62</v>
      </c>
      <c r="G1810" s="14" t="s">
        <v>407</v>
      </c>
      <c r="H1810" s="15" t="s">
        <v>426</v>
      </c>
      <c r="I1810" s="11">
        <f t="shared" si="87"/>
        <v>4</v>
      </c>
      <c r="K1810" s="16">
        <v>660</v>
      </c>
      <c r="M1810" s="17">
        <f t="shared" si="85"/>
        <v>341220.7</v>
      </c>
      <c r="N1810" s="11">
        <f t="shared" si="86"/>
        <v>11</v>
      </c>
    </row>
    <row r="1811" spans="1:14" x14ac:dyDescent="0.25">
      <c r="A1811" s="11" t="s">
        <v>0</v>
      </c>
      <c r="B1811" s="12">
        <v>45245</v>
      </c>
      <c r="C1811" s="11" t="s">
        <v>688</v>
      </c>
      <c r="D1811" s="11" t="s">
        <v>696</v>
      </c>
      <c r="E1811" s="13" t="s">
        <v>611</v>
      </c>
      <c r="F1811" s="14" t="s">
        <v>62</v>
      </c>
      <c r="G1811" s="14" t="s">
        <v>407</v>
      </c>
      <c r="H1811" s="15" t="s">
        <v>426</v>
      </c>
      <c r="I1811" s="11">
        <f t="shared" si="87"/>
        <v>4</v>
      </c>
      <c r="K1811" s="16">
        <v>900</v>
      </c>
      <c r="M1811" s="17">
        <f t="shared" si="85"/>
        <v>340320.7</v>
      </c>
      <c r="N1811" s="11">
        <f t="shared" si="86"/>
        <v>11</v>
      </c>
    </row>
    <row r="1812" spans="1:14" x14ac:dyDescent="0.25">
      <c r="A1812" s="11" t="s">
        <v>0</v>
      </c>
      <c r="B1812" s="12">
        <v>45245</v>
      </c>
      <c r="C1812" s="11" t="s">
        <v>688</v>
      </c>
      <c r="D1812" s="11" t="s">
        <v>696</v>
      </c>
      <c r="E1812" s="13" t="s">
        <v>151</v>
      </c>
      <c r="F1812" s="14" t="s">
        <v>612</v>
      </c>
      <c r="G1812" s="14" t="s">
        <v>407</v>
      </c>
      <c r="H1812" s="15" t="s">
        <v>426</v>
      </c>
      <c r="I1812" s="11">
        <f t="shared" si="87"/>
        <v>4</v>
      </c>
      <c r="K1812" s="16">
        <v>300</v>
      </c>
      <c r="M1812" s="17">
        <f t="shared" si="85"/>
        <v>340020.7</v>
      </c>
      <c r="N1812" s="11">
        <f t="shared" si="86"/>
        <v>11</v>
      </c>
    </row>
    <row r="1813" spans="1:14" x14ac:dyDescent="0.25">
      <c r="A1813" s="11" t="s">
        <v>0</v>
      </c>
      <c r="B1813" s="12">
        <v>45245</v>
      </c>
      <c r="C1813" s="11" t="s">
        <v>688</v>
      </c>
      <c r="D1813" s="11" t="s">
        <v>696</v>
      </c>
      <c r="E1813" s="13" t="s">
        <v>149</v>
      </c>
      <c r="F1813" s="14" t="s">
        <v>612</v>
      </c>
      <c r="G1813" s="14" t="s">
        <v>407</v>
      </c>
      <c r="H1813" s="15" t="s">
        <v>426</v>
      </c>
      <c r="I1813" s="11">
        <f t="shared" si="87"/>
        <v>4</v>
      </c>
      <c r="K1813" s="16">
        <v>400</v>
      </c>
      <c r="M1813" s="17">
        <f t="shared" si="85"/>
        <v>339620.7</v>
      </c>
      <c r="N1813" s="11">
        <f t="shared" si="86"/>
        <v>11</v>
      </c>
    </row>
    <row r="1814" spans="1:14" x14ac:dyDescent="0.25">
      <c r="A1814" s="11" t="s">
        <v>0</v>
      </c>
      <c r="B1814" s="12">
        <v>45245</v>
      </c>
      <c r="C1814" s="11" t="s">
        <v>688</v>
      </c>
      <c r="D1814" s="11" t="s">
        <v>696</v>
      </c>
      <c r="E1814" s="13" t="s">
        <v>608</v>
      </c>
      <c r="F1814" s="14" t="s">
        <v>612</v>
      </c>
      <c r="G1814" s="14" t="s">
        <v>407</v>
      </c>
      <c r="H1814" s="15" t="s">
        <v>426</v>
      </c>
      <c r="I1814" s="11">
        <f t="shared" si="87"/>
        <v>4</v>
      </c>
      <c r="K1814" s="16">
        <v>250</v>
      </c>
      <c r="M1814" s="17">
        <f t="shared" si="85"/>
        <v>339370.7</v>
      </c>
      <c r="N1814" s="11">
        <f t="shared" si="86"/>
        <v>11</v>
      </c>
    </row>
    <row r="1815" spans="1:14" x14ac:dyDescent="0.25">
      <c r="A1815" s="11" t="s">
        <v>0</v>
      </c>
      <c r="B1815" s="12">
        <v>45245</v>
      </c>
      <c r="C1815" s="11" t="s">
        <v>688</v>
      </c>
      <c r="D1815" s="11" t="s">
        <v>696</v>
      </c>
      <c r="E1815" s="13" t="s">
        <v>158</v>
      </c>
      <c r="F1815" s="14" t="s">
        <v>612</v>
      </c>
      <c r="G1815" s="14" t="s">
        <v>407</v>
      </c>
      <c r="H1815" s="15" t="s">
        <v>426</v>
      </c>
      <c r="I1815" s="11">
        <f t="shared" si="87"/>
        <v>4</v>
      </c>
      <c r="K1815" s="16">
        <v>240</v>
      </c>
      <c r="M1815" s="17">
        <f t="shared" si="85"/>
        <v>339130.7</v>
      </c>
      <c r="N1815" s="11">
        <f t="shared" si="86"/>
        <v>11</v>
      </c>
    </row>
    <row r="1816" spans="1:14" x14ac:dyDescent="0.25">
      <c r="A1816" s="11" t="s">
        <v>0</v>
      </c>
      <c r="B1816" s="12">
        <v>45245</v>
      </c>
      <c r="C1816" s="11" t="s">
        <v>688</v>
      </c>
      <c r="D1816" s="11" t="s">
        <v>696</v>
      </c>
      <c r="E1816" s="13" t="s">
        <v>157</v>
      </c>
      <c r="F1816" s="14" t="s">
        <v>612</v>
      </c>
      <c r="G1816" s="14" t="s">
        <v>407</v>
      </c>
      <c r="H1816" s="15" t="s">
        <v>426</v>
      </c>
      <c r="I1816" s="11">
        <f t="shared" si="87"/>
        <v>4</v>
      </c>
      <c r="K1816" s="16">
        <v>200</v>
      </c>
      <c r="M1816" s="17">
        <f t="shared" si="85"/>
        <v>338930.7</v>
      </c>
      <c r="N1816" s="11">
        <f t="shared" si="86"/>
        <v>11</v>
      </c>
    </row>
    <row r="1817" spans="1:14" x14ac:dyDescent="0.25">
      <c r="A1817" s="11" t="s">
        <v>0</v>
      </c>
      <c r="B1817" s="12">
        <v>45245</v>
      </c>
      <c r="C1817" s="11" t="s">
        <v>688</v>
      </c>
      <c r="D1817" s="11" t="s">
        <v>696</v>
      </c>
      <c r="E1817" s="13" t="s">
        <v>156</v>
      </c>
      <c r="F1817" s="14" t="s">
        <v>612</v>
      </c>
      <c r="G1817" s="14" t="s">
        <v>407</v>
      </c>
      <c r="H1817" s="15" t="s">
        <v>426</v>
      </c>
      <c r="I1817" s="11">
        <f t="shared" si="87"/>
        <v>4</v>
      </c>
      <c r="K1817" s="16">
        <v>200</v>
      </c>
      <c r="M1817" s="17">
        <f t="shared" si="85"/>
        <v>338730.7</v>
      </c>
      <c r="N1817" s="11">
        <f t="shared" si="86"/>
        <v>11</v>
      </c>
    </row>
    <row r="1818" spans="1:14" x14ac:dyDescent="0.25">
      <c r="A1818" s="11" t="s">
        <v>0</v>
      </c>
      <c r="B1818" s="12">
        <v>45245</v>
      </c>
      <c r="C1818" s="11" t="s">
        <v>688</v>
      </c>
      <c r="D1818" s="11" t="s">
        <v>696</v>
      </c>
      <c r="E1818" s="13" t="s">
        <v>613</v>
      </c>
      <c r="F1818" s="14" t="s">
        <v>62</v>
      </c>
      <c r="G1818" s="14" t="s">
        <v>407</v>
      </c>
      <c r="H1818" s="15" t="s">
        <v>426</v>
      </c>
      <c r="I1818" s="11">
        <f t="shared" si="87"/>
        <v>4</v>
      </c>
      <c r="K1818" s="16">
        <v>350</v>
      </c>
      <c r="M1818" s="17">
        <f t="shared" si="85"/>
        <v>338380.7</v>
      </c>
      <c r="N1818" s="11">
        <f t="shared" si="86"/>
        <v>11</v>
      </c>
    </row>
    <row r="1819" spans="1:14" x14ac:dyDescent="0.25">
      <c r="A1819" s="11" t="s">
        <v>0</v>
      </c>
      <c r="B1819" s="12">
        <v>45245</v>
      </c>
      <c r="C1819" s="11" t="s">
        <v>688</v>
      </c>
      <c r="D1819" s="11" t="s">
        <v>696</v>
      </c>
      <c r="E1819" s="13" t="s">
        <v>614</v>
      </c>
      <c r="F1819" s="14" t="s">
        <v>62</v>
      </c>
      <c r="G1819" s="14" t="s">
        <v>407</v>
      </c>
      <c r="H1819" s="15" t="s">
        <v>426</v>
      </c>
      <c r="I1819" s="11">
        <f t="shared" si="87"/>
        <v>4</v>
      </c>
      <c r="K1819" s="16">
        <v>616</v>
      </c>
      <c r="M1819" s="17">
        <f t="shared" si="85"/>
        <v>337764.7</v>
      </c>
      <c r="N1819" s="11">
        <f t="shared" si="86"/>
        <v>11</v>
      </c>
    </row>
    <row r="1820" spans="1:14" x14ac:dyDescent="0.25">
      <c r="A1820" s="11" t="s">
        <v>207</v>
      </c>
      <c r="B1820" s="12">
        <v>45245</v>
      </c>
      <c r="C1820" s="11" t="s">
        <v>662</v>
      </c>
      <c r="D1820" s="11" t="s">
        <v>43</v>
      </c>
      <c r="E1820" s="14" t="s">
        <v>288</v>
      </c>
      <c r="F1820" s="14" t="s">
        <v>288</v>
      </c>
      <c r="G1820" s="14" t="s">
        <v>173</v>
      </c>
      <c r="I1820" s="11">
        <f t="shared" si="87"/>
        <v>3</v>
      </c>
      <c r="J1820" s="16">
        <v>260</v>
      </c>
      <c r="M1820" s="17">
        <f t="shared" si="85"/>
        <v>338024.7</v>
      </c>
      <c r="N1820" s="11">
        <f t="shared" si="86"/>
        <v>11</v>
      </c>
    </row>
    <row r="1821" spans="1:14" x14ac:dyDescent="0.25">
      <c r="A1821" s="11" t="s">
        <v>207</v>
      </c>
      <c r="B1821" s="12">
        <v>45245</v>
      </c>
      <c r="C1821" s="11" t="s">
        <v>688</v>
      </c>
      <c r="D1821" s="11" t="s">
        <v>43</v>
      </c>
      <c r="E1821" s="14" t="s">
        <v>288</v>
      </c>
      <c r="F1821" s="14" t="s">
        <v>288</v>
      </c>
      <c r="G1821" s="14" t="s">
        <v>173</v>
      </c>
      <c r="I1821" s="11">
        <f t="shared" si="87"/>
        <v>3</v>
      </c>
      <c r="J1821" s="16">
        <v>3040</v>
      </c>
      <c r="M1821" s="17">
        <f t="shared" si="85"/>
        <v>341064.7</v>
      </c>
      <c r="N1821" s="11">
        <f t="shared" si="86"/>
        <v>11</v>
      </c>
    </row>
    <row r="1822" spans="1:14" x14ac:dyDescent="0.25">
      <c r="A1822" s="11" t="s">
        <v>207</v>
      </c>
      <c r="B1822" s="12">
        <v>45245</v>
      </c>
      <c r="C1822" s="11" t="s">
        <v>688</v>
      </c>
      <c r="D1822" s="11" t="s">
        <v>43</v>
      </c>
      <c r="E1822" s="14" t="s">
        <v>429</v>
      </c>
      <c r="F1822" s="14" t="s">
        <v>429</v>
      </c>
      <c r="G1822" s="14" t="s">
        <v>428</v>
      </c>
      <c r="I1822" s="11">
        <f t="shared" si="87"/>
        <v>1</v>
      </c>
      <c r="J1822" s="16">
        <v>7586</v>
      </c>
      <c r="M1822" s="17">
        <f t="shared" si="85"/>
        <v>348650.7</v>
      </c>
      <c r="N1822" s="11">
        <f t="shared" si="86"/>
        <v>11</v>
      </c>
    </row>
    <row r="1823" spans="1:14" x14ac:dyDescent="0.25">
      <c r="A1823" s="11" t="s">
        <v>207</v>
      </c>
      <c r="B1823" s="12">
        <v>45246</v>
      </c>
      <c r="C1823" s="11" t="s">
        <v>688</v>
      </c>
      <c r="D1823" s="11" t="s">
        <v>43</v>
      </c>
      <c r="E1823" s="14" t="s">
        <v>288</v>
      </c>
      <c r="F1823" s="14" t="s">
        <v>288</v>
      </c>
      <c r="G1823" s="14" t="s">
        <v>173</v>
      </c>
      <c r="I1823" s="11">
        <f t="shared" si="87"/>
        <v>3</v>
      </c>
      <c r="J1823" s="16">
        <v>3920</v>
      </c>
      <c r="M1823" s="17">
        <f t="shared" si="85"/>
        <v>352570.7</v>
      </c>
      <c r="N1823" s="11">
        <f t="shared" si="86"/>
        <v>11</v>
      </c>
    </row>
    <row r="1824" spans="1:14" x14ac:dyDescent="0.25">
      <c r="A1824" s="11" t="s">
        <v>0</v>
      </c>
      <c r="B1824" s="12">
        <v>45246</v>
      </c>
      <c r="C1824" s="11" t="s">
        <v>688</v>
      </c>
      <c r="D1824" s="11" t="s">
        <v>696</v>
      </c>
      <c r="E1824" s="13" t="s">
        <v>156</v>
      </c>
      <c r="F1824" s="14" t="s">
        <v>62</v>
      </c>
      <c r="G1824" s="14" t="s">
        <v>407</v>
      </c>
      <c r="H1824" s="15" t="s">
        <v>426</v>
      </c>
      <c r="I1824" s="11">
        <f t="shared" si="87"/>
        <v>4</v>
      </c>
      <c r="K1824" s="16">
        <v>140</v>
      </c>
      <c r="M1824" s="17">
        <f t="shared" si="85"/>
        <v>352430.7</v>
      </c>
      <c r="N1824" s="11">
        <f t="shared" si="86"/>
        <v>11</v>
      </c>
    </row>
    <row r="1825" spans="1:14" x14ac:dyDescent="0.25">
      <c r="A1825" s="11" t="s">
        <v>207</v>
      </c>
      <c r="B1825" s="12">
        <v>45246</v>
      </c>
      <c r="C1825" s="11" t="s">
        <v>688</v>
      </c>
      <c r="D1825" s="11" t="s">
        <v>43</v>
      </c>
      <c r="E1825" s="14" t="s">
        <v>429</v>
      </c>
      <c r="F1825" s="14" t="s">
        <v>429</v>
      </c>
      <c r="G1825" s="14" t="s">
        <v>428</v>
      </c>
      <c r="I1825" s="11">
        <f t="shared" si="87"/>
        <v>1</v>
      </c>
      <c r="J1825" s="16">
        <v>7465.15</v>
      </c>
      <c r="M1825" s="17">
        <f t="shared" si="85"/>
        <v>359895.85000000003</v>
      </c>
      <c r="N1825" s="11">
        <f t="shared" si="86"/>
        <v>11</v>
      </c>
    </row>
    <row r="1826" spans="1:14" x14ac:dyDescent="0.25">
      <c r="A1826" s="11" t="s">
        <v>207</v>
      </c>
      <c r="B1826" s="12">
        <v>45246</v>
      </c>
      <c r="C1826" s="11" t="s">
        <v>688</v>
      </c>
      <c r="D1826" s="11" t="s">
        <v>43</v>
      </c>
      <c r="E1826" s="13" t="s">
        <v>80</v>
      </c>
      <c r="F1826" s="14" t="s">
        <v>79</v>
      </c>
      <c r="G1826" s="14" t="s">
        <v>400</v>
      </c>
      <c r="I1826" s="11">
        <f t="shared" si="87"/>
        <v>2</v>
      </c>
      <c r="J1826" s="16">
        <v>7360.73</v>
      </c>
      <c r="M1826" s="17">
        <f t="shared" si="85"/>
        <v>367256.58</v>
      </c>
      <c r="N1826" s="11">
        <f t="shared" si="86"/>
        <v>11</v>
      </c>
    </row>
    <row r="1827" spans="1:14" x14ac:dyDescent="0.25">
      <c r="A1827" s="11" t="s">
        <v>207</v>
      </c>
      <c r="B1827" s="12">
        <v>45246</v>
      </c>
      <c r="C1827" s="11" t="s">
        <v>688</v>
      </c>
      <c r="D1827" s="11" t="s">
        <v>43</v>
      </c>
      <c r="E1827" s="13" t="s">
        <v>81</v>
      </c>
      <c r="F1827" s="14" t="s">
        <v>79</v>
      </c>
      <c r="G1827" s="14" t="s">
        <v>400</v>
      </c>
      <c r="I1827" s="11">
        <f t="shared" si="87"/>
        <v>2</v>
      </c>
      <c r="J1827" s="16">
        <v>9614.7099999999991</v>
      </c>
      <c r="M1827" s="17">
        <f t="shared" si="85"/>
        <v>376871.29000000004</v>
      </c>
      <c r="N1827" s="11">
        <f t="shared" si="86"/>
        <v>11</v>
      </c>
    </row>
    <row r="1828" spans="1:14" x14ac:dyDescent="0.25">
      <c r="A1828" s="11" t="s">
        <v>207</v>
      </c>
      <c r="B1828" s="12">
        <v>45246</v>
      </c>
      <c r="C1828" s="11" t="s">
        <v>688</v>
      </c>
      <c r="D1828" s="11" t="s">
        <v>43</v>
      </c>
      <c r="E1828" s="13" t="s">
        <v>82</v>
      </c>
      <c r="F1828" s="14" t="s">
        <v>79</v>
      </c>
      <c r="G1828" s="14" t="s">
        <v>400</v>
      </c>
      <c r="I1828" s="11">
        <f t="shared" si="87"/>
        <v>2</v>
      </c>
      <c r="J1828" s="16">
        <v>176.7</v>
      </c>
      <c r="M1828" s="17">
        <f t="shared" si="85"/>
        <v>377047.99000000005</v>
      </c>
      <c r="N1828" s="11">
        <f t="shared" si="86"/>
        <v>11</v>
      </c>
    </row>
    <row r="1829" spans="1:14" x14ac:dyDescent="0.25">
      <c r="A1829" s="11" t="s">
        <v>207</v>
      </c>
      <c r="B1829" s="12">
        <v>45246</v>
      </c>
      <c r="C1829" s="11" t="s">
        <v>688</v>
      </c>
      <c r="D1829" s="11" t="s">
        <v>43</v>
      </c>
      <c r="E1829" s="13" t="s">
        <v>83</v>
      </c>
      <c r="F1829" s="14" t="s">
        <v>79</v>
      </c>
      <c r="G1829" s="14" t="s">
        <v>400</v>
      </c>
      <c r="I1829" s="11">
        <f t="shared" si="87"/>
        <v>2</v>
      </c>
      <c r="J1829" s="16">
        <v>257.14</v>
      </c>
      <c r="M1829" s="17">
        <f t="shared" si="85"/>
        <v>377305.13000000006</v>
      </c>
      <c r="N1829" s="11">
        <f t="shared" si="86"/>
        <v>11</v>
      </c>
    </row>
    <row r="1830" spans="1:14" x14ac:dyDescent="0.25">
      <c r="A1830" s="11" t="s">
        <v>207</v>
      </c>
      <c r="B1830" s="12">
        <v>45246</v>
      </c>
      <c r="C1830" s="11" t="s">
        <v>688</v>
      </c>
      <c r="D1830" s="11" t="s">
        <v>43</v>
      </c>
      <c r="E1830" s="13" t="s">
        <v>382</v>
      </c>
      <c r="F1830" s="14" t="s">
        <v>13</v>
      </c>
      <c r="G1830" s="14" t="s">
        <v>400</v>
      </c>
      <c r="I1830" s="11">
        <f t="shared" si="87"/>
        <v>2</v>
      </c>
      <c r="J1830" s="16">
        <v>45.43</v>
      </c>
      <c r="M1830" s="17">
        <f t="shared" si="85"/>
        <v>377350.56000000006</v>
      </c>
      <c r="N1830" s="11">
        <f t="shared" si="86"/>
        <v>11</v>
      </c>
    </row>
    <row r="1831" spans="1:14" x14ac:dyDescent="0.25">
      <c r="A1831" s="11" t="s">
        <v>207</v>
      </c>
      <c r="B1831" s="12">
        <v>45246</v>
      </c>
      <c r="C1831" s="11" t="s">
        <v>662</v>
      </c>
      <c r="D1831" s="11" t="s">
        <v>43</v>
      </c>
      <c r="E1831" s="13" t="s">
        <v>382</v>
      </c>
      <c r="F1831" s="14" t="s">
        <v>13</v>
      </c>
      <c r="G1831" s="14" t="s">
        <v>400</v>
      </c>
      <c r="I1831" s="11">
        <f t="shared" si="87"/>
        <v>2</v>
      </c>
      <c r="J1831" s="16">
        <v>316.93</v>
      </c>
      <c r="M1831" s="17">
        <f t="shared" si="85"/>
        <v>377667.49000000005</v>
      </c>
      <c r="N1831" s="11">
        <f t="shared" si="86"/>
        <v>11</v>
      </c>
    </row>
    <row r="1832" spans="1:14" x14ac:dyDescent="0.25">
      <c r="A1832" s="11" t="s">
        <v>207</v>
      </c>
      <c r="B1832" s="12">
        <v>45246</v>
      </c>
      <c r="C1832" s="11" t="s">
        <v>688</v>
      </c>
      <c r="D1832" s="11" t="s">
        <v>43</v>
      </c>
      <c r="E1832" s="13" t="s">
        <v>382</v>
      </c>
      <c r="F1832" s="14" t="s">
        <v>13</v>
      </c>
      <c r="G1832" s="14" t="s">
        <v>400</v>
      </c>
      <c r="I1832" s="11">
        <f t="shared" si="87"/>
        <v>2</v>
      </c>
      <c r="J1832" s="16">
        <v>14.85</v>
      </c>
      <c r="M1832" s="17">
        <f t="shared" si="85"/>
        <v>377682.34</v>
      </c>
      <c r="N1832" s="11">
        <f t="shared" si="86"/>
        <v>11</v>
      </c>
    </row>
    <row r="1833" spans="1:14" x14ac:dyDescent="0.25">
      <c r="A1833" s="11" t="s">
        <v>207</v>
      </c>
      <c r="B1833" s="12">
        <v>45246</v>
      </c>
      <c r="C1833" s="11" t="s">
        <v>688</v>
      </c>
      <c r="D1833" s="11" t="s">
        <v>43</v>
      </c>
      <c r="E1833" s="13" t="s">
        <v>382</v>
      </c>
      <c r="F1833" s="14" t="s">
        <v>13</v>
      </c>
      <c r="G1833" s="14" t="s">
        <v>400</v>
      </c>
      <c r="I1833" s="11">
        <f t="shared" si="87"/>
        <v>2</v>
      </c>
      <c r="J1833" s="16">
        <v>766.89</v>
      </c>
      <c r="M1833" s="17">
        <f t="shared" si="85"/>
        <v>378449.23000000004</v>
      </c>
      <c r="N1833" s="11">
        <f t="shared" si="86"/>
        <v>11</v>
      </c>
    </row>
    <row r="1834" spans="1:14" x14ac:dyDescent="0.25">
      <c r="A1834" s="11" t="s">
        <v>207</v>
      </c>
      <c r="B1834" s="12">
        <v>45246</v>
      </c>
      <c r="C1834" s="11" t="s">
        <v>688</v>
      </c>
      <c r="D1834" s="11" t="s">
        <v>43</v>
      </c>
      <c r="E1834" s="13" t="s">
        <v>382</v>
      </c>
      <c r="F1834" s="14" t="s">
        <v>13</v>
      </c>
      <c r="G1834" s="14" t="s">
        <v>400</v>
      </c>
      <c r="I1834" s="11">
        <f t="shared" si="87"/>
        <v>2</v>
      </c>
      <c r="J1834" s="16">
        <v>474.32</v>
      </c>
      <c r="M1834" s="17">
        <f t="shared" si="85"/>
        <v>378923.55000000005</v>
      </c>
      <c r="N1834" s="11">
        <f t="shared" si="86"/>
        <v>11</v>
      </c>
    </row>
    <row r="1835" spans="1:14" x14ac:dyDescent="0.25">
      <c r="A1835" s="11" t="s">
        <v>207</v>
      </c>
      <c r="B1835" s="12">
        <v>45246</v>
      </c>
      <c r="C1835" s="11" t="s">
        <v>662</v>
      </c>
      <c r="D1835" s="11" t="s">
        <v>43</v>
      </c>
      <c r="E1835" s="13" t="s">
        <v>382</v>
      </c>
      <c r="F1835" s="14" t="s">
        <v>13</v>
      </c>
      <c r="G1835" s="14" t="s">
        <v>400</v>
      </c>
      <c r="I1835" s="11">
        <f t="shared" si="87"/>
        <v>2</v>
      </c>
      <c r="J1835" s="16">
        <v>250.05</v>
      </c>
      <c r="M1835" s="17">
        <f t="shared" si="85"/>
        <v>379173.60000000003</v>
      </c>
      <c r="N1835" s="11">
        <f t="shared" si="86"/>
        <v>11</v>
      </c>
    </row>
    <row r="1836" spans="1:14" x14ac:dyDescent="0.25">
      <c r="A1836" s="11" t="s">
        <v>207</v>
      </c>
      <c r="B1836" s="12">
        <v>45246</v>
      </c>
      <c r="C1836" s="11" t="s">
        <v>688</v>
      </c>
      <c r="D1836" s="11" t="s">
        <v>43</v>
      </c>
      <c r="E1836" s="13" t="s">
        <v>382</v>
      </c>
      <c r="F1836" s="14" t="s">
        <v>13</v>
      </c>
      <c r="G1836" s="14" t="s">
        <v>400</v>
      </c>
      <c r="I1836" s="11">
        <f t="shared" si="87"/>
        <v>2</v>
      </c>
      <c r="J1836" s="16">
        <v>171.83</v>
      </c>
      <c r="M1836" s="17">
        <f t="shared" si="85"/>
        <v>379345.43000000005</v>
      </c>
      <c r="N1836" s="11">
        <f t="shared" si="86"/>
        <v>11</v>
      </c>
    </row>
    <row r="1837" spans="1:14" x14ac:dyDescent="0.25">
      <c r="A1837" s="11" t="s">
        <v>207</v>
      </c>
      <c r="B1837" s="12">
        <v>45246</v>
      </c>
      <c r="C1837" s="11" t="s">
        <v>688</v>
      </c>
      <c r="D1837" s="11" t="s">
        <v>43</v>
      </c>
      <c r="E1837" s="13" t="s">
        <v>382</v>
      </c>
      <c r="F1837" s="14" t="s">
        <v>13</v>
      </c>
      <c r="G1837" s="14" t="s">
        <v>400</v>
      </c>
      <c r="I1837" s="11">
        <f t="shared" si="87"/>
        <v>2</v>
      </c>
      <c r="J1837" s="16">
        <v>744.03</v>
      </c>
      <c r="M1837" s="17">
        <f t="shared" si="85"/>
        <v>380089.46000000008</v>
      </c>
      <c r="N1837" s="11">
        <f t="shared" si="86"/>
        <v>11</v>
      </c>
    </row>
    <row r="1838" spans="1:14" x14ac:dyDescent="0.25">
      <c r="A1838" s="11" t="s">
        <v>207</v>
      </c>
      <c r="B1838" s="12">
        <v>45246</v>
      </c>
      <c r="C1838" s="11" t="s">
        <v>688</v>
      </c>
      <c r="D1838" s="11" t="s">
        <v>43</v>
      </c>
      <c r="E1838" s="13" t="s">
        <v>514</v>
      </c>
      <c r="F1838" s="14" t="s">
        <v>513</v>
      </c>
      <c r="G1838" s="14" t="s">
        <v>400</v>
      </c>
      <c r="I1838" s="11">
        <f t="shared" si="87"/>
        <v>2</v>
      </c>
      <c r="J1838" s="16">
        <v>1872</v>
      </c>
      <c r="M1838" s="17">
        <f t="shared" si="85"/>
        <v>381961.46000000008</v>
      </c>
      <c r="N1838" s="11">
        <f t="shared" si="86"/>
        <v>11</v>
      </c>
    </row>
    <row r="1839" spans="1:14" x14ac:dyDescent="0.25">
      <c r="A1839" s="11" t="s">
        <v>0</v>
      </c>
      <c r="B1839" s="12">
        <v>45246</v>
      </c>
      <c r="C1839" s="11" t="s">
        <v>688</v>
      </c>
      <c r="D1839" s="11" t="s">
        <v>694</v>
      </c>
      <c r="E1839" s="13" t="s">
        <v>182</v>
      </c>
      <c r="F1839" s="14" t="s">
        <v>365</v>
      </c>
      <c r="G1839" s="14" t="s">
        <v>402</v>
      </c>
      <c r="I1839" s="11">
        <f t="shared" si="87"/>
        <v>5</v>
      </c>
      <c r="K1839" s="16">
        <v>10.56</v>
      </c>
      <c r="M1839" s="17">
        <f t="shared" si="85"/>
        <v>381950.90000000008</v>
      </c>
      <c r="N1839" s="11">
        <f t="shared" si="86"/>
        <v>11</v>
      </c>
    </row>
    <row r="1840" spans="1:14" x14ac:dyDescent="0.25">
      <c r="A1840" s="11" t="s">
        <v>0</v>
      </c>
      <c r="B1840" s="12">
        <v>45246</v>
      </c>
      <c r="C1840" s="11" t="s">
        <v>688</v>
      </c>
      <c r="D1840" s="11" t="s">
        <v>694</v>
      </c>
      <c r="E1840" s="13" t="s">
        <v>182</v>
      </c>
      <c r="F1840" s="14" t="s">
        <v>23</v>
      </c>
      <c r="G1840" s="14" t="s">
        <v>402</v>
      </c>
      <c r="I1840" s="11">
        <f t="shared" si="87"/>
        <v>5</v>
      </c>
      <c r="K1840" s="16">
        <v>40.83</v>
      </c>
      <c r="M1840" s="17">
        <f t="shared" si="85"/>
        <v>381910.07000000007</v>
      </c>
      <c r="N1840" s="11">
        <f t="shared" si="86"/>
        <v>11</v>
      </c>
    </row>
    <row r="1841" spans="1:14" ht="26.4" x14ac:dyDescent="0.25">
      <c r="A1841" s="11" t="s">
        <v>0</v>
      </c>
      <c r="B1841" s="12">
        <v>45246</v>
      </c>
      <c r="C1841" s="11" t="s">
        <v>688</v>
      </c>
      <c r="D1841" s="11" t="s">
        <v>692</v>
      </c>
      <c r="E1841" s="13" t="s">
        <v>143</v>
      </c>
      <c r="F1841" s="14" t="s">
        <v>224</v>
      </c>
      <c r="G1841" s="14" t="s">
        <v>403</v>
      </c>
      <c r="H1841" s="15" t="s">
        <v>454</v>
      </c>
      <c r="I1841" s="11">
        <f t="shared" si="87"/>
        <v>5</v>
      </c>
      <c r="K1841" s="16">
        <v>1272.48</v>
      </c>
      <c r="M1841" s="17">
        <f t="shared" si="85"/>
        <v>380637.59000000008</v>
      </c>
      <c r="N1841" s="11">
        <f t="shared" si="86"/>
        <v>11</v>
      </c>
    </row>
    <row r="1842" spans="1:14" x14ac:dyDescent="0.25">
      <c r="A1842" s="11" t="s">
        <v>0</v>
      </c>
      <c r="B1842" s="12">
        <v>45246</v>
      </c>
      <c r="C1842" s="11" t="s">
        <v>688</v>
      </c>
      <c r="D1842" s="11" t="s">
        <v>692</v>
      </c>
      <c r="E1842" s="13" t="s">
        <v>143</v>
      </c>
      <c r="F1842" s="14" t="s">
        <v>511</v>
      </c>
      <c r="G1842" s="14" t="s">
        <v>403</v>
      </c>
      <c r="H1842" s="15" t="s">
        <v>103</v>
      </c>
      <c r="I1842" s="11">
        <f t="shared" si="87"/>
        <v>5</v>
      </c>
      <c r="K1842" s="16">
        <v>459.25</v>
      </c>
      <c r="M1842" s="17">
        <f t="shared" si="85"/>
        <v>380178.34000000008</v>
      </c>
      <c r="N1842" s="11">
        <f t="shared" si="86"/>
        <v>11</v>
      </c>
    </row>
    <row r="1843" spans="1:14" x14ac:dyDescent="0.25">
      <c r="A1843" s="11" t="s">
        <v>207</v>
      </c>
      <c r="B1843" s="12">
        <v>45246</v>
      </c>
      <c r="C1843" s="11" t="s">
        <v>688</v>
      </c>
      <c r="D1843" s="11" t="s">
        <v>43</v>
      </c>
      <c r="E1843" s="13">
        <v>45246</v>
      </c>
      <c r="F1843" s="14" t="s">
        <v>472</v>
      </c>
      <c r="G1843" s="14" t="s">
        <v>400</v>
      </c>
      <c r="I1843" s="11">
        <f t="shared" si="87"/>
        <v>2</v>
      </c>
      <c r="J1843" s="16">
        <v>1677.04</v>
      </c>
      <c r="M1843" s="17">
        <f t="shared" si="85"/>
        <v>381855.38000000006</v>
      </c>
      <c r="N1843" s="11">
        <f t="shared" si="86"/>
        <v>11</v>
      </c>
    </row>
    <row r="1844" spans="1:14" x14ac:dyDescent="0.25">
      <c r="A1844" s="11" t="s">
        <v>0</v>
      </c>
      <c r="B1844" s="12">
        <v>45246</v>
      </c>
      <c r="C1844" s="11" t="s">
        <v>688</v>
      </c>
      <c r="D1844" s="11" t="s">
        <v>47</v>
      </c>
      <c r="E1844" s="13" t="s">
        <v>515</v>
      </c>
      <c r="F1844" s="14" t="s">
        <v>474</v>
      </c>
      <c r="G1844" s="14" t="s">
        <v>404</v>
      </c>
      <c r="H1844" s="15">
        <v>5</v>
      </c>
      <c r="I1844" s="11">
        <f t="shared" si="87"/>
        <v>5</v>
      </c>
      <c r="K1844" s="16">
        <v>200</v>
      </c>
      <c r="M1844" s="17">
        <f t="shared" si="85"/>
        <v>381655.38000000006</v>
      </c>
      <c r="N1844" s="11">
        <f t="shared" si="86"/>
        <v>11</v>
      </c>
    </row>
    <row r="1845" spans="1:14" x14ac:dyDescent="0.25">
      <c r="A1845" s="11" t="s">
        <v>0</v>
      </c>
      <c r="B1845" s="12">
        <v>45246</v>
      </c>
      <c r="C1845" s="11" t="s">
        <v>688</v>
      </c>
      <c r="D1845" s="11" t="s">
        <v>692</v>
      </c>
      <c r="E1845" s="13" t="s">
        <v>179</v>
      </c>
      <c r="F1845" s="14" t="s">
        <v>51</v>
      </c>
      <c r="G1845" s="14" t="s">
        <v>404</v>
      </c>
      <c r="H1845" s="15">
        <v>13</v>
      </c>
      <c r="I1845" s="11">
        <f t="shared" si="87"/>
        <v>5</v>
      </c>
      <c r="K1845" s="16">
        <v>637</v>
      </c>
      <c r="M1845" s="17">
        <f t="shared" si="85"/>
        <v>381018.38000000006</v>
      </c>
      <c r="N1845" s="11">
        <f t="shared" si="86"/>
        <v>11</v>
      </c>
    </row>
    <row r="1846" spans="1:14" x14ac:dyDescent="0.25">
      <c r="A1846" s="11" t="s">
        <v>0</v>
      </c>
      <c r="B1846" s="12">
        <v>45246</v>
      </c>
      <c r="C1846" s="11" t="s">
        <v>688</v>
      </c>
      <c r="D1846" s="11" t="s">
        <v>694</v>
      </c>
      <c r="E1846" s="13" t="s">
        <v>181</v>
      </c>
      <c r="F1846" s="14" t="s">
        <v>516</v>
      </c>
      <c r="G1846" s="14" t="s">
        <v>404</v>
      </c>
      <c r="H1846" s="15">
        <v>6848</v>
      </c>
      <c r="I1846" s="11">
        <f t="shared" si="87"/>
        <v>5</v>
      </c>
      <c r="K1846" s="16">
        <v>400</v>
      </c>
      <c r="M1846" s="17">
        <f t="shared" si="85"/>
        <v>380618.38000000006</v>
      </c>
      <c r="N1846" s="11">
        <f t="shared" si="86"/>
        <v>11</v>
      </c>
    </row>
    <row r="1847" spans="1:14" x14ac:dyDescent="0.25">
      <c r="A1847" s="11" t="s">
        <v>0</v>
      </c>
      <c r="B1847" s="12">
        <v>45246</v>
      </c>
      <c r="C1847" s="11" t="s">
        <v>688</v>
      </c>
      <c r="D1847" s="11" t="s">
        <v>692</v>
      </c>
      <c r="E1847" s="13" t="s">
        <v>108</v>
      </c>
      <c r="F1847" s="14" t="s">
        <v>107</v>
      </c>
      <c r="G1847" s="14" t="s">
        <v>404</v>
      </c>
      <c r="H1847" s="15">
        <v>12</v>
      </c>
      <c r="I1847" s="11">
        <f t="shared" si="87"/>
        <v>5</v>
      </c>
      <c r="K1847" s="16">
        <v>1200</v>
      </c>
      <c r="M1847" s="17">
        <f t="shared" si="85"/>
        <v>379418.38000000006</v>
      </c>
      <c r="N1847" s="11">
        <f t="shared" si="86"/>
        <v>11</v>
      </c>
    </row>
    <row r="1848" spans="1:14" x14ac:dyDescent="0.25">
      <c r="A1848" s="11" t="s">
        <v>0</v>
      </c>
      <c r="B1848" s="12">
        <v>45246</v>
      </c>
      <c r="C1848" s="11" t="s">
        <v>688</v>
      </c>
      <c r="D1848" s="11" t="s">
        <v>692</v>
      </c>
      <c r="E1848" s="13" t="s">
        <v>229</v>
      </c>
      <c r="F1848" s="14" t="s">
        <v>116</v>
      </c>
      <c r="G1848" s="14" t="s">
        <v>404</v>
      </c>
      <c r="H1848" s="15">
        <v>63</v>
      </c>
      <c r="I1848" s="11">
        <f t="shared" si="87"/>
        <v>5</v>
      </c>
      <c r="K1848" s="16">
        <v>2075</v>
      </c>
      <c r="M1848" s="17">
        <f t="shared" si="85"/>
        <v>377343.38000000006</v>
      </c>
      <c r="N1848" s="11">
        <f t="shared" si="86"/>
        <v>11</v>
      </c>
    </row>
    <row r="1849" spans="1:14" x14ac:dyDescent="0.25">
      <c r="A1849" s="11" t="s">
        <v>0</v>
      </c>
      <c r="B1849" s="12">
        <v>45246</v>
      </c>
      <c r="C1849" s="11" t="s">
        <v>688</v>
      </c>
      <c r="D1849" s="11" t="s">
        <v>692</v>
      </c>
      <c r="E1849" s="13" t="s">
        <v>725</v>
      </c>
      <c r="F1849" s="14" t="s">
        <v>27</v>
      </c>
      <c r="G1849" s="14" t="s">
        <v>404</v>
      </c>
      <c r="H1849" s="15">
        <v>14311</v>
      </c>
      <c r="I1849" s="11">
        <f t="shared" si="87"/>
        <v>5</v>
      </c>
      <c r="K1849" s="16">
        <v>931.73</v>
      </c>
      <c r="M1849" s="17">
        <f t="shared" si="85"/>
        <v>376411.65000000008</v>
      </c>
      <c r="N1849" s="11">
        <f t="shared" si="86"/>
        <v>11</v>
      </c>
    </row>
    <row r="1850" spans="1:14" x14ac:dyDescent="0.25">
      <c r="A1850" s="11" t="s">
        <v>0</v>
      </c>
      <c r="B1850" s="12">
        <v>45246</v>
      </c>
      <c r="C1850" s="11" t="s">
        <v>688</v>
      </c>
      <c r="D1850" s="11" t="s">
        <v>692</v>
      </c>
      <c r="E1850" s="13" t="s">
        <v>143</v>
      </c>
      <c r="F1850" s="14" t="s">
        <v>59</v>
      </c>
      <c r="G1850" s="14" t="s">
        <v>404</v>
      </c>
      <c r="H1850" s="15" t="s">
        <v>103</v>
      </c>
      <c r="I1850" s="11">
        <f t="shared" si="87"/>
        <v>5</v>
      </c>
      <c r="K1850" s="16">
        <v>1244.5999999999999</v>
      </c>
      <c r="M1850" s="17">
        <f t="shared" si="85"/>
        <v>375167.0500000001</v>
      </c>
      <c r="N1850" s="11">
        <f t="shared" si="86"/>
        <v>11</v>
      </c>
    </row>
    <row r="1851" spans="1:14" x14ac:dyDescent="0.25">
      <c r="A1851" s="11" t="s">
        <v>0</v>
      </c>
      <c r="B1851" s="12">
        <v>45246</v>
      </c>
      <c r="C1851" s="11" t="s">
        <v>688</v>
      </c>
      <c r="D1851" s="11" t="s">
        <v>699</v>
      </c>
      <c r="E1851" s="13" t="s">
        <v>98</v>
      </c>
      <c r="F1851" s="14" t="s">
        <v>206</v>
      </c>
      <c r="G1851" s="14" t="s">
        <v>404</v>
      </c>
      <c r="H1851" s="15">
        <v>7505</v>
      </c>
      <c r="I1851" s="11">
        <f t="shared" si="87"/>
        <v>5</v>
      </c>
      <c r="K1851" s="16">
        <v>291.02</v>
      </c>
      <c r="M1851" s="17">
        <f t="shared" si="85"/>
        <v>374876.03000000009</v>
      </c>
      <c r="N1851" s="11">
        <f t="shared" si="86"/>
        <v>11</v>
      </c>
    </row>
    <row r="1852" spans="1:14" x14ac:dyDescent="0.25">
      <c r="A1852" s="11" t="s">
        <v>0</v>
      </c>
      <c r="B1852" s="12">
        <v>45246</v>
      </c>
      <c r="C1852" s="11" t="s">
        <v>688</v>
      </c>
      <c r="D1852" s="11" t="s">
        <v>692</v>
      </c>
      <c r="E1852" s="13" t="s">
        <v>108</v>
      </c>
      <c r="F1852" s="14" t="s">
        <v>107</v>
      </c>
      <c r="G1852" s="14" t="s">
        <v>173</v>
      </c>
      <c r="H1852" s="15">
        <v>8</v>
      </c>
      <c r="I1852" s="11">
        <f t="shared" si="87"/>
        <v>6</v>
      </c>
      <c r="K1852" s="16">
        <v>600</v>
      </c>
      <c r="M1852" s="17">
        <f t="shared" si="85"/>
        <v>374276.03000000009</v>
      </c>
      <c r="N1852" s="11">
        <f t="shared" si="86"/>
        <v>11</v>
      </c>
    </row>
    <row r="1853" spans="1:14" x14ac:dyDescent="0.25">
      <c r="A1853" s="11" t="s">
        <v>207</v>
      </c>
      <c r="B1853" s="12">
        <v>45247</v>
      </c>
      <c r="C1853" s="11" t="s">
        <v>688</v>
      </c>
      <c r="D1853" s="11" t="s">
        <v>43</v>
      </c>
      <c r="E1853" s="14" t="s">
        <v>288</v>
      </c>
      <c r="F1853" s="14" t="s">
        <v>288</v>
      </c>
      <c r="G1853" s="14" t="s">
        <v>173</v>
      </c>
      <c r="I1853" s="11">
        <f t="shared" si="87"/>
        <v>3</v>
      </c>
      <c r="J1853" s="16">
        <v>4020</v>
      </c>
      <c r="M1853" s="17">
        <f t="shared" si="85"/>
        <v>378296.03000000009</v>
      </c>
      <c r="N1853" s="11">
        <f t="shared" si="86"/>
        <v>11</v>
      </c>
    </row>
    <row r="1854" spans="1:14" x14ac:dyDescent="0.25">
      <c r="A1854" s="11" t="s">
        <v>207</v>
      </c>
      <c r="B1854" s="12">
        <v>45247</v>
      </c>
      <c r="C1854" s="11" t="s">
        <v>688</v>
      </c>
      <c r="D1854" s="11" t="s">
        <v>43</v>
      </c>
      <c r="E1854" s="14" t="s">
        <v>429</v>
      </c>
      <c r="F1854" s="14" t="s">
        <v>429</v>
      </c>
      <c r="G1854" s="14" t="s">
        <v>428</v>
      </c>
      <c r="I1854" s="11">
        <f t="shared" si="87"/>
        <v>1</v>
      </c>
      <c r="J1854" s="16">
        <v>6190</v>
      </c>
      <c r="M1854" s="17">
        <f t="shared" si="85"/>
        <v>384486.03000000009</v>
      </c>
      <c r="N1854" s="11">
        <f t="shared" si="86"/>
        <v>11</v>
      </c>
    </row>
    <row r="1855" spans="1:14" x14ac:dyDescent="0.25">
      <c r="A1855" s="11" t="s">
        <v>207</v>
      </c>
      <c r="B1855" s="12">
        <v>45247</v>
      </c>
      <c r="C1855" s="11" t="s">
        <v>688</v>
      </c>
      <c r="D1855" s="11" t="s">
        <v>43</v>
      </c>
      <c r="E1855" s="13" t="s">
        <v>80</v>
      </c>
      <c r="F1855" s="14" t="s">
        <v>79</v>
      </c>
      <c r="G1855" s="14" t="s">
        <v>400</v>
      </c>
      <c r="I1855" s="11">
        <f t="shared" si="87"/>
        <v>2</v>
      </c>
      <c r="J1855" s="16">
        <v>2807.65</v>
      </c>
      <c r="M1855" s="17">
        <f t="shared" si="85"/>
        <v>387293.68000000011</v>
      </c>
      <c r="N1855" s="11">
        <f t="shared" si="86"/>
        <v>11</v>
      </c>
    </row>
    <row r="1856" spans="1:14" x14ac:dyDescent="0.25">
      <c r="A1856" s="11" t="s">
        <v>207</v>
      </c>
      <c r="B1856" s="12">
        <v>45247</v>
      </c>
      <c r="C1856" s="11" t="s">
        <v>688</v>
      </c>
      <c r="D1856" s="11" t="s">
        <v>43</v>
      </c>
      <c r="E1856" s="13" t="s">
        <v>81</v>
      </c>
      <c r="F1856" s="14" t="s">
        <v>79</v>
      </c>
      <c r="G1856" s="14" t="s">
        <v>400</v>
      </c>
      <c r="I1856" s="11">
        <f t="shared" si="87"/>
        <v>2</v>
      </c>
      <c r="J1856" s="16">
        <v>3540.25</v>
      </c>
      <c r="M1856" s="17">
        <f t="shared" si="85"/>
        <v>390833.93000000011</v>
      </c>
      <c r="N1856" s="11">
        <f t="shared" si="86"/>
        <v>11</v>
      </c>
    </row>
    <row r="1857" spans="1:14" x14ac:dyDescent="0.25">
      <c r="A1857" s="11" t="s">
        <v>207</v>
      </c>
      <c r="B1857" s="12">
        <v>45247</v>
      </c>
      <c r="C1857" s="11" t="s">
        <v>688</v>
      </c>
      <c r="D1857" s="11" t="s">
        <v>43</v>
      </c>
      <c r="E1857" s="13" t="s">
        <v>83</v>
      </c>
      <c r="F1857" s="14" t="s">
        <v>79</v>
      </c>
      <c r="G1857" s="14" t="s">
        <v>400</v>
      </c>
      <c r="I1857" s="11">
        <f t="shared" si="87"/>
        <v>2</v>
      </c>
      <c r="J1857" s="16">
        <v>46.37</v>
      </c>
      <c r="M1857" s="17">
        <f t="shared" si="85"/>
        <v>390880.3000000001</v>
      </c>
      <c r="N1857" s="11">
        <f t="shared" si="86"/>
        <v>11</v>
      </c>
    </row>
    <row r="1858" spans="1:14" x14ac:dyDescent="0.25">
      <c r="A1858" s="11" t="s">
        <v>207</v>
      </c>
      <c r="B1858" s="12">
        <v>45247</v>
      </c>
      <c r="C1858" s="11" t="s">
        <v>688</v>
      </c>
      <c r="D1858" s="11" t="s">
        <v>43</v>
      </c>
      <c r="E1858" s="13" t="s">
        <v>381</v>
      </c>
      <c r="F1858" s="14" t="s">
        <v>363</v>
      </c>
      <c r="G1858" s="14" t="s">
        <v>400</v>
      </c>
      <c r="I1858" s="11">
        <f t="shared" si="87"/>
        <v>2</v>
      </c>
      <c r="J1858" s="16">
        <v>48.78</v>
      </c>
      <c r="M1858" s="17">
        <f t="shared" si="85"/>
        <v>390929.08000000013</v>
      </c>
      <c r="N1858" s="11">
        <f t="shared" si="86"/>
        <v>11</v>
      </c>
    </row>
    <row r="1859" spans="1:14" x14ac:dyDescent="0.25">
      <c r="A1859" s="11" t="s">
        <v>207</v>
      </c>
      <c r="B1859" s="12">
        <v>45247</v>
      </c>
      <c r="C1859" s="11" t="s">
        <v>688</v>
      </c>
      <c r="D1859" s="11" t="s">
        <v>43</v>
      </c>
      <c r="E1859" s="13" t="s">
        <v>382</v>
      </c>
      <c r="F1859" s="14" t="s">
        <v>13</v>
      </c>
      <c r="G1859" s="14" t="s">
        <v>400</v>
      </c>
      <c r="I1859" s="11">
        <f t="shared" si="87"/>
        <v>2</v>
      </c>
      <c r="J1859" s="16">
        <v>31.57</v>
      </c>
      <c r="M1859" s="17">
        <f t="shared" ref="M1859:M1922" si="88">IF(B1859=0, "",M1858+ J1859-K1859)</f>
        <v>390960.65000000014</v>
      </c>
      <c r="N1859" s="11">
        <f t="shared" ref="N1859:N1922" si="89">IF(B1859=0, "", MONTH(B1859))</f>
        <v>11</v>
      </c>
    </row>
    <row r="1860" spans="1:14" x14ac:dyDescent="0.25">
      <c r="A1860" s="11" t="s">
        <v>207</v>
      </c>
      <c r="B1860" s="12">
        <v>45247</v>
      </c>
      <c r="C1860" s="11" t="s">
        <v>688</v>
      </c>
      <c r="D1860" s="11" t="s">
        <v>43</v>
      </c>
      <c r="E1860" s="13" t="s">
        <v>382</v>
      </c>
      <c r="F1860" s="14" t="s">
        <v>13</v>
      </c>
      <c r="G1860" s="14" t="s">
        <v>400</v>
      </c>
      <c r="I1860" s="11">
        <f t="shared" si="87"/>
        <v>2</v>
      </c>
      <c r="J1860" s="16">
        <v>528.95000000000005</v>
      </c>
      <c r="M1860" s="17">
        <f t="shared" si="88"/>
        <v>391489.60000000015</v>
      </c>
      <c r="N1860" s="11">
        <f t="shared" si="89"/>
        <v>11</v>
      </c>
    </row>
    <row r="1861" spans="1:14" x14ac:dyDescent="0.25">
      <c r="A1861" s="11" t="s">
        <v>207</v>
      </c>
      <c r="B1861" s="12">
        <v>45247</v>
      </c>
      <c r="C1861" s="11" t="s">
        <v>688</v>
      </c>
      <c r="D1861" s="11" t="s">
        <v>43</v>
      </c>
      <c r="E1861" s="13" t="s">
        <v>382</v>
      </c>
      <c r="F1861" s="14" t="s">
        <v>13</v>
      </c>
      <c r="G1861" s="14" t="s">
        <v>400</v>
      </c>
      <c r="I1861" s="11">
        <f t="shared" ref="I1861:I1924" si="90">IF(AND(G1861="MERCADO PAGO",A1861="FATURAMENTO"),1,IF(AND(OR(G1861="MERCADO PAGO",G1861="pix mercado pago",G1861= "débito automático mercado pago", G1861= "boleto mercado pago"),A1861="DESPESAS"),4,IF(AND(G1861="SAFRA",A1861="FATURAMENTO"),2,IF(AND(OR(G1861="SAFRA",G1861="PIX SAFRA", G1861="DÉBITO AUTOMÁTICO SAFRA", G1861= "BOLETO SAFRA", G1861= "transferência safra"), A1861="DESPESAS"),5,IF(AND(G1861="espécie",A1861="FATURAMENTO"),3,IF(AND(G1861="espécie",A1861="DESPESAS"),6))))))</f>
        <v>2</v>
      </c>
      <c r="J1861" s="16">
        <v>133.63999999999999</v>
      </c>
      <c r="M1861" s="17">
        <f t="shared" si="88"/>
        <v>391623.24000000017</v>
      </c>
      <c r="N1861" s="11">
        <f t="shared" si="89"/>
        <v>11</v>
      </c>
    </row>
    <row r="1862" spans="1:14" x14ac:dyDescent="0.25">
      <c r="A1862" s="11" t="s">
        <v>207</v>
      </c>
      <c r="B1862" s="12">
        <v>45247</v>
      </c>
      <c r="C1862" s="11" t="s">
        <v>688</v>
      </c>
      <c r="D1862" s="11" t="s">
        <v>43</v>
      </c>
      <c r="E1862" s="13" t="s">
        <v>382</v>
      </c>
      <c r="F1862" s="14" t="s">
        <v>13</v>
      </c>
      <c r="G1862" s="14" t="s">
        <v>400</v>
      </c>
      <c r="I1862" s="11">
        <f t="shared" si="90"/>
        <v>2</v>
      </c>
      <c r="J1862" s="16">
        <v>56.42</v>
      </c>
      <c r="M1862" s="17">
        <f t="shared" si="88"/>
        <v>391679.66000000015</v>
      </c>
      <c r="N1862" s="11">
        <f t="shared" si="89"/>
        <v>11</v>
      </c>
    </row>
    <row r="1863" spans="1:14" x14ac:dyDescent="0.25">
      <c r="A1863" s="11" t="s">
        <v>0</v>
      </c>
      <c r="B1863" s="12">
        <v>45247</v>
      </c>
      <c r="C1863" s="11" t="s">
        <v>688</v>
      </c>
      <c r="D1863" s="11" t="s">
        <v>694</v>
      </c>
      <c r="E1863" s="13" t="s">
        <v>182</v>
      </c>
      <c r="F1863" s="14" t="s">
        <v>365</v>
      </c>
      <c r="G1863" s="14" t="s">
        <v>402</v>
      </c>
      <c r="I1863" s="11">
        <f t="shared" si="90"/>
        <v>5</v>
      </c>
      <c r="K1863" s="16">
        <v>1.55</v>
      </c>
      <c r="M1863" s="17">
        <f t="shared" si="88"/>
        <v>391678.11000000016</v>
      </c>
      <c r="N1863" s="11">
        <f t="shared" si="89"/>
        <v>11</v>
      </c>
    </row>
    <row r="1864" spans="1:14" x14ac:dyDescent="0.25">
      <c r="A1864" s="11" t="s">
        <v>0</v>
      </c>
      <c r="B1864" s="12">
        <v>45247</v>
      </c>
      <c r="C1864" s="11" t="s">
        <v>688</v>
      </c>
      <c r="D1864" s="11" t="s">
        <v>694</v>
      </c>
      <c r="E1864" s="13" t="s">
        <v>182</v>
      </c>
      <c r="F1864" s="14" t="s">
        <v>23</v>
      </c>
      <c r="G1864" s="14" t="s">
        <v>402</v>
      </c>
      <c r="I1864" s="11">
        <f t="shared" si="90"/>
        <v>5</v>
      </c>
      <c r="K1864" s="16">
        <v>30.76</v>
      </c>
      <c r="M1864" s="17">
        <f t="shared" si="88"/>
        <v>391647.35000000015</v>
      </c>
      <c r="N1864" s="11">
        <f t="shared" si="89"/>
        <v>11</v>
      </c>
    </row>
    <row r="1865" spans="1:14" x14ac:dyDescent="0.25">
      <c r="A1865" s="11" t="s">
        <v>207</v>
      </c>
      <c r="B1865" s="12">
        <v>45247</v>
      </c>
      <c r="C1865" s="11" t="s">
        <v>688</v>
      </c>
      <c r="D1865" s="11" t="s">
        <v>43</v>
      </c>
      <c r="E1865" s="13">
        <v>45247</v>
      </c>
      <c r="F1865" s="14" t="s">
        <v>472</v>
      </c>
      <c r="G1865" s="14" t="s">
        <v>400</v>
      </c>
      <c r="I1865" s="11">
        <f t="shared" si="90"/>
        <v>2</v>
      </c>
      <c r="J1865" s="16">
        <v>226.4</v>
      </c>
      <c r="M1865" s="17">
        <f t="shared" si="88"/>
        <v>391873.75000000017</v>
      </c>
      <c r="N1865" s="11">
        <f t="shared" si="89"/>
        <v>11</v>
      </c>
    </row>
    <row r="1866" spans="1:14" x14ac:dyDescent="0.25">
      <c r="A1866" s="11" t="s">
        <v>0</v>
      </c>
      <c r="B1866" s="12">
        <v>45247</v>
      </c>
      <c r="C1866" s="11" t="s">
        <v>688</v>
      </c>
      <c r="D1866" s="11" t="s">
        <v>692</v>
      </c>
      <c r="E1866" s="13" t="s">
        <v>724</v>
      </c>
      <c r="F1866" s="14" t="s">
        <v>119</v>
      </c>
      <c r="G1866" s="14" t="s">
        <v>404</v>
      </c>
      <c r="H1866" s="15">
        <v>1289687</v>
      </c>
      <c r="I1866" s="11">
        <f t="shared" si="90"/>
        <v>5</v>
      </c>
      <c r="K1866" s="16">
        <v>4665.25</v>
      </c>
      <c r="M1866" s="17">
        <f t="shared" si="88"/>
        <v>387208.50000000017</v>
      </c>
      <c r="N1866" s="11">
        <f t="shared" si="89"/>
        <v>11</v>
      </c>
    </row>
    <row r="1867" spans="1:14" x14ac:dyDescent="0.25">
      <c r="A1867" s="11" t="s">
        <v>0</v>
      </c>
      <c r="B1867" s="12">
        <v>45247</v>
      </c>
      <c r="C1867" s="11" t="s">
        <v>688</v>
      </c>
      <c r="D1867" s="11" t="s">
        <v>692</v>
      </c>
      <c r="E1867" s="13" t="s">
        <v>725</v>
      </c>
      <c r="F1867" s="14" t="s">
        <v>33</v>
      </c>
      <c r="G1867" s="14" t="s">
        <v>404</v>
      </c>
      <c r="H1867" s="15">
        <v>24854</v>
      </c>
      <c r="I1867" s="11">
        <f t="shared" si="90"/>
        <v>5</v>
      </c>
      <c r="K1867" s="16">
        <v>287.52</v>
      </c>
      <c r="M1867" s="17">
        <f t="shared" si="88"/>
        <v>386920.98000000016</v>
      </c>
      <c r="N1867" s="11">
        <f t="shared" si="89"/>
        <v>11</v>
      </c>
    </row>
    <row r="1868" spans="1:14" x14ac:dyDescent="0.25">
      <c r="A1868" s="11" t="s">
        <v>0</v>
      </c>
      <c r="B1868" s="12">
        <v>45247</v>
      </c>
      <c r="C1868" s="11" t="s">
        <v>688</v>
      </c>
      <c r="D1868" s="11" t="s">
        <v>692</v>
      </c>
      <c r="E1868" s="13" t="s">
        <v>492</v>
      </c>
      <c r="F1868" s="14" t="s">
        <v>111</v>
      </c>
      <c r="G1868" s="14" t="s">
        <v>404</v>
      </c>
      <c r="H1868" s="15" t="s">
        <v>517</v>
      </c>
      <c r="I1868" s="11">
        <f t="shared" si="90"/>
        <v>5</v>
      </c>
      <c r="K1868" s="16">
        <v>3964</v>
      </c>
      <c r="M1868" s="17">
        <f t="shared" si="88"/>
        <v>382956.98000000016</v>
      </c>
      <c r="N1868" s="11">
        <f t="shared" si="89"/>
        <v>11</v>
      </c>
    </row>
    <row r="1869" spans="1:14" x14ac:dyDescent="0.25">
      <c r="A1869" s="11" t="s">
        <v>0</v>
      </c>
      <c r="B1869" s="12">
        <v>45247</v>
      </c>
      <c r="C1869" s="11" t="s">
        <v>688</v>
      </c>
      <c r="D1869" s="11" t="s">
        <v>692</v>
      </c>
      <c r="E1869" s="13" t="s">
        <v>725</v>
      </c>
      <c r="F1869" s="14" t="s">
        <v>27</v>
      </c>
      <c r="G1869" s="14" t="s">
        <v>404</v>
      </c>
      <c r="H1869" s="15">
        <v>14329</v>
      </c>
      <c r="I1869" s="11">
        <f t="shared" si="90"/>
        <v>5</v>
      </c>
      <c r="K1869" s="16">
        <v>1042.03</v>
      </c>
      <c r="M1869" s="17">
        <f t="shared" si="88"/>
        <v>381914.95000000013</v>
      </c>
      <c r="N1869" s="11">
        <f t="shared" si="89"/>
        <v>11</v>
      </c>
    </row>
    <row r="1870" spans="1:14" ht="26.4" x14ac:dyDescent="0.25">
      <c r="A1870" s="11" t="s">
        <v>0</v>
      </c>
      <c r="B1870" s="12">
        <v>45247</v>
      </c>
      <c r="C1870" s="11" t="s">
        <v>688</v>
      </c>
      <c r="D1870" s="11" t="s">
        <v>701</v>
      </c>
      <c r="F1870" s="14" t="s">
        <v>35</v>
      </c>
      <c r="G1870" s="14" t="s">
        <v>404</v>
      </c>
      <c r="H1870" s="15" t="s">
        <v>526</v>
      </c>
      <c r="I1870" s="11">
        <f t="shared" si="90"/>
        <v>5</v>
      </c>
      <c r="K1870" s="16">
        <v>766.37</v>
      </c>
      <c r="M1870" s="17">
        <f t="shared" si="88"/>
        <v>381148.58000000013</v>
      </c>
      <c r="N1870" s="11">
        <f t="shared" si="89"/>
        <v>11</v>
      </c>
    </row>
    <row r="1871" spans="1:14" x14ac:dyDescent="0.25">
      <c r="A1871" s="11" t="s">
        <v>0</v>
      </c>
      <c r="B1871" s="12">
        <v>45247</v>
      </c>
      <c r="C1871" s="11" t="s">
        <v>688</v>
      </c>
      <c r="D1871" s="11" t="s">
        <v>696</v>
      </c>
      <c r="E1871" s="13" t="s">
        <v>421</v>
      </c>
      <c r="F1871" s="14" t="s">
        <v>62</v>
      </c>
      <c r="G1871" s="14" t="s">
        <v>407</v>
      </c>
      <c r="H1871" s="15" t="s">
        <v>426</v>
      </c>
      <c r="I1871" s="11">
        <f t="shared" si="90"/>
        <v>4</v>
      </c>
      <c r="K1871" s="16">
        <v>1500</v>
      </c>
      <c r="M1871" s="17">
        <f t="shared" si="88"/>
        <v>379648.58000000013</v>
      </c>
      <c r="N1871" s="11">
        <f t="shared" si="89"/>
        <v>11</v>
      </c>
    </row>
    <row r="1872" spans="1:14" x14ac:dyDescent="0.25">
      <c r="A1872" s="11" t="s">
        <v>0</v>
      </c>
      <c r="B1872" s="12">
        <v>45248</v>
      </c>
      <c r="C1872" s="11" t="s">
        <v>688</v>
      </c>
      <c r="D1872" s="11" t="s">
        <v>692</v>
      </c>
      <c r="E1872" s="13" t="s">
        <v>726</v>
      </c>
      <c r="F1872" s="14" t="s">
        <v>527</v>
      </c>
      <c r="G1872" s="14" t="s">
        <v>173</v>
      </c>
      <c r="H1872" s="15" t="s">
        <v>426</v>
      </c>
      <c r="I1872" s="11">
        <f t="shared" si="90"/>
        <v>6</v>
      </c>
      <c r="K1872" s="16">
        <v>435</v>
      </c>
      <c r="M1872" s="17">
        <f t="shared" si="88"/>
        <v>379213.58000000013</v>
      </c>
      <c r="N1872" s="11">
        <f t="shared" si="89"/>
        <v>11</v>
      </c>
    </row>
    <row r="1873" spans="1:14" x14ac:dyDescent="0.25">
      <c r="A1873" s="11" t="s">
        <v>0</v>
      </c>
      <c r="B1873" s="12">
        <v>45248</v>
      </c>
      <c r="C1873" s="11" t="s">
        <v>688</v>
      </c>
      <c r="D1873" s="11" t="s">
        <v>692</v>
      </c>
      <c r="E1873" s="13" t="s">
        <v>726</v>
      </c>
      <c r="F1873" s="14" t="s">
        <v>528</v>
      </c>
      <c r="G1873" s="14" t="s">
        <v>173</v>
      </c>
      <c r="H1873" s="15" t="s">
        <v>426</v>
      </c>
      <c r="I1873" s="11">
        <f t="shared" si="90"/>
        <v>6</v>
      </c>
      <c r="K1873" s="16">
        <v>500</v>
      </c>
      <c r="M1873" s="17">
        <f t="shared" si="88"/>
        <v>378713.58000000013</v>
      </c>
      <c r="N1873" s="11">
        <f t="shared" si="89"/>
        <v>11</v>
      </c>
    </row>
    <row r="1874" spans="1:14" x14ac:dyDescent="0.25">
      <c r="A1874" s="11" t="s">
        <v>0</v>
      </c>
      <c r="B1874" s="12">
        <v>45248</v>
      </c>
      <c r="C1874" s="11" t="s">
        <v>688</v>
      </c>
      <c r="D1874" s="11" t="s">
        <v>701</v>
      </c>
      <c r="E1874" s="13" t="s">
        <v>118</v>
      </c>
      <c r="F1874" s="14" t="s">
        <v>529</v>
      </c>
      <c r="G1874" s="14" t="s">
        <v>173</v>
      </c>
      <c r="H1874" s="15" t="s">
        <v>426</v>
      </c>
      <c r="I1874" s="11">
        <f t="shared" si="90"/>
        <v>6</v>
      </c>
      <c r="K1874" s="16">
        <v>500</v>
      </c>
      <c r="M1874" s="17">
        <f t="shared" si="88"/>
        <v>378213.58000000013</v>
      </c>
      <c r="N1874" s="11">
        <f t="shared" si="89"/>
        <v>11</v>
      </c>
    </row>
    <row r="1875" spans="1:14" x14ac:dyDescent="0.25">
      <c r="A1875" s="11" t="s">
        <v>0</v>
      </c>
      <c r="B1875" s="12">
        <v>45248</v>
      </c>
      <c r="C1875" s="11" t="s">
        <v>688</v>
      </c>
      <c r="D1875" s="11" t="s">
        <v>700</v>
      </c>
      <c r="E1875" s="14" t="s">
        <v>530</v>
      </c>
      <c r="F1875" s="14" t="s">
        <v>530</v>
      </c>
      <c r="G1875" s="14" t="s">
        <v>173</v>
      </c>
      <c r="H1875" s="15" t="s">
        <v>426</v>
      </c>
      <c r="I1875" s="11">
        <f t="shared" si="90"/>
        <v>6</v>
      </c>
      <c r="K1875" s="16">
        <v>6000</v>
      </c>
      <c r="M1875" s="17">
        <f t="shared" si="88"/>
        <v>372213.58000000013</v>
      </c>
      <c r="N1875" s="11">
        <f t="shared" si="89"/>
        <v>11</v>
      </c>
    </row>
    <row r="1876" spans="1:14" x14ac:dyDescent="0.25">
      <c r="A1876" s="11" t="s">
        <v>0</v>
      </c>
      <c r="B1876" s="12">
        <v>45248</v>
      </c>
      <c r="C1876" s="11" t="s">
        <v>688</v>
      </c>
      <c r="D1876" s="11" t="s">
        <v>698</v>
      </c>
      <c r="E1876" s="13" t="s">
        <v>532</v>
      </c>
      <c r="F1876" s="14" t="s">
        <v>531</v>
      </c>
      <c r="G1876" s="14" t="s">
        <v>173</v>
      </c>
      <c r="H1876" s="15" t="s">
        <v>426</v>
      </c>
      <c r="I1876" s="11">
        <f t="shared" si="90"/>
        <v>6</v>
      </c>
      <c r="K1876" s="16">
        <v>900</v>
      </c>
      <c r="M1876" s="17">
        <f t="shared" si="88"/>
        <v>371313.58000000013</v>
      </c>
      <c r="N1876" s="11">
        <f t="shared" si="89"/>
        <v>11</v>
      </c>
    </row>
    <row r="1877" spans="1:14" x14ac:dyDescent="0.25">
      <c r="A1877" s="11" t="s">
        <v>0</v>
      </c>
      <c r="B1877" s="12">
        <v>45248</v>
      </c>
      <c r="C1877" s="11" t="s">
        <v>688</v>
      </c>
      <c r="D1877" s="11" t="s">
        <v>696</v>
      </c>
      <c r="E1877" s="13" t="s">
        <v>615</v>
      </c>
      <c r="F1877" s="14" t="s">
        <v>62</v>
      </c>
      <c r="G1877" s="14" t="s">
        <v>407</v>
      </c>
      <c r="H1877" s="15" t="s">
        <v>426</v>
      </c>
      <c r="I1877" s="11">
        <f t="shared" si="90"/>
        <v>4</v>
      </c>
      <c r="K1877" s="16">
        <v>160</v>
      </c>
      <c r="M1877" s="17">
        <f t="shared" si="88"/>
        <v>371153.58000000013</v>
      </c>
      <c r="N1877" s="11">
        <f t="shared" si="89"/>
        <v>11</v>
      </c>
    </row>
    <row r="1878" spans="1:14" x14ac:dyDescent="0.25">
      <c r="A1878" s="11" t="s">
        <v>207</v>
      </c>
      <c r="B1878" s="12">
        <v>45248</v>
      </c>
      <c r="C1878" s="11" t="s">
        <v>662</v>
      </c>
      <c r="D1878" s="11" t="s">
        <v>43</v>
      </c>
      <c r="E1878" s="14" t="s">
        <v>288</v>
      </c>
      <c r="F1878" s="14" t="s">
        <v>288</v>
      </c>
      <c r="G1878" s="14" t="s">
        <v>173</v>
      </c>
      <c r="I1878" s="11">
        <f t="shared" si="90"/>
        <v>3</v>
      </c>
      <c r="J1878" s="16">
        <v>100</v>
      </c>
      <c r="M1878" s="17">
        <f t="shared" si="88"/>
        <v>371253.58000000013</v>
      </c>
      <c r="N1878" s="11">
        <f t="shared" si="89"/>
        <v>11</v>
      </c>
    </row>
    <row r="1879" spans="1:14" x14ac:dyDescent="0.25">
      <c r="A1879" s="11" t="s">
        <v>207</v>
      </c>
      <c r="B1879" s="12">
        <v>45248</v>
      </c>
      <c r="C1879" s="11" t="s">
        <v>688</v>
      </c>
      <c r="D1879" s="11" t="s">
        <v>43</v>
      </c>
      <c r="E1879" s="14" t="s">
        <v>288</v>
      </c>
      <c r="F1879" s="14" t="s">
        <v>288</v>
      </c>
      <c r="G1879" s="14" t="s">
        <v>173</v>
      </c>
      <c r="I1879" s="11">
        <f t="shared" si="90"/>
        <v>3</v>
      </c>
      <c r="J1879" s="16">
        <v>1811</v>
      </c>
      <c r="M1879" s="17">
        <f t="shared" si="88"/>
        <v>373064.58000000013</v>
      </c>
      <c r="N1879" s="11">
        <f t="shared" si="89"/>
        <v>11</v>
      </c>
    </row>
    <row r="1880" spans="1:14" x14ac:dyDescent="0.25">
      <c r="A1880" s="11" t="s">
        <v>207</v>
      </c>
      <c r="B1880" s="12">
        <v>45248</v>
      </c>
      <c r="C1880" s="11" t="s">
        <v>688</v>
      </c>
      <c r="D1880" s="11" t="s">
        <v>43</v>
      </c>
      <c r="E1880" s="14" t="s">
        <v>429</v>
      </c>
      <c r="F1880" s="14" t="s">
        <v>429</v>
      </c>
      <c r="G1880" s="14" t="s">
        <v>428</v>
      </c>
      <c r="I1880" s="11">
        <f t="shared" si="90"/>
        <v>1</v>
      </c>
      <c r="J1880" s="16">
        <v>2810.8</v>
      </c>
      <c r="M1880" s="17">
        <f t="shared" si="88"/>
        <v>375875.38000000012</v>
      </c>
      <c r="N1880" s="11">
        <f t="shared" si="89"/>
        <v>11</v>
      </c>
    </row>
    <row r="1881" spans="1:14" x14ac:dyDescent="0.25">
      <c r="A1881" s="11" t="s">
        <v>207</v>
      </c>
      <c r="B1881" s="12">
        <v>45249</v>
      </c>
      <c r="C1881" s="11" t="s">
        <v>688</v>
      </c>
      <c r="D1881" s="11" t="s">
        <v>43</v>
      </c>
      <c r="E1881" s="14" t="s">
        <v>288</v>
      </c>
      <c r="F1881" s="14" t="s">
        <v>288</v>
      </c>
      <c r="G1881" s="14" t="s">
        <v>173</v>
      </c>
      <c r="I1881" s="11">
        <f t="shared" si="90"/>
        <v>3</v>
      </c>
      <c r="J1881" s="16">
        <v>3936</v>
      </c>
      <c r="M1881" s="17">
        <f t="shared" si="88"/>
        <v>379811.38000000012</v>
      </c>
      <c r="N1881" s="11">
        <f t="shared" si="89"/>
        <v>11</v>
      </c>
    </row>
    <row r="1882" spans="1:14" x14ac:dyDescent="0.25">
      <c r="A1882" s="11" t="s">
        <v>207</v>
      </c>
      <c r="B1882" s="12">
        <v>45249</v>
      </c>
      <c r="C1882" s="11" t="s">
        <v>688</v>
      </c>
      <c r="D1882" s="11" t="s">
        <v>43</v>
      </c>
      <c r="E1882" s="14" t="s">
        <v>429</v>
      </c>
      <c r="F1882" s="14" t="s">
        <v>429</v>
      </c>
      <c r="G1882" s="14" t="s">
        <v>428</v>
      </c>
      <c r="I1882" s="11">
        <f t="shared" si="90"/>
        <v>1</v>
      </c>
      <c r="J1882" s="16">
        <v>5201.42</v>
      </c>
      <c r="M1882" s="17">
        <f t="shared" si="88"/>
        <v>385012.8000000001</v>
      </c>
      <c r="N1882" s="11">
        <f t="shared" si="89"/>
        <v>11</v>
      </c>
    </row>
    <row r="1883" spans="1:14" x14ac:dyDescent="0.25">
      <c r="A1883" s="11" t="s">
        <v>207</v>
      </c>
      <c r="B1883" s="12">
        <v>45250</v>
      </c>
      <c r="C1883" s="11" t="s">
        <v>662</v>
      </c>
      <c r="D1883" s="11" t="s">
        <v>43</v>
      </c>
      <c r="E1883" s="14" t="s">
        <v>288</v>
      </c>
      <c r="F1883" s="14" t="s">
        <v>288</v>
      </c>
      <c r="G1883" s="14" t="s">
        <v>173</v>
      </c>
      <c r="I1883" s="11">
        <f t="shared" si="90"/>
        <v>3</v>
      </c>
      <c r="J1883" s="16">
        <v>900</v>
      </c>
      <c r="M1883" s="17">
        <f t="shared" si="88"/>
        <v>385912.8000000001</v>
      </c>
      <c r="N1883" s="11">
        <f t="shared" si="89"/>
        <v>11</v>
      </c>
    </row>
    <row r="1884" spans="1:14" x14ac:dyDescent="0.25">
      <c r="A1884" s="11" t="s">
        <v>207</v>
      </c>
      <c r="B1884" s="12">
        <v>45250</v>
      </c>
      <c r="C1884" s="11" t="s">
        <v>688</v>
      </c>
      <c r="D1884" s="11" t="s">
        <v>43</v>
      </c>
      <c r="E1884" s="14" t="s">
        <v>288</v>
      </c>
      <c r="F1884" s="14" t="s">
        <v>288</v>
      </c>
      <c r="G1884" s="14" t="s">
        <v>173</v>
      </c>
      <c r="I1884" s="11">
        <f t="shared" si="90"/>
        <v>3</v>
      </c>
      <c r="J1884" s="16">
        <v>4540</v>
      </c>
      <c r="M1884" s="17">
        <f t="shared" si="88"/>
        <v>390452.8000000001</v>
      </c>
      <c r="N1884" s="11">
        <f t="shared" si="89"/>
        <v>11</v>
      </c>
    </row>
    <row r="1885" spans="1:14" x14ac:dyDescent="0.25">
      <c r="A1885" s="11" t="s">
        <v>207</v>
      </c>
      <c r="B1885" s="12">
        <v>45250</v>
      </c>
      <c r="C1885" s="11" t="s">
        <v>688</v>
      </c>
      <c r="D1885" s="11" t="s">
        <v>43</v>
      </c>
      <c r="E1885" s="14" t="s">
        <v>429</v>
      </c>
      <c r="F1885" s="14" t="s">
        <v>429</v>
      </c>
      <c r="G1885" s="14" t="s">
        <v>428</v>
      </c>
      <c r="I1885" s="11">
        <f t="shared" si="90"/>
        <v>1</v>
      </c>
      <c r="J1885" s="16">
        <v>1542.4</v>
      </c>
      <c r="M1885" s="17">
        <f t="shared" si="88"/>
        <v>391995.20000000013</v>
      </c>
      <c r="N1885" s="11">
        <f t="shared" si="89"/>
        <v>11</v>
      </c>
    </row>
    <row r="1886" spans="1:14" x14ac:dyDescent="0.25">
      <c r="A1886" s="11" t="s">
        <v>207</v>
      </c>
      <c r="B1886" s="12">
        <v>45250</v>
      </c>
      <c r="C1886" s="11" t="s">
        <v>688</v>
      </c>
      <c r="D1886" s="11" t="s">
        <v>43</v>
      </c>
      <c r="E1886" s="13" t="s">
        <v>80</v>
      </c>
      <c r="F1886" s="14" t="s">
        <v>79</v>
      </c>
      <c r="G1886" s="14" t="s">
        <v>400</v>
      </c>
      <c r="I1886" s="11">
        <f t="shared" si="90"/>
        <v>2</v>
      </c>
      <c r="J1886" s="16">
        <v>12785.43</v>
      </c>
      <c r="M1886" s="17">
        <f t="shared" si="88"/>
        <v>404780.63000000012</v>
      </c>
      <c r="N1886" s="11">
        <f t="shared" si="89"/>
        <v>11</v>
      </c>
    </row>
    <row r="1887" spans="1:14" x14ac:dyDescent="0.25">
      <c r="A1887" s="11" t="s">
        <v>207</v>
      </c>
      <c r="B1887" s="12">
        <v>45250</v>
      </c>
      <c r="C1887" s="11" t="s">
        <v>688</v>
      </c>
      <c r="D1887" s="11" t="s">
        <v>43</v>
      </c>
      <c r="E1887" s="13" t="s">
        <v>81</v>
      </c>
      <c r="F1887" s="14" t="s">
        <v>79</v>
      </c>
      <c r="G1887" s="14" t="s">
        <v>400</v>
      </c>
      <c r="I1887" s="11">
        <f t="shared" si="90"/>
        <v>2</v>
      </c>
      <c r="J1887" s="16">
        <v>12100.17</v>
      </c>
      <c r="M1887" s="17">
        <f t="shared" si="88"/>
        <v>416880.8000000001</v>
      </c>
      <c r="N1887" s="11">
        <f t="shared" si="89"/>
        <v>11</v>
      </c>
    </row>
    <row r="1888" spans="1:14" x14ac:dyDescent="0.25">
      <c r="A1888" s="11" t="s">
        <v>207</v>
      </c>
      <c r="B1888" s="12">
        <v>45250</v>
      </c>
      <c r="C1888" s="11" t="s">
        <v>662</v>
      </c>
      <c r="D1888" s="11" t="s">
        <v>43</v>
      </c>
      <c r="E1888" s="13" t="s">
        <v>82</v>
      </c>
      <c r="F1888" s="14" t="s">
        <v>79</v>
      </c>
      <c r="G1888" s="14" t="s">
        <v>400</v>
      </c>
      <c r="I1888" s="11">
        <f t="shared" si="90"/>
        <v>2</v>
      </c>
      <c r="J1888" s="16">
        <v>98.7</v>
      </c>
      <c r="M1888" s="17">
        <f t="shared" si="88"/>
        <v>416979.50000000012</v>
      </c>
      <c r="N1888" s="11">
        <f t="shared" si="89"/>
        <v>11</v>
      </c>
    </row>
    <row r="1889" spans="1:14" x14ac:dyDescent="0.25">
      <c r="A1889" s="11" t="s">
        <v>207</v>
      </c>
      <c r="B1889" s="12">
        <v>45250</v>
      </c>
      <c r="C1889" s="11" t="s">
        <v>688</v>
      </c>
      <c r="D1889" s="11" t="s">
        <v>43</v>
      </c>
      <c r="E1889" s="13" t="s">
        <v>83</v>
      </c>
      <c r="F1889" s="14" t="s">
        <v>79</v>
      </c>
      <c r="G1889" s="14" t="s">
        <v>400</v>
      </c>
      <c r="I1889" s="11">
        <f t="shared" si="90"/>
        <v>2</v>
      </c>
      <c r="J1889" s="16">
        <v>371.65</v>
      </c>
      <c r="M1889" s="17">
        <f t="shared" si="88"/>
        <v>417351.15000000014</v>
      </c>
      <c r="N1889" s="11">
        <f t="shared" si="89"/>
        <v>11</v>
      </c>
    </row>
    <row r="1890" spans="1:14" x14ac:dyDescent="0.25">
      <c r="A1890" s="11" t="s">
        <v>207</v>
      </c>
      <c r="B1890" s="12">
        <v>45250</v>
      </c>
      <c r="C1890" s="11" t="s">
        <v>688</v>
      </c>
      <c r="D1890" s="11" t="s">
        <v>43</v>
      </c>
      <c r="E1890" s="13" t="s">
        <v>382</v>
      </c>
      <c r="F1890" s="14" t="s">
        <v>13</v>
      </c>
      <c r="G1890" s="14" t="s">
        <v>400</v>
      </c>
      <c r="I1890" s="11">
        <f t="shared" si="90"/>
        <v>2</v>
      </c>
      <c r="J1890" s="16">
        <v>331.68</v>
      </c>
      <c r="M1890" s="17">
        <f t="shared" si="88"/>
        <v>417682.83000000013</v>
      </c>
      <c r="N1890" s="11">
        <f t="shared" si="89"/>
        <v>11</v>
      </c>
    </row>
    <row r="1891" spans="1:14" x14ac:dyDescent="0.25">
      <c r="A1891" s="11" t="s">
        <v>207</v>
      </c>
      <c r="B1891" s="12">
        <v>45250</v>
      </c>
      <c r="C1891" s="11" t="s">
        <v>662</v>
      </c>
      <c r="D1891" s="11" t="s">
        <v>43</v>
      </c>
      <c r="E1891" s="13" t="s">
        <v>382</v>
      </c>
      <c r="F1891" s="14" t="s">
        <v>13</v>
      </c>
      <c r="G1891" s="14" t="s">
        <v>400</v>
      </c>
      <c r="I1891" s="11">
        <f t="shared" si="90"/>
        <v>2</v>
      </c>
      <c r="J1891" s="16">
        <v>312.08999999999997</v>
      </c>
      <c r="M1891" s="17">
        <f t="shared" si="88"/>
        <v>417994.92000000016</v>
      </c>
      <c r="N1891" s="11">
        <f t="shared" si="89"/>
        <v>11</v>
      </c>
    </row>
    <row r="1892" spans="1:14" x14ac:dyDescent="0.25">
      <c r="A1892" s="11" t="s">
        <v>207</v>
      </c>
      <c r="B1892" s="12">
        <v>45250</v>
      </c>
      <c r="C1892" s="11" t="s">
        <v>662</v>
      </c>
      <c r="D1892" s="11" t="s">
        <v>43</v>
      </c>
      <c r="E1892" s="13" t="s">
        <v>382</v>
      </c>
      <c r="F1892" s="14" t="s">
        <v>13</v>
      </c>
      <c r="G1892" s="14" t="s">
        <v>400</v>
      </c>
      <c r="I1892" s="11">
        <f t="shared" si="90"/>
        <v>2</v>
      </c>
      <c r="J1892" s="16">
        <v>426.71</v>
      </c>
      <c r="M1892" s="17">
        <f t="shared" si="88"/>
        <v>418421.63000000018</v>
      </c>
      <c r="N1892" s="11">
        <f t="shared" si="89"/>
        <v>11</v>
      </c>
    </row>
    <row r="1893" spans="1:14" x14ac:dyDescent="0.25">
      <c r="A1893" s="11" t="s">
        <v>207</v>
      </c>
      <c r="B1893" s="12">
        <v>45250</v>
      </c>
      <c r="C1893" s="11" t="s">
        <v>688</v>
      </c>
      <c r="D1893" s="11" t="s">
        <v>43</v>
      </c>
      <c r="E1893" s="13" t="s">
        <v>382</v>
      </c>
      <c r="F1893" s="14" t="s">
        <v>13</v>
      </c>
      <c r="G1893" s="14" t="s">
        <v>400</v>
      </c>
      <c r="I1893" s="11">
        <f t="shared" si="90"/>
        <v>2</v>
      </c>
      <c r="J1893" s="16">
        <v>613.88</v>
      </c>
      <c r="M1893" s="17">
        <f t="shared" si="88"/>
        <v>419035.51000000018</v>
      </c>
      <c r="N1893" s="11">
        <f t="shared" si="89"/>
        <v>11</v>
      </c>
    </row>
    <row r="1894" spans="1:14" x14ac:dyDescent="0.25">
      <c r="A1894" s="11" t="s">
        <v>207</v>
      </c>
      <c r="B1894" s="12">
        <v>45250</v>
      </c>
      <c r="C1894" s="11" t="s">
        <v>688</v>
      </c>
      <c r="D1894" s="11" t="s">
        <v>43</v>
      </c>
      <c r="E1894" s="13" t="s">
        <v>382</v>
      </c>
      <c r="F1894" s="14" t="s">
        <v>13</v>
      </c>
      <c r="G1894" s="14" t="s">
        <v>400</v>
      </c>
      <c r="I1894" s="11">
        <f t="shared" si="90"/>
        <v>2</v>
      </c>
      <c r="J1894" s="16">
        <v>971.33</v>
      </c>
      <c r="M1894" s="17">
        <f t="shared" si="88"/>
        <v>420006.8400000002</v>
      </c>
      <c r="N1894" s="11">
        <f t="shared" si="89"/>
        <v>11</v>
      </c>
    </row>
    <row r="1895" spans="1:14" x14ac:dyDescent="0.25">
      <c r="A1895" s="11" t="s">
        <v>207</v>
      </c>
      <c r="B1895" s="12">
        <v>45250</v>
      </c>
      <c r="C1895" s="11" t="s">
        <v>688</v>
      </c>
      <c r="D1895" s="11" t="s">
        <v>43</v>
      </c>
      <c r="E1895" s="13" t="s">
        <v>382</v>
      </c>
      <c r="F1895" s="14" t="s">
        <v>13</v>
      </c>
      <c r="G1895" s="14" t="s">
        <v>400</v>
      </c>
      <c r="I1895" s="11">
        <f t="shared" si="90"/>
        <v>2</v>
      </c>
      <c r="J1895" s="16">
        <v>1976.33</v>
      </c>
      <c r="M1895" s="17">
        <f t="shared" si="88"/>
        <v>421983.17000000022</v>
      </c>
      <c r="N1895" s="11">
        <f t="shared" si="89"/>
        <v>11</v>
      </c>
    </row>
    <row r="1896" spans="1:14" x14ac:dyDescent="0.25">
      <c r="A1896" s="11" t="s">
        <v>207</v>
      </c>
      <c r="B1896" s="12">
        <v>45250</v>
      </c>
      <c r="C1896" s="11" t="s">
        <v>688</v>
      </c>
      <c r="D1896" s="11" t="s">
        <v>43</v>
      </c>
      <c r="E1896" s="13" t="s">
        <v>382</v>
      </c>
      <c r="F1896" s="14" t="s">
        <v>13</v>
      </c>
      <c r="G1896" s="14" t="s">
        <v>400</v>
      </c>
      <c r="I1896" s="11">
        <f t="shared" si="90"/>
        <v>2</v>
      </c>
      <c r="J1896" s="16">
        <v>81.03</v>
      </c>
      <c r="M1896" s="17">
        <f t="shared" si="88"/>
        <v>422064.20000000024</v>
      </c>
      <c r="N1896" s="11">
        <f t="shared" si="89"/>
        <v>11</v>
      </c>
    </row>
    <row r="1897" spans="1:14" x14ac:dyDescent="0.25">
      <c r="A1897" s="11" t="s">
        <v>207</v>
      </c>
      <c r="B1897" s="12">
        <v>45250</v>
      </c>
      <c r="C1897" s="11" t="s">
        <v>688</v>
      </c>
      <c r="D1897" s="11" t="s">
        <v>43</v>
      </c>
      <c r="E1897" s="13" t="s">
        <v>382</v>
      </c>
      <c r="F1897" s="14" t="s">
        <v>13</v>
      </c>
      <c r="G1897" s="14" t="s">
        <v>400</v>
      </c>
      <c r="I1897" s="11">
        <f t="shared" si="90"/>
        <v>2</v>
      </c>
      <c r="J1897" s="16">
        <v>134.72</v>
      </c>
      <c r="M1897" s="17">
        <f t="shared" si="88"/>
        <v>422198.92000000022</v>
      </c>
      <c r="N1897" s="11">
        <f t="shared" si="89"/>
        <v>11</v>
      </c>
    </row>
    <row r="1898" spans="1:14" x14ac:dyDescent="0.25">
      <c r="A1898" s="11" t="s">
        <v>207</v>
      </c>
      <c r="B1898" s="12">
        <v>45250</v>
      </c>
      <c r="C1898" s="11" t="s">
        <v>688</v>
      </c>
      <c r="D1898" s="11" t="s">
        <v>43</v>
      </c>
      <c r="E1898" s="13" t="s">
        <v>382</v>
      </c>
      <c r="F1898" s="14" t="s">
        <v>13</v>
      </c>
      <c r="G1898" s="14" t="s">
        <v>400</v>
      </c>
      <c r="I1898" s="11">
        <f t="shared" si="90"/>
        <v>2</v>
      </c>
      <c r="J1898" s="16">
        <v>11.17</v>
      </c>
      <c r="M1898" s="17">
        <f t="shared" si="88"/>
        <v>422210.0900000002</v>
      </c>
      <c r="N1898" s="11">
        <f t="shared" si="89"/>
        <v>11</v>
      </c>
    </row>
    <row r="1899" spans="1:14" x14ac:dyDescent="0.25">
      <c r="A1899" s="11" t="s">
        <v>207</v>
      </c>
      <c r="B1899" s="12">
        <v>45250</v>
      </c>
      <c r="C1899" s="11" t="s">
        <v>688</v>
      </c>
      <c r="D1899" s="11" t="s">
        <v>43</v>
      </c>
      <c r="E1899" s="13" t="s">
        <v>382</v>
      </c>
      <c r="F1899" s="14" t="s">
        <v>13</v>
      </c>
      <c r="G1899" s="14" t="s">
        <v>400</v>
      </c>
      <c r="I1899" s="11">
        <f t="shared" si="90"/>
        <v>2</v>
      </c>
      <c r="J1899" s="16">
        <v>409.48</v>
      </c>
      <c r="M1899" s="17">
        <f t="shared" si="88"/>
        <v>422619.57000000018</v>
      </c>
      <c r="N1899" s="11">
        <f t="shared" si="89"/>
        <v>11</v>
      </c>
    </row>
    <row r="1900" spans="1:14" x14ac:dyDescent="0.25">
      <c r="A1900" s="11" t="s">
        <v>207</v>
      </c>
      <c r="B1900" s="12">
        <v>45250</v>
      </c>
      <c r="C1900" s="11" t="s">
        <v>688</v>
      </c>
      <c r="D1900" s="11" t="s">
        <v>43</v>
      </c>
      <c r="E1900" s="13" t="s">
        <v>382</v>
      </c>
      <c r="F1900" s="14" t="s">
        <v>13</v>
      </c>
      <c r="G1900" s="14" t="s">
        <v>400</v>
      </c>
      <c r="I1900" s="11">
        <f t="shared" si="90"/>
        <v>2</v>
      </c>
      <c r="J1900" s="16">
        <v>49</v>
      </c>
      <c r="M1900" s="17">
        <f t="shared" si="88"/>
        <v>422668.57000000018</v>
      </c>
      <c r="N1900" s="11">
        <f t="shared" si="89"/>
        <v>11</v>
      </c>
    </row>
    <row r="1901" spans="1:14" x14ac:dyDescent="0.25">
      <c r="A1901" s="11" t="s">
        <v>207</v>
      </c>
      <c r="B1901" s="12">
        <v>45250</v>
      </c>
      <c r="C1901" s="11" t="s">
        <v>688</v>
      </c>
      <c r="D1901" s="11" t="s">
        <v>43</v>
      </c>
      <c r="E1901" s="13" t="s">
        <v>382</v>
      </c>
      <c r="F1901" s="14" t="s">
        <v>13</v>
      </c>
      <c r="G1901" s="14" t="s">
        <v>400</v>
      </c>
      <c r="I1901" s="11">
        <f t="shared" si="90"/>
        <v>2</v>
      </c>
      <c r="J1901" s="16">
        <v>16.829999999999998</v>
      </c>
      <c r="M1901" s="17">
        <f t="shared" si="88"/>
        <v>422685.4000000002</v>
      </c>
      <c r="N1901" s="11">
        <f t="shared" si="89"/>
        <v>11</v>
      </c>
    </row>
    <row r="1902" spans="1:14" x14ac:dyDescent="0.25">
      <c r="A1902" s="11" t="s">
        <v>0</v>
      </c>
      <c r="B1902" s="12">
        <v>45250</v>
      </c>
      <c r="C1902" s="11" t="s">
        <v>688</v>
      </c>
      <c r="D1902" s="11" t="s">
        <v>694</v>
      </c>
      <c r="E1902" s="13" t="s">
        <v>182</v>
      </c>
      <c r="F1902" s="14" t="s">
        <v>365</v>
      </c>
      <c r="G1902" s="14" t="s">
        <v>402</v>
      </c>
      <c r="I1902" s="11">
        <f t="shared" si="90"/>
        <v>5</v>
      </c>
      <c r="K1902" s="16">
        <v>8.44</v>
      </c>
      <c r="M1902" s="17">
        <f t="shared" si="88"/>
        <v>422676.9600000002</v>
      </c>
      <c r="N1902" s="11">
        <f t="shared" si="89"/>
        <v>11</v>
      </c>
    </row>
    <row r="1903" spans="1:14" x14ac:dyDescent="0.25">
      <c r="A1903" s="11" t="s">
        <v>0</v>
      </c>
      <c r="B1903" s="12">
        <v>45250</v>
      </c>
      <c r="C1903" s="11" t="s">
        <v>688</v>
      </c>
      <c r="D1903" s="11" t="s">
        <v>694</v>
      </c>
      <c r="E1903" s="13" t="s">
        <v>182</v>
      </c>
      <c r="F1903" s="14" t="s">
        <v>23</v>
      </c>
      <c r="G1903" s="14" t="s">
        <v>402</v>
      </c>
      <c r="I1903" s="11">
        <f t="shared" si="90"/>
        <v>5</v>
      </c>
      <c r="K1903" s="16">
        <v>77.7</v>
      </c>
      <c r="M1903" s="17">
        <f t="shared" si="88"/>
        <v>422599.26000000018</v>
      </c>
      <c r="N1903" s="11">
        <f t="shared" si="89"/>
        <v>11</v>
      </c>
    </row>
    <row r="1904" spans="1:14" ht="26.4" x14ac:dyDescent="0.25">
      <c r="A1904" s="11" t="s">
        <v>0</v>
      </c>
      <c r="B1904" s="12">
        <v>45250</v>
      </c>
      <c r="C1904" s="11" t="s">
        <v>688</v>
      </c>
      <c r="D1904" s="11" t="s">
        <v>692</v>
      </c>
      <c r="E1904" s="13" t="s">
        <v>726</v>
      </c>
      <c r="F1904" s="14" t="s">
        <v>91</v>
      </c>
      <c r="G1904" s="14" t="s">
        <v>403</v>
      </c>
      <c r="H1904" s="15" t="s">
        <v>533</v>
      </c>
      <c r="I1904" s="11">
        <f t="shared" si="90"/>
        <v>5</v>
      </c>
      <c r="K1904" s="16">
        <v>348.84</v>
      </c>
      <c r="M1904" s="17">
        <f t="shared" si="88"/>
        <v>422250.42000000016</v>
      </c>
      <c r="N1904" s="11">
        <f t="shared" si="89"/>
        <v>11</v>
      </c>
    </row>
    <row r="1905" spans="1:14" ht="26.4" x14ac:dyDescent="0.25">
      <c r="A1905" s="11" t="s">
        <v>0</v>
      </c>
      <c r="B1905" s="12">
        <v>45250</v>
      </c>
      <c r="C1905" s="11" t="s">
        <v>688</v>
      </c>
      <c r="D1905" s="11" t="s">
        <v>692</v>
      </c>
      <c r="E1905" s="13" t="s">
        <v>726</v>
      </c>
      <c r="F1905" s="14" t="s">
        <v>91</v>
      </c>
      <c r="G1905" s="14" t="s">
        <v>403</v>
      </c>
      <c r="H1905" s="15" t="s">
        <v>534</v>
      </c>
      <c r="I1905" s="11">
        <f t="shared" si="90"/>
        <v>5</v>
      </c>
      <c r="K1905" s="16">
        <v>1157.99</v>
      </c>
      <c r="M1905" s="17">
        <f t="shared" si="88"/>
        <v>421092.43000000017</v>
      </c>
      <c r="N1905" s="11">
        <f t="shared" si="89"/>
        <v>11</v>
      </c>
    </row>
    <row r="1906" spans="1:14" ht="26.4" x14ac:dyDescent="0.25">
      <c r="A1906" s="11" t="s">
        <v>0</v>
      </c>
      <c r="B1906" s="12">
        <v>45250</v>
      </c>
      <c r="C1906" s="11" t="s">
        <v>688</v>
      </c>
      <c r="D1906" s="11" t="s">
        <v>692</v>
      </c>
      <c r="E1906" s="13" t="s">
        <v>143</v>
      </c>
      <c r="F1906" s="14" t="s">
        <v>59</v>
      </c>
      <c r="G1906" s="14" t="s">
        <v>403</v>
      </c>
      <c r="H1906" s="15" t="s">
        <v>535</v>
      </c>
      <c r="I1906" s="11">
        <f t="shared" si="90"/>
        <v>5</v>
      </c>
      <c r="K1906" s="16">
        <v>975.39</v>
      </c>
      <c r="M1906" s="17">
        <f t="shared" si="88"/>
        <v>420117.04000000015</v>
      </c>
      <c r="N1906" s="11">
        <f t="shared" si="89"/>
        <v>11</v>
      </c>
    </row>
    <row r="1907" spans="1:14" x14ac:dyDescent="0.25">
      <c r="A1907" s="11" t="s">
        <v>0</v>
      </c>
      <c r="B1907" s="12">
        <v>45229</v>
      </c>
      <c r="C1907" s="11" t="s">
        <v>688</v>
      </c>
      <c r="D1907" s="11" t="s">
        <v>694</v>
      </c>
      <c r="E1907" s="13" t="s">
        <v>718</v>
      </c>
      <c r="F1907" s="14" t="s">
        <v>263</v>
      </c>
      <c r="G1907" s="14" t="s">
        <v>403</v>
      </c>
      <c r="H1907" s="15">
        <v>85589589</v>
      </c>
      <c r="I1907" s="11">
        <f t="shared" si="90"/>
        <v>5</v>
      </c>
      <c r="K1907" s="16">
        <v>8070.62</v>
      </c>
      <c r="M1907" s="17">
        <f t="shared" si="88"/>
        <v>412046.42000000016</v>
      </c>
      <c r="N1907" s="11">
        <f t="shared" si="89"/>
        <v>10</v>
      </c>
    </row>
    <row r="1908" spans="1:14" x14ac:dyDescent="0.25">
      <c r="A1908" s="11" t="s">
        <v>207</v>
      </c>
      <c r="B1908" s="12">
        <v>45250</v>
      </c>
      <c r="C1908" s="11" t="s">
        <v>688</v>
      </c>
      <c r="D1908" s="11" t="s">
        <v>43</v>
      </c>
      <c r="E1908" s="13">
        <v>45250</v>
      </c>
      <c r="F1908" s="14" t="s">
        <v>472</v>
      </c>
      <c r="G1908" s="14" t="s">
        <v>400</v>
      </c>
      <c r="I1908" s="11">
        <f t="shared" si="90"/>
        <v>2</v>
      </c>
      <c r="J1908" s="16">
        <v>1230.4000000000001</v>
      </c>
      <c r="M1908" s="17">
        <f t="shared" si="88"/>
        <v>413276.82000000018</v>
      </c>
      <c r="N1908" s="11">
        <f t="shared" si="89"/>
        <v>11</v>
      </c>
    </row>
    <row r="1909" spans="1:14" x14ac:dyDescent="0.25">
      <c r="A1909" s="11" t="s">
        <v>0</v>
      </c>
      <c r="B1909" s="12">
        <v>45250</v>
      </c>
      <c r="C1909" s="11" t="s">
        <v>688</v>
      </c>
      <c r="D1909" s="11" t="s">
        <v>692</v>
      </c>
      <c r="E1909" s="13" t="s">
        <v>179</v>
      </c>
      <c r="F1909" s="14" t="s">
        <v>378</v>
      </c>
      <c r="G1909" s="14" t="s">
        <v>404</v>
      </c>
      <c r="H1909" s="15">
        <v>14</v>
      </c>
      <c r="I1909" s="11">
        <f t="shared" si="90"/>
        <v>5</v>
      </c>
      <c r="K1909" s="16">
        <v>1450</v>
      </c>
      <c r="M1909" s="17">
        <f t="shared" si="88"/>
        <v>411826.82000000018</v>
      </c>
      <c r="N1909" s="11">
        <f t="shared" si="89"/>
        <v>11</v>
      </c>
    </row>
    <row r="1910" spans="1:14" x14ac:dyDescent="0.25">
      <c r="A1910" s="11" t="s">
        <v>0</v>
      </c>
      <c r="B1910" s="12">
        <v>45250</v>
      </c>
      <c r="C1910" s="11" t="s">
        <v>688</v>
      </c>
      <c r="D1910" s="11" t="s">
        <v>692</v>
      </c>
      <c r="E1910" s="13" t="s">
        <v>179</v>
      </c>
      <c r="F1910" s="14" t="s">
        <v>51</v>
      </c>
      <c r="G1910" s="14" t="s">
        <v>404</v>
      </c>
      <c r="H1910" s="15">
        <v>13</v>
      </c>
      <c r="I1910" s="11">
        <f t="shared" si="90"/>
        <v>5</v>
      </c>
      <c r="K1910" s="16">
        <v>2420</v>
      </c>
      <c r="M1910" s="17">
        <f t="shared" si="88"/>
        <v>409406.82000000018</v>
      </c>
      <c r="N1910" s="11">
        <f t="shared" si="89"/>
        <v>11</v>
      </c>
    </row>
    <row r="1911" spans="1:14" x14ac:dyDescent="0.25">
      <c r="A1911" s="11" t="s">
        <v>0</v>
      </c>
      <c r="B1911" s="12">
        <v>45250</v>
      </c>
      <c r="C1911" s="11" t="s">
        <v>688</v>
      </c>
      <c r="D1911" s="11" t="s">
        <v>692</v>
      </c>
      <c r="E1911" s="13" t="s">
        <v>267</v>
      </c>
      <c r="F1911" s="14" t="s">
        <v>301</v>
      </c>
      <c r="G1911" s="14" t="s">
        <v>404</v>
      </c>
      <c r="H1911" s="15">
        <v>5</v>
      </c>
      <c r="I1911" s="11">
        <f t="shared" si="90"/>
        <v>5</v>
      </c>
      <c r="K1911" s="16">
        <v>787.2</v>
      </c>
      <c r="M1911" s="17">
        <f t="shared" si="88"/>
        <v>408619.62000000017</v>
      </c>
      <c r="N1911" s="11">
        <f t="shared" si="89"/>
        <v>11</v>
      </c>
    </row>
    <row r="1912" spans="1:14" x14ac:dyDescent="0.25">
      <c r="A1912" s="11" t="s">
        <v>0</v>
      </c>
      <c r="B1912" s="12">
        <v>45250</v>
      </c>
      <c r="C1912" s="11" t="s">
        <v>688</v>
      </c>
      <c r="D1912" s="11" t="s">
        <v>692</v>
      </c>
      <c r="E1912" s="13" t="s">
        <v>725</v>
      </c>
      <c r="F1912" s="14" t="s">
        <v>33</v>
      </c>
      <c r="G1912" s="14" t="s">
        <v>404</v>
      </c>
      <c r="H1912" s="15">
        <v>25243</v>
      </c>
      <c r="I1912" s="11">
        <f t="shared" si="90"/>
        <v>5</v>
      </c>
      <c r="K1912" s="16">
        <v>1011.98</v>
      </c>
      <c r="M1912" s="17">
        <f t="shared" si="88"/>
        <v>407607.64000000019</v>
      </c>
      <c r="N1912" s="11">
        <f t="shared" si="89"/>
        <v>11</v>
      </c>
    </row>
    <row r="1913" spans="1:14" x14ac:dyDescent="0.25">
      <c r="A1913" s="11" t="s">
        <v>0</v>
      </c>
      <c r="B1913" s="12">
        <v>45250</v>
      </c>
      <c r="C1913" s="11" t="s">
        <v>688</v>
      </c>
      <c r="D1913" s="11" t="s">
        <v>692</v>
      </c>
      <c r="E1913" s="13" t="s">
        <v>725</v>
      </c>
      <c r="F1913" s="14" t="s">
        <v>27</v>
      </c>
      <c r="G1913" s="14" t="s">
        <v>404</v>
      </c>
      <c r="H1913" s="15" t="s">
        <v>189</v>
      </c>
      <c r="I1913" s="11">
        <f t="shared" si="90"/>
        <v>5</v>
      </c>
      <c r="K1913" s="16">
        <v>214.66</v>
      </c>
      <c r="M1913" s="17">
        <f t="shared" si="88"/>
        <v>407392.98000000021</v>
      </c>
      <c r="N1913" s="11">
        <f t="shared" si="89"/>
        <v>11</v>
      </c>
    </row>
    <row r="1914" spans="1:14" x14ac:dyDescent="0.25">
      <c r="A1914" s="11" t="s">
        <v>0</v>
      </c>
      <c r="B1914" s="12">
        <v>45250</v>
      </c>
      <c r="C1914" s="11" t="s">
        <v>688</v>
      </c>
      <c r="D1914" s="11" t="s">
        <v>692</v>
      </c>
      <c r="E1914" s="13" t="s">
        <v>179</v>
      </c>
      <c r="F1914" s="14" t="s">
        <v>378</v>
      </c>
      <c r="G1914" s="14" t="s">
        <v>404</v>
      </c>
      <c r="H1914" s="15">
        <v>14</v>
      </c>
      <c r="I1914" s="11">
        <f t="shared" si="90"/>
        <v>5</v>
      </c>
      <c r="K1914" s="16">
        <v>2700</v>
      </c>
      <c r="M1914" s="17">
        <f t="shared" si="88"/>
        <v>404692.98000000021</v>
      </c>
      <c r="N1914" s="11">
        <f t="shared" si="89"/>
        <v>11</v>
      </c>
    </row>
    <row r="1915" spans="1:14" x14ac:dyDescent="0.25">
      <c r="A1915" s="11" t="s">
        <v>0</v>
      </c>
      <c r="B1915" s="12">
        <v>45250</v>
      </c>
      <c r="C1915" s="11" t="s">
        <v>688</v>
      </c>
      <c r="D1915" s="11" t="s">
        <v>692</v>
      </c>
      <c r="E1915" s="13" t="s">
        <v>169</v>
      </c>
      <c r="F1915" s="14" t="s">
        <v>50</v>
      </c>
      <c r="G1915" s="14" t="s">
        <v>404</v>
      </c>
      <c r="H1915" s="15">
        <v>1213552</v>
      </c>
      <c r="I1915" s="11">
        <f t="shared" si="90"/>
        <v>5</v>
      </c>
      <c r="K1915" s="16">
        <v>2942</v>
      </c>
      <c r="M1915" s="17">
        <f t="shared" si="88"/>
        <v>401750.98000000021</v>
      </c>
      <c r="N1915" s="11">
        <f t="shared" si="89"/>
        <v>11</v>
      </c>
    </row>
    <row r="1916" spans="1:14" x14ac:dyDescent="0.25">
      <c r="A1916" s="11" t="s">
        <v>0</v>
      </c>
      <c r="B1916" s="12">
        <v>45250</v>
      </c>
      <c r="C1916" s="11" t="s">
        <v>688</v>
      </c>
      <c r="D1916" s="11" t="s">
        <v>47</v>
      </c>
      <c r="E1916" s="13" t="s">
        <v>494</v>
      </c>
      <c r="F1916" s="14" t="s">
        <v>493</v>
      </c>
      <c r="G1916" s="14" t="s">
        <v>404</v>
      </c>
      <c r="H1916" s="15">
        <v>3</v>
      </c>
      <c r="I1916" s="11">
        <f t="shared" si="90"/>
        <v>5</v>
      </c>
      <c r="K1916" s="16">
        <v>700</v>
      </c>
      <c r="M1916" s="17">
        <f t="shared" si="88"/>
        <v>401050.98000000021</v>
      </c>
      <c r="N1916" s="11">
        <f t="shared" si="89"/>
        <v>11</v>
      </c>
    </row>
    <row r="1917" spans="1:14" x14ac:dyDescent="0.25">
      <c r="A1917" s="11" t="s">
        <v>0</v>
      </c>
      <c r="B1917" s="12">
        <v>45250</v>
      </c>
      <c r="C1917" s="11" t="s">
        <v>688</v>
      </c>
      <c r="D1917" s="11" t="s">
        <v>720</v>
      </c>
      <c r="E1917" s="13" t="s">
        <v>183</v>
      </c>
      <c r="F1917" s="14" t="s">
        <v>366</v>
      </c>
      <c r="G1917" s="14" t="s">
        <v>404</v>
      </c>
      <c r="H1917" s="15">
        <v>58</v>
      </c>
      <c r="I1917" s="11">
        <f t="shared" si="90"/>
        <v>5</v>
      </c>
      <c r="K1917" s="16">
        <v>480</v>
      </c>
      <c r="M1917" s="17">
        <f t="shared" si="88"/>
        <v>400570.98000000021</v>
      </c>
      <c r="N1917" s="11">
        <f t="shared" si="89"/>
        <v>11</v>
      </c>
    </row>
    <row r="1918" spans="1:14" x14ac:dyDescent="0.25">
      <c r="A1918" s="11" t="s">
        <v>0</v>
      </c>
      <c r="B1918" s="12">
        <v>45250</v>
      </c>
      <c r="C1918" s="11" t="s">
        <v>688</v>
      </c>
      <c r="D1918" s="11" t="s">
        <v>692</v>
      </c>
      <c r="E1918" s="13" t="s">
        <v>725</v>
      </c>
      <c r="F1918" s="14" t="s">
        <v>27</v>
      </c>
      <c r="G1918" s="14" t="s">
        <v>404</v>
      </c>
      <c r="H1918" s="15" t="s">
        <v>103</v>
      </c>
      <c r="I1918" s="11">
        <f t="shared" si="90"/>
        <v>5</v>
      </c>
      <c r="K1918" s="16">
        <v>1215.06</v>
      </c>
      <c r="M1918" s="17">
        <f t="shared" si="88"/>
        <v>399355.92000000022</v>
      </c>
      <c r="N1918" s="11">
        <f t="shared" si="89"/>
        <v>11</v>
      </c>
    </row>
    <row r="1919" spans="1:14" x14ac:dyDescent="0.25">
      <c r="A1919" s="11" t="s">
        <v>0</v>
      </c>
      <c r="B1919" s="12">
        <v>45250</v>
      </c>
      <c r="C1919" s="11" t="s">
        <v>688</v>
      </c>
      <c r="D1919" s="11" t="s">
        <v>692</v>
      </c>
      <c r="E1919" s="13" t="s">
        <v>482</v>
      </c>
      <c r="F1919" s="14" t="s">
        <v>35</v>
      </c>
      <c r="G1919" s="14" t="s">
        <v>404</v>
      </c>
      <c r="H1919" s="15">
        <v>184775</v>
      </c>
      <c r="I1919" s="11">
        <f t="shared" si="90"/>
        <v>5</v>
      </c>
      <c r="K1919" s="16">
        <v>629.70000000000005</v>
      </c>
      <c r="M1919" s="17">
        <f t="shared" si="88"/>
        <v>398726.2200000002</v>
      </c>
      <c r="N1919" s="11">
        <f t="shared" si="89"/>
        <v>11</v>
      </c>
    </row>
    <row r="1920" spans="1:14" x14ac:dyDescent="0.25">
      <c r="A1920" s="11" t="s">
        <v>0</v>
      </c>
      <c r="B1920" s="12">
        <v>45250</v>
      </c>
      <c r="C1920" s="11" t="s">
        <v>688</v>
      </c>
      <c r="D1920" s="11" t="s">
        <v>692</v>
      </c>
      <c r="E1920" s="13" t="s">
        <v>483</v>
      </c>
      <c r="F1920" s="14" t="s">
        <v>35</v>
      </c>
      <c r="G1920" s="14" t="s">
        <v>404</v>
      </c>
      <c r="H1920" s="15">
        <v>7122</v>
      </c>
      <c r="I1920" s="11">
        <f t="shared" si="90"/>
        <v>5</v>
      </c>
      <c r="K1920" s="16">
        <v>591.96</v>
      </c>
      <c r="M1920" s="17">
        <f t="shared" si="88"/>
        <v>398134.26000000018</v>
      </c>
      <c r="N1920" s="11">
        <f t="shared" si="89"/>
        <v>11</v>
      </c>
    </row>
    <row r="1921" spans="1:14" x14ac:dyDescent="0.25">
      <c r="A1921" s="11" t="s">
        <v>0</v>
      </c>
      <c r="B1921" s="12">
        <v>45250</v>
      </c>
      <c r="C1921" s="11" t="s">
        <v>688</v>
      </c>
      <c r="D1921" s="11" t="s">
        <v>700</v>
      </c>
      <c r="E1921" s="13" t="s">
        <v>536</v>
      </c>
      <c r="F1921" s="14" t="s">
        <v>35</v>
      </c>
      <c r="G1921" s="14" t="s">
        <v>404</v>
      </c>
      <c r="H1921" s="15">
        <v>21291</v>
      </c>
      <c r="I1921" s="11">
        <f t="shared" si="90"/>
        <v>5</v>
      </c>
      <c r="K1921" s="16">
        <v>347.74</v>
      </c>
      <c r="M1921" s="17">
        <f t="shared" si="88"/>
        <v>397786.52000000019</v>
      </c>
      <c r="N1921" s="11">
        <f t="shared" si="89"/>
        <v>11</v>
      </c>
    </row>
    <row r="1922" spans="1:14" x14ac:dyDescent="0.25">
      <c r="A1922" s="11" t="s">
        <v>0</v>
      </c>
      <c r="B1922" s="12">
        <v>45250</v>
      </c>
      <c r="C1922" s="11" t="s">
        <v>688</v>
      </c>
      <c r="D1922" s="11" t="s">
        <v>697</v>
      </c>
      <c r="E1922" s="13" t="s">
        <v>751</v>
      </c>
      <c r="F1922" s="14" t="s">
        <v>226</v>
      </c>
      <c r="G1922" s="14" t="s">
        <v>403</v>
      </c>
      <c r="H1922" s="15" t="s">
        <v>426</v>
      </c>
      <c r="I1922" s="11">
        <f t="shared" si="90"/>
        <v>5</v>
      </c>
      <c r="K1922" s="16">
        <v>8085.41</v>
      </c>
      <c r="M1922" s="17">
        <f t="shared" si="88"/>
        <v>389701.11000000022</v>
      </c>
      <c r="N1922" s="11">
        <f t="shared" si="89"/>
        <v>11</v>
      </c>
    </row>
    <row r="1923" spans="1:14" x14ac:dyDescent="0.25">
      <c r="A1923" s="11" t="s">
        <v>0</v>
      </c>
      <c r="B1923" s="12">
        <v>45250</v>
      </c>
      <c r="C1923" s="11" t="s">
        <v>688</v>
      </c>
      <c r="D1923" s="11" t="s">
        <v>697</v>
      </c>
      <c r="E1923" s="13" t="s">
        <v>487</v>
      </c>
      <c r="F1923" s="14" t="s">
        <v>427</v>
      </c>
      <c r="G1923" s="14" t="s">
        <v>488</v>
      </c>
      <c r="H1923" s="15" t="s">
        <v>426</v>
      </c>
      <c r="I1923" s="11">
        <f t="shared" si="90"/>
        <v>4</v>
      </c>
      <c r="K1923" s="16">
        <v>2520.37</v>
      </c>
      <c r="M1923" s="17">
        <f t="shared" ref="M1923:M1986" si="91">IF(B1923=0, "",M1922+ J1923-K1923)</f>
        <v>387180.74000000022</v>
      </c>
      <c r="N1923" s="11">
        <f t="shared" ref="N1923:N1986" si="92">IF(B1923=0, "", MONTH(B1923))</f>
        <v>11</v>
      </c>
    </row>
    <row r="1924" spans="1:14" x14ac:dyDescent="0.25">
      <c r="A1924" s="11" t="s">
        <v>0</v>
      </c>
      <c r="B1924" s="12">
        <v>45250</v>
      </c>
      <c r="C1924" s="11" t="s">
        <v>688</v>
      </c>
      <c r="D1924" s="11" t="s">
        <v>697</v>
      </c>
      <c r="E1924" s="13" t="s">
        <v>753</v>
      </c>
      <c r="F1924" s="14" t="s">
        <v>616</v>
      </c>
      <c r="G1924" s="14" t="s">
        <v>488</v>
      </c>
      <c r="H1924" s="15" t="s">
        <v>426</v>
      </c>
      <c r="I1924" s="11">
        <f t="shared" si="90"/>
        <v>4</v>
      </c>
      <c r="K1924" s="16">
        <v>139.93</v>
      </c>
      <c r="M1924" s="17">
        <f t="shared" si="91"/>
        <v>387040.81000000023</v>
      </c>
      <c r="N1924" s="11">
        <f t="shared" si="92"/>
        <v>11</v>
      </c>
    </row>
    <row r="1925" spans="1:14" x14ac:dyDescent="0.25">
      <c r="A1925" s="11" t="s">
        <v>207</v>
      </c>
      <c r="B1925" s="12">
        <v>45251</v>
      </c>
      <c r="C1925" s="11" t="s">
        <v>688</v>
      </c>
      <c r="D1925" s="11" t="s">
        <v>43</v>
      </c>
      <c r="E1925" s="14" t="s">
        <v>288</v>
      </c>
      <c r="F1925" s="14" t="s">
        <v>288</v>
      </c>
      <c r="G1925" s="14" t="s">
        <v>173</v>
      </c>
      <c r="I1925" s="11">
        <f t="shared" ref="I1925:I1988" si="93">IF(AND(G1925="MERCADO PAGO",A1925="FATURAMENTO"),1,IF(AND(OR(G1925="MERCADO PAGO",G1925="pix mercado pago",G1925= "débito automático mercado pago", G1925= "boleto mercado pago"),A1925="DESPESAS"),4,IF(AND(G1925="SAFRA",A1925="FATURAMENTO"),2,IF(AND(OR(G1925="SAFRA",G1925="PIX SAFRA", G1925="DÉBITO AUTOMÁTICO SAFRA", G1925= "BOLETO SAFRA", G1925= "transferência safra"), A1925="DESPESAS"),5,IF(AND(G1925="espécie",A1925="FATURAMENTO"),3,IF(AND(G1925="espécie",A1925="DESPESAS"),6))))))</f>
        <v>3</v>
      </c>
      <c r="J1925" s="16">
        <v>4215</v>
      </c>
      <c r="M1925" s="17">
        <f t="shared" si="91"/>
        <v>391255.81000000023</v>
      </c>
      <c r="N1925" s="11">
        <f t="shared" si="92"/>
        <v>11</v>
      </c>
    </row>
    <row r="1926" spans="1:14" x14ac:dyDescent="0.25">
      <c r="A1926" s="11" t="s">
        <v>207</v>
      </c>
      <c r="B1926" s="12">
        <v>45251</v>
      </c>
      <c r="C1926" s="11" t="s">
        <v>688</v>
      </c>
      <c r="D1926" s="11" t="s">
        <v>43</v>
      </c>
      <c r="E1926" s="14" t="s">
        <v>429</v>
      </c>
      <c r="F1926" s="14" t="s">
        <v>429</v>
      </c>
      <c r="G1926" s="14" t="s">
        <v>428</v>
      </c>
      <c r="I1926" s="11">
        <f t="shared" si="93"/>
        <v>1</v>
      </c>
      <c r="J1926" s="16">
        <v>1849</v>
      </c>
      <c r="M1926" s="17">
        <f t="shared" si="91"/>
        <v>393104.81000000023</v>
      </c>
      <c r="N1926" s="11">
        <f t="shared" si="92"/>
        <v>11</v>
      </c>
    </row>
    <row r="1927" spans="1:14" x14ac:dyDescent="0.25">
      <c r="A1927" s="11" t="s">
        <v>207</v>
      </c>
      <c r="B1927" s="12">
        <v>45251</v>
      </c>
      <c r="C1927" s="11" t="s">
        <v>688</v>
      </c>
      <c r="D1927" s="11" t="s">
        <v>43</v>
      </c>
      <c r="E1927" s="13" t="s">
        <v>80</v>
      </c>
      <c r="F1927" s="14" t="s">
        <v>79</v>
      </c>
      <c r="G1927" s="14" t="s">
        <v>400</v>
      </c>
      <c r="I1927" s="11">
        <f t="shared" si="93"/>
        <v>2</v>
      </c>
      <c r="J1927" s="16">
        <v>3596.04</v>
      </c>
      <c r="M1927" s="17">
        <f t="shared" si="91"/>
        <v>396700.85000000021</v>
      </c>
      <c r="N1927" s="11">
        <f t="shared" si="92"/>
        <v>11</v>
      </c>
    </row>
    <row r="1928" spans="1:14" x14ac:dyDescent="0.25">
      <c r="A1928" s="11" t="s">
        <v>207</v>
      </c>
      <c r="B1928" s="12">
        <v>45251</v>
      </c>
      <c r="C1928" s="11" t="s">
        <v>688</v>
      </c>
      <c r="D1928" s="11" t="s">
        <v>43</v>
      </c>
      <c r="E1928" s="13" t="s">
        <v>81</v>
      </c>
      <c r="F1928" s="14" t="s">
        <v>79</v>
      </c>
      <c r="G1928" s="14" t="s">
        <v>400</v>
      </c>
      <c r="I1928" s="11">
        <f t="shared" si="93"/>
        <v>2</v>
      </c>
      <c r="J1928" s="16">
        <v>2939.63</v>
      </c>
      <c r="M1928" s="17">
        <f t="shared" si="91"/>
        <v>399640.48000000021</v>
      </c>
      <c r="N1928" s="11">
        <f t="shared" si="92"/>
        <v>11</v>
      </c>
    </row>
    <row r="1929" spans="1:14" x14ac:dyDescent="0.25">
      <c r="A1929" s="11" t="s">
        <v>207</v>
      </c>
      <c r="B1929" s="12">
        <v>45251</v>
      </c>
      <c r="C1929" s="11" t="s">
        <v>688</v>
      </c>
      <c r="D1929" s="11" t="s">
        <v>43</v>
      </c>
      <c r="E1929" s="13" t="s">
        <v>82</v>
      </c>
      <c r="F1929" s="14" t="s">
        <v>79</v>
      </c>
      <c r="G1929" s="14" t="s">
        <v>400</v>
      </c>
      <c r="I1929" s="11">
        <f t="shared" si="93"/>
        <v>2</v>
      </c>
      <c r="J1929" s="16">
        <v>61.94</v>
      </c>
      <c r="M1929" s="17">
        <f t="shared" si="91"/>
        <v>399702.42000000022</v>
      </c>
      <c r="N1929" s="11">
        <f t="shared" si="92"/>
        <v>11</v>
      </c>
    </row>
    <row r="1930" spans="1:14" x14ac:dyDescent="0.25">
      <c r="A1930" s="11" t="s">
        <v>207</v>
      </c>
      <c r="B1930" s="12">
        <v>45251</v>
      </c>
      <c r="C1930" s="11" t="s">
        <v>688</v>
      </c>
      <c r="D1930" s="11" t="s">
        <v>43</v>
      </c>
      <c r="E1930" s="13" t="s">
        <v>382</v>
      </c>
      <c r="F1930" s="14" t="s">
        <v>13</v>
      </c>
      <c r="G1930" s="14" t="s">
        <v>400</v>
      </c>
      <c r="I1930" s="11">
        <f t="shared" si="93"/>
        <v>2</v>
      </c>
      <c r="J1930" s="16">
        <v>122.43</v>
      </c>
      <c r="M1930" s="17">
        <f t="shared" si="91"/>
        <v>399824.85000000021</v>
      </c>
      <c r="N1930" s="11">
        <f t="shared" si="92"/>
        <v>11</v>
      </c>
    </row>
    <row r="1931" spans="1:14" x14ac:dyDescent="0.25">
      <c r="A1931" s="11" t="s">
        <v>207</v>
      </c>
      <c r="B1931" s="12">
        <v>45251</v>
      </c>
      <c r="C1931" s="11" t="s">
        <v>688</v>
      </c>
      <c r="D1931" s="11" t="s">
        <v>43</v>
      </c>
      <c r="E1931" s="13" t="s">
        <v>382</v>
      </c>
      <c r="F1931" s="14" t="s">
        <v>13</v>
      </c>
      <c r="G1931" s="14" t="s">
        <v>400</v>
      </c>
      <c r="I1931" s="11">
        <f t="shared" si="93"/>
        <v>2</v>
      </c>
      <c r="J1931" s="16">
        <v>442.14</v>
      </c>
      <c r="M1931" s="17">
        <f t="shared" si="91"/>
        <v>400266.99000000022</v>
      </c>
      <c r="N1931" s="11">
        <f t="shared" si="92"/>
        <v>11</v>
      </c>
    </row>
    <row r="1932" spans="1:14" x14ac:dyDescent="0.25">
      <c r="A1932" s="11" t="s">
        <v>207</v>
      </c>
      <c r="B1932" s="12">
        <v>45251</v>
      </c>
      <c r="C1932" s="11" t="s">
        <v>688</v>
      </c>
      <c r="D1932" s="11" t="s">
        <v>43</v>
      </c>
      <c r="E1932" s="13" t="s">
        <v>382</v>
      </c>
      <c r="F1932" s="14" t="s">
        <v>13</v>
      </c>
      <c r="G1932" s="14" t="s">
        <v>400</v>
      </c>
      <c r="I1932" s="11">
        <f t="shared" si="93"/>
        <v>2</v>
      </c>
      <c r="J1932" s="16">
        <v>49.97</v>
      </c>
      <c r="M1932" s="17">
        <f t="shared" si="91"/>
        <v>400316.9600000002</v>
      </c>
      <c r="N1932" s="11">
        <f t="shared" si="92"/>
        <v>11</v>
      </c>
    </row>
    <row r="1933" spans="1:14" x14ac:dyDescent="0.25">
      <c r="A1933" s="11" t="s">
        <v>207</v>
      </c>
      <c r="B1933" s="12">
        <v>45251</v>
      </c>
      <c r="C1933" s="11" t="s">
        <v>688</v>
      </c>
      <c r="D1933" s="11" t="s">
        <v>43</v>
      </c>
      <c r="E1933" s="13" t="s">
        <v>382</v>
      </c>
      <c r="F1933" s="14" t="s">
        <v>13</v>
      </c>
      <c r="G1933" s="14" t="s">
        <v>400</v>
      </c>
      <c r="I1933" s="11">
        <f t="shared" si="93"/>
        <v>2</v>
      </c>
      <c r="J1933" s="16">
        <v>292.88</v>
      </c>
      <c r="M1933" s="17">
        <f t="shared" si="91"/>
        <v>400609.8400000002</v>
      </c>
      <c r="N1933" s="11">
        <f t="shared" si="92"/>
        <v>11</v>
      </c>
    </row>
    <row r="1934" spans="1:14" x14ac:dyDescent="0.25">
      <c r="A1934" s="11" t="s">
        <v>0</v>
      </c>
      <c r="B1934" s="12">
        <v>45251</v>
      </c>
      <c r="C1934" s="11" t="s">
        <v>688</v>
      </c>
      <c r="D1934" s="11" t="s">
        <v>694</v>
      </c>
      <c r="E1934" s="13" t="s">
        <v>182</v>
      </c>
      <c r="F1934" s="14" t="s">
        <v>365</v>
      </c>
      <c r="G1934" s="14" t="s">
        <v>402</v>
      </c>
      <c r="I1934" s="11">
        <f t="shared" si="93"/>
        <v>5</v>
      </c>
      <c r="K1934" s="16">
        <v>4.7699999999999996</v>
      </c>
      <c r="M1934" s="17">
        <f t="shared" si="91"/>
        <v>400605.07000000018</v>
      </c>
      <c r="N1934" s="11">
        <f t="shared" si="92"/>
        <v>11</v>
      </c>
    </row>
    <row r="1935" spans="1:14" x14ac:dyDescent="0.25">
      <c r="A1935" s="11" t="s">
        <v>0</v>
      </c>
      <c r="B1935" s="12">
        <v>45251</v>
      </c>
      <c r="C1935" s="11" t="s">
        <v>688</v>
      </c>
      <c r="D1935" s="11" t="s">
        <v>694</v>
      </c>
      <c r="E1935" s="13" t="s">
        <v>182</v>
      </c>
      <c r="F1935" s="14" t="s">
        <v>23</v>
      </c>
      <c r="G1935" s="14" t="s">
        <v>402</v>
      </c>
      <c r="I1935" s="11">
        <f t="shared" si="93"/>
        <v>5</v>
      </c>
      <c r="K1935" s="16">
        <v>53.78</v>
      </c>
      <c r="M1935" s="17">
        <f t="shared" si="91"/>
        <v>400551.29000000015</v>
      </c>
      <c r="N1935" s="11">
        <f t="shared" si="92"/>
        <v>11</v>
      </c>
    </row>
    <row r="1936" spans="1:14" x14ac:dyDescent="0.25">
      <c r="A1936" s="11" t="s">
        <v>0</v>
      </c>
      <c r="B1936" s="12">
        <v>45251</v>
      </c>
      <c r="C1936" s="11" t="s">
        <v>688</v>
      </c>
      <c r="D1936" s="11" t="s">
        <v>1</v>
      </c>
      <c r="E1936" s="13" t="s">
        <v>424</v>
      </c>
      <c r="F1936" s="14" t="s">
        <v>423</v>
      </c>
      <c r="G1936" s="14" t="s">
        <v>425</v>
      </c>
      <c r="H1936" s="15" t="s">
        <v>545</v>
      </c>
      <c r="I1936" s="11">
        <f t="shared" si="93"/>
        <v>5</v>
      </c>
      <c r="K1936" s="16">
        <v>30000</v>
      </c>
      <c r="M1936" s="17">
        <f t="shared" si="91"/>
        <v>370551.29000000015</v>
      </c>
      <c r="N1936" s="11">
        <f t="shared" si="92"/>
        <v>11</v>
      </c>
    </row>
    <row r="1937" spans="1:14" x14ac:dyDescent="0.25">
      <c r="A1937" s="11" t="s">
        <v>207</v>
      </c>
      <c r="B1937" s="12">
        <v>45251</v>
      </c>
      <c r="C1937" s="11" t="s">
        <v>688</v>
      </c>
      <c r="D1937" s="11" t="s">
        <v>43</v>
      </c>
      <c r="E1937" s="13">
        <v>45251</v>
      </c>
      <c r="F1937" s="14" t="s">
        <v>472</v>
      </c>
      <c r="G1937" s="14" t="s">
        <v>400</v>
      </c>
      <c r="I1937" s="11">
        <f t="shared" si="93"/>
        <v>2</v>
      </c>
      <c r="J1937" s="16">
        <v>696.6</v>
      </c>
      <c r="M1937" s="17">
        <f t="shared" si="91"/>
        <v>371247.89000000013</v>
      </c>
      <c r="N1937" s="11">
        <f t="shared" si="92"/>
        <v>11</v>
      </c>
    </row>
    <row r="1938" spans="1:14" x14ac:dyDescent="0.25">
      <c r="A1938" s="11" t="s">
        <v>0</v>
      </c>
      <c r="B1938" s="12">
        <v>45251</v>
      </c>
      <c r="C1938" s="11" t="s">
        <v>688</v>
      </c>
      <c r="D1938" s="11" t="s">
        <v>692</v>
      </c>
      <c r="E1938" s="13" t="s">
        <v>229</v>
      </c>
      <c r="F1938" s="14" t="s">
        <v>116</v>
      </c>
      <c r="G1938" s="14" t="s">
        <v>404</v>
      </c>
      <c r="H1938" s="15">
        <v>11068</v>
      </c>
      <c r="I1938" s="11">
        <f t="shared" si="93"/>
        <v>5</v>
      </c>
      <c r="K1938" s="16">
        <v>2209.5</v>
      </c>
      <c r="M1938" s="17">
        <f t="shared" si="91"/>
        <v>369038.39000000013</v>
      </c>
      <c r="N1938" s="11">
        <f t="shared" si="92"/>
        <v>11</v>
      </c>
    </row>
    <row r="1939" spans="1:14" x14ac:dyDescent="0.25">
      <c r="A1939" s="11" t="s">
        <v>0</v>
      </c>
      <c r="B1939" s="12">
        <v>45251</v>
      </c>
      <c r="C1939" s="11" t="s">
        <v>688</v>
      </c>
      <c r="D1939" s="11" t="s">
        <v>701</v>
      </c>
      <c r="E1939" s="13" t="s">
        <v>118</v>
      </c>
      <c r="F1939" s="14" t="s">
        <v>204</v>
      </c>
      <c r="G1939" s="14" t="s">
        <v>404</v>
      </c>
      <c r="H1939" s="15">
        <v>49</v>
      </c>
      <c r="I1939" s="11">
        <f t="shared" si="93"/>
        <v>5</v>
      </c>
      <c r="K1939" s="16">
        <v>89.99</v>
      </c>
      <c r="M1939" s="17">
        <f t="shared" si="91"/>
        <v>368948.40000000014</v>
      </c>
      <c r="N1939" s="11">
        <f t="shared" si="92"/>
        <v>11</v>
      </c>
    </row>
    <row r="1940" spans="1:14" x14ac:dyDescent="0.25">
      <c r="A1940" s="11" t="s">
        <v>0</v>
      </c>
      <c r="B1940" s="12">
        <v>45251</v>
      </c>
      <c r="C1940" s="11" t="s">
        <v>688</v>
      </c>
      <c r="D1940" s="11" t="s">
        <v>694</v>
      </c>
      <c r="E1940" s="13" t="s">
        <v>181</v>
      </c>
      <c r="F1940" s="14" t="s">
        <v>516</v>
      </c>
      <c r="G1940" s="14" t="s">
        <v>404</v>
      </c>
      <c r="H1940" s="15">
        <v>6848</v>
      </c>
      <c r="I1940" s="11">
        <f t="shared" si="93"/>
        <v>5</v>
      </c>
      <c r="K1940" s="16">
        <v>400</v>
      </c>
      <c r="M1940" s="17">
        <f t="shared" si="91"/>
        <v>368548.40000000014</v>
      </c>
      <c r="N1940" s="11">
        <f t="shared" si="92"/>
        <v>11</v>
      </c>
    </row>
    <row r="1941" spans="1:14" x14ac:dyDescent="0.25">
      <c r="A1941" s="11" t="s">
        <v>0</v>
      </c>
      <c r="B1941" s="12">
        <v>45251</v>
      </c>
      <c r="C1941" s="11" t="s">
        <v>688</v>
      </c>
      <c r="D1941" s="11" t="s">
        <v>698</v>
      </c>
      <c r="E1941" s="13" t="s">
        <v>392</v>
      </c>
      <c r="F1941" s="14" t="s">
        <v>393</v>
      </c>
      <c r="G1941" s="14" t="s">
        <v>404</v>
      </c>
      <c r="H1941" s="15" t="s">
        <v>476</v>
      </c>
      <c r="I1941" s="11">
        <f t="shared" si="93"/>
        <v>5</v>
      </c>
      <c r="K1941" s="16">
        <v>357.27</v>
      </c>
      <c r="M1941" s="17">
        <f t="shared" si="91"/>
        <v>368191.13000000012</v>
      </c>
      <c r="N1941" s="11">
        <f t="shared" si="92"/>
        <v>11</v>
      </c>
    </row>
    <row r="1942" spans="1:14" x14ac:dyDescent="0.25">
      <c r="A1942" s="11" t="s">
        <v>0</v>
      </c>
      <c r="B1942" s="12">
        <v>45251</v>
      </c>
      <c r="C1942" s="11" t="s">
        <v>688</v>
      </c>
      <c r="D1942" s="11" t="s">
        <v>701</v>
      </c>
      <c r="E1942" s="13" t="s">
        <v>180</v>
      </c>
      <c r="F1942" s="14" t="s">
        <v>37</v>
      </c>
      <c r="G1942" s="14" t="s">
        <v>404</v>
      </c>
      <c r="H1942" s="15" t="s">
        <v>102</v>
      </c>
      <c r="I1942" s="11">
        <f t="shared" si="93"/>
        <v>5</v>
      </c>
      <c r="K1942" s="16">
        <v>369</v>
      </c>
      <c r="M1942" s="17">
        <f t="shared" si="91"/>
        <v>367822.13000000012</v>
      </c>
      <c r="N1942" s="11">
        <f t="shared" si="92"/>
        <v>11</v>
      </c>
    </row>
    <row r="1943" spans="1:14" x14ac:dyDescent="0.25">
      <c r="A1943" s="11" t="s">
        <v>0</v>
      </c>
      <c r="B1943" s="12">
        <v>45251</v>
      </c>
      <c r="C1943" s="11" t="s">
        <v>688</v>
      </c>
      <c r="D1943" s="11" t="s">
        <v>692</v>
      </c>
      <c r="E1943" s="13" t="s">
        <v>717</v>
      </c>
      <c r="F1943" s="14" t="s">
        <v>76</v>
      </c>
      <c r="G1943" s="14" t="s">
        <v>404</v>
      </c>
      <c r="H1943" s="15">
        <v>1233008</v>
      </c>
      <c r="I1943" s="11">
        <f t="shared" si="93"/>
        <v>5</v>
      </c>
      <c r="K1943" s="16">
        <v>841.68</v>
      </c>
      <c r="M1943" s="17">
        <f t="shared" si="91"/>
        <v>366980.45000000013</v>
      </c>
      <c r="N1943" s="11">
        <f t="shared" si="92"/>
        <v>11</v>
      </c>
    </row>
    <row r="1944" spans="1:14" x14ac:dyDescent="0.25">
      <c r="A1944" s="11" t="s">
        <v>0</v>
      </c>
      <c r="B1944" s="12">
        <v>45251</v>
      </c>
      <c r="C1944" s="11" t="s">
        <v>688</v>
      </c>
      <c r="D1944" s="11" t="s">
        <v>692</v>
      </c>
      <c r="E1944" s="13" t="s">
        <v>143</v>
      </c>
      <c r="F1944" s="14" t="s">
        <v>537</v>
      </c>
      <c r="G1944" s="14" t="s">
        <v>404</v>
      </c>
      <c r="H1944" s="15">
        <v>2565</v>
      </c>
      <c r="I1944" s="11">
        <f t="shared" si="93"/>
        <v>5</v>
      </c>
      <c r="K1944" s="16">
        <v>620</v>
      </c>
      <c r="M1944" s="17">
        <f t="shared" si="91"/>
        <v>366360.45000000013</v>
      </c>
      <c r="N1944" s="11">
        <f t="shared" si="92"/>
        <v>11</v>
      </c>
    </row>
    <row r="1945" spans="1:14" x14ac:dyDescent="0.25">
      <c r="A1945" s="11" t="s">
        <v>0</v>
      </c>
      <c r="B1945" s="12">
        <v>45251</v>
      </c>
      <c r="C1945" s="11" t="s">
        <v>688</v>
      </c>
      <c r="D1945" s="11" t="s">
        <v>692</v>
      </c>
      <c r="E1945" s="13" t="s">
        <v>179</v>
      </c>
      <c r="F1945" s="14" t="s">
        <v>28</v>
      </c>
      <c r="G1945" s="14" t="s">
        <v>404</v>
      </c>
      <c r="H1945" s="15">
        <v>46</v>
      </c>
      <c r="I1945" s="11">
        <f t="shared" si="93"/>
        <v>5</v>
      </c>
      <c r="K1945" s="16">
        <v>2892</v>
      </c>
      <c r="M1945" s="17">
        <f t="shared" si="91"/>
        <v>363468.45000000013</v>
      </c>
      <c r="N1945" s="11">
        <f t="shared" si="92"/>
        <v>11</v>
      </c>
    </row>
    <row r="1946" spans="1:14" ht="26.4" x14ac:dyDescent="0.25">
      <c r="A1946" s="11" t="s">
        <v>0</v>
      </c>
      <c r="B1946" s="12">
        <v>45251</v>
      </c>
      <c r="C1946" s="11" t="s">
        <v>688</v>
      </c>
      <c r="D1946" s="11" t="s">
        <v>692</v>
      </c>
      <c r="E1946" s="13" t="s">
        <v>725</v>
      </c>
      <c r="F1946" s="14" t="s">
        <v>27</v>
      </c>
      <c r="G1946" s="14" t="s">
        <v>404</v>
      </c>
      <c r="H1946" s="15" t="s">
        <v>640</v>
      </c>
      <c r="I1946" s="11">
        <f t="shared" si="93"/>
        <v>5</v>
      </c>
      <c r="K1946" s="16">
        <v>1427.93</v>
      </c>
      <c r="M1946" s="17">
        <f t="shared" si="91"/>
        <v>362040.52000000014</v>
      </c>
      <c r="N1946" s="11">
        <f t="shared" si="92"/>
        <v>11</v>
      </c>
    </row>
    <row r="1947" spans="1:14" x14ac:dyDescent="0.25">
      <c r="A1947" s="11" t="s">
        <v>0</v>
      </c>
      <c r="B1947" s="12">
        <v>45251</v>
      </c>
      <c r="C1947" s="11" t="s">
        <v>688</v>
      </c>
      <c r="D1947" s="11" t="s">
        <v>696</v>
      </c>
      <c r="E1947" s="13" t="s">
        <v>618</v>
      </c>
      <c r="F1947" s="14" t="s">
        <v>617</v>
      </c>
      <c r="G1947" s="14" t="s">
        <v>407</v>
      </c>
      <c r="H1947" s="15" t="s">
        <v>426</v>
      </c>
      <c r="I1947" s="11">
        <f t="shared" si="93"/>
        <v>4</v>
      </c>
      <c r="K1947" s="16">
        <v>500</v>
      </c>
      <c r="M1947" s="17">
        <f t="shared" si="91"/>
        <v>361540.52000000014</v>
      </c>
      <c r="N1947" s="11">
        <f t="shared" si="92"/>
        <v>11</v>
      </c>
    </row>
    <row r="1948" spans="1:14" x14ac:dyDescent="0.25">
      <c r="A1948" s="11" t="s">
        <v>207</v>
      </c>
      <c r="B1948" s="12">
        <v>45252</v>
      </c>
      <c r="C1948" s="11" t="s">
        <v>688</v>
      </c>
      <c r="D1948" s="11" t="s">
        <v>43</v>
      </c>
      <c r="E1948" s="14" t="s">
        <v>288</v>
      </c>
      <c r="F1948" s="14" t="s">
        <v>288</v>
      </c>
      <c r="G1948" s="14" t="s">
        <v>173</v>
      </c>
      <c r="I1948" s="11">
        <f t="shared" si="93"/>
        <v>3</v>
      </c>
      <c r="J1948" s="16">
        <v>2860</v>
      </c>
      <c r="M1948" s="17">
        <f t="shared" si="91"/>
        <v>364400.52000000014</v>
      </c>
      <c r="N1948" s="11">
        <f t="shared" si="92"/>
        <v>11</v>
      </c>
    </row>
    <row r="1949" spans="1:14" x14ac:dyDescent="0.25">
      <c r="A1949" s="11" t="s">
        <v>207</v>
      </c>
      <c r="B1949" s="12">
        <v>45252</v>
      </c>
      <c r="C1949" s="11" t="s">
        <v>688</v>
      </c>
      <c r="D1949" s="11" t="s">
        <v>43</v>
      </c>
      <c r="E1949" s="14" t="s">
        <v>429</v>
      </c>
      <c r="F1949" s="14" t="s">
        <v>429</v>
      </c>
      <c r="G1949" s="14" t="s">
        <v>428</v>
      </c>
      <c r="I1949" s="11">
        <f t="shared" si="93"/>
        <v>1</v>
      </c>
      <c r="J1949" s="16">
        <v>4873.82</v>
      </c>
      <c r="M1949" s="17">
        <f t="shared" si="91"/>
        <v>369274.34000000014</v>
      </c>
      <c r="N1949" s="11">
        <f t="shared" si="92"/>
        <v>11</v>
      </c>
    </row>
    <row r="1950" spans="1:14" x14ac:dyDescent="0.25">
      <c r="A1950" s="11" t="s">
        <v>207</v>
      </c>
      <c r="B1950" s="12">
        <v>45252</v>
      </c>
      <c r="C1950" s="11" t="s">
        <v>688</v>
      </c>
      <c r="D1950" s="11" t="s">
        <v>43</v>
      </c>
      <c r="E1950" s="13" t="s">
        <v>80</v>
      </c>
      <c r="F1950" s="14" t="s">
        <v>79</v>
      </c>
      <c r="G1950" s="14" t="s">
        <v>400</v>
      </c>
      <c r="I1950" s="11">
        <f t="shared" si="93"/>
        <v>2</v>
      </c>
      <c r="J1950" s="16">
        <v>4431.04</v>
      </c>
      <c r="M1950" s="17">
        <f t="shared" si="91"/>
        <v>373705.38000000012</v>
      </c>
      <c r="N1950" s="11">
        <f t="shared" si="92"/>
        <v>11</v>
      </c>
    </row>
    <row r="1951" spans="1:14" x14ac:dyDescent="0.25">
      <c r="A1951" s="11" t="s">
        <v>207</v>
      </c>
      <c r="B1951" s="12">
        <v>45252</v>
      </c>
      <c r="C1951" s="11" t="s">
        <v>688</v>
      </c>
      <c r="D1951" s="11" t="s">
        <v>43</v>
      </c>
      <c r="E1951" s="13" t="s">
        <v>81</v>
      </c>
      <c r="F1951" s="14" t="s">
        <v>79</v>
      </c>
      <c r="G1951" s="14" t="s">
        <v>400</v>
      </c>
      <c r="I1951" s="11">
        <f t="shared" si="93"/>
        <v>2</v>
      </c>
      <c r="J1951" s="16">
        <v>2639.12</v>
      </c>
      <c r="M1951" s="17">
        <f t="shared" si="91"/>
        <v>376344.50000000012</v>
      </c>
      <c r="N1951" s="11">
        <f t="shared" si="92"/>
        <v>11</v>
      </c>
    </row>
    <row r="1952" spans="1:14" x14ac:dyDescent="0.25">
      <c r="A1952" s="11" t="s">
        <v>207</v>
      </c>
      <c r="B1952" s="12">
        <v>45252</v>
      </c>
      <c r="C1952" s="11" t="s">
        <v>688</v>
      </c>
      <c r="D1952" s="11" t="s">
        <v>43</v>
      </c>
      <c r="E1952" s="13" t="s">
        <v>83</v>
      </c>
      <c r="F1952" s="14" t="s">
        <v>79</v>
      </c>
      <c r="G1952" s="14" t="s">
        <v>400</v>
      </c>
      <c r="I1952" s="11">
        <f t="shared" si="93"/>
        <v>2</v>
      </c>
      <c r="J1952" s="16">
        <v>124.83</v>
      </c>
      <c r="M1952" s="17">
        <f t="shared" si="91"/>
        <v>376469.33000000013</v>
      </c>
      <c r="N1952" s="11">
        <f t="shared" si="92"/>
        <v>11</v>
      </c>
    </row>
    <row r="1953" spans="1:14" x14ac:dyDescent="0.25">
      <c r="A1953" s="11" t="s">
        <v>207</v>
      </c>
      <c r="B1953" s="12">
        <v>45252</v>
      </c>
      <c r="C1953" s="11" t="s">
        <v>688</v>
      </c>
      <c r="D1953" s="11" t="s">
        <v>43</v>
      </c>
      <c r="E1953" s="13" t="s">
        <v>382</v>
      </c>
      <c r="F1953" s="14" t="s">
        <v>13</v>
      </c>
      <c r="G1953" s="14" t="s">
        <v>400</v>
      </c>
      <c r="I1953" s="11">
        <f t="shared" si="93"/>
        <v>2</v>
      </c>
      <c r="J1953" s="16">
        <v>47.91</v>
      </c>
      <c r="M1953" s="17">
        <f t="shared" si="91"/>
        <v>376517.24000000011</v>
      </c>
      <c r="N1953" s="11">
        <f t="shared" si="92"/>
        <v>11</v>
      </c>
    </row>
    <row r="1954" spans="1:14" x14ac:dyDescent="0.25">
      <c r="A1954" s="11" t="s">
        <v>207</v>
      </c>
      <c r="B1954" s="12">
        <v>45252</v>
      </c>
      <c r="C1954" s="11" t="s">
        <v>688</v>
      </c>
      <c r="D1954" s="11" t="s">
        <v>43</v>
      </c>
      <c r="E1954" s="13" t="s">
        <v>382</v>
      </c>
      <c r="F1954" s="14" t="s">
        <v>13</v>
      </c>
      <c r="G1954" s="14" t="s">
        <v>400</v>
      </c>
      <c r="I1954" s="11">
        <f t="shared" si="93"/>
        <v>2</v>
      </c>
      <c r="J1954" s="16">
        <v>21.53</v>
      </c>
      <c r="M1954" s="17">
        <f t="shared" si="91"/>
        <v>376538.77000000014</v>
      </c>
      <c r="N1954" s="11">
        <f t="shared" si="92"/>
        <v>11</v>
      </c>
    </row>
    <row r="1955" spans="1:14" x14ac:dyDescent="0.25">
      <c r="A1955" s="11" t="s">
        <v>207</v>
      </c>
      <c r="B1955" s="12">
        <v>45252</v>
      </c>
      <c r="C1955" s="11" t="s">
        <v>688</v>
      </c>
      <c r="D1955" s="11" t="s">
        <v>43</v>
      </c>
      <c r="E1955" s="13" t="s">
        <v>382</v>
      </c>
      <c r="F1955" s="14" t="s">
        <v>13</v>
      </c>
      <c r="G1955" s="14" t="s">
        <v>400</v>
      </c>
      <c r="I1955" s="11">
        <f t="shared" si="93"/>
        <v>2</v>
      </c>
      <c r="J1955" s="16">
        <v>294.86</v>
      </c>
      <c r="M1955" s="17">
        <f t="shared" si="91"/>
        <v>376833.63000000012</v>
      </c>
      <c r="N1955" s="11">
        <f t="shared" si="92"/>
        <v>11</v>
      </c>
    </row>
    <row r="1956" spans="1:14" x14ac:dyDescent="0.25">
      <c r="A1956" s="11" t="s">
        <v>207</v>
      </c>
      <c r="B1956" s="12">
        <v>45252</v>
      </c>
      <c r="C1956" s="11" t="s">
        <v>688</v>
      </c>
      <c r="D1956" s="11" t="s">
        <v>43</v>
      </c>
      <c r="E1956" s="13" t="s">
        <v>382</v>
      </c>
      <c r="F1956" s="14" t="s">
        <v>13</v>
      </c>
      <c r="G1956" s="14" t="s">
        <v>400</v>
      </c>
      <c r="I1956" s="11">
        <f t="shared" si="93"/>
        <v>2</v>
      </c>
      <c r="J1956" s="16">
        <v>31.26</v>
      </c>
      <c r="M1956" s="17">
        <f t="shared" si="91"/>
        <v>376864.89000000013</v>
      </c>
      <c r="N1956" s="11">
        <f t="shared" si="92"/>
        <v>11</v>
      </c>
    </row>
    <row r="1957" spans="1:14" x14ac:dyDescent="0.25">
      <c r="A1957" s="11" t="s">
        <v>207</v>
      </c>
      <c r="B1957" s="12">
        <v>45252</v>
      </c>
      <c r="C1957" s="11" t="s">
        <v>688</v>
      </c>
      <c r="D1957" s="11" t="s">
        <v>43</v>
      </c>
      <c r="E1957" s="13" t="s">
        <v>382</v>
      </c>
      <c r="F1957" s="14" t="s">
        <v>13</v>
      </c>
      <c r="G1957" s="14" t="s">
        <v>400</v>
      </c>
      <c r="I1957" s="11">
        <f t="shared" si="93"/>
        <v>2</v>
      </c>
      <c r="J1957" s="16">
        <v>30.68</v>
      </c>
      <c r="M1957" s="17">
        <f t="shared" si="91"/>
        <v>376895.57000000012</v>
      </c>
      <c r="N1957" s="11">
        <f t="shared" si="92"/>
        <v>11</v>
      </c>
    </row>
    <row r="1958" spans="1:14" x14ac:dyDescent="0.25">
      <c r="A1958" s="11" t="s">
        <v>0</v>
      </c>
      <c r="B1958" s="12">
        <v>45252</v>
      </c>
      <c r="C1958" s="11" t="s">
        <v>688</v>
      </c>
      <c r="D1958" s="11" t="s">
        <v>694</v>
      </c>
      <c r="E1958" s="13" t="s">
        <v>182</v>
      </c>
      <c r="F1958" s="14" t="s">
        <v>365</v>
      </c>
      <c r="G1958" s="14" t="s">
        <v>402</v>
      </c>
      <c r="I1958" s="11">
        <f t="shared" si="93"/>
        <v>5</v>
      </c>
      <c r="K1958" s="16">
        <v>2.6</v>
      </c>
      <c r="M1958" s="17">
        <f t="shared" si="91"/>
        <v>376892.97000000015</v>
      </c>
      <c r="N1958" s="11">
        <f t="shared" si="92"/>
        <v>11</v>
      </c>
    </row>
    <row r="1959" spans="1:14" x14ac:dyDescent="0.25">
      <c r="A1959" s="11" t="s">
        <v>0</v>
      </c>
      <c r="B1959" s="12">
        <v>45252</v>
      </c>
      <c r="C1959" s="11" t="s">
        <v>688</v>
      </c>
      <c r="D1959" s="11" t="s">
        <v>694</v>
      </c>
      <c r="E1959" s="13" t="s">
        <v>182</v>
      </c>
      <c r="F1959" s="14" t="s">
        <v>23</v>
      </c>
      <c r="G1959" s="14" t="s">
        <v>402</v>
      </c>
      <c r="I1959" s="11">
        <f t="shared" si="93"/>
        <v>5</v>
      </c>
      <c r="K1959" s="16">
        <v>35.5</v>
      </c>
      <c r="M1959" s="17">
        <f t="shared" si="91"/>
        <v>376857.47000000015</v>
      </c>
      <c r="N1959" s="11">
        <f t="shared" si="92"/>
        <v>11</v>
      </c>
    </row>
    <row r="1960" spans="1:14" x14ac:dyDescent="0.25">
      <c r="A1960" s="11" t="s">
        <v>207</v>
      </c>
      <c r="B1960" s="12">
        <v>45252</v>
      </c>
      <c r="C1960" s="11" t="s">
        <v>688</v>
      </c>
      <c r="D1960" s="11" t="s">
        <v>43</v>
      </c>
      <c r="E1960" s="13">
        <v>45252</v>
      </c>
      <c r="F1960" s="14" t="s">
        <v>472</v>
      </c>
      <c r="G1960" s="14" t="s">
        <v>400</v>
      </c>
      <c r="I1960" s="11">
        <f t="shared" si="93"/>
        <v>2</v>
      </c>
      <c r="J1960" s="16">
        <v>380.4</v>
      </c>
      <c r="M1960" s="17">
        <f t="shared" si="91"/>
        <v>377237.87000000017</v>
      </c>
      <c r="N1960" s="11">
        <f t="shared" si="92"/>
        <v>11</v>
      </c>
    </row>
    <row r="1961" spans="1:14" x14ac:dyDescent="0.25">
      <c r="A1961" s="11" t="s">
        <v>0</v>
      </c>
      <c r="B1961" s="12">
        <v>45252</v>
      </c>
      <c r="C1961" s="11" t="s">
        <v>688</v>
      </c>
      <c r="D1961" s="11" t="s">
        <v>692</v>
      </c>
      <c r="E1961" s="13" t="s">
        <v>179</v>
      </c>
      <c r="F1961" s="14" t="s">
        <v>51</v>
      </c>
      <c r="G1961" s="14" t="s">
        <v>404</v>
      </c>
      <c r="H1961" s="15">
        <v>13</v>
      </c>
      <c r="I1961" s="11">
        <f t="shared" si="93"/>
        <v>5</v>
      </c>
      <c r="K1961" s="16">
        <v>2117</v>
      </c>
      <c r="M1961" s="17">
        <f t="shared" si="91"/>
        <v>375120.87000000017</v>
      </c>
      <c r="N1961" s="11">
        <f t="shared" si="92"/>
        <v>11</v>
      </c>
    </row>
    <row r="1962" spans="1:14" x14ac:dyDescent="0.25">
      <c r="A1962" s="11" t="s">
        <v>0</v>
      </c>
      <c r="B1962" s="12">
        <v>45252</v>
      </c>
      <c r="C1962" s="11" t="s">
        <v>688</v>
      </c>
      <c r="D1962" s="11" t="s">
        <v>699</v>
      </c>
      <c r="E1962" s="13" t="s">
        <v>98</v>
      </c>
      <c r="F1962" s="14" t="s">
        <v>576</v>
      </c>
      <c r="G1962" s="14" t="s">
        <v>404</v>
      </c>
      <c r="H1962" s="15">
        <v>111</v>
      </c>
      <c r="I1962" s="11">
        <f t="shared" si="93"/>
        <v>5</v>
      </c>
      <c r="K1962" s="16">
        <v>292.67</v>
      </c>
      <c r="M1962" s="17">
        <f t="shared" si="91"/>
        <v>374828.20000000019</v>
      </c>
      <c r="N1962" s="11">
        <f t="shared" si="92"/>
        <v>11</v>
      </c>
    </row>
    <row r="1963" spans="1:14" x14ac:dyDescent="0.25">
      <c r="A1963" s="11" t="s">
        <v>0</v>
      </c>
      <c r="B1963" s="12">
        <v>45252</v>
      </c>
      <c r="C1963" s="11" t="s">
        <v>688</v>
      </c>
      <c r="D1963" s="11" t="s">
        <v>696</v>
      </c>
      <c r="E1963" s="13" t="s">
        <v>539</v>
      </c>
      <c r="F1963" s="14" t="s">
        <v>538</v>
      </c>
      <c r="G1963" s="14" t="s">
        <v>404</v>
      </c>
      <c r="H1963" s="15" t="s">
        <v>103</v>
      </c>
      <c r="I1963" s="11">
        <f t="shared" si="93"/>
        <v>5</v>
      </c>
      <c r="K1963" s="16">
        <v>352.82</v>
      </c>
      <c r="M1963" s="17">
        <f t="shared" si="91"/>
        <v>374475.38000000018</v>
      </c>
      <c r="N1963" s="11">
        <f t="shared" si="92"/>
        <v>11</v>
      </c>
    </row>
    <row r="1964" spans="1:14" ht="26.4" x14ac:dyDescent="0.25">
      <c r="A1964" s="11" t="s">
        <v>0</v>
      </c>
      <c r="B1964" s="12">
        <v>45252</v>
      </c>
      <c r="C1964" s="11" t="s">
        <v>688</v>
      </c>
      <c r="D1964" s="11" t="s">
        <v>692</v>
      </c>
      <c r="E1964" s="13" t="s">
        <v>724</v>
      </c>
      <c r="F1964" s="14" t="s">
        <v>119</v>
      </c>
      <c r="G1964" s="14" t="s">
        <v>404</v>
      </c>
      <c r="H1964" s="15" t="s">
        <v>567</v>
      </c>
      <c r="I1964" s="11">
        <f t="shared" si="93"/>
        <v>5</v>
      </c>
      <c r="K1964" s="16">
        <v>4758.1499999999996</v>
      </c>
      <c r="M1964" s="17">
        <f t="shared" si="91"/>
        <v>369717.23000000016</v>
      </c>
      <c r="N1964" s="11">
        <f t="shared" si="92"/>
        <v>11</v>
      </c>
    </row>
    <row r="1965" spans="1:14" ht="26.4" x14ac:dyDescent="0.25">
      <c r="A1965" s="11" t="s">
        <v>0</v>
      </c>
      <c r="B1965" s="12">
        <v>45252</v>
      </c>
      <c r="C1965" s="11" t="s">
        <v>688</v>
      </c>
      <c r="D1965" s="11" t="s">
        <v>692</v>
      </c>
      <c r="E1965" s="13" t="s">
        <v>725</v>
      </c>
      <c r="F1965" s="14" t="s">
        <v>27</v>
      </c>
      <c r="G1965" s="14" t="s">
        <v>404</v>
      </c>
      <c r="H1965" s="15" t="s">
        <v>641</v>
      </c>
      <c r="I1965" s="11">
        <f t="shared" si="93"/>
        <v>5</v>
      </c>
      <c r="K1965" s="16">
        <v>1002.71</v>
      </c>
      <c r="M1965" s="17">
        <f t="shared" si="91"/>
        <v>368714.52000000014</v>
      </c>
      <c r="N1965" s="11">
        <f t="shared" si="92"/>
        <v>11</v>
      </c>
    </row>
    <row r="1966" spans="1:14" x14ac:dyDescent="0.25">
      <c r="A1966" s="11" t="s">
        <v>0</v>
      </c>
      <c r="B1966" s="12">
        <v>45252</v>
      </c>
      <c r="C1966" s="11" t="s">
        <v>688</v>
      </c>
      <c r="D1966" s="11" t="s">
        <v>701</v>
      </c>
      <c r="E1966" s="13" t="s">
        <v>540</v>
      </c>
      <c r="F1966" s="14" t="s">
        <v>35</v>
      </c>
      <c r="G1966" s="14" t="s">
        <v>404</v>
      </c>
      <c r="H1966" s="15" t="s">
        <v>642</v>
      </c>
      <c r="I1966" s="11">
        <f t="shared" si="93"/>
        <v>5</v>
      </c>
      <c r="K1966" s="16">
        <v>929.68</v>
      </c>
      <c r="M1966" s="17">
        <f t="shared" si="91"/>
        <v>367784.84000000014</v>
      </c>
      <c r="N1966" s="11">
        <f t="shared" si="92"/>
        <v>11</v>
      </c>
    </row>
    <row r="1967" spans="1:14" x14ac:dyDescent="0.25">
      <c r="A1967" s="11" t="s">
        <v>0</v>
      </c>
      <c r="B1967" s="12">
        <v>45252</v>
      </c>
      <c r="C1967" s="11" t="s">
        <v>688</v>
      </c>
      <c r="D1967" s="11" t="s">
        <v>701</v>
      </c>
      <c r="E1967" s="13" t="s">
        <v>118</v>
      </c>
      <c r="F1967" s="14" t="s">
        <v>204</v>
      </c>
      <c r="G1967" s="14" t="s">
        <v>404</v>
      </c>
      <c r="H1967" s="15" t="s">
        <v>103</v>
      </c>
      <c r="I1967" s="11">
        <f t="shared" si="93"/>
        <v>5</v>
      </c>
      <c r="K1967" s="16">
        <v>343.64</v>
      </c>
      <c r="M1967" s="17">
        <f t="shared" si="91"/>
        <v>367441.20000000013</v>
      </c>
      <c r="N1967" s="11">
        <f t="shared" si="92"/>
        <v>11</v>
      </c>
    </row>
    <row r="1968" spans="1:14" x14ac:dyDescent="0.25">
      <c r="A1968" s="11" t="s">
        <v>207</v>
      </c>
      <c r="B1968" s="12">
        <v>45253</v>
      </c>
      <c r="C1968" s="11" t="s">
        <v>688</v>
      </c>
      <c r="D1968" s="11" t="s">
        <v>43</v>
      </c>
      <c r="E1968" s="13" t="s">
        <v>80</v>
      </c>
      <c r="F1968" s="14" t="s">
        <v>79</v>
      </c>
      <c r="G1968" s="14" t="s">
        <v>400</v>
      </c>
      <c r="I1968" s="11">
        <f t="shared" si="93"/>
        <v>2</v>
      </c>
      <c r="J1968" s="16">
        <v>2272.38</v>
      </c>
      <c r="M1968" s="17">
        <f t="shared" si="91"/>
        <v>369713.58000000013</v>
      </c>
      <c r="N1968" s="11">
        <f t="shared" si="92"/>
        <v>11</v>
      </c>
    </row>
    <row r="1969" spans="1:14" x14ac:dyDescent="0.25">
      <c r="A1969" s="11" t="s">
        <v>207</v>
      </c>
      <c r="B1969" s="12">
        <v>45253</v>
      </c>
      <c r="C1969" s="11" t="s">
        <v>688</v>
      </c>
      <c r="D1969" s="11" t="s">
        <v>43</v>
      </c>
      <c r="E1969" s="13" t="s">
        <v>81</v>
      </c>
      <c r="F1969" s="14" t="s">
        <v>79</v>
      </c>
      <c r="G1969" s="14" t="s">
        <v>400</v>
      </c>
      <c r="I1969" s="11">
        <f t="shared" si="93"/>
        <v>2</v>
      </c>
      <c r="J1969" s="16">
        <v>1357.05</v>
      </c>
      <c r="M1969" s="17">
        <f t="shared" si="91"/>
        <v>371070.63000000012</v>
      </c>
      <c r="N1969" s="11">
        <f t="shared" si="92"/>
        <v>11</v>
      </c>
    </row>
    <row r="1970" spans="1:14" x14ac:dyDescent="0.25">
      <c r="A1970" s="11" t="s">
        <v>207</v>
      </c>
      <c r="B1970" s="12">
        <v>45253</v>
      </c>
      <c r="C1970" s="11" t="s">
        <v>662</v>
      </c>
      <c r="D1970" s="11" t="s">
        <v>43</v>
      </c>
      <c r="E1970" s="13" t="s">
        <v>83</v>
      </c>
      <c r="F1970" s="14" t="s">
        <v>79</v>
      </c>
      <c r="G1970" s="14" t="s">
        <v>400</v>
      </c>
      <c r="I1970" s="11">
        <f t="shared" si="93"/>
        <v>2</v>
      </c>
      <c r="J1970" s="16">
        <v>181.32</v>
      </c>
      <c r="M1970" s="17">
        <f t="shared" si="91"/>
        <v>371251.95000000013</v>
      </c>
      <c r="N1970" s="11">
        <f t="shared" si="92"/>
        <v>11</v>
      </c>
    </row>
    <row r="1971" spans="1:14" x14ac:dyDescent="0.25">
      <c r="A1971" s="11" t="s">
        <v>207</v>
      </c>
      <c r="B1971" s="12">
        <v>45253</v>
      </c>
      <c r="C1971" s="11" t="s">
        <v>688</v>
      </c>
      <c r="D1971" s="11" t="s">
        <v>43</v>
      </c>
      <c r="E1971" s="13" t="s">
        <v>382</v>
      </c>
      <c r="F1971" s="14" t="s">
        <v>13</v>
      </c>
      <c r="G1971" s="14" t="s">
        <v>400</v>
      </c>
      <c r="I1971" s="11">
        <f t="shared" si="93"/>
        <v>2</v>
      </c>
      <c r="J1971" s="16">
        <v>51.27</v>
      </c>
      <c r="M1971" s="17">
        <f t="shared" si="91"/>
        <v>371303.22000000015</v>
      </c>
      <c r="N1971" s="11">
        <f t="shared" si="92"/>
        <v>11</v>
      </c>
    </row>
    <row r="1972" spans="1:14" x14ac:dyDescent="0.25">
      <c r="A1972" s="11" t="s">
        <v>207</v>
      </c>
      <c r="B1972" s="12">
        <v>45253</v>
      </c>
      <c r="C1972" s="11" t="s">
        <v>688</v>
      </c>
      <c r="D1972" s="11" t="s">
        <v>43</v>
      </c>
      <c r="E1972" s="13" t="s">
        <v>382</v>
      </c>
      <c r="F1972" s="14" t="s">
        <v>13</v>
      </c>
      <c r="G1972" s="14" t="s">
        <v>400</v>
      </c>
      <c r="I1972" s="11">
        <f t="shared" si="93"/>
        <v>2</v>
      </c>
      <c r="J1972" s="16">
        <v>569.24</v>
      </c>
      <c r="M1972" s="17">
        <f t="shared" si="91"/>
        <v>371872.46000000014</v>
      </c>
      <c r="N1972" s="11">
        <f t="shared" si="92"/>
        <v>11</v>
      </c>
    </row>
    <row r="1973" spans="1:14" x14ac:dyDescent="0.25">
      <c r="A1973" s="11" t="s">
        <v>207</v>
      </c>
      <c r="B1973" s="12">
        <v>45253</v>
      </c>
      <c r="C1973" s="11" t="s">
        <v>662</v>
      </c>
      <c r="D1973" s="11" t="s">
        <v>43</v>
      </c>
      <c r="E1973" s="13" t="s">
        <v>382</v>
      </c>
      <c r="F1973" s="14" t="s">
        <v>13</v>
      </c>
      <c r="G1973" s="14" t="s">
        <v>400</v>
      </c>
      <c r="I1973" s="11">
        <f t="shared" si="93"/>
        <v>2</v>
      </c>
      <c r="J1973" s="16">
        <v>106.89</v>
      </c>
      <c r="M1973" s="17">
        <f t="shared" si="91"/>
        <v>371979.35000000015</v>
      </c>
      <c r="N1973" s="11">
        <f t="shared" si="92"/>
        <v>11</v>
      </c>
    </row>
    <row r="1974" spans="1:14" x14ac:dyDescent="0.25">
      <c r="A1974" s="11" t="s">
        <v>207</v>
      </c>
      <c r="B1974" s="12">
        <v>45253</v>
      </c>
      <c r="C1974" s="11" t="s">
        <v>662</v>
      </c>
      <c r="D1974" s="11" t="s">
        <v>43</v>
      </c>
      <c r="E1974" s="13" t="s">
        <v>382</v>
      </c>
      <c r="F1974" s="14" t="s">
        <v>13</v>
      </c>
      <c r="G1974" s="14" t="s">
        <v>400</v>
      </c>
      <c r="I1974" s="11">
        <f t="shared" si="93"/>
        <v>2</v>
      </c>
      <c r="J1974" s="16">
        <v>78.290000000000006</v>
      </c>
      <c r="M1974" s="17">
        <f t="shared" si="91"/>
        <v>372057.64000000013</v>
      </c>
      <c r="N1974" s="11">
        <f t="shared" si="92"/>
        <v>11</v>
      </c>
    </row>
    <row r="1975" spans="1:14" x14ac:dyDescent="0.25">
      <c r="A1975" s="11" t="s">
        <v>207</v>
      </c>
      <c r="B1975" s="12">
        <v>45253</v>
      </c>
      <c r="C1975" s="11" t="s">
        <v>688</v>
      </c>
      <c r="D1975" s="11" t="s">
        <v>43</v>
      </c>
      <c r="E1975" s="14" t="s">
        <v>288</v>
      </c>
      <c r="F1975" s="14" t="s">
        <v>288</v>
      </c>
      <c r="G1975" s="14" t="s">
        <v>173</v>
      </c>
      <c r="I1975" s="11">
        <f t="shared" si="93"/>
        <v>3</v>
      </c>
      <c r="J1975" s="16">
        <v>3007</v>
      </c>
      <c r="M1975" s="17">
        <f t="shared" si="91"/>
        <v>375064.64000000013</v>
      </c>
      <c r="N1975" s="11">
        <f t="shared" si="92"/>
        <v>11</v>
      </c>
    </row>
    <row r="1976" spans="1:14" x14ac:dyDescent="0.25">
      <c r="A1976" s="11" t="s">
        <v>0</v>
      </c>
      <c r="B1976" s="12">
        <v>45253</v>
      </c>
      <c r="C1976" s="11" t="s">
        <v>688</v>
      </c>
      <c r="D1976" s="11" t="s">
        <v>694</v>
      </c>
      <c r="E1976" s="13" t="s">
        <v>182</v>
      </c>
      <c r="F1976" s="14" t="s">
        <v>365</v>
      </c>
      <c r="G1976" s="14" t="s">
        <v>402</v>
      </c>
      <c r="I1976" s="11">
        <f t="shared" si="93"/>
        <v>5</v>
      </c>
      <c r="K1976" s="16">
        <v>2.88</v>
      </c>
      <c r="M1976" s="17">
        <f t="shared" si="91"/>
        <v>375061.76000000013</v>
      </c>
      <c r="N1976" s="11">
        <f t="shared" si="92"/>
        <v>11</v>
      </c>
    </row>
    <row r="1977" spans="1:14" x14ac:dyDescent="0.25">
      <c r="A1977" s="11" t="s">
        <v>0</v>
      </c>
      <c r="B1977" s="12">
        <v>45253</v>
      </c>
      <c r="C1977" s="11" t="s">
        <v>688</v>
      </c>
      <c r="D1977" s="11" t="s">
        <v>694</v>
      </c>
      <c r="E1977" s="13" t="s">
        <v>182</v>
      </c>
      <c r="F1977" s="14" t="s">
        <v>23</v>
      </c>
      <c r="G1977" s="14" t="s">
        <v>402</v>
      </c>
      <c r="I1977" s="11">
        <f t="shared" si="93"/>
        <v>5</v>
      </c>
      <c r="K1977" s="16">
        <v>18.02</v>
      </c>
      <c r="M1977" s="17">
        <f t="shared" si="91"/>
        <v>375043.74000000011</v>
      </c>
      <c r="N1977" s="11">
        <f t="shared" si="92"/>
        <v>11</v>
      </c>
    </row>
    <row r="1978" spans="1:14" ht="26.4" x14ac:dyDescent="0.25">
      <c r="A1978" s="11" t="s">
        <v>0</v>
      </c>
      <c r="B1978" s="12">
        <v>45253</v>
      </c>
      <c r="C1978" s="11" t="s">
        <v>688</v>
      </c>
      <c r="D1978" s="11" t="s">
        <v>692</v>
      </c>
      <c r="E1978" s="13" t="s">
        <v>143</v>
      </c>
      <c r="F1978" s="14" t="s">
        <v>36</v>
      </c>
      <c r="G1978" s="14" t="s">
        <v>403</v>
      </c>
      <c r="H1978" s="15" t="s">
        <v>541</v>
      </c>
      <c r="I1978" s="11">
        <f t="shared" si="93"/>
        <v>5</v>
      </c>
      <c r="K1978" s="16">
        <v>2457.79</v>
      </c>
      <c r="M1978" s="17">
        <f t="shared" si="91"/>
        <v>372585.95000000013</v>
      </c>
      <c r="N1978" s="11">
        <f t="shared" si="92"/>
        <v>11</v>
      </c>
    </row>
    <row r="1979" spans="1:14" x14ac:dyDescent="0.25">
      <c r="A1979" s="11" t="s">
        <v>207</v>
      </c>
      <c r="B1979" s="12">
        <v>45253</v>
      </c>
      <c r="C1979" s="11" t="s">
        <v>688</v>
      </c>
      <c r="D1979" s="11" t="s">
        <v>43</v>
      </c>
      <c r="E1979" s="14" t="s">
        <v>429</v>
      </c>
      <c r="F1979" s="14" t="s">
        <v>429</v>
      </c>
      <c r="G1979" s="14" t="s">
        <v>428</v>
      </c>
      <c r="I1979" s="11">
        <f t="shared" si="93"/>
        <v>1</v>
      </c>
      <c r="J1979" s="16">
        <v>5152.8999999999996</v>
      </c>
      <c r="M1979" s="17">
        <f t="shared" si="91"/>
        <v>377738.85000000015</v>
      </c>
      <c r="N1979" s="11">
        <f t="shared" si="92"/>
        <v>11</v>
      </c>
    </row>
    <row r="1980" spans="1:14" x14ac:dyDescent="0.25">
      <c r="A1980" s="11" t="s">
        <v>207</v>
      </c>
      <c r="B1980" s="12">
        <v>45253</v>
      </c>
      <c r="C1980" s="11" t="s">
        <v>688</v>
      </c>
      <c r="D1980" s="11" t="s">
        <v>43</v>
      </c>
      <c r="E1980" s="13">
        <v>45253</v>
      </c>
      <c r="F1980" s="14" t="s">
        <v>472</v>
      </c>
      <c r="G1980" s="14" t="s">
        <v>400</v>
      </c>
      <c r="I1980" s="11">
        <f t="shared" si="93"/>
        <v>2</v>
      </c>
      <c r="J1980" s="16">
        <v>416.45</v>
      </c>
      <c r="M1980" s="17">
        <f t="shared" si="91"/>
        <v>378155.30000000016</v>
      </c>
      <c r="N1980" s="11">
        <f t="shared" si="92"/>
        <v>11</v>
      </c>
    </row>
    <row r="1981" spans="1:14" x14ac:dyDescent="0.25">
      <c r="A1981" s="11" t="s">
        <v>0</v>
      </c>
      <c r="B1981" s="12">
        <v>45253</v>
      </c>
      <c r="C1981" s="11" t="s">
        <v>689</v>
      </c>
      <c r="D1981" s="11" t="s">
        <v>47</v>
      </c>
      <c r="E1981" s="13" t="s">
        <v>543</v>
      </c>
      <c r="F1981" s="14" t="s">
        <v>542</v>
      </c>
      <c r="G1981" s="14" t="s">
        <v>404</v>
      </c>
      <c r="H1981" s="15">
        <v>1</v>
      </c>
      <c r="I1981" s="11">
        <f t="shared" si="93"/>
        <v>5</v>
      </c>
      <c r="K1981" s="16">
        <v>600</v>
      </c>
      <c r="M1981" s="17">
        <f t="shared" si="91"/>
        <v>377555.30000000016</v>
      </c>
      <c r="N1981" s="11">
        <f t="shared" si="92"/>
        <v>11</v>
      </c>
    </row>
    <row r="1982" spans="1:14" x14ac:dyDescent="0.25">
      <c r="A1982" s="11" t="s">
        <v>0</v>
      </c>
      <c r="B1982" s="12">
        <v>45253</v>
      </c>
      <c r="C1982" s="11" t="s">
        <v>688</v>
      </c>
      <c r="D1982" s="11" t="s">
        <v>694</v>
      </c>
      <c r="E1982" s="13" t="s">
        <v>181</v>
      </c>
      <c r="F1982" s="14" t="s">
        <v>516</v>
      </c>
      <c r="G1982" s="14" t="s">
        <v>404</v>
      </c>
      <c r="H1982" s="15">
        <v>6852</v>
      </c>
      <c r="I1982" s="11">
        <f t="shared" si="93"/>
        <v>5</v>
      </c>
      <c r="K1982" s="16">
        <v>400</v>
      </c>
      <c r="M1982" s="17">
        <f t="shared" si="91"/>
        <v>377155.30000000016</v>
      </c>
      <c r="N1982" s="11">
        <f t="shared" si="92"/>
        <v>11</v>
      </c>
    </row>
    <row r="1983" spans="1:14" x14ac:dyDescent="0.25">
      <c r="A1983" s="11" t="s">
        <v>0</v>
      </c>
      <c r="B1983" s="12">
        <v>45253</v>
      </c>
      <c r="C1983" s="11" t="s">
        <v>688</v>
      </c>
      <c r="D1983" s="11" t="s">
        <v>692</v>
      </c>
      <c r="E1983" s="13" t="s">
        <v>143</v>
      </c>
      <c r="F1983" s="14" t="s">
        <v>59</v>
      </c>
      <c r="G1983" s="14" t="s">
        <v>404</v>
      </c>
      <c r="H1983" s="15" t="s">
        <v>103</v>
      </c>
      <c r="I1983" s="11">
        <f t="shared" si="93"/>
        <v>5</v>
      </c>
      <c r="K1983" s="16">
        <v>1375.53</v>
      </c>
      <c r="M1983" s="17">
        <f t="shared" si="91"/>
        <v>375779.77000000014</v>
      </c>
      <c r="N1983" s="11">
        <f t="shared" si="92"/>
        <v>11</v>
      </c>
    </row>
    <row r="1984" spans="1:14" x14ac:dyDescent="0.25">
      <c r="A1984" s="11" t="s">
        <v>0</v>
      </c>
      <c r="B1984" s="12">
        <v>45253</v>
      </c>
      <c r="C1984" s="11" t="s">
        <v>688</v>
      </c>
      <c r="D1984" s="11" t="s">
        <v>692</v>
      </c>
      <c r="E1984" s="13" t="s">
        <v>482</v>
      </c>
      <c r="F1984" s="14" t="s">
        <v>544</v>
      </c>
      <c r="G1984" s="14" t="s">
        <v>404</v>
      </c>
      <c r="H1984" s="15">
        <v>15839</v>
      </c>
      <c r="I1984" s="11">
        <f t="shared" si="93"/>
        <v>5</v>
      </c>
      <c r="K1984" s="16">
        <v>1195.1500000000001</v>
      </c>
      <c r="M1984" s="17">
        <f t="shared" si="91"/>
        <v>374584.62000000011</v>
      </c>
      <c r="N1984" s="11">
        <f t="shared" si="92"/>
        <v>11</v>
      </c>
    </row>
    <row r="1985" spans="1:14" x14ac:dyDescent="0.25">
      <c r="A1985" s="11" t="s">
        <v>207</v>
      </c>
      <c r="B1985" s="12">
        <v>45254</v>
      </c>
      <c r="C1985" s="11" t="s">
        <v>688</v>
      </c>
      <c r="D1985" s="11" t="s">
        <v>43</v>
      </c>
      <c r="E1985" s="13" t="s">
        <v>80</v>
      </c>
      <c r="F1985" s="14" t="s">
        <v>79</v>
      </c>
      <c r="G1985" s="14" t="s">
        <v>400</v>
      </c>
      <c r="I1985" s="11">
        <f t="shared" si="93"/>
        <v>2</v>
      </c>
      <c r="J1985" s="16">
        <v>4850.97</v>
      </c>
      <c r="M1985" s="17">
        <f t="shared" si="91"/>
        <v>379435.59000000008</v>
      </c>
      <c r="N1985" s="11">
        <f t="shared" si="92"/>
        <v>11</v>
      </c>
    </row>
    <row r="1986" spans="1:14" x14ac:dyDescent="0.25">
      <c r="A1986" s="11" t="s">
        <v>207</v>
      </c>
      <c r="B1986" s="12">
        <v>45254</v>
      </c>
      <c r="C1986" s="11" t="s">
        <v>688</v>
      </c>
      <c r="D1986" s="11" t="s">
        <v>43</v>
      </c>
      <c r="E1986" s="13" t="s">
        <v>81</v>
      </c>
      <c r="F1986" s="14" t="s">
        <v>79</v>
      </c>
      <c r="G1986" s="14" t="s">
        <v>400</v>
      </c>
      <c r="I1986" s="11">
        <f t="shared" si="93"/>
        <v>2</v>
      </c>
      <c r="J1986" s="16">
        <v>2721.96</v>
      </c>
      <c r="M1986" s="17">
        <f t="shared" si="91"/>
        <v>382157.5500000001</v>
      </c>
      <c r="N1986" s="11">
        <f t="shared" si="92"/>
        <v>11</v>
      </c>
    </row>
    <row r="1987" spans="1:14" x14ac:dyDescent="0.25">
      <c r="A1987" s="11" t="s">
        <v>207</v>
      </c>
      <c r="B1987" s="12">
        <v>45254</v>
      </c>
      <c r="C1987" s="11" t="s">
        <v>688</v>
      </c>
      <c r="D1987" s="11" t="s">
        <v>43</v>
      </c>
      <c r="E1987" s="13" t="s">
        <v>83</v>
      </c>
      <c r="F1987" s="14" t="s">
        <v>79</v>
      </c>
      <c r="G1987" s="14" t="s">
        <v>400</v>
      </c>
      <c r="I1987" s="11">
        <f t="shared" si="93"/>
        <v>2</v>
      </c>
      <c r="J1987" s="16">
        <v>248.36</v>
      </c>
      <c r="M1987" s="17">
        <f t="shared" ref="M1987:M2050" si="94">IF(B1987=0, "",M1986+ J1987-K1987)</f>
        <v>382405.91000000009</v>
      </c>
      <c r="N1987" s="11">
        <f t="shared" ref="N1987:N2050" si="95">IF(B1987=0, "", MONTH(B1987))</f>
        <v>11</v>
      </c>
    </row>
    <row r="1988" spans="1:14" x14ac:dyDescent="0.25">
      <c r="A1988" s="11" t="s">
        <v>207</v>
      </c>
      <c r="B1988" s="12">
        <v>45254</v>
      </c>
      <c r="C1988" s="11" t="s">
        <v>688</v>
      </c>
      <c r="D1988" s="11" t="s">
        <v>43</v>
      </c>
      <c r="E1988" s="13" t="s">
        <v>382</v>
      </c>
      <c r="F1988" s="14" t="s">
        <v>13</v>
      </c>
      <c r="G1988" s="14" t="s">
        <v>400</v>
      </c>
      <c r="I1988" s="11">
        <f t="shared" si="93"/>
        <v>2</v>
      </c>
      <c r="J1988" s="16">
        <v>313.97000000000003</v>
      </c>
      <c r="M1988" s="17">
        <f t="shared" si="94"/>
        <v>382719.88000000006</v>
      </c>
      <c r="N1988" s="11">
        <f t="shared" si="95"/>
        <v>11</v>
      </c>
    </row>
    <row r="1989" spans="1:14" x14ac:dyDescent="0.25">
      <c r="A1989" s="11" t="s">
        <v>207</v>
      </c>
      <c r="B1989" s="12">
        <v>45254</v>
      </c>
      <c r="C1989" s="11" t="s">
        <v>688</v>
      </c>
      <c r="D1989" s="11" t="s">
        <v>43</v>
      </c>
      <c r="E1989" s="13" t="s">
        <v>382</v>
      </c>
      <c r="F1989" s="14" t="s">
        <v>13</v>
      </c>
      <c r="G1989" s="14" t="s">
        <v>400</v>
      </c>
      <c r="I1989" s="11">
        <f t="shared" ref="I1989:I2052" si="96">IF(AND(G1989="MERCADO PAGO",A1989="FATURAMENTO"),1,IF(AND(OR(G1989="MERCADO PAGO",G1989="pix mercado pago",G1989= "débito automático mercado pago", G1989= "boleto mercado pago"),A1989="DESPESAS"),4,IF(AND(G1989="SAFRA",A1989="FATURAMENTO"),2,IF(AND(OR(G1989="SAFRA",G1989="PIX SAFRA", G1989="DÉBITO AUTOMÁTICO SAFRA", G1989= "BOLETO SAFRA", G1989= "transferência safra"), A1989="DESPESAS"),5,IF(AND(G1989="espécie",A1989="FATURAMENTO"),3,IF(AND(G1989="espécie",A1989="DESPESAS"),6))))))</f>
        <v>2</v>
      </c>
      <c r="J1989" s="16">
        <v>296.94</v>
      </c>
      <c r="M1989" s="17">
        <f t="shared" si="94"/>
        <v>383016.82000000007</v>
      </c>
      <c r="N1989" s="11">
        <f t="shared" si="95"/>
        <v>11</v>
      </c>
    </row>
    <row r="1990" spans="1:14" x14ac:dyDescent="0.25">
      <c r="A1990" s="11" t="s">
        <v>207</v>
      </c>
      <c r="B1990" s="12">
        <v>45254</v>
      </c>
      <c r="C1990" s="11" t="s">
        <v>688</v>
      </c>
      <c r="D1990" s="11" t="s">
        <v>43</v>
      </c>
      <c r="E1990" s="13" t="s">
        <v>382</v>
      </c>
      <c r="F1990" s="14" t="s">
        <v>13</v>
      </c>
      <c r="G1990" s="14" t="s">
        <v>400</v>
      </c>
      <c r="I1990" s="11">
        <f t="shared" si="96"/>
        <v>2</v>
      </c>
      <c r="J1990" s="16">
        <v>185.28</v>
      </c>
      <c r="M1990" s="17">
        <f t="shared" si="94"/>
        <v>383202.10000000009</v>
      </c>
      <c r="N1990" s="11">
        <f t="shared" si="95"/>
        <v>11</v>
      </c>
    </row>
    <row r="1991" spans="1:14" x14ac:dyDescent="0.25">
      <c r="A1991" s="11" t="s">
        <v>207</v>
      </c>
      <c r="B1991" s="12">
        <v>45254</v>
      </c>
      <c r="C1991" s="11" t="s">
        <v>688</v>
      </c>
      <c r="D1991" s="11" t="s">
        <v>43</v>
      </c>
      <c r="E1991" s="13" t="s">
        <v>382</v>
      </c>
      <c r="F1991" s="14" t="s">
        <v>13</v>
      </c>
      <c r="G1991" s="14" t="s">
        <v>400</v>
      </c>
      <c r="I1991" s="11">
        <f t="shared" si="96"/>
        <v>2</v>
      </c>
      <c r="J1991" s="16">
        <v>137.58000000000001</v>
      </c>
      <c r="M1991" s="17">
        <f t="shared" si="94"/>
        <v>383339.68000000011</v>
      </c>
      <c r="N1991" s="11">
        <f t="shared" si="95"/>
        <v>11</v>
      </c>
    </row>
    <row r="1992" spans="1:14" x14ac:dyDescent="0.25">
      <c r="A1992" s="11" t="s">
        <v>207</v>
      </c>
      <c r="B1992" s="12">
        <v>45254</v>
      </c>
      <c r="C1992" s="11" t="s">
        <v>688</v>
      </c>
      <c r="D1992" s="11" t="s">
        <v>43</v>
      </c>
      <c r="E1992" s="14" t="s">
        <v>288</v>
      </c>
      <c r="F1992" s="14" t="s">
        <v>288</v>
      </c>
      <c r="G1992" s="14" t="s">
        <v>173</v>
      </c>
      <c r="I1992" s="11">
        <f t="shared" si="96"/>
        <v>3</v>
      </c>
      <c r="J1992" s="16">
        <v>2790</v>
      </c>
      <c r="M1992" s="17">
        <f t="shared" si="94"/>
        <v>386129.68000000011</v>
      </c>
      <c r="N1992" s="11">
        <f t="shared" si="95"/>
        <v>11</v>
      </c>
    </row>
    <row r="1993" spans="1:14" x14ac:dyDescent="0.25">
      <c r="A1993" s="11" t="s">
        <v>0</v>
      </c>
      <c r="B1993" s="12">
        <v>45254</v>
      </c>
      <c r="C1993" s="11" t="s">
        <v>688</v>
      </c>
      <c r="D1993" s="11" t="s">
        <v>694</v>
      </c>
      <c r="E1993" s="13" t="s">
        <v>182</v>
      </c>
      <c r="F1993" s="14" t="s">
        <v>365</v>
      </c>
      <c r="G1993" s="14" t="s">
        <v>402</v>
      </c>
      <c r="I1993" s="11">
        <f t="shared" si="96"/>
        <v>5</v>
      </c>
      <c r="K1993" s="16">
        <v>11.24</v>
      </c>
      <c r="M1993" s="17">
        <f t="shared" si="94"/>
        <v>386118.44000000012</v>
      </c>
      <c r="N1993" s="11">
        <f t="shared" si="95"/>
        <v>11</v>
      </c>
    </row>
    <row r="1994" spans="1:14" x14ac:dyDescent="0.25">
      <c r="A1994" s="11" t="s">
        <v>0</v>
      </c>
      <c r="B1994" s="12">
        <v>45254</v>
      </c>
      <c r="C1994" s="11" t="s">
        <v>688</v>
      </c>
      <c r="D1994" s="11" t="s">
        <v>694</v>
      </c>
      <c r="E1994" s="13" t="s">
        <v>182</v>
      </c>
      <c r="F1994" s="14" t="s">
        <v>23</v>
      </c>
      <c r="G1994" s="14" t="s">
        <v>402</v>
      </c>
      <c r="I1994" s="11">
        <f t="shared" si="96"/>
        <v>5</v>
      </c>
      <c r="K1994" s="16">
        <v>24.7</v>
      </c>
      <c r="M1994" s="17">
        <f t="shared" si="94"/>
        <v>386093.74000000011</v>
      </c>
      <c r="N1994" s="11">
        <f t="shared" si="95"/>
        <v>11</v>
      </c>
    </row>
    <row r="1995" spans="1:14" x14ac:dyDescent="0.25">
      <c r="A1995" s="11" t="s">
        <v>207</v>
      </c>
      <c r="B1995" s="12">
        <v>45254</v>
      </c>
      <c r="C1995" s="11" t="s">
        <v>688</v>
      </c>
      <c r="D1995" s="11" t="s">
        <v>43</v>
      </c>
      <c r="E1995" s="13">
        <v>45254</v>
      </c>
      <c r="F1995" s="14" t="s">
        <v>472</v>
      </c>
      <c r="G1995" s="14" t="s">
        <v>400</v>
      </c>
      <c r="I1995" s="11">
        <f t="shared" si="96"/>
        <v>2</v>
      </c>
      <c r="J1995" s="16">
        <v>1631.75</v>
      </c>
      <c r="M1995" s="17">
        <f t="shared" si="94"/>
        <v>387725.49000000011</v>
      </c>
      <c r="N1995" s="11">
        <f t="shared" si="95"/>
        <v>11</v>
      </c>
    </row>
    <row r="1996" spans="1:14" x14ac:dyDescent="0.25">
      <c r="A1996" s="11" t="s">
        <v>0</v>
      </c>
      <c r="B1996" s="12">
        <v>45254</v>
      </c>
      <c r="C1996" s="11" t="s">
        <v>688</v>
      </c>
      <c r="D1996" s="11" t="s">
        <v>692</v>
      </c>
      <c r="E1996" s="13" t="s">
        <v>726</v>
      </c>
      <c r="F1996" s="14" t="s">
        <v>546</v>
      </c>
      <c r="G1996" s="14" t="s">
        <v>404</v>
      </c>
      <c r="H1996" s="15" t="s">
        <v>103</v>
      </c>
      <c r="I1996" s="11">
        <f t="shared" si="96"/>
        <v>5</v>
      </c>
      <c r="K1996" s="16">
        <v>1642.41</v>
      </c>
      <c r="M1996" s="17">
        <f t="shared" si="94"/>
        <v>386083.08000000013</v>
      </c>
      <c r="N1996" s="11">
        <f t="shared" si="95"/>
        <v>11</v>
      </c>
    </row>
    <row r="1997" spans="1:14" x14ac:dyDescent="0.25">
      <c r="A1997" s="11" t="s">
        <v>0</v>
      </c>
      <c r="B1997" s="12">
        <v>45254</v>
      </c>
      <c r="C1997" s="11" t="s">
        <v>688</v>
      </c>
      <c r="D1997" s="11" t="s">
        <v>699</v>
      </c>
      <c r="E1997" s="13" t="s">
        <v>548</v>
      </c>
      <c r="F1997" s="14" t="s">
        <v>547</v>
      </c>
      <c r="G1997" s="14" t="s">
        <v>404</v>
      </c>
      <c r="H1997" s="15" t="s">
        <v>103</v>
      </c>
      <c r="I1997" s="11">
        <f t="shared" si="96"/>
        <v>5</v>
      </c>
      <c r="K1997" s="16">
        <v>510</v>
      </c>
      <c r="M1997" s="17">
        <f t="shared" si="94"/>
        <v>385573.08000000013</v>
      </c>
      <c r="N1997" s="11">
        <f t="shared" si="95"/>
        <v>11</v>
      </c>
    </row>
    <row r="1998" spans="1:14" x14ac:dyDescent="0.25">
      <c r="A1998" s="11" t="s">
        <v>0</v>
      </c>
      <c r="B1998" s="12">
        <v>45254</v>
      </c>
      <c r="C1998" s="11" t="s">
        <v>688</v>
      </c>
      <c r="D1998" s="11" t="s">
        <v>692</v>
      </c>
      <c r="E1998" s="13" t="s">
        <v>179</v>
      </c>
      <c r="F1998" s="14" t="s">
        <v>774</v>
      </c>
      <c r="G1998" s="14" t="s">
        <v>404</v>
      </c>
      <c r="H1998" s="15" t="s">
        <v>103</v>
      </c>
      <c r="I1998" s="11">
        <f t="shared" si="96"/>
        <v>5</v>
      </c>
      <c r="K1998" s="16">
        <v>735</v>
      </c>
      <c r="M1998" s="17">
        <f t="shared" si="94"/>
        <v>384838.08000000013</v>
      </c>
      <c r="N1998" s="11">
        <f t="shared" si="95"/>
        <v>11</v>
      </c>
    </row>
    <row r="1999" spans="1:14" x14ac:dyDescent="0.25">
      <c r="A1999" s="11" t="s">
        <v>0</v>
      </c>
      <c r="B1999" s="12">
        <v>45254</v>
      </c>
      <c r="C1999" s="11" t="s">
        <v>688</v>
      </c>
      <c r="D1999" s="11" t="s">
        <v>47</v>
      </c>
      <c r="E1999" s="13" t="s">
        <v>387</v>
      </c>
      <c r="F1999" s="14" t="s">
        <v>308</v>
      </c>
      <c r="G1999" s="14" t="s">
        <v>404</v>
      </c>
      <c r="H1999" s="15" t="s">
        <v>437</v>
      </c>
      <c r="I1999" s="11">
        <f t="shared" si="96"/>
        <v>5</v>
      </c>
      <c r="K1999" s="16">
        <v>400</v>
      </c>
      <c r="M1999" s="17">
        <f t="shared" si="94"/>
        <v>384438.08000000013</v>
      </c>
      <c r="N1999" s="11">
        <f t="shared" si="95"/>
        <v>11</v>
      </c>
    </row>
    <row r="2000" spans="1:14" x14ac:dyDescent="0.25">
      <c r="A2000" s="11" t="s">
        <v>0</v>
      </c>
      <c r="B2000" s="12">
        <v>45254</v>
      </c>
      <c r="C2000" s="11" t="s">
        <v>688</v>
      </c>
      <c r="D2000" s="11" t="s">
        <v>692</v>
      </c>
      <c r="E2000" s="13" t="s">
        <v>725</v>
      </c>
      <c r="F2000" s="14" t="s">
        <v>27</v>
      </c>
      <c r="G2000" s="14" t="s">
        <v>404</v>
      </c>
      <c r="H2000" s="15">
        <v>14437</v>
      </c>
      <c r="I2000" s="11">
        <f t="shared" si="96"/>
        <v>5</v>
      </c>
      <c r="K2000" s="16">
        <v>1188.69</v>
      </c>
      <c r="M2000" s="17">
        <f t="shared" si="94"/>
        <v>383249.39000000013</v>
      </c>
      <c r="N2000" s="11">
        <f t="shared" si="95"/>
        <v>11</v>
      </c>
    </row>
    <row r="2001" spans="1:14" x14ac:dyDescent="0.25">
      <c r="A2001" s="11" t="s">
        <v>0</v>
      </c>
      <c r="B2001" s="12">
        <v>45254</v>
      </c>
      <c r="C2001" s="11" t="s">
        <v>688</v>
      </c>
      <c r="D2001" s="11" t="s">
        <v>692</v>
      </c>
      <c r="E2001" s="13" t="s">
        <v>483</v>
      </c>
      <c r="F2001" s="14" t="s">
        <v>549</v>
      </c>
      <c r="G2001" s="14" t="s">
        <v>404</v>
      </c>
      <c r="H2001" s="15" t="s">
        <v>103</v>
      </c>
      <c r="I2001" s="11">
        <f t="shared" si="96"/>
        <v>5</v>
      </c>
      <c r="K2001" s="16">
        <v>750.3</v>
      </c>
      <c r="M2001" s="17">
        <f t="shared" si="94"/>
        <v>382499.09000000014</v>
      </c>
      <c r="N2001" s="11">
        <f t="shared" si="95"/>
        <v>11</v>
      </c>
    </row>
    <row r="2002" spans="1:14" x14ac:dyDescent="0.25">
      <c r="A2002" s="11" t="s">
        <v>0</v>
      </c>
      <c r="B2002" s="12">
        <v>45254</v>
      </c>
      <c r="C2002" s="11" t="s">
        <v>688</v>
      </c>
      <c r="D2002" s="11" t="s">
        <v>692</v>
      </c>
      <c r="E2002" s="13" t="s">
        <v>730</v>
      </c>
      <c r="F2002" s="14" t="s">
        <v>34</v>
      </c>
      <c r="G2002" s="14" t="s">
        <v>404</v>
      </c>
      <c r="H2002" s="15" t="s">
        <v>103</v>
      </c>
      <c r="I2002" s="11">
        <f t="shared" si="96"/>
        <v>5</v>
      </c>
      <c r="K2002" s="16">
        <v>3880.94</v>
      </c>
      <c r="M2002" s="17">
        <f t="shared" si="94"/>
        <v>378618.15000000014</v>
      </c>
      <c r="N2002" s="11">
        <f t="shared" si="95"/>
        <v>11</v>
      </c>
    </row>
    <row r="2003" spans="1:14" x14ac:dyDescent="0.25">
      <c r="A2003" s="11" t="s">
        <v>0</v>
      </c>
      <c r="B2003" s="12">
        <v>45254</v>
      </c>
      <c r="C2003" s="11" t="s">
        <v>688</v>
      </c>
      <c r="D2003" s="11" t="s">
        <v>701</v>
      </c>
      <c r="E2003" s="13" t="s">
        <v>619</v>
      </c>
      <c r="F2003" s="14" t="s">
        <v>529</v>
      </c>
      <c r="G2003" s="14" t="s">
        <v>407</v>
      </c>
      <c r="H2003" s="15" t="s">
        <v>426</v>
      </c>
      <c r="I2003" s="11">
        <f t="shared" si="96"/>
        <v>4</v>
      </c>
      <c r="K2003" s="16">
        <v>400</v>
      </c>
      <c r="M2003" s="17">
        <f t="shared" si="94"/>
        <v>378218.15000000014</v>
      </c>
      <c r="N2003" s="11">
        <f t="shared" si="95"/>
        <v>11</v>
      </c>
    </row>
    <row r="2004" spans="1:14" x14ac:dyDescent="0.25">
      <c r="A2004" s="11" t="s">
        <v>0</v>
      </c>
      <c r="B2004" s="12">
        <v>45255</v>
      </c>
      <c r="C2004" s="11" t="s">
        <v>688</v>
      </c>
      <c r="D2004" s="11" t="s">
        <v>720</v>
      </c>
      <c r="E2004" s="13" t="s">
        <v>183</v>
      </c>
      <c r="F2004" s="14" t="s">
        <v>304</v>
      </c>
      <c r="G2004" s="14" t="s">
        <v>407</v>
      </c>
      <c r="H2004" s="15" t="s">
        <v>426</v>
      </c>
      <c r="I2004" s="11">
        <f t="shared" si="96"/>
        <v>4</v>
      </c>
      <c r="K2004" s="16">
        <v>350</v>
      </c>
      <c r="M2004" s="17">
        <f t="shared" si="94"/>
        <v>377868.15000000014</v>
      </c>
      <c r="N2004" s="11">
        <f t="shared" si="95"/>
        <v>11</v>
      </c>
    </row>
    <row r="2005" spans="1:14" x14ac:dyDescent="0.25">
      <c r="A2005" s="11" t="s">
        <v>207</v>
      </c>
      <c r="B2005" s="12">
        <v>45255</v>
      </c>
      <c r="C2005" s="11" t="s">
        <v>688</v>
      </c>
      <c r="D2005" s="11" t="s">
        <v>43</v>
      </c>
      <c r="E2005" s="14" t="s">
        <v>288</v>
      </c>
      <c r="F2005" s="14" t="s">
        <v>288</v>
      </c>
      <c r="G2005" s="14" t="s">
        <v>173</v>
      </c>
      <c r="I2005" s="11">
        <f t="shared" si="96"/>
        <v>3</v>
      </c>
      <c r="J2005" s="16">
        <v>1970</v>
      </c>
      <c r="M2005" s="17">
        <f t="shared" si="94"/>
        <v>379838.15000000014</v>
      </c>
      <c r="N2005" s="11">
        <f t="shared" si="95"/>
        <v>11</v>
      </c>
    </row>
    <row r="2006" spans="1:14" x14ac:dyDescent="0.25">
      <c r="A2006" s="11" t="s">
        <v>207</v>
      </c>
      <c r="B2006" s="12">
        <v>45255</v>
      </c>
      <c r="C2006" s="11" t="s">
        <v>688</v>
      </c>
      <c r="D2006" s="11" t="s">
        <v>43</v>
      </c>
      <c r="E2006" s="14" t="s">
        <v>429</v>
      </c>
      <c r="F2006" s="14" t="s">
        <v>429</v>
      </c>
      <c r="G2006" s="14" t="s">
        <v>428</v>
      </c>
      <c r="I2006" s="11">
        <f t="shared" si="96"/>
        <v>1</v>
      </c>
      <c r="J2006" s="16">
        <v>2620.8000000000002</v>
      </c>
      <c r="M2006" s="17">
        <f t="shared" si="94"/>
        <v>382458.95000000013</v>
      </c>
      <c r="N2006" s="11">
        <f t="shared" si="95"/>
        <v>11</v>
      </c>
    </row>
    <row r="2007" spans="1:14" x14ac:dyDescent="0.25">
      <c r="A2007" s="11" t="s">
        <v>207</v>
      </c>
      <c r="B2007" s="12">
        <v>45256</v>
      </c>
      <c r="C2007" s="11" t="s">
        <v>688</v>
      </c>
      <c r="D2007" s="11" t="s">
        <v>43</v>
      </c>
      <c r="E2007" s="14" t="s">
        <v>288</v>
      </c>
      <c r="F2007" s="14" t="s">
        <v>288</v>
      </c>
      <c r="G2007" s="14" t="s">
        <v>173</v>
      </c>
      <c r="I2007" s="11">
        <f t="shared" si="96"/>
        <v>3</v>
      </c>
      <c r="J2007" s="16">
        <v>1807</v>
      </c>
      <c r="M2007" s="17">
        <f t="shared" si="94"/>
        <v>384265.95000000013</v>
      </c>
      <c r="N2007" s="11">
        <f t="shared" si="95"/>
        <v>11</v>
      </c>
    </row>
    <row r="2008" spans="1:14" x14ac:dyDescent="0.25">
      <c r="A2008" s="11" t="s">
        <v>207</v>
      </c>
      <c r="B2008" s="12">
        <v>45256</v>
      </c>
      <c r="C2008" s="11" t="s">
        <v>688</v>
      </c>
      <c r="D2008" s="11" t="s">
        <v>43</v>
      </c>
      <c r="E2008" s="14" t="s">
        <v>429</v>
      </c>
      <c r="F2008" s="14" t="s">
        <v>429</v>
      </c>
      <c r="G2008" s="14" t="s">
        <v>428</v>
      </c>
      <c r="I2008" s="11">
        <f t="shared" si="96"/>
        <v>1</v>
      </c>
      <c r="J2008" s="16">
        <v>4464</v>
      </c>
      <c r="M2008" s="17">
        <f t="shared" si="94"/>
        <v>388729.95000000013</v>
      </c>
      <c r="N2008" s="11">
        <f t="shared" si="95"/>
        <v>11</v>
      </c>
    </row>
    <row r="2009" spans="1:14" x14ac:dyDescent="0.25">
      <c r="A2009" s="11" t="s">
        <v>207</v>
      </c>
      <c r="B2009" s="12">
        <v>45257</v>
      </c>
      <c r="C2009" s="11" t="s">
        <v>688</v>
      </c>
      <c r="D2009" s="11" t="s">
        <v>43</v>
      </c>
      <c r="E2009" s="14" t="s">
        <v>288</v>
      </c>
      <c r="F2009" s="14" t="s">
        <v>288</v>
      </c>
      <c r="G2009" s="14" t="s">
        <v>173</v>
      </c>
      <c r="I2009" s="11">
        <f t="shared" si="96"/>
        <v>3</v>
      </c>
      <c r="J2009" s="16">
        <v>1400</v>
      </c>
      <c r="M2009" s="17">
        <f t="shared" si="94"/>
        <v>390129.95000000013</v>
      </c>
      <c r="N2009" s="11">
        <f t="shared" si="95"/>
        <v>11</v>
      </c>
    </row>
    <row r="2010" spans="1:14" x14ac:dyDescent="0.25">
      <c r="A2010" s="11" t="s">
        <v>207</v>
      </c>
      <c r="B2010" s="12">
        <v>45257</v>
      </c>
      <c r="C2010" s="11" t="s">
        <v>688</v>
      </c>
      <c r="D2010" s="11" t="s">
        <v>43</v>
      </c>
      <c r="E2010" s="14" t="s">
        <v>429</v>
      </c>
      <c r="F2010" s="14" t="s">
        <v>429</v>
      </c>
      <c r="G2010" s="14" t="s">
        <v>428</v>
      </c>
      <c r="I2010" s="11">
        <f t="shared" si="96"/>
        <v>1</v>
      </c>
      <c r="J2010" s="16">
        <v>831.9</v>
      </c>
      <c r="M2010" s="17">
        <f t="shared" si="94"/>
        <v>390961.85000000015</v>
      </c>
      <c r="N2010" s="11">
        <f t="shared" si="95"/>
        <v>11</v>
      </c>
    </row>
    <row r="2011" spans="1:14" x14ac:dyDescent="0.25">
      <c r="A2011" s="11" t="s">
        <v>207</v>
      </c>
      <c r="B2011" s="12">
        <v>45257</v>
      </c>
      <c r="C2011" s="11" t="s">
        <v>662</v>
      </c>
      <c r="D2011" s="11" t="s">
        <v>43</v>
      </c>
      <c r="E2011" s="13" t="s">
        <v>80</v>
      </c>
      <c r="F2011" s="14" t="s">
        <v>79</v>
      </c>
      <c r="G2011" s="14" t="s">
        <v>400</v>
      </c>
      <c r="I2011" s="11">
        <f t="shared" si="96"/>
        <v>2</v>
      </c>
      <c r="J2011" s="16">
        <v>4920</v>
      </c>
      <c r="M2011" s="17">
        <f t="shared" si="94"/>
        <v>395881.85000000015</v>
      </c>
      <c r="N2011" s="11">
        <f t="shared" si="95"/>
        <v>11</v>
      </c>
    </row>
    <row r="2012" spans="1:14" x14ac:dyDescent="0.25">
      <c r="A2012" s="11" t="s">
        <v>207</v>
      </c>
      <c r="B2012" s="12">
        <v>45257</v>
      </c>
      <c r="C2012" s="11" t="s">
        <v>688</v>
      </c>
      <c r="D2012" s="11" t="s">
        <v>43</v>
      </c>
      <c r="E2012" s="13" t="s">
        <v>80</v>
      </c>
      <c r="F2012" s="14" t="s">
        <v>79</v>
      </c>
      <c r="G2012" s="14" t="s">
        <v>400</v>
      </c>
      <c r="I2012" s="11">
        <f t="shared" si="96"/>
        <v>2</v>
      </c>
      <c r="J2012" s="16">
        <v>8783.23</v>
      </c>
      <c r="M2012" s="17">
        <f t="shared" si="94"/>
        <v>404665.08000000013</v>
      </c>
      <c r="N2012" s="11">
        <f t="shared" si="95"/>
        <v>11</v>
      </c>
    </row>
    <row r="2013" spans="1:14" x14ac:dyDescent="0.25">
      <c r="A2013" s="11" t="s">
        <v>207</v>
      </c>
      <c r="B2013" s="12">
        <v>45257</v>
      </c>
      <c r="C2013" s="11" t="s">
        <v>688</v>
      </c>
      <c r="D2013" s="11" t="s">
        <v>43</v>
      </c>
      <c r="E2013" s="13" t="s">
        <v>81</v>
      </c>
      <c r="F2013" s="14" t="s">
        <v>79</v>
      </c>
      <c r="G2013" s="14" t="s">
        <v>400</v>
      </c>
      <c r="I2013" s="11">
        <f t="shared" si="96"/>
        <v>2</v>
      </c>
      <c r="J2013" s="16">
        <v>9650.6299999999992</v>
      </c>
      <c r="M2013" s="17">
        <f t="shared" si="94"/>
        <v>414315.71000000014</v>
      </c>
      <c r="N2013" s="11">
        <f t="shared" si="95"/>
        <v>11</v>
      </c>
    </row>
    <row r="2014" spans="1:14" x14ac:dyDescent="0.25">
      <c r="A2014" s="11" t="s">
        <v>207</v>
      </c>
      <c r="B2014" s="12">
        <v>45257</v>
      </c>
      <c r="C2014" s="11" t="s">
        <v>688</v>
      </c>
      <c r="D2014" s="11" t="s">
        <v>43</v>
      </c>
      <c r="E2014" s="13" t="s">
        <v>83</v>
      </c>
      <c r="F2014" s="14" t="s">
        <v>79</v>
      </c>
      <c r="G2014" s="14" t="s">
        <v>400</v>
      </c>
      <c r="I2014" s="11">
        <f t="shared" si="96"/>
        <v>2</v>
      </c>
      <c r="J2014" s="16">
        <v>400.2</v>
      </c>
      <c r="M2014" s="17">
        <f t="shared" si="94"/>
        <v>414715.91000000015</v>
      </c>
      <c r="N2014" s="11">
        <f t="shared" si="95"/>
        <v>11</v>
      </c>
    </row>
    <row r="2015" spans="1:14" x14ac:dyDescent="0.25">
      <c r="A2015" s="11" t="s">
        <v>207</v>
      </c>
      <c r="B2015" s="12">
        <v>45257</v>
      </c>
      <c r="C2015" s="11" t="s">
        <v>688</v>
      </c>
      <c r="D2015" s="11" t="s">
        <v>43</v>
      </c>
      <c r="E2015" s="13" t="s">
        <v>382</v>
      </c>
      <c r="F2015" s="14" t="s">
        <v>13</v>
      </c>
      <c r="G2015" s="14" t="s">
        <v>400</v>
      </c>
      <c r="I2015" s="11">
        <f t="shared" si="96"/>
        <v>2</v>
      </c>
      <c r="J2015" s="16">
        <v>747</v>
      </c>
      <c r="M2015" s="17">
        <f t="shared" si="94"/>
        <v>415462.91000000015</v>
      </c>
      <c r="N2015" s="11">
        <f t="shared" si="95"/>
        <v>11</v>
      </c>
    </row>
    <row r="2016" spans="1:14" x14ac:dyDescent="0.25">
      <c r="A2016" s="11" t="s">
        <v>207</v>
      </c>
      <c r="B2016" s="12">
        <v>45257</v>
      </c>
      <c r="C2016" s="11" t="s">
        <v>688</v>
      </c>
      <c r="D2016" s="11" t="s">
        <v>43</v>
      </c>
      <c r="E2016" s="13" t="s">
        <v>382</v>
      </c>
      <c r="F2016" s="14" t="s">
        <v>13</v>
      </c>
      <c r="G2016" s="14" t="s">
        <v>400</v>
      </c>
      <c r="I2016" s="11">
        <f t="shared" si="96"/>
        <v>2</v>
      </c>
      <c r="J2016" s="16">
        <v>457.73</v>
      </c>
      <c r="M2016" s="17">
        <f t="shared" si="94"/>
        <v>415920.64000000013</v>
      </c>
      <c r="N2016" s="11">
        <f t="shared" si="95"/>
        <v>11</v>
      </c>
    </row>
    <row r="2017" spans="1:14" x14ac:dyDescent="0.25">
      <c r="A2017" s="11" t="s">
        <v>207</v>
      </c>
      <c r="B2017" s="12">
        <v>45257</v>
      </c>
      <c r="C2017" s="11" t="s">
        <v>688</v>
      </c>
      <c r="D2017" s="11" t="s">
        <v>43</v>
      </c>
      <c r="E2017" s="13" t="s">
        <v>382</v>
      </c>
      <c r="F2017" s="14" t="s">
        <v>13</v>
      </c>
      <c r="G2017" s="14" t="s">
        <v>400</v>
      </c>
      <c r="I2017" s="11">
        <f t="shared" si="96"/>
        <v>2</v>
      </c>
      <c r="J2017" s="16">
        <v>1589.62</v>
      </c>
      <c r="M2017" s="17">
        <f t="shared" si="94"/>
        <v>417510.26000000013</v>
      </c>
      <c r="N2017" s="11">
        <f t="shared" si="95"/>
        <v>11</v>
      </c>
    </row>
    <row r="2018" spans="1:14" x14ac:dyDescent="0.25">
      <c r="A2018" s="11" t="s">
        <v>207</v>
      </c>
      <c r="B2018" s="12">
        <v>45257</v>
      </c>
      <c r="C2018" s="11" t="s">
        <v>688</v>
      </c>
      <c r="D2018" s="11" t="s">
        <v>43</v>
      </c>
      <c r="E2018" s="13" t="s">
        <v>382</v>
      </c>
      <c r="F2018" s="14" t="s">
        <v>13</v>
      </c>
      <c r="G2018" s="14" t="s">
        <v>400</v>
      </c>
      <c r="I2018" s="11">
        <f t="shared" si="96"/>
        <v>2</v>
      </c>
      <c r="J2018" s="16">
        <v>114.32</v>
      </c>
      <c r="M2018" s="17">
        <f t="shared" si="94"/>
        <v>417624.58000000013</v>
      </c>
      <c r="N2018" s="11">
        <f t="shared" si="95"/>
        <v>11</v>
      </c>
    </row>
    <row r="2019" spans="1:14" x14ac:dyDescent="0.25">
      <c r="A2019" s="11" t="s">
        <v>207</v>
      </c>
      <c r="B2019" s="12">
        <v>45257</v>
      </c>
      <c r="C2019" s="11" t="s">
        <v>688</v>
      </c>
      <c r="D2019" s="11" t="s">
        <v>43</v>
      </c>
      <c r="E2019" s="13" t="s">
        <v>382</v>
      </c>
      <c r="F2019" s="14" t="s">
        <v>13</v>
      </c>
      <c r="G2019" s="14" t="s">
        <v>400</v>
      </c>
      <c r="I2019" s="11">
        <f t="shared" si="96"/>
        <v>2</v>
      </c>
      <c r="J2019" s="16">
        <v>565.66999999999996</v>
      </c>
      <c r="M2019" s="17">
        <f t="shared" si="94"/>
        <v>418190.25000000012</v>
      </c>
      <c r="N2019" s="11">
        <f t="shared" si="95"/>
        <v>11</v>
      </c>
    </row>
    <row r="2020" spans="1:14" x14ac:dyDescent="0.25">
      <c r="A2020" s="11" t="s">
        <v>207</v>
      </c>
      <c r="B2020" s="12">
        <v>45257</v>
      </c>
      <c r="C2020" s="11" t="s">
        <v>688</v>
      </c>
      <c r="D2020" s="11" t="s">
        <v>43</v>
      </c>
      <c r="E2020" s="13" t="s">
        <v>382</v>
      </c>
      <c r="F2020" s="14" t="s">
        <v>13</v>
      </c>
      <c r="G2020" s="14" t="s">
        <v>400</v>
      </c>
      <c r="I2020" s="11">
        <f t="shared" si="96"/>
        <v>2</v>
      </c>
      <c r="J2020" s="16">
        <v>868.35</v>
      </c>
      <c r="M2020" s="17">
        <f t="shared" si="94"/>
        <v>419058.60000000009</v>
      </c>
      <c r="N2020" s="11">
        <f t="shared" si="95"/>
        <v>11</v>
      </c>
    </row>
    <row r="2021" spans="1:14" x14ac:dyDescent="0.25">
      <c r="A2021" s="11" t="s">
        <v>207</v>
      </c>
      <c r="B2021" s="12">
        <v>45257</v>
      </c>
      <c r="C2021" s="11" t="s">
        <v>688</v>
      </c>
      <c r="D2021" s="11" t="s">
        <v>43</v>
      </c>
      <c r="E2021" s="13" t="s">
        <v>382</v>
      </c>
      <c r="F2021" s="14" t="s">
        <v>13</v>
      </c>
      <c r="G2021" s="14" t="s">
        <v>400</v>
      </c>
      <c r="I2021" s="11">
        <f t="shared" si="96"/>
        <v>2</v>
      </c>
      <c r="J2021" s="16">
        <v>1504.5</v>
      </c>
      <c r="M2021" s="17">
        <f t="shared" si="94"/>
        <v>420563.10000000009</v>
      </c>
      <c r="N2021" s="11">
        <f t="shared" si="95"/>
        <v>11</v>
      </c>
    </row>
    <row r="2022" spans="1:14" x14ac:dyDescent="0.25">
      <c r="A2022" s="11" t="s">
        <v>207</v>
      </c>
      <c r="B2022" s="12">
        <v>45257</v>
      </c>
      <c r="C2022" s="11" t="s">
        <v>688</v>
      </c>
      <c r="D2022" s="11" t="s">
        <v>43</v>
      </c>
      <c r="E2022" s="13" t="s">
        <v>382</v>
      </c>
      <c r="F2022" s="14" t="s">
        <v>13</v>
      </c>
      <c r="G2022" s="14" t="s">
        <v>400</v>
      </c>
      <c r="I2022" s="11">
        <f t="shared" si="96"/>
        <v>2</v>
      </c>
      <c r="J2022" s="16">
        <v>44.29</v>
      </c>
      <c r="M2022" s="17">
        <f t="shared" si="94"/>
        <v>420607.39000000007</v>
      </c>
      <c r="N2022" s="11">
        <f t="shared" si="95"/>
        <v>11</v>
      </c>
    </row>
    <row r="2023" spans="1:14" x14ac:dyDescent="0.25">
      <c r="A2023" s="11" t="s">
        <v>207</v>
      </c>
      <c r="B2023" s="12">
        <v>45257</v>
      </c>
      <c r="C2023" s="11" t="s">
        <v>688</v>
      </c>
      <c r="D2023" s="11" t="s">
        <v>43</v>
      </c>
      <c r="E2023" s="13" t="s">
        <v>382</v>
      </c>
      <c r="F2023" s="14" t="s">
        <v>13</v>
      </c>
      <c r="G2023" s="14" t="s">
        <v>400</v>
      </c>
      <c r="I2023" s="11">
        <f t="shared" si="96"/>
        <v>2</v>
      </c>
      <c r="J2023" s="16">
        <v>384.67</v>
      </c>
      <c r="M2023" s="17">
        <f t="shared" si="94"/>
        <v>420992.06000000006</v>
      </c>
      <c r="N2023" s="11">
        <f t="shared" si="95"/>
        <v>11</v>
      </c>
    </row>
    <row r="2024" spans="1:14" x14ac:dyDescent="0.25">
      <c r="A2024" s="11" t="s">
        <v>207</v>
      </c>
      <c r="B2024" s="12">
        <v>45257</v>
      </c>
      <c r="C2024" s="11" t="s">
        <v>688</v>
      </c>
      <c r="D2024" s="11" t="s">
        <v>43</v>
      </c>
      <c r="E2024" s="13" t="s">
        <v>382</v>
      </c>
      <c r="F2024" s="14" t="s">
        <v>13</v>
      </c>
      <c r="G2024" s="14" t="s">
        <v>400</v>
      </c>
      <c r="I2024" s="11">
        <f t="shared" si="96"/>
        <v>2</v>
      </c>
      <c r="J2024" s="16">
        <v>606.79</v>
      </c>
      <c r="M2024" s="17">
        <f t="shared" si="94"/>
        <v>421598.85000000003</v>
      </c>
      <c r="N2024" s="11">
        <f t="shared" si="95"/>
        <v>11</v>
      </c>
    </row>
    <row r="2025" spans="1:14" x14ac:dyDescent="0.25">
      <c r="A2025" s="11" t="s">
        <v>207</v>
      </c>
      <c r="B2025" s="12">
        <v>45257</v>
      </c>
      <c r="C2025" s="11" t="s">
        <v>688</v>
      </c>
      <c r="D2025" s="11" t="s">
        <v>43</v>
      </c>
      <c r="E2025" s="13" t="s">
        <v>382</v>
      </c>
      <c r="F2025" s="14" t="s">
        <v>13</v>
      </c>
      <c r="G2025" s="14" t="s">
        <v>400</v>
      </c>
      <c r="I2025" s="11">
        <f t="shared" si="96"/>
        <v>2</v>
      </c>
      <c r="J2025" s="16">
        <v>895.27</v>
      </c>
      <c r="M2025" s="17">
        <f t="shared" si="94"/>
        <v>422494.12000000005</v>
      </c>
      <c r="N2025" s="11">
        <f t="shared" si="95"/>
        <v>11</v>
      </c>
    </row>
    <row r="2026" spans="1:14" x14ac:dyDescent="0.25">
      <c r="A2026" s="11" t="s">
        <v>207</v>
      </c>
      <c r="B2026" s="12">
        <v>45257</v>
      </c>
      <c r="C2026" s="11" t="s">
        <v>688</v>
      </c>
      <c r="D2026" s="11" t="s">
        <v>43</v>
      </c>
      <c r="E2026" s="13" t="s">
        <v>382</v>
      </c>
      <c r="F2026" s="14" t="s">
        <v>13</v>
      </c>
      <c r="G2026" s="14" t="s">
        <v>400</v>
      </c>
      <c r="I2026" s="11">
        <f t="shared" si="96"/>
        <v>2</v>
      </c>
      <c r="J2026" s="16">
        <v>4.95</v>
      </c>
      <c r="M2026" s="17">
        <f t="shared" si="94"/>
        <v>422499.07000000007</v>
      </c>
      <c r="N2026" s="11">
        <f t="shared" si="95"/>
        <v>11</v>
      </c>
    </row>
    <row r="2027" spans="1:14" x14ac:dyDescent="0.25">
      <c r="A2027" s="11" t="s">
        <v>207</v>
      </c>
      <c r="B2027" s="12">
        <v>45257</v>
      </c>
      <c r="C2027" s="11" t="s">
        <v>688</v>
      </c>
      <c r="D2027" s="11" t="s">
        <v>43</v>
      </c>
      <c r="E2027" s="13" t="s">
        <v>382</v>
      </c>
      <c r="F2027" s="14" t="s">
        <v>13</v>
      </c>
      <c r="G2027" s="14" t="s">
        <v>400</v>
      </c>
      <c r="I2027" s="11">
        <f t="shared" si="96"/>
        <v>2</v>
      </c>
      <c r="J2027" s="16">
        <v>640.25</v>
      </c>
      <c r="M2027" s="17">
        <f t="shared" si="94"/>
        <v>423139.32000000007</v>
      </c>
      <c r="N2027" s="11">
        <f t="shared" si="95"/>
        <v>11</v>
      </c>
    </row>
    <row r="2028" spans="1:14" x14ac:dyDescent="0.25">
      <c r="A2028" s="11" t="s">
        <v>207</v>
      </c>
      <c r="B2028" s="12">
        <v>45257</v>
      </c>
      <c r="C2028" s="11" t="s">
        <v>688</v>
      </c>
      <c r="D2028" s="11" t="s">
        <v>43</v>
      </c>
      <c r="E2028" s="13">
        <v>45257</v>
      </c>
      <c r="F2028" s="14" t="s">
        <v>472</v>
      </c>
      <c r="G2028" s="14" t="s">
        <v>400</v>
      </c>
      <c r="I2028" s="11">
        <f t="shared" si="96"/>
        <v>2</v>
      </c>
      <c r="J2028" s="16">
        <v>3835</v>
      </c>
      <c r="M2028" s="17">
        <f t="shared" si="94"/>
        <v>426974.32000000007</v>
      </c>
      <c r="N2028" s="11">
        <f t="shared" si="95"/>
        <v>11</v>
      </c>
    </row>
    <row r="2029" spans="1:14" x14ac:dyDescent="0.25">
      <c r="A2029" s="11" t="s">
        <v>0</v>
      </c>
      <c r="B2029" s="12">
        <v>45257</v>
      </c>
      <c r="C2029" s="11" t="s">
        <v>688</v>
      </c>
      <c r="D2029" s="11" t="s">
        <v>694</v>
      </c>
      <c r="E2029" s="13" t="s">
        <v>182</v>
      </c>
      <c r="F2029" s="14" t="s">
        <v>365</v>
      </c>
      <c r="G2029" s="14" t="s">
        <v>402</v>
      </c>
      <c r="I2029" s="11">
        <f t="shared" si="96"/>
        <v>5</v>
      </c>
      <c r="K2029" s="16">
        <v>14.43</v>
      </c>
      <c r="M2029" s="17">
        <f t="shared" si="94"/>
        <v>426959.89000000007</v>
      </c>
      <c r="N2029" s="11">
        <f t="shared" si="95"/>
        <v>11</v>
      </c>
    </row>
    <row r="2030" spans="1:14" x14ac:dyDescent="0.25">
      <c r="A2030" s="11" t="s">
        <v>0</v>
      </c>
      <c r="B2030" s="12">
        <v>45257</v>
      </c>
      <c r="C2030" s="11" t="s">
        <v>688</v>
      </c>
      <c r="D2030" s="11" t="s">
        <v>694</v>
      </c>
      <c r="E2030" s="13" t="s">
        <v>182</v>
      </c>
      <c r="F2030" s="14" t="s">
        <v>23</v>
      </c>
      <c r="G2030" s="14" t="s">
        <v>402</v>
      </c>
      <c r="I2030" s="11">
        <f t="shared" si="96"/>
        <v>5</v>
      </c>
      <c r="K2030" s="16">
        <v>38.43</v>
      </c>
      <c r="M2030" s="17">
        <f t="shared" si="94"/>
        <v>426921.46000000008</v>
      </c>
      <c r="N2030" s="11">
        <f t="shared" si="95"/>
        <v>11</v>
      </c>
    </row>
    <row r="2031" spans="1:14" ht="26.4" x14ac:dyDescent="0.25">
      <c r="A2031" s="11" t="s">
        <v>0</v>
      </c>
      <c r="B2031" s="12">
        <v>45257</v>
      </c>
      <c r="C2031" s="11" t="s">
        <v>688</v>
      </c>
      <c r="D2031" s="11" t="s">
        <v>692</v>
      </c>
      <c r="E2031" s="13" t="s">
        <v>143</v>
      </c>
      <c r="F2031" s="14" t="s">
        <v>511</v>
      </c>
      <c r="G2031" s="14" t="s">
        <v>403</v>
      </c>
      <c r="H2031" s="15" t="s">
        <v>550</v>
      </c>
      <c r="I2031" s="11">
        <f t="shared" si="96"/>
        <v>5</v>
      </c>
      <c r="K2031" s="16">
        <v>3025.9</v>
      </c>
      <c r="M2031" s="17">
        <f t="shared" si="94"/>
        <v>423895.56000000006</v>
      </c>
      <c r="N2031" s="11">
        <f t="shared" si="95"/>
        <v>11</v>
      </c>
    </row>
    <row r="2032" spans="1:14" x14ac:dyDescent="0.25">
      <c r="A2032" s="11" t="s">
        <v>0</v>
      </c>
      <c r="B2032" s="12">
        <v>45257</v>
      </c>
      <c r="C2032" s="11" t="s">
        <v>688</v>
      </c>
      <c r="D2032" s="11" t="s">
        <v>692</v>
      </c>
      <c r="E2032" s="13" t="s">
        <v>467</v>
      </c>
      <c r="F2032" s="14" t="s">
        <v>769</v>
      </c>
      <c r="G2032" s="14" t="s">
        <v>403</v>
      </c>
      <c r="H2032" s="15">
        <v>27269</v>
      </c>
      <c r="I2032" s="11">
        <f t="shared" si="96"/>
        <v>5</v>
      </c>
      <c r="K2032" s="16">
        <v>544.04</v>
      </c>
      <c r="M2032" s="17">
        <f t="shared" si="94"/>
        <v>423351.52000000008</v>
      </c>
      <c r="N2032" s="11">
        <f t="shared" si="95"/>
        <v>11</v>
      </c>
    </row>
    <row r="2033" spans="1:14" x14ac:dyDescent="0.25">
      <c r="A2033" s="11" t="s">
        <v>0</v>
      </c>
      <c r="B2033" s="12">
        <v>45257</v>
      </c>
      <c r="C2033" s="11" t="s">
        <v>688</v>
      </c>
      <c r="D2033" s="11" t="s">
        <v>692</v>
      </c>
      <c r="E2033" s="13" t="s">
        <v>467</v>
      </c>
      <c r="F2033" s="14" t="s">
        <v>768</v>
      </c>
      <c r="G2033" s="14" t="s">
        <v>403</v>
      </c>
      <c r="H2033" s="15">
        <v>26048</v>
      </c>
      <c r="I2033" s="11">
        <f t="shared" si="96"/>
        <v>5</v>
      </c>
      <c r="K2033" s="16">
        <v>1166.95</v>
      </c>
      <c r="M2033" s="17">
        <f t="shared" si="94"/>
        <v>422184.57000000007</v>
      </c>
      <c r="N2033" s="11">
        <f t="shared" si="95"/>
        <v>11</v>
      </c>
    </row>
    <row r="2034" spans="1:14" x14ac:dyDescent="0.25">
      <c r="A2034" s="11" t="s">
        <v>0</v>
      </c>
      <c r="B2034" s="12">
        <v>45257</v>
      </c>
      <c r="C2034" s="11" t="s">
        <v>688</v>
      </c>
      <c r="D2034" s="11" t="s">
        <v>692</v>
      </c>
      <c r="E2034" s="13" t="s">
        <v>467</v>
      </c>
      <c r="F2034" s="14" t="s">
        <v>769</v>
      </c>
      <c r="G2034" s="14" t="s">
        <v>403</v>
      </c>
      <c r="H2034" s="15">
        <v>27271</v>
      </c>
      <c r="I2034" s="11">
        <f t="shared" si="96"/>
        <v>5</v>
      </c>
      <c r="K2034" s="16">
        <v>408.04</v>
      </c>
      <c r="M2034" s="17">
        <f t="shared" si="94"/>
        <v>421776.53000000009</v>
      </c>
      <c r="N2034" s="11">
        <f t="shared" si="95"/>
        <v>11</v>
      </c>
    </row>
    <row r="2035" spans="1:14" x14ac:dyDescent="0.25">
      <c r="A2035" s="11" t="s">
        <v>207</v>
      </c>
      <c r="B2035" s="12">
        <v>45257</v>
      </c>
      <c r="C2035" s="11" t="s">
        <v>688</v>
      </c>
      <c r="D2035" s="11" t="s">
        <v>43</v>
      </c>
      <c r="E2035" s="13">
        <v>45257</v>
      </c>
      <c r="F2035" s="14" t="s">
        <v>472</v>
      </c>
      <c r="G2035" s="14" t="s">
        <v>400</v>
      </c>
      <c r="I2035" s="11">
        <f t="shared" si="96"/>
        <v>2</v>
      </c>
      <c r="J2035" s="16">
        <v>2100.75</v>
      </c>
      <c r="M2035" s="17">
        <f t="shared" si="94"/>
        <v>423877.28000000009</v>
      </c>
      <c r="N2035" s="11">
        <f t="shared" si="95"/>
        <v>11</v>
      </c>
    </row>
    <row r="2036" spans="1:14" x14ac:dyDescent="0.25">
      <c r="A2036" s="11" t="s">
        <v>0</v>
      </c>
      <c r="B2036" s="12">
        <v>45257</v>
      </c>
      <c r="C2036" s="11" t="s">
        <v>688</v>
      </c>
      <c r="D2036" s="11" t="s">
        <v>692</v>
      </c>
      <c r="E2036" s="13" t="s">
        <v>492</v>
      </c>
      <c r="F2036" s="14" t="s">
        <v>111</v>
      </c>
      <c r="G2036" s="14" t="s">
        <v>404</v>
      </c>
      <c r="H2036" s="15" t="s">
        <v>643</v>
      </c>
      <c r="I2036" s="11">
        <f t="shared" si="96"/>
        <v>5</v>
      </c>
      <c r="K2036" s="16">
        <v>4422</v>
      </c>
      <c r="M2036" s="17">
        <f t="shared" si="94"/>
        <v>419455.28000000009</v>
      </c>
      <c r="N2036" s="11">
        <f t="shared" si="95"/>
        <v>11</v>
      </c>
    </row>
    <row r="2037" spans="1:14" x14ac:dyDescent="0.25">
      <c r="A2037" s="11" t="s">
        <v>0</v>
      </c>
      <c r="B2037" s="12">
        <v>45257</v>
      </c>
      <c r="C2037" s="11" t="s">
        <v>688</v>
      </c>
      <c r="D2037" s="11" t="s">
        <v>720</v>
      </c>
      <c r="E2037" s="13" t="s">
        <v>183</v>
      </c>
      <c r="F2037" s="14" t="s">
        <v>366</v>
      </c>
      <c r="G2037" s="14" t="s">
        <v>404</v>
      </c>
      <c r="H2037" s="15">
        <v>58</v>
      </c>
      <c r="I2037" s="11">
        <f t="shared" si="96"/>
        <v>5</v>
      </c>
      <c r="K2037" s="16">
        <v>220</v>
      </c>
      <c r="M2037" s="17">
        <f t="shared" si="94"/>
        <v>419235.28000000009</v>
      </c>
      <c r="N2037" s="11">
        <f t="shared" si="95"/>
        <v>11</v>
      </c>
    </row>
    <row r="2038" spans="1:14" x14ac:dyDescent="0.25">
      <c r="A2038" s="11" t="s">
        <v>0</v>
      </c>
      <c r="B2038" s="12">
        <v>45257</v>
      </c>
      <c r="C2038" s="11" t="s">
        <v>688</v>
      </c>
      <c r="D2038" s="11" t="s">
        <v>720</v>
      </c>
      <c r="E2038" s="13" t="s">
        <v>183</v>
      </c>
      <c r="F2038" s="14" t="s">
        <v>366</v>
      </c>
      <c r="G2038" s="14" t="s">
        <v>404</v>
      </c>
      <c r="H2038" s="15">
        <v>58</v>
      </c>
      <c r="I2038" s="11">
        <f t="shared" si="96"/>
        <v>5</v>
      </c>
      <c r="K2038" s="16">
        <v>350</v>
      </c>
      <c r="M2038" s="17">
        <f t="shared" si="94"/>
        <v>418885.28000000009</v>
      </c>
      <c r="N2038" s="11">
        <f t="shared" si="95"/>
        <v>11</v>
      </c>
    </row>
    <row r="2039" spans="1:14" x14ac:dyDescent="0.25">
      <c r="A2039" s="11" t="s">
        <v>0</v>
      </c>
      <c r="B2039" s="12">
        <v>45257</v>
      </c>
      <c r="C2039" s="11" t="s">
        <v>688</v>
      </c>
      <c r="D2039" s="11" t="s">
        <v>694</v>
      </c>
      <c r="E2039" s="13" t="s">
        <v>181</v>
      </c>
      <c r="F2039" s="14" t="s">
        <v>516</v>
      </c>
      <c r="G2039" s="14" t="s">
        <v>404</v>
      </c>
      <c r="H2039" s="15">
        <v>6857</v>
      </c>
      <c r="I2039" s="11">
        <f t="shared" si="96"/>
        <v>5</v>
      </c>
      <c r="K2039" s="16">
        <v>400</v>
      </c>
      <c r="M2039" s="17">
        <f t="shared" si="94"/>
        <v>418485.28000000009</v>
      </c>
      <c r="N2039" s="11">
        <f t="shared" si="95"/>
        <v>11</v>
      </c>
    </row>
    <row r="2040" spans="1:14" x14ac:dyDescent="0.25">
      <c r="A2040" s="11" t="s">
        <v>0</v>
      </c>
      <c r="B2040" s="12">
        <v>45257</v>
      </c>
      <c r="C2040" s="11" t="s">
        <v>688</v>
      </c>
      <c r="D2040" s="11" t="s">
        <v>692</v>
      </c>
      <c r="E2040" s="13" t="s">
        <v>179</v>
      </c>
      <c r="F2040" s="14" t="s">
        <v>775</v>
      </c>
      <c r="G2040" s="14" t="s">
        <v>404</v>
      </c>
      <c r="H2040" s="15" t="s">
        <v>102</v>
      </c>
      <c r="I2040" s="11">
        <f t="shared" si="96"/>
        <v>5</v>
      </c>
      <c r="K2040" s="16">
        <v>1600</v>
      </c>
      <c r="M2040" s="17">
        <f t="shared" si="94"/>
        <v>416885.28000000009</v>
      </c>
      <c r="N2040" s="11">
        <f t="shared" si="95"/>
        <v>11</v>
      </c>
    </row>
    <row r="2041" spans="1:14" x14ac:dyDescent="0.25">
      <c r="A2041" s="11" t="s">
        <v>0</v>
      </c>
      <c r="B2041" s="12">
        <v>45257</v>
      </c>
      <c r="C2041" s="11" t="s">
        <v>688</v>
      </c>
      <c r="D2041" s="11" t="s">
        <v>692</v>
      </c>
      <c r="E2041" s="13" t="s">
        <v>725</v>
      </c>
      <c r="F2041" s="14" t="s">
        <v>27</v>
      </c>
      <c r="G2041" s="14" t="s">
        <v>404</v>
      </c>
      <c r="H2041" s="15">
        <v>14466</v>
      </c>
      <c r="I2041" s="11">
        <f t="shared" si="96"/>
        <v>5</v>
      </c>
      <c r="K2041" s="16">
        <v>1198.8800000000001</v>
      </c>
      <c r="M2041" s="17">
        <f t="shared" si="94"/>
        <v>415686.40000000008</v>
      </c>
      <c r="N2041" s="11">
        <f t="shared" si="95"/>
        <v>11</v>
      </c>
    </row>
    <row r="2042" spans="1:14" x14ac:dyDescent="0.25">
      <c r="A2042" s="11" t="s">
        <v>0</v>
      </c>
      <c r="B2042" s="12">
        <v>45257</v>
      </c>
      <c r="C2042" s="11" t="s">
        <v>688</v>
      </c>
      <c r="D2042" s="11" t="s">
        <v>692</v>
      </c>
      <c r="E2042" s="13" t="s">
        <v>730</v>
      </c>
      <c r="F2042" s="14" t="s">
        <v>34</v>
      </c>
      <c r="G2042" s="14" t="s">
        <v>404</v>
      </c>
      <c r="H2042" s="15" t="s">
        <v>103</v>
      </c>
      <c r="I2042" s="11">
        <f t="shared" si="96"/>
        <v>5</v>
      </c>
      <c r="K2042" s="16">
        <v>998.3</v>
      </c>
      <c r="M2042" s="17">
        <f t="shared" si="94"/>
        <v>414688.10000000009</v>
      </c>
      <c r="N2042" s="11">
        <f t="shared" si="95"/>
        <v>11</v>
      </c>
    </row>
    <row r="2043" spans="1:14" x14ac:dyDescent="0.25">
      <c r="A2043" s="11" t="s">
        <v>0</v>
      </c>
      <c r="B2043" s="12">
        <v>45257</v>
      </c>
      <c r="C2043" s="11" t="s">
        <v>688</v>
      </c>
      <c r="D2043" s="11" t="s">
        <v>697</v>
      </c>
      <c r="E2043" s="13" t="s">
        <v>751</v>
      </c>
      <c r="F2043" s="14" t="s">
        <v>231</v>
      </c>
      <c r="G2043" s="14" t="s">
        <v>404</v>
      </c>
      <c r="H2043" s="15" t="s">
        <v>20</v>
      </c>
      <c r="I2043" s="11">
        <f t="shared" si="96"/>
        <v>5</v>
      </c>
      <c r="K2043" s="16">
        <v>2469.35</v>
      </c>
      <c r="M2043" s="17">
        <f t="shared" si="94"/>
        <v>412218.75000000012</v>
      </c>
      <c r="N2043" s="11">
        <f t="shared" si="95"/>
        <v>11</v>
      </c>
    </row>
    <row r="2044" spans="1:14" x14ac:dyDescent="0.25">
      <c r="A2044" s="11" t="s">
        <v>0</v>
      </c>
      <c r="B2044" s="12">
        <v>45257</v>
      </c>
      <c r="C2044" s="11" t="s">
        <v>688</v>
      </c>
      <c r="D2044" s="11" t="s">
        <v>697</v>
      </c>
      <c r="E2044" s="13" t="s">
        <v>751</v>
      </c>
      <c r="F2044" s="14" t="s">
        <v>230</v>
      </c>
      <c r="G2044" s="14" t="s">
        <v>404</v>
      </c>
      <c r="H2044" s="15" t="s">
        <v>20</v>
      </c>
      <c r="I2044" s="11">
        <f t="shared" si="96"/>
        <v>5</v>
      </c>
      <c r="K2044" s="16">
        <v>11373.99</v>
      </c>
      <c r="M2044" s="17">
        <f t="shared" si="94"/>
        <v>400844.76000000013</v>
      </c>
      <c r="N2044" s="11">
        <f t="shared" si="95"/>
        <v>11</v>
      </c>
    </row>
    <row r="2045" spans="1:14" x14ac:dyDescent="0.25">
      <c r="A2045" s="11" t="s">
        <v>207</v>
      </c>
      <c r="B2045" s="12">
        <v>45258</v>
      </c>
      <c r="C2045" s="11" t="s">
        <v>662</v>
      </c>
      <c r="D2045" s="11" t="s">
        <v>43</v>
      </c>
      <c r="E2045" s="14" t="s">
        <v>288</v>
      </c>
      <c r="F2045" s="14" t="s">
        <v>288</v>
      </c>
      <c r="G2045" s="14" t="s">
        <v>173</v>
      </c>
      <c r="I2045" s="11">
        <f t="shared" si="96"/>
        <v>3</v>
      </c>
      <c r="J2045" s="16">
        <v>700</v>
      </c>
      <c r="M2045" s="17">
        <f t="shared" si="94"/>
        <v>401544.76000000013</v>
      </c>
      <c r="N2045" s="11">
        <f t="shared" si="95"/>
        <v>11</v>
      </c>
    </row>
    <row r="2046" spans="1:14" x14ac:dyDescent="0.25">
      <c r="A2046" s="11" t="s">
        <v>207</v>
      </c>
      <c r="B2046" s="12">
        <v>45258</v>
      </c>
      <c r="C2046" s="11" t="s">
        <v>688</v>
      </c>
      <c r="D2046" s="11" t="s">
        <v>43</v>
      </c>
      <c r="E2046" s="14" t="s">
        <v>288</v>
      </c>
      <c r="F2046" s="14" t="s">
        <v>288</v>
      </c>
      <c r="G2046" s="14" t="s">
        <v>173</v>
      </c>
      <c r="I2046" s="11">
        <f t="shared" si="96"/>
        <v>3</v>
      </c>
      <c r="J2046" s="16">
        <v>950</v>
      </c>
      <c r="M2046" s="17">
        <f t="shared" si="94"/>
        <v>402494.76000000013</v>
      </c>
      <c r="N2046" s="11">
        <f t="shared" si="95"/>
        <v>11</v>
      </c>
    </row>
    <row r="2047" spans="1:14" x14ac:dyDescent="0.25">
      <c r="A2047" s="11" t="s">
        <v>0</v>
      </c>
      <c r="B2047" s="12">
        <v>45258</v>
      </c>
      <c r="C2047" s="11" t="s">
        <v>688</v>
      </c>
      <c r="D2047" s="11" t="s">
        <v>700</v>
      </c>
      <c r="E2047" s="13" t="s">
        <v>621</v>
      </c>
      <c r="F2047" s="14" t="s">
        <v>620</v>
      </c>
      <c r="G2047" s="14" t="s">
        <v>407</v>
      </c>
      <c r="H2047" s="15" t="s">
        <v>426</v>
      </c>
      <c r="I2047" s="11">
        <f t="shared" si="96"/>
        <v>4</v>
      </c>
      <c r="K2047" s="16">
        <v>300</v>
      </c>
      <c r="M2047" s="17">
        <f t="shared" si="94"/>
        <v>402194.76000000013</v>
      </c>
      <c r="N2047" s="11">
        <f t="shared" si="95"/>
        <v>11</v>
      </c>
    </row>
    <row r="2048" spans="1:14" x14ac:dyDescent="0.25">
      <c r="A2048" s="11" t="s">
        <v>0</v>
      </c>
      <c r="B2048" s="12">
        <v>45258</v>
      </c>
      <c r="C2048" s="11" t="s">
        <v>688</v>
      </c>
      <c r="D2048" s="11" t="s">
        <v>701</v>
      </c>
      <c r="E2048" s="13" t="s">
        <v>623</v>
      </c>
      <c r="F2048" s="14" t="s">
        <v>622</v>
      </c>
      <c r="G2048" s="14" t="s">
        <v>407</v>
      </c>
      <c r="H2048" s="15" t="s">
        <v>426</v>
      </c>
      <c r="I2048" s="11">
        <f t="shared" si="96"/>
        <v>4</v>
      </c>
      <c r="K2048" s="16">
        <v>29</v>
      </c>
      <c r="M2048" s="17">
        <f t="shared" si="94"/>
        <v>402165.76000000013</v>
      </c>
      <c r="N2048" s="11">
        <f t="shared" si="95"/>
        <v>11</v>
      </c>
    </row>
    <row r="2049" spans="1:14" x14ac:dyDescent="0.25">
      <c r="A2049" s="11" t="s">
        <v>0</v>
      </c>
      <c r="B2049" s="12">
        <v>45258</v>
      </c>
      <c r="C2049" s="11" t="s">
        <v>688</v>
      </c>
      <c r="D2049" s="11" t="s">
        <v>696</v>
      </c>
      <c r="E2049" s="13" t="s">
        <v>624</v>
      </c>
      <c r="F2049" s="14" t="s">
        <v>62</v>
      </c>
      <c r="G2049" s="14" t="s">
        <v>407</v>
      </c>
      <c r="H2049" s="15" t="s">
        <v>426</v>
      </c>
      <c r="I2049" s="11">
        <f t="shared" si="96"/>
        <v>4</v>
      </c>
      <c r="K2049" s="16">
        <v>100</v>
      </c>
      <c r="M2049" s="17">
        <f t="shared" si="94"/>
        <v>402065.76000000013</v>
      </c>
      <c r="N2049" s="11">
        <f t="shared" si="95"/>
        <v>11</v>
      </c>
    </row>
    <row r="2050" spans="1:14" x14ac:dyDescent="0.25">
      <c r="A2050" s="11" t="s">
        <v>207</v>
      </c>
      <c r="B2050" s="12">
        <v>45258</v>
      </c>
      <c r="C2050" s="11" t="s">
        <v>688</v>
      </c>
      <c r="D2050" s="11" t="s">
        <v>43</v>
      </c>
      <c r="E2050" s="14" t="s">
        <v>429</v>
      </c>
      <c r="F2050" s="14" t="s">
        <v>429</v>
      </c>
      <c r="G2050" s="14" t="s">
        <v>428</v>
      </c>
      <c r="I2050" s="11">
        <f t="shared" si="96"/>
        <v>1</v>
      </c>
      <c r="J2050" s="16">
        <v>700</v>
      </c>
      <c r="M2050" s="17">
        <f t="shared" si="94"/>
        <v>402765.76000000013</v>
      </c>
      <c r="N2050" s="11">
        <f t="shared" si="95"/>
        <v>11</v>
      </c>
    </row>
    <row r="2051" spans="1:14" x14ac:dyDescent="0.25">
      <c r="A2051" s="11" t="s">
        <v>207</v>
      </c>
      <c r="B2051" s="12">
        <v>45258</v>
      </c>
      <c r="C2051" s="11" t="s">
        <v>688</v>
      </c>
      <c r="D2051" s="11" t="s">
        <v>43</v>
      </c>
      <c r="E2051" s="13" t="s">
        <v>80</v>
      </c>
      <c r="F2051" s="14" t="s">
        <v>79</v>
      </c>
      <c r="G2051" s="14" t="s">
        <v>400</v>
      </c>
      <c r="I2051" s="11">
        <f t="shared" si="96"/>
        <v>2</v>
      </c>
      <c r="J2051" s="16">
        <v>2758.94</v>
      </c>
      <c r="M2051" s="17">
        <f t="shared" ref="M2051:M2114" si="97">IF(B2051=0, "",M2050+ J2051-K2051)</f>
        <v>405524.70000000013</v>
      </c>
      <c r="N2051" s="11">
        <f t="shared" ref="N2051:N2114" si="98">IF(B2051=0, "", MONTH(B2051))</f>
        <v>11</v>
      </c>
    </row>
    <row r="2052" spans="1:14" x14ac:dyDescent="0.25">
      <c r="A2052" s="11" t="s">
        <v>207</v>
      </c>
      <c r="B2052" s="12">
        <v>45258</v>
      </c>
      <c r="C2052" s="11" t="s">
        <v>688</v>
      </c>
      <c r="D2052" s="11" t="s">
        <v>43</v>
      </c>
      <c r="E2052" s="13" t="s">
        <v>81</v>
      </c>
      <c r="F2052" s="14" t="s">
        <v>79</v>
      </c>
      <c r="G2052" s="14" t="s">
        <v>400</v>
      </c>
      <c r="I2052" s="11">
        <f t="shared" si="96"/>
        <v>2</v>
      </c>
      <c r="J2052" s="16">
        <v>2706.63</v>
      </c>
      <c r="M2052" s="17">
        <f t="shared" si="97"/>
        <v>408231.33000000013</v>
      </c>
      <c r="N2052" s="11">
        <f t="shared" si="98"/>
        <v>11</v>
      </c>
    </row>
    <row r="2053" spans="1:14" x14ac:dyDescent="0.25">
      <c r="A2053" s="11" t="s">
        <v>207</v>
      </c>
      <c r="B2053" s="12">
        <v>45258</v>
      </c>
      <c r="C2053" s="11" t="s">
        <v>688</v>
      </c>
      <c r="D2053" s="11" t="s">
        <v>43</v>
      </c>
      <c r="E2053" s="13" t="s">
        <v>381</v>
      </c>
      <c r="F2053" s="14" t="s">
        <v>363</v>
      </c>
      <c r="G2053" s="14" t="s">
        <v>400</v>
      </c>
      <c r="I2053" s="11">
        <f t="shared" ref="I2053:I2116" si="99">IF(AND(G2053="MERCADO PAGO",A2053="FATURAMENTO"),1,IF(AND(OR(G2053="MERCADO PAGO",G2053="pix mercado pago",G2053= "débito automático mercado pago", G2053= "boleto mercado pago"),A2053="DESPESAS"),4,IF(AND(G2053="SAFRA",A2053="FATURAMENTO"),2,IF(AND(OR(G2053="SAFRA",G2053="PIX SAFRA", G2053="DÉBITO AUTOMÁTICO SAFRA", G2053= "BOLETO SAFRA", G2053= "transferência safra"), A2053="DESPESAS"),5,IF(AND(G2053="espécie",A2053="FATURAMENTO"),3,IF(AND(G2053="espécie",A2053="DESPESAS"),6))))))</f>
        <v>2</v>
      </c>
      <c r="J2053" s="16">
        <v>133.63999999999999</v>
      </c>
      <c r="M2053" s="17">
        <f t="shared" si="97"/>
        <v>408364.97000000015</v>
      </c>
      <c r="N2053" s="11">
        <f t="shared" si="98"/>
        <v>11</v>
      </c>
    </row>
    <row r="2054" spans="1:14" x14ac:dyDescent="0.25">
      <c r="A2054" s="11" t="s">
        <v>207</v>
      </c>
      <c r="B2054" s="12">
        <v>45258</v>
      </c>
      <c r="C2054" s="11" t="s">
        <v>688</v>
      </c>
      <c r="D2054" s="11" t="s">
        <v>43</v>
      </c>
      <c r="E2054" s="13" t="s">
        <v>381</v>
      </c>
      <c r="F2054" s="14" t="s">
        <v>363</v>
      </c>
      <c r="G2054" s="14" t="s">
        <v>400</v>
      </c>
      <c r="I2054" s="11">
        <f t="shared" si="99"/>
        <v>2</v>
      </c>
      <c r="J2054" s="16">
        <v>145.5</v>
      </c>
      <c r="M2054" s="17">
        <f t="shared" si="97"/>
        <v>408510.47000000015</v>
      </c>
      <c r="N2054" s="11">
        <f t="shared" si="98"/>
        <v>11</v>
      </c>
    </row>
    <row r="2055" spans="1:14" x14ac:dyDescent="0.25">
      <c r="A2055" s="11" t="s">
        <v>207</v>
      </c>
      <c r="B2055" s="12">
        <v>45258</v>
      </c>
      <c r="C2055" s="11" t="s">
        <v>688</v>
      </c>
      <c r="D2055" s="11" t="s">
        <v>43</v>
      </c>
      <c r="E2055" s="13" t="s">
        <v>382</v>
      </c>
      <c r="F2055" s="14" t="s">
        <v>13</v>
      </c>
      <c r="G2055" s="14" t="s">
        <v>400</v>
      </c>
      <c r="I2055" s="11">
        <f t="shared" si="99"/>
        <v>2</v>
      </c>
      <c r="J2055" s="16">
        <v>107.6</v>
      </c>
      <c r="M2055" s="17">
        <f t="shared" si="97"/>
        <v>408618.07000000012</v>
      </c>
      <c r="N2055" s="11">
        <f t="shared" si="98"/>
        <v>11</v>
      </c>
    </row>
    <row r="2056" spans="1:14" x14ac:dyDescent="0.25">
      <c r="A2056" s="11" t="s">
        <v>207</v>
      </c>
      <c r="B2056" s="12">
        <v>45258</v>
      </c>
      <c r="C2056" s="11" t="s">
        <v>688</v>
      </c>
      <c r="D2056" s="11" t="s">
        <v>43</v>
      </c>
      <c r="E2056" s="13" t="s">
        <v>382</v>
      </c>
      <c r="F2056" s="14" t="s">
        <v>13</v>
      </c>
      <c r="G2056" s="14" t="s">
        <v>400</v>
      </c>
      <c r="I2056" s="11">
        <f t="shared" si="99"/>
        <v>2</v>
      </c>
      <c r="J2056" s="16">
        <v>153.52000000000001</v>
      </c>
      <c r="M2056" s="17">
        <f t="shared" si="97"/>
        <v>408771.59000000014</v>
      </c>
      <c r="N2056" s="11">
        <f t="shared" si="98"/>
        <v>11</v>
      </c>
    </row>
    <row r="2057" spans="1:14" x14ac:dyDescent="0.25">
      <c r="A2057" s="11" t="s">
        <v>207</v>
      </c>
      <c r="B2057" s="12">
        <v>45258</v>
      </c>
      <c r="C2057" s="11" t="s">
        <v>688</v>
      </c>
      <c r="D2057" s="11" t="s">
        <v>43</v>
      </c>
      <c r="E2057" s="13" t="s">
        <v>382</v>
      </c>
      <c r="F2057" s="14" t="s">
        <v>13</v>
      </c>
      <c r="G2057" s="14" t="s">
        <v>400</v>
      </c>
      <c r="I2057" s="11">
        <f t="shared" si="99"/>
        <v>2</v>
      </c>
      <c r="J2057" s="16">
        <v>804.6</v>
      </c>
      <c r="M2057" s="17">
        <f t="shared" si="97"/>
        <v>409576.19000000012</v>
      </c>
      <c r="N2057" s="11">
        <f t="shared" si="98"/>
        <v>11</v>
      </c>
    </row>
    <row r="2058" spans="1:14" x14ac:dyDescent="0.25">
      <c r="A2058" s="11" t="s">
        <v>207</v>
      </c>
      <c r="B2058" s="12">
        <v>45258</v>
      </c>
      <c r="C2058" s="11" t="s">
        <v>688</v>
      </c>
      <c r="D2058" s="11" t="s">
        <v>43</v>
      </c>
      <c r="E2058" s="13" t="s">
        <v>382</v>
      </c>
      <c r="F2058" s="14" t="s">
        <v>13</v>
      </c>
      <c r="G2058" s="14" t="s">
        <v>400</v>
      </c>
      <c r="I2058" s="11">
        <f t="shared" si="99"/>
        <v>2</v>
      </c>
      <c r="J2058" s="16">
        <v>41.35</v>
      </c>
      <c r="M2058" s="17">
        <f t="shared" si="97"/>
        <v>409617.5400000001</v>
      </c>
      <c r="N2058" s="11">
        <f t="shared" si="98"/>
        <v>11</v>
      </c>
    </row>
    <row r="2059" spans="1:14" x14ac:dyDescent="0.25">
      <c r="A2059" s="11" t="s">
        <v>207</v>
      </c>
      <c r="B2059" s="12">
        <v>45258</v>
      </c>
      <c r="C2059" s="11" t="s">
        <v>688</v>
      </c>
      <c r="D2059" s="11" t="s">
        <v>43</v>
      </c>
      <c r="E2059" s="13">
        <v>45258</v>
      </c>
      <c r="F2059" s="14" t="s">
        <v>472</v>
      </c>
      <c r="G2059" s="14" t="s">
        <v>400</v>
      </c>
      <c r="I2059" s="11">
        <f t="shared" si="99"/>
        <v>2</v>
      </c>
      <c r="J2059" s="16">
        <v>3188.8</v>
      </c>
      <c r="M2059" s="17">
        <f t="shared" si="97"/>
        <v>412806.34000000008</v>
      </c>
      <c r="N2059" s="11">
        <f t="shared" si="98"/>
        <v>11</v>
      </c>
    </row>
    <row r="2060" spans="1:14" x14ac:dyDescent="0.25">
      <c r="A2060" s="11" t="s">
        <v>0</v>
      </c>
      <c r="B2060" s="12">
        <v>45258</v>
      </c>
      <c r="C2060" s="11" t="s">
        <v>688</v>
      </c>
      <c r="D2060" s="11" t="s">
        <v>694</v>
      </c>
      <c r="E2060" s="13" t="s">
        <v>182</v>
      </c>
      <c r="F2060" s="14" t="s">
        <v>365</v>
      </c>
      <c r="G2060" s="14" t="s">
        <v>402</v>
      </c>
      <c r="I2060" s="11">
        <f t="shared" si="99"/>
        <v>5</v>
      </c>
      <c r="K2060" s="16">
        <v>1.31</v>
      </c>
      <c r="M2060" s="17">
        <f t="shared" si="97"/>
        <v>412805.03000000009</v>
      </c>
      <c r="N2060" s="11">
        <f t="shared" si="98"/>
        <v>11</v>
      </c>
    </row>
    <row r="2061" spans="1:14" x14ac:dyDescent="0.25">
      <c r="A2061" s="11" t="s">
        <v>0</v>
      </c>
      <c r="B2061" s="12">
        <v>45258</v>
      </c>
      <c r="C2061" s="11" t="s">
        <v>688</v>
      </c>
      <c r="D2061" s="11" t="s">
        <v>694</v>
      </c>
      <c r="E2061" s="13" t="s">
        <v>182</v>
      </c>
      <c r="F2061" s="14" t="s">
        <v>23</v>
      </c>
      <c r="G2061" s="14" t="s">
        <v>402</v>
      </c>
      <c r="I2061" s="11">
        <f t="shared" si="99"/>
        <v>5</v>
      </c>
      <c r="K2061" s="16">
        <v>30.45</v>
      </c>
      <c r="M2061" s="17">
        <f t="shared" si="97"/>
        <v>412774.58000000007</v>
      </c>
      <c r="N2061" s="11">
        <f t="shared" si="98"/>
        <v>11</v>
      </c>
    </row>
    <row r="2062" spans="1:14" x14ac:dyDescent="0.25">
      <c r="A2062" s="11" t="s">
        <v>0</v>
      </c>
      <c r="B2062" s="12">
        <v>45258</v>
      </c>
      <c r="C2062" s="11" t="s">
        <v>688</v>
      </c>
      <c r="D2062" s="11" t="s">
        <v>692</v>
      </c>
      <c r="E2062" s="13" t="s">
        <v>179</v>
      </c>
      <c r="F2062" s="14" t="s">
        <v>28</v>
      </c>
      <c r="G2062" s="14" t="s">
        <v>404</v>
      </c>
      <c r="H2062" s="15">
        <v>48</v>
      </c>
      <c r="I2062" s="11">
        <f t="shared" si="99"/>
        <v>5</v>
      </c>
      <c r="K2062" s="16">
        <v>3230</v>
      </c>
      <c r="M2062" s="17">
        <f t="shared" si="97"/>
        <v>409544.58000000007</v>
      </c>
      <c r="N2062" s="11">
        <f t="shared" si="98"/>
        <v>11</v>
      </c>
    </row>
    <row r="2063" spans="1:14" x14ac:dyDescent="0.25">
      <c r="A2063" s="11" t="s">
        <v>0</v>
      </c>
      <c r="B2063" s="12">
        <v>45258</v>
      </c>
      <c r="C2063" s="11" t="s">
        <v>689</v>
      </c>
      <c r="D2063" s="11" t="s">
        <v>47</v>
      </c>
      <c r="E2063" s="13" t="s">
        <v>543</v>
      </c>
      <c r="F2063" s="14" t="s">
        <v>542</v>
      </c>
      <c r="G2063" s="14" t="s">
        <v>404</v>
      </c>
      <c r="H2063" s="15">
        <v>1</v>
      </c>
      <c r="I2063" s="11">
        <f t="shared" si="99"/>
        <v>5</v>
      </c>
      <c r="K2063" s="16">
        <v>84</v>
      </c>
      <c r="M2063" s="17">
        <f t="shared" si="97"/>
        <v>409460.58000000007</v>
      </c>
      <c r="N2063" s="11">
        <f t="shared" si="98"/>
        <v>11</v>
      </c>
    </row>
    <row r="2064" spans="1:14" x14ac:dyDescent="0.25">
      <c r="A2064" s="11" t="s">
        <v>0</v>
      </c>
      <c r="B2064" s="12">
        <v>45258</v>
      </c>
      <c r="C2064" s="11" t="s">
        <v>688</v>
      </c>
      <c r="D2064" s="11" t="s">
        <v>692</v>
      </c>
      <c r="E2064" s="13" t="s">
        <v>717</v>
      </c>
      <c r="F2064" s="14" t="s">
        <v>76</v>
      </c>
      <c r="G2064" s="14" t="s">
        <v>404</v>
      </c>
      <c r="H2064" s="15">
        <v>1233022</v>
      </c>
      <c r="I2064" s="11">
        <f t="shared" si="99"/>
        <v>5</v>
      </c>
      <c r="K2064" s="16">
        <v>1563.08</v>
      </c>
      <c r="M2064" s="17">
        <f t="shared" si="97"/>
        <v>407897.50000000006</v>
      </c>
      <c r="N2064" s="11">
        <f t="shared" si="98"/>
        <v>11</v>
      </c>
    </row>
    <row r="2065" spans="1:14" x14ac:dyDescent="0.25">
      <c r="A2065" s="11" t="s">
        <v>0</v>
      </c>
      <c r="B2065" s="12">
        <v>45259</v>
      </c>
      <c r="C2065" s="11" t="s">
        <v>688</v>
      </c>
      <c r="D2065" s="11" t="s">
        <v>696</v>
      </c>
      <c r="E2065" s="13" t="s">
        <v>625</v>
      </c>
      <c r="F2065" s="14" t="s">
        <v>62</v>
      </c>
      <c r="G2065" s="14" t="s">
        <v>407</v>
      </c>
      <c r="H2065" s="15" t="s">
        <v>426</v>
      </c>
      <c r="I2065" s="11">
        <f t="shared" si="99"/>
        <v>4</v>
      </c>
      <c r="K2065" s="16">
        <v>1300</v>
      </c>
      <c r="M2065" s="17">
        <f t="shared" si="97"/>
        <v>406597.50000000006</v>
      </c>
      <c r="N2065" s="11">
        <f t="shared" si="98"/>
        <v>11</v>
      </c>
    </row>
    <row r="2066" spans="1:14" x14ac:dyDescent="0.25">
      <c r="A2066" s="11" t="s">
        <v>0</v>
      </c>
      <c r="B2066" s="12">
        <v>45260</v>
      </c>
      <c r="C2066" s="11" t="s">
        <v>688</v>
      </c>
      <c r="D2066" s="11" t="s">
        <v>698</v>
      </c>
      <c r="E2066" s="242" t="s">
        <v>453</v>
      </c>
      <c r="F2066" s="14" t="s">
        <v>452</v>
      </c>
      <c r="G2066" s="14" t="s">
        <v>407</v>
      </c>
      <c r="H2066" s="15" t="s">
        <v>426</v>
      </c>
      <c r="I2066" s="11">
        <f t="shared" si="99"/>
        <v>4</v>
      </c>
      <c r="K2066" s="16">
        <v>100</v>
      </c>
      <c r="M2066" s="17">
        <f t="shared" si="97"/>
        <v>406497.50000000006</v>
      </c>
      <c r="N2066" s="11">
        <f t="shared" si="98"/>
        <v>11</v>
      </c>
    </row>
    <row r="2067" spans="1:14" x14ac:dyDescent="0.25">
      <c r="A2067" s="11" t="s">
        <v>207</v>
      </c>
      <c r="B2067" s="12">
        <v>45259</v>
      </c>
      <c r="C2067" s="11" t="s">
        <v>688</v>
      </c>
      <c r="D2067" s="11" t="s">
        <v>43</v>
      </c>
      <c r="E2067" s="14" t="s">
        <v>288</v>
      </c>
      <c r="F2067" s="14" t="s">
        <v>288</v>
      </c>
      <c r="G2067" s="14" t="s">
        <v>173</v>
      </c>
      <c r="I2067" s="11">
        <f t="shared" si="99"/>
        <v>3</v>
      </c>
      <c r="J2067" s="16">
        <v>850</v>
      </c>
      <c r="M2067" s="17">
        <f t="shared" si="97"/>
        <v>407347.50000000006</v>
      </c>
      <c r="N2067" s="11">
        <f t="shared" si="98"/>
        <v>11</v>
      </c>
    </row>
    <row r="2068" spans="1:14" x14ac:dyDescent="0.25">
      <c r="A2068" s="11" t="s">
        <v>207</v>
      </c>
      <c r="B2068" s="12">
        <v>45259</v>
      </c>
      <c r="C2068" s="11" t="s">
        <v>688</v>
      </c>
      <c r="D2068" s="11" t="s">
        <v>43</v>
      </c>
      <c r="E2068" s="14" t="s">
        <v>429</v>
      </c>
      <c r="F2068" s="14" t="s">
        <v>429</v>
      </c>
      <c r="G2068" s="14" t="s">
        <v>428</v>
      </c>
      <c r="I2068" s="11">
        <f t="shared" si="99"/>
        <v>1</v>
      </c>
      <c r="J2068" s="16">
        <v>1812.5</v>
      </c>
      <c r="M2068" s="17">
        <f t="shared" si="97"/>
        <v>409160.00000000006</v>
      </c>
      <c r="N2068" s="11">
        <f t="shared" si="98"/>
        <v>11</v>
      </c>
    </row>
    <row r="2069" spans="1:14" x14ac:dyDescent="0.25">
      <c r="A2069" s="11" t="s">
        <v>207</v>
      </c>
      <c r="B2069" s="12">
        <v>45259</v>
      </c>
      <c r="C2069" s="11" t="s">
        <v>688</v>
      </c>
      <c r="D2069" s="11" t="s">
        <v>43</v>
      </c>
      <c r="E2069" s="13" t="s">
        <v>382</v>
      </c>
      <c r="F2069" s="14" t="s">
        <v>13</v>
      </c>
      <c r="G2069" s="14" t="s">
        <v>400</v>
      </c>
      <c r="I2069" s="11">
        <f t="shared" si="99"/>
        <v>2</v>
      </c>
      <c r="J2069" s="16">
        <v>340.68</v>
      </c>
      <c r="M2069" s="17">
        <f t="shared" si="97"/>
        <v>409500.68000000005</v>
      </c>
      <c r="N2069" s="11">
        <f t="shared" si="98"/>
        <v>11</v>
      </c>
    </row>
    <row r="2070" spans="1:14" x14ac:dyDescent="0.25">
      <c r="A2070" s="11" t="s">
        <v>207</v>
      </c>
      <c r="B2070" s="12">
        <v>45259</v>
      </c>
      <c r="C2070" s="11" t="s">
        <v>688</v>
      </c>
      <c r="D2070" s="11" t="s">
        <v>43</v>
      </c>
      <c r="E2070" s="13" t="s">
        <v>382</v>
      </c>
      <c r="F2070" s="14" t="s">
        <v>13</v>
      </c>
      <c r="G2070" s="14" t="s">
        <v>400</v>
      </c>
      <c r="I2070" s="11">
        <f t="shared" si="99"/>
        <v>2</v>
      </c>
      <c r="J2070" s="16">
        <v>432.84</v>
      </c>
      <c r="M2070" s="17">
        <f t="shared" si="97"/>
        <v>409933.52000000008</v>
      </c>
      <c r="N2070" s="11">
        <f t="shared" si="98"/>
        <v>11</v>
      </c>
    </row>
    <row r="2071" spans="1:14" x14ac:dyDescent="0.25">
      <c r="A2071" s="11" t="s">
        <v>207</v>
      </c>
      <c r="B2071" s="12">
        <v>45259</v>
      </c>
      <c r="C2071" s="11" t="s">
        <v>688</v>
      </c>
      <c r="D2071" s="11" t="s">
        <v>43</v>
      </c>
      <c r="E2071" s="13" t="s">
        <v>382</v>
      </c>
      <c r="F2071" s="14" t="s">
        <v>13</v>
      </c>
      <c r="G2071" s="14" t="s">
        <v>400</v>
      </c>
      <c r="I2071" s="11">
        <f t="shared" si="99"/>
        <v>2</v>
      </c>
      <c r="J2071" s="16">
        <v>14.85</v>
      </c>
      <c r="M2071" s="17">
        <f t="shared" si="97"/>
        <v>409948.37000000005</v>
      </c>
      <c r="N2071" s="11">
        <f t="shared" si="98"/>
        <v>11</v>
      </c>
    </row>
    <row r="2072" spans="1:14" x14ac:dyDescent="0.25">
      <c r="A2072" s="11" t="s">
        <v>0</v>
      </c>
      <c r="B2072" s="12">
        <v>45259</v>
      </c>
      <c r="C2072" s="11" t="s">
        <v>688</v>
      </c>
      <c r="D2072" s="11" t="s">
        <v>699</v>
      </c>
      <c r="E2072" s="13" t="s">
        <v>98</v>
      </c>
      <c r="F2072" s="14" t="s">
        <v>206</v>
      </c>
      <c r="G2072" s="14" t="s">
        <v>404</v>
      </c>
      <c r="H2072" s="15">
        <v>7507</v>
      </c>
      <c r="I2072" s="11">
        <f t="shared" si="99"/>
        <v>5</v>
      </c>
      <c r="K2072" s="16">
        <v>255.94</v>
      </c>
      <c r="M2072" s="17">
        <f t="shared" si="97"/>
        <v>409692.43000000005</v>
      </c>
      <c r="N2072" s="11">
        <f t="shared" si="98"/>
        <v>11</v>
      </c>
    </row>
    <row r="2073" spans="1:14" x14ac:dyDescent="0.25">
      <c r="A2073" s="11" t="s">
        <v>207</v>
      </c>
      <c r="B2073" s="12">
        <v>45259</v>
      </c>
      <c r="C2073" s="11" t="s">
        <v>662</v>
      </c>
      <c r="D2073" s="11" t="s">
        <v>43</v>
      </c>
      <c r="E2073" s="13" t="s">
        <v>80</v>
      </c>
      <c r="F2073" s="14" t="s">
        <v>79</v>
      </c>
      <c r="G2073" s="14" t="s">
        <v>400</v>
      </c>
      <c r="I2073" s="11">
        <f t="shared" si="99"/>
        <v>2</v>
      </c>
      <c r="J2073" s="16">
        <v>1400</v>
      </c>
      <c r="M2073" s="17">
        <f t="shared" si="97"/>
        <v>411092.43000000005</v>
      </c>
      <c r="N2073" s="11">
        <f t="shared" si="98"/>
        <v>11</v>
      </c>
    </row>
    <row r="2074" spans="1:14" x14ac:dyDescent="0.25">
      <c r="A2074" s="11" t="s">
        <v>207</v>
      </c>
      <c r="B2074" s="12">
        <v>45259</v>
      </c>
      <c r="C2074" s="11" t="s">
        <v>688</v>
      </c>
      <c r="D2074" s="11" t="s">
        <v>43</v>
      </c>
      <c r="E2074" s="13" t="s">
        <v>80</v>
      </c>
      <c r="F2074" s="14" t="s">
        <v>79</v>
      </c>
      <c r="G2074" s="14" t="s">
        <v>400</v>
      </c>
      <c r="I2074" s="11">
        <f t="shared" si="99"/>
        <v>2</v>
      </c>
      <c r="J2074" s="16">
        <v>436.14</v>
      </c>
      <c r="M2074" s="17">
        <f t="shared" si="97"/>
        <v>411528.57000000007</v>
      </c>
      <c r="N2074" s="11">
        <f t="shared" si="98"/>
        <v>11</v>
      </c>
    </row>
    <row r="2075" spans="1:14" x14ac:dyDescent="0.25">
      <c r="A2075" s="11" t="s">
        <v>207</v>
      </c>
      <c r="B2075" s="12">
        <v>45259</v>
      </c>
      <c r="C2075" s="11" t="s">
        <v>688</v>
      </c>
      <c r="D2075" s="11" t="s">
        <v>43</v>
      </c>
      <c r="E2075" s="13" t="s">
        <v>81</v>
      </c>
      <c r="F2075" s="14" t="s">
        <v>79</v>
      </c>
      <c r="G2075" s="14" t="s">
        <v>400</v>
      </c>
      <c r="I2075" s="11">
        <f t="shared" si="99"/>
        <v>2</v>
      </c>
      <c r="J2075" s="16">
        <v>3545.59</v>
      </c>
      <c r="M2075" s="17">
        <f t="shared" si="97"/>
        <v>415074.16000000009</v>
      </c>
      <c r="N2075" s="11">
        <f t="shared" si="98"/>
        <v>11</v>
      </c>
    </row>
    <row r="2076" spans="1:14" x14ac:dyDescent="0.25">
      <c r="A2076" s="11" t="s">
        <v>207</v>
      </c>
      <c r="B2076" s="12">
        <v>45259</v>
      </c>
      <c r="C2076" s="11" t="s">
        <v>688</v>
      </c>
      <c r="D2076" s="11" t="s">
        <v>43</v>
      </c>
      <c r="E2076" s="13" t="s">
        <v>83</v>
      </c>
      <c r="F2076" s="14" t="s">
        <v>79</v>
      </c>
      <c r="G2076" s="14" t="s">
        <v>400</v>
      </c>
      <c r="I2076" s="11">
        <f t="shared" si="99"/>
        <v>2</v>
      </c>
      <c r="J2076" s="16">
        <v>135.41999999999999</v>
      </c>
      <c r="M2076" s="17">
        <f t="shared" si="97"/>
        <v>415209.58000000007</v>
      </c>
      <c r="N2076" s="11">
        <f t="shared" si="98"/>
        <v>11</v>
      </c>
    </row>
    <row r="2077" spans="1:14" x14ac:dyDescent="0.25">
      <c r="A2077" s="11" t="s">
        <v>0</v>
      </c>
      <c r="B2077" s="12">
        <v>45259</v>
      </c>
      <c r="C2077" s="11" t="s">
        <v>688</v>
      </c>
      <c r="D2077" s="11" t="s">
        <v>692</v>
      </c>
      <c r="E2077" s="13" t="s">
        <v>179</v>
      </c>
      <c r="F2077" s="14" t="s">
        <v>51</v>
      </c>
      <c r="G2077" s="14" t="s">
        <v>404</v>
      </c>
      <c r="H2077" s="15">
        <v>13</v>
      </c>
      <c r="I2077" s="11">
        <f t="shared" si="99"/>
        <v>5</v>
      </c>
      <c r="K2077" s="16">
        <v>1825</v>
      </c>
      <c r="M2077" s="17">
        <f t="shared" si="97"/>
        <v>413384.58000000007</v>
      </c>
      <c r="N2077" s="11">
        <f t="shared" si="98"/>
        <v>11</v>
      </c>
    </row>
    <row r="2078" spans="1:14" x14ac:dyDescent="0.25">
      <c r="A2078" s="11" t="s">
        <v>0</v>
      </c>
      <c r="B2078" s="12">
        <v>45259</v>
      </c>
      <c r="C2078" s="11" t="s">
        <v>688</v>
      </c>
      <c r="D2078" s="11" t="s">
        <v>692</v>
      </c>
      <c r="E2078" s="13" t="s">
        <v>169</v>
      </c>
      <c r="F2078" s="14" t="s">
        <v>50</v>
      </c>
      <c r="G2078" s="14" t="s">
        <v>404</v>
      </c>
      <c r="H2078" s="15">
        <v>1220981</v>
      </c>
      <c r="I2078" s="11">
        <f t="shared" si="99"/>
        <v>5</v>
      </c>
      <c r="K2078" s="16">
        <v>1008</v>
      </c>
      <c r="M2078" s="17">
        <f t="shared" si="97"/>
        <v>412376.58000000007</v>
      </c>
      <c r="N2078" s="11">
        <f t="shared" si="98"/>
        <v>11</v>
      </c>
    </row>
    <row r="2079" spans="1:14" x14ac:dyDescent="0.25">
      <c r="A2079" s="11" t="s">
        <v>0</v>
      </c>
      <c r="B2079" s="12">
        <v>45259</v>
      </c>
      <c r="C2079" s="11" t="s">
        <v>688</v>
      </c>
      <c r="D2079" s="11" t="s">
        <v>701</v>
      </c>
      <c r="E2079" s="13" t="s">
        <v>180</v>
      </c>
      <c r="F2079" s="14" t="s">
        <v>37</v>
      </c>
      <c r="G2079" s="14" t="s">
        <v>404</v>
      </c>
      <c r="H2079" s="15" t="s">
        <v>551</v>
      </c>
      <c r="I2079" s="11">
        <f t="shared" si="99"/>
        <v>5</v>
      </c>
      <c r="K2079" s="16">
        <v>654.25</v>
      </c>
      <c r="M2079" s="17">
        <f t="shared" si="97"/>
        <v>411722.33000000007</v>
      </c>
      <c r="N2079" s="11">
        <f t="shared" si="98"/>
        <v>11</v>
      </c>
    </row>
    <row r="2080" spans="1:14" x14ac:dyDescent="0.25">
      <c r="A2080" s="11" t="s">
        <v>0</v>
      </c>
      <c r="B2080" s="12">
        <v>45259</v>
      </c>
      <c r="C2080" s="11" t="s">
        <v>688</v>
      </c>
      <c r="D2080" s="11" t="s">
        <v>692</v>
      </c>
      <c r="E2080" s="13" t="s">
        <v>725</v>
      </c>
      <c r="F2080" s="14" t="s">
        <v>33</v>
      </c>
      <c r="G2080" s="14" t="s">
        <v>404</v>
      </c>
      <c r="H2080" s="15" t="s">
        <v>103</v>
      </c>
      <c r="I2080" s="11">
        <f t="shared" si="99"/>
        <v>5</v>
      </c>
      <c r="K2080" s="16">
        <v>362.75</v>
      </c>
      <c r="M2080" s="17">
        <f t="shared" si="97"/>
        <v>411359.58000000007</v>
      </c>
      <c r="N2080" s="11">
        <f t="shared" si="98"/>
        <v>11</v>
      </c>
    </row>
    <row r="2081" spans="1:14" x14ac:dyDescent="0.25">
      <c r="A2081" s="11" t="s">
        <v>0</v>
      </c>
      <c r="B2081" s="12">
        <v>45259</v>
      </c>
      <c r="C2081" s="11" t="s">
        <v>688</v>
      </c>
      <c r="D2081" s="11" t="s">
        <v>692</v>
      </c>
      <c r="E2081" s="13" t="s">
        <v>229</v>
      </c>
      <c r="F2081" s="14" t="s">
        <v>116</v>
      </c>
      <c r="G2081" s="14" t="s">
        <v>404</v>
      </c>
      <c r="H2081" s="15">
        <v>64</v>
      </c>
      <c r="I2081" s="11">
        <f t="shared" si="99"/>
        <v>5</v>
      </c>
      <c r="K2081" s="16">
        <v>1317</v>
      </c>
      <c r="M2081" s="17">
        <f t="shared" si="97"/>
        <v>410042.58000000007</v>
      </c>
      <c r="N2081" s="11">
        <f t="shared" si="98"/>
        <v>11</v>
      </c>
    </row>
    <row r="2082" spans="1:14" x14ac:dyDescent="0.25">
      <c r="A2082" s="11" t="s">
        <v>207</v>
      </c>
      <c r="B2082" s="12">
        <v>45259</v>
      </c>
      <c r="C2082" s="11" t="s">
        <v>688</v>
      </c>
      <c r="D2082" s="11" t="s">
        <v>43</v>
      </c>
      <c r="E2082" s="13">
        <v>45259</v>
      </c>
      <c r="F2082" s="14" t="s">
        <v>472</v>
      </c>
      <c r="G2082" s="14" t="s">
        <v>400</v>
      </c>
      <c r="I2082" s="11">
        <f t="shared" si="99"/>
        <v>2</v>
      </c>
      <c r="J2082" s="16">
        <v>524.04999999999995</v>
      </c>
      <c r="M2082" s="17">
        <f t="shared" si="97"/>
        <v>410566.63000000006</v>
      </c>
      <c r="N2082" s="11">
        <f t="shared" si="98"/>
        <v>11</v>
      </c>
    </row>
    <row r="2083" spans="1:14" x14ac:dyDescent="0.25">
      <c r="A2083" s="11" t="s">
        <v>0</v>
      </c>
      <c r="B2083" s="12">
        <v>45259</v>
      </c>
      <c r="C2083" s="11" t="s">
        <v>688</v>
      </c>
      <c r="D2083" s="11" t="s">
        <v>694</v>
      </c>
      <c r="E2083" s="13" t="s">
        <v>182</v>
      </c>
      <c r="F2083" s="14" t="s">
        <v>365</v>
      </c>
      <c r="G2083" s="14" t="s">
        <v>402</v>
      </c>
      <c r="I2083" s="11">
        <f t="shared" si="99"/>
        <v>5</v>
      </c>
      <c r="K2083" s="16">
        <v>3.6</v>
      </c>
      <c r="M2083" s="17">
        <f t="shared" si="97"/>
        <v>410563.03000000009</v>
      </c>
      <c r="N2083" s="11">
        <f t="shared" si="98"/>
        <v>11</v>
      </c>
    </row>
    <row r="2084" spans="1:14" x14ac:dyDescent="0.25">
      <c r="A2084" s="11" t="s">
        <v>0</v>
      </c>
      <c r="B2084" s="12">
        <v>45259</v>
      </c>
      <c r="C2084" s="11" t="s">
        <v>688</v>
      </c>
      <c r="D2084" s="11" t="s">
        <v>694</v>
      </c>
      <c r="E2084" s="13" t="s">
        <v>182</v>
      </c>
      <c r="F2084" s="14" t="s">
        <v>23</v>
      </c>
      <c r="G2084" s="14" t="s">
        <v>402</v>
      </c>
      <c r="I2084" s="11">
        <f t="shared" si="99"/>
        <v>5</v>
      </c>
      <c r="K2084" s="16">
        <v>60.11</v>
      </c>
      <c r="M2084" s="17">
        <f t="shared" si="97"/>
        <v>410502.9200000001</v>
      </c>
      <c r="N2084" s="11">
        <f t="shared" si="98"/>
        <v>11</v>
      </c>
    </row>
    <row r="2085" spans="1:14" x14ac:dyDescent="0.25">
      <c r="A2085" s="11" t="s">
        <v>0</v>
      </c>
      <c r="B2085" s="12">
        <v>45259</v>
      </c>
      <c r="C2085" s="11" t="s">
        <v>688</v>
      </c>
      <c r="D2085" s="11" t="s">
        <v>697</v>
      </c>
      <c r="E2085" s="13" t="s">
        <v>553</v>
      </c>
      <c r="F2085" s="14" t="s">
        <v>552</v>
      </c>
      <c r="G2085" s="14" t="s">
        <v>404</v>
      </c>
      <c r="H2085" s="15" t="s">
        <v>20</v>
      </c>
      <c r="I2085" s="11">
        <f t="shared" si="99"/>
        <v>5</v>
      </c>
      <c r="K2085" s="16">
        <v>5346.35</v>
      </c>
      <c r="M2085" s="17">
        <f t="shared" si="97"/>
        <v>405156.57000000012</v>
      </c>
      <c r="N2085" s="11">
        <f t="shared" si="98"/>
        <v>11</v>
      </c>
    </row>
    <row r="2086" spans="1:14" ht="26.4" x14ac:dyDescent="0.25">
      <c r="A2086" s="11" t="s">
        <v>0</v>
      </c>
      <c r="B2086" s="12">
        <v>45259</v>
      </c>
      <c r="C2086" s="11" t="s">
        <v>688</v>
      </c>
      <c r="D2086" s="11" t="s">
        <v>692</v>
      </c>
      <c r="E2086" s="13" t="s">
        <v>724</v>
      </c>
      <c r="F2086" s="14" t="s">
        <v>119</v>
      </c>
      <c r="G2086" s="14" t="s">
        <v>404</v>
      </c>
      <c r="H2086" s="15" t="s">
        <v>568</v>
      </c>
      <c r="I2086" s="11">
        <f t="shared" si="99"/>
        <v>5</v>
      </c>
      <c r="K2086" s="16">
        <v>3415.12</v>
      </c>
      <c r="M2086" s="17">
        <f t="shared" si="97"/>
        <v>401741.45000000013</v>
      </c>
      <c r="N2086" s="11">
        <f t="shared" si="98"/>
        <v>11</v>
      </c>
    </row>
    <row r="2087" spans="1:14" x14ac:dyDescent="0.25">
      <c r="A2087" s="11" t="s">
        <v>0</v>
      </c>
      <c r="B2087" s="12">
        <v>45259</v>
      </c>
      <c r="C2087" s="11" t="s">
        <v>688</v>
      </c>
      <c r="D2087" s="11" t="s">
        <v>692</v>
      </c>
      <c r="E2087" s="13" t="s">
        <v>108</v>
      </c>
      <c r="F2087" s="14" t="s">
        <v>107</v>
      </c>
      <c r="G2087" s="14" t="s">
        <v>173</v>
      </c>
      <c r="H2087" s="15">
        <v>8</v>
      </c>
      <c r="I2087" s="11">
        <f t="shared" si="99"/>
        <v>6</v>
      </c>
      <c r="K2087" s="16">
        <v>1800</v>
      </c>
      <c r="M2087" s="17">
        <f t="shared" si="97"/>
        <v>399941.45000000013</v>
      </c>
      <c r="N2087" s="11">
        <f t="shared" si="98"/>
        <v>11</v>
      </c>
    </row>
    <row r="2088" spans="1:14" x14ac:dyDescent="0.25">
      <c r="A2088" s="11" t="s">
        <v>207</v>
      </c>
      <c r="B2088" s="12">
        <v>45260</v>
      </c>
      <c r="C2088" s="11" t="s">
        <v>688</v>
      </c>
      <c r="D2088" s="11" t="s">
        <v>43</v>
      </c>
      <c r="E2088" s="14" t="s">
        <v>288</v>
      </c>
      <c r="F2088" s="14" t="s">
        <v>288</v>
      </c>
      <c r="G2088" s="14" t="s">
        <v>173</v>
      </c>
      <c r="I2088" s="11">
        <f t="shared" si="99"/>
        <v>3</v>
      </c>
      <c r="J2088" s="16">
        <v>3040</v>
      </c>
      <c r="M2088" s="17">
        <f t="shared" si="97"/>
        <v>402981.45000000013</v>
      </c>
      <c r="N2088" s="11">
        <f t="shared" si="98"/>
        <v>11</v>
      </c>
    </row>
    <row r="2089" spans="1:14" x14ac:dyDescent="0.25">
      <c r="A2089" s="11" t="s">
        <v>0</v>
      </c>
      <c r="B2089" s="12">
        <v>45260</v>
      </c>
      <c r="C2089" s="11" t="s">
        <v>688</v>
      </c>
      <c r="D2089" s="11" t="s">
        <v>700</v>
      </c>
      <c r="E2089" s="13" t="s">
        <v>621</v>
      </c>
      <c r="F2089" s="14" t="s">
        <v>620</v>
      </c>
      <c r="G2089" s="14" t="s">
        <v>407</v>
      </c>
      <c r="H2089" s="15" t="s">
        <v>426</v>
      </c>
      <c r="I2089" s="11">
        <f t="shared" si="99"/>
        <v>4</v>
      </c>
      <c r="K2089" s="16">
        <v>100</v>
      </c>
      <c r="M2089" s="17">
        <f t="shared" si="97"/>
        <v>402881.45000000013</v>
      </c>
      <c r="N2089" s="11">
        <f t="shared" si="98"/>
        <v>11</v>
      </c>
    </row>
    <row r="2090" spans="1:14" x14ac:dyDescent="0.25">
      <c r="A2090" s="11" t="s">
        <v>207</v>
      </c>
      <c r="B2090" s="12">
        <v>45260</v>
      </c>
      <c r="C2090" s="11" t="s">
        <v>688</v>
      </c>
      <c r="D2090" s="11" t="s">
        <v>43</v>
      </c>
      <c r="E2090" s="14" t="s">
        <v>429</v>
      </c>
      <c r="F2090" s="14" t="s">
        <v>429</v>
      </c>
      <c r="G2090" s="14" t="s">
        <v>428</v>
      </c>
      <c r="I2090" s="11">
        <f t="shared" si="99"/>
        <v>1</v>
      </c>
      <c r="J2090" s="16">
        <v>5037.6000000000004</v>
      </c>
      <c r="M2090" s="17">
        <f t="shared" si="97"/>
        <v>407919.0500000001</v>
      </c>
      <c r="N2090" s="11">
        <f t="shared" si="98"/>
        <v>11</v>
      </c>
    </row>
    <row r="2091" spans="1:14" x14ac:dyDescent="0.25">
      <c r="A2091" s="11" t="s">
        <v>207</v>
      </c>
      <c r="B2091" s="12">
        <v>45260</v>
      </c>
      <c r="C2091" s="11" t="s">
        <v>688</v>
      </c>
      <c r="D2091" s="11" t="s">
        <v>43</v>
      </c>
      <c r="E2091" s="13" t="s">
        <v>382</v>
      </c>
      <c r="F2091" s="14" t="s">
        <v>13</v>
      </c>
      <c r="G2091" s="14" t="s">
        <v>400</v>
      </c>
      <c r="I2091" s="11">
        <f t="shared" si="99"/>
        <v>2</v>
      </c>
      <c r="J2091" s="16">
        <v>38.799999999999997</v>
      </c>
      <c r="M2091" s="17">
        <f t="shared" si="97"/>
        <v>407957.85000000009</v>
      </c>
      <c r="N2091" s="11">
        <f t="shared" si="98"/>
        <v>11</v>
      </c>
    </row>
    <row r="2092" spans="1:14" x14ac:dyDescent="0.25">
      <c r="A2092" s="11" t="s">
        <v>207</v>
      </c>
      <c r="B2092" s="12">
        <v>45260</v>
      </c>
      <c r="C2092" s="11" t="s">
        <v>662</v>
      </c>
      <c r="D2092" s="11" t="s">
        <v>43</v>
      </c>
      <c r="E2092" s="13" t="s">
        <v>382</v>
      </c>
      <c r="F2092" s="14" t="s">
        <v>13</v>
      </c>
      <c r="G2092" s="14" t="s">
        <v>400</v>
      </c>
      <c r="I2092" s="11">
        <f t="shared" si="99"/>
        <v>2</v>
      </c>
      <c r="J2092" s="16">
        <v>91.36</v>
      </c>
      <c r="M2092" s="17">
        <f t="shared" si="97"/>
        <v>408049.21000000008</v>
      </c>
      <c r="N2092" s="11">
        <f t="shared" si="98"/>
        <v>11</v>
      </c>
    </row>
    <row r="2093" spans="1:14" x14ac:dyDescent="0.25">
      <c r="A2093" s="11" t="s">
        <v>207</v>
      </c>
      <c r="B2093" s="12">
        <v>45260</v>
      </c>
      <c r="C2093" s="11" t="s">
        <v>688</v>
      </c>
      <c r="D2093" s="11" t="s">
        <v>43</v>
      </c>
      <c r="E2093" s="13" t="s">
        <v>382</v>
      </c>
      <c r="F2093" s="14" t="s">
        <v>13</v>
      </c>
      <c r="G2093" s="14" t="s">
        <v>400</v>
      </c>
      <c r="I2093" s="11">
        <f t="shared" si="99"/>
        <v>2</v>
      </c>
      <c r="J2093" s="16">
        <v>16.329999999999998</v>
      </c>
      <c r="M2093" s="17">
        <f t="shared" si="97"/>
        <v>408065.5400000001</v>
      </c>
      <c r="N2093" s="11">
        <f t="shared" si="98"/>
        <v>11</v>
      </c>
    </row>
    <row r="2094" spans="1:14" x14ac:dyDescent="0.25">
      <c r="A2094" s="11" t="s">
        <v>207</v>
      </c>
      <c r="B2094" s="12">
        <v>45260</v>
      </c>
      <c r="C2094" s="11" t="s">
        <v>688</v>
      </c>
      <c r="D2094" s="11" t="s">
        <v>43</v>
      </c>
      <c r="E2094" s="13" t="s">
        <v>382</v>
      </c>
      <c r="F2094" s="14" t="s">
        <v>13</v>
      </c>
      <c r="G2094" s="14" t="s">
        <v>400</v>
      </c>
      <c r="I2094" s="11">
        <f t="shared" si="99"/>
        <v>2</v>
      </c>
      <c r="J2094" s="16">
        <v>161.44</v>
      </c>
      <c r="M2094" s="17">
        <f t="shared" si="97"/>
        <v>408226.9800000001</v>
      </c>
      <c r="N2094" s="11">
        <f t="shared" si="98"/>
        <v>11</v>
      </c>
    </row>
    <row r="2095" spans="1:14" x14ac:dyDescent="0.25">
      <c r="A2095" s="11" t="s">
        <v>207</v>
      </c>
      <c r="B2095" s="12">
        <v>45260</v>
      </c>
      <c r="C2095" s="11" t="s">
        <v>688</v>
      </c>
      <c r="D2095" s="11" t="s">
        <v>43</v>
      </c>
      <c r="F2095" s="14" t="s">
        <v>79</v>
      </c>
      <c r="G2095" s="14" t="s">
        <v>400</v>
      </c>
      <c r="I2095" s="11">
        <f t="shared" si="99"/>
        <v>2</v>
      </c>
      <c r="J2095" s="16">
        <v>2082.9</v>
      </c>
      <c r="M2095" s="17">
        <f t="shared" si="97"/>
        <v>410309.88000000012</v>
      </c>
      <c r="N2095" s="11">
        <f t="shared" si="98"/>
        <v>11</v>
      </c>
    </row>
    <row r="2096" spans="1:14" x14ac:dyDescent="0.25">
      <c r="A2096" s="11" t="s">
        <v>207</v>
      </c>
      <c r="B2096" s="12">
        <v>45260</v>
      </c>
      <c r="C2096" s="11" t="s">
        <v>662</v>
      </c>
      <c r="D2096" s="11" t="s">
        <v>43</v>
      </c>
      <c r="F2096" s="14" t="s">
        <v>79</v>
      </c>
      <c r="G2096" s="14" t="s">
        <v>400</v>
      </c>
      <c r="I2096" s="11">
        <f t="shared" si="99"/>
        <v>2</v>
      </c>
      <c r="J2096" s="16">
        <v>2413.52</v>
      </c>
      <c r="M2096" s="17">
        <f t="shared" si="97"/>
        <v>412723.40000000014</v>
      </c>
      <c r="N2096" s="11">
        <f t="shared" si="98"/>
        <v>11</v>
      </c>
    </row>
    <row r="2097" spans="1:14" x14ac:dyDescent="0.25">
      <c r="A2097" s="11" t="s">
        <v>207</v>
      </c>
      <c r="B2097" s="12">
        <v>45260</v>
      </c>
      <c r="C2097" s="11" t="s">
        <v>688</v>
      </c>
      <c r="D2097" s="11" t="s">
        <v>43</v>
      </c>
      <c r="F2097" s="14" t="s">
        <v>79</v>
      </c>
      <c r="G2097" s="14" t="s">
        <v>400</v>
      </c>
      <c r="I2097" s="11">
        <f t="shared" si="99"/>
        <v>2</v>
      </c>
      <c r="J2097" s="16">
        <v>97.47</v>
      </c>
      <c r="M2097" s="17">
        <f t="shared" si="97"/>
        <v>412820.87000000011</v>
      </c>
      <c r="N2097" s="11">
        <f t="shared" si="98"/>
        <v>11</v>
      </c>
    </row>
    <row r="2098" spans="1:14" x14ac:dyDescent="0.25">
      <c r="A2098" s="11" t="s">
        <v>0</v>
      </c>
      <c r="B2098" s="12">
        <v>45260</v>
      </c>
      <c r="C2098" s="11" t="s">
        <v>688</v>
      </c>
      <c r="D2098" s="11" t="s">
        <v>701</v>
      </c>
      <c r="E2098" s="13" t="s">
        <v>554</v>
      </c>
      <c r="F2098" s="14" t="s">
        <v>35</v>
      </c>
      <c r="G2098" s="14" t="s">
        <v>404</v>
      </c>
      <c r="H2098" s="15">
        <v>8481</v>
      </c>
      <c r="I2098" s="11">
        <f t="shared" si="99"/>
        <v>5</v>
      </c>
      <c r="K2098" s="16">
        <v>2935.55</v>
      </c>
      <c r="M2098" s="17">
        <f t="shared" si="97"/>
        <v>409885.32000000012</v>
      </c>
      <c r="N2098" s="11">
        <f t="shared" si="98"/>
        <v>11</v>
      </c>
    </row>
    <row r="2099" spans="1:14" x14ac:dyDescent="0.25">
      <c r="A2099" s="11" t="s">
        <v>0</v>
      </c>
      <c r="B2099" s="12">
        <v>45260</v>
      </c>
      <c r="C2099" s="11" t="s">
        <v>688</v>
      </c>
      <c r="D2099" s="11" t="s">
        <v>47</v>
      </c>
      <c r="E2099" s="13" t="s">
        <v>556</v>
      </c>
      <c r="F2099" s="14" t="s">
        <v>555</v>
      </c>
      <c r="G2099" s="14" t="s">
        <v>404</v>
      </c>
      <c r="H2099" s="15">
        <v>5</v>
      </c>
      <c r="I2099" s="11">
        <f t="shared" si="99"/>
        <v>5</v>
      </c>
      <c r="K2099" s="16">
        <v>950</v>
      </c>
      <c r="M2099" s="17">
        <f t="shared" si="97"/>
        <v>408935.32000000012</v>
      </c>
      <c r="N2099" s="11">
        <f t="shared" si="98"/>
        <v>11</v>
      </c>
    </row>
    <row r="2100" spans="1:14" x14ac:dyDescent="0.25">
      <c r="A2100" s="11" t="s">
        <v>0</v>
      </c>
      <c r="B2100" s="12">
        <v>45260</v>
      </c>
      <c r="C2100" s="11" t="s">
        <v>688</v>
      </c>
      <c r="D2100" s="11" t="s">
        <v>692</v>
      </c>
      <c r="E2100" s="13" t="s">
        <v>719</v>
      </c>
      <c r="F2100" s="14" t="s">
        <v>58</v>
      </c>
      <c r="G2100" s="14" t="s">
        <v>404</v>
      </c>
      <c r="H2100" s="15">
        <v>1224277</v>
      </c>
      <c r="I2100" s="11">
        <f t="shared" si="99"/>
        <v>5</v>
      </c>
      <c r="K2100" s="16">
        <v>2139</v>
      </c>
      <c r="M2100" s="17">
        <f t="shared" si="97"/>
        <v>406796.32000000012</v>
      </c>
      <c r="N2100" s="11">
        <f t="shared" si="98"/>
        <v>11</v>
      </c>
    </row>
    <row r="2101" spans="1:14" x14ac:dyDescent="0.25">
      <c r="A2101" s="11" t="s">
        <v>0</v>
      </c>
      <c r="B2101" s="12">
        <v>45260</v>
      </c>
      <c r="C2101" s="11" t="s">
        <v>688</v>
      </c>
      <c r="D2101" s="11" t="s">
        <v>697</v>
      </c>
      <c r="E2101" s="13" t="s">
        <v>558</v>
      </c>
      <c r="F2101" s="14" t="s">
        <v>557</v>
      </c>
      <c r="G2101" s="14" t="s">
        <v>403</v>
      </c>
      <c r="H2101" s="15" t="s">
        <v>20</v>
      </c>
      <c r="I2101" s="11">
        <f t="shared" si="99"/>
        <v>5</v>
      </c>
      <c r="K2101" s="16">
        <v>434.45</v>
      </c>
      <c r="M2101" s="17">
        <f t="shared" si="97"/>
        <v>406361.87000000011</v>
      </c>
      <c r="N2101" s="11">
        <f t="shared" si="98"/>
        <v>11</v>
      </c>
    </row>
    <row r="2102" spans="1:14" x14ac:dyDescent="0.25">
      <c r="A2102" s="11" t="s">
        <v>0</v>
      </c>
      <c r="B2102" s="12">
        <v>45260</v>
      </c>
      <c r="C2102" s="11" t="s">
        <v>688</v>
      </c>
      <c r="D2102" s="11" t="s">
        <v>692</v>
      </c>
      <c r="E2102" s="13" t="s">
        <v>143</v>
      </c>
      <c r="F2102" s="14" t="s">
        <v>59</v>
      </c>
      <c r="G2102" s="14" t="s">
        <v>404</v>
      </c>
      <c r="H2102" s="15" t="s">
        <v>103</v>
      </c>
      <c r="I2102" s="11">
        <f t="shared" si="99"/>
        <v>5</v>
      </c>
      <c r="K2102" s="16">
        <v>1518.86</v>
      </c>
      <c r="M2102" s="17">
        <f t="shared" si="97"/>
        <v>404843.01000000013</v>
      </c>
      <c r="N2102" s="11">
        <f t="shared" si="98"/>
        <v>11</v>
      </c>
    </row>
    <row r="2103" spans="1:14" x14ac:dyDescent="0.25">
      <c r="A2103" s="11" t="s">
        <v>0</v>
      </c>
      <c r="B2103" s="12">
        <v>45260</v>
      </c>
      <c r="C2103" s="11" t="s">
        <v>688</v>
      </c>
      <c r="D2103" s="11" t="s">
        <v>47</v>
      </c>
      <c r="E2103" s="13" t="s">
        <v>387</v>
      </c>
      <c r="F2103" s="14" t="s">
        <v>474</v>
      </c>
      <c r="G2103" s="14" t="s">
        <v>404</v>
      </c>
      <c r="H2103" s="15" t="s">
        <v>559</v>
      </c>
      <c r="I2103" s="11">
        <f t="shared" si="99"/>
        <v>5</v>
      </c>
      <c r="K2103" s="16">
        <v>350</v>
      </c>
      <c r="M2103" s="17">
        <f t="shared" si="97"/>
        <v>404493.01000000013</v>
      </c>
      <c r="N2103" s="11">
        <f t="shared" si="98"/>
        <v>11</v>
      </c>
    </row>
    <row r="2104" spans="1:14" ht="26.4" x14ac:dyDescent="0.25">
      <c r="A2104" s="11" t="s">
        <v>0</v>
      </c>
      <c r="B2104" s="12">
        <v>45260</v>
      </c>
      <c r="C2104" s="11" t="s">
        <v>688</v>
      </c>
      <c r="D2104" s="11" t="s">
        <v>692</v>
      </c>
      <c r="E2104" s="13" t="s">
        <v>143</v>
      </c>
      <c r="F2104" s="14" t="s">
        <v>224</v>
      </c>
      <c r="G2104" s="14" t="s">
        <v>403</v>
      </c>
      <c r="H2104" s="15" t="s">
        <v>560</v>
      </c>
      <c r="I2104" s="11">
        <f t="shared" si="99"/>
        <v>5</v>
      </c>
      <c r="K2104" s="16">
        <v>1238.98</v>
      </c>
      <c r="M2104" s="17">
        <f t="shared" si="97"/>
        <v>403254.03000000014</v>
      </c>
      <c r="N2104" s="11">
        <f t="shared" si="98"/>
        <v>11</v>
      </c>
    </row>
    <row r="2105" spans="1:14" ht="26.4" x14ac:dyDescent="0.25">
      <c r="A2105" s="11" t="s">
        <v>0</v>
      </c>
      <c r="B2105" s="12">
        <v>45260</v>
      </c>
      <c r="C2105" s="11" t="s">
        <v>688</v>
      </c>
      <c r="D2105" s="11" t="s">
        <v>692</v>
      </c>
      <c r="E2105" s="13" t="s">
        <v>726</v>
      </c>
      <c r="F2105" s="14" t="s">
        <v>91</v>
      </c>
      <c r="G2105" s="14" t="s">
        <v>403</v>
      </c>
      <c r="H2105" s="15" t="s">
        <v>561</v>
      </c>
      <c r="I2105" s="11">
        <f t="shared" si="99"/>
        <v>5</v>
      </c>
      <c r="K2105" s="16">
        <v>1065.5</v>
      </c>
      <c r="M2105" s="17">
        <f t="shared" si="97"/>
        <v>402188.53000000014</v>
      </c>
      <c r="N2105" s="11">
        <f t="shared" si="98"/>
        <v>11</v>
      </c>
    </row>
    <row r="2106" spans="1:14" ht="26.4" x14ac:dyDescent="0.25">
      <c r="A2106" s="11" t="s">
        <v>0</v>
      </c>
      <c r="B2106" s="12">
        <v>45260</v>
      </c>
      <c r="C2106" s="11" t="s">
        <v>688</v>
      </c>
      <c r="D2106" s="11" t="s">
        <v>692</v>
      </c>
      <c r="E2106" s="13" t="s">
        <v>726</v>
      </c>
      <c r="F2106" s="14" t="s">
        <v>91</v>
      </c>
      <c r="G2106" s="14" t="s">
        <v>403</v>
      </c>
      <c r="H2106" s="15" t="s">
        <v>562</v>
      </c>
      <c r="I2106" s="11">
        <f t="shared" si="99"/>
        <v>5</v>
      </c>
      <c r="K2106" s="16">
        <v>664.56</v>
      </c>
      <c r="M2106" s="17">
        <f t="shared" si="97"/>
        <v>401523.97000000015</v>
      </c>
      <c r="N2106" s="11">
        <f t="shared" si="98"/>
        <v>11</v>
      </c>
    </row>
    <row r="2107" spans="1:14" x14ac:dyDescent="0.25">
      <c r="A2107" s="11" t="s">
        <v>0</v>
      </c>
      <c r="B2107" s="12">
        <v>45260</v>
      </c>
      <c r="C2107" s="11" t="s">
        <v>688</v>
      </c>
      <c r="D2107" s="11" t="s">
        <v>694</v>
      </c>
      <c r="E2107" s="13" t="s">
        <v>182</v>
      </c>
      <c r="F2107" s="14" t="s">
        <v>365</v>
      </c>
      <c r="G2107" s="14" t="s">
        <v>402</v>
      </c>
      <c r="I2107" s="11">
        <f t="shared" si="99"/>
        <v>5</v>
      </c>
      <c r="K2107" s="16">
        <v>0.84</v>
      </c>
      <c r="M2107" s="17">
        <f t="shared" si="97"/>
        <v>401523.13000000012</v>
      </c>
      <c r="N2107" s="11">
        <f t="shared" si="98"/>
        <v>11</v>
      </c>
    </row>
    <row r="2108" spans="1:14" x14ac:dyDescent="0.25">
      <c r="A2108" s="11" t="s">
        <v>0</v>
      </c>
      <c r="B2108" s="12">
        <v>45260</v>
      </c>
      <c r="C2108" s="11" t="s">
        <v>688</v>
      </c>
      <c r="D2108" s="11" t="s">
        <v>694</v>
      </c>
      <c r="E2108" s="13" t="s">
        <v>182</v>
      </c>
      <c r="F2108" s="14" t="s">
        <v>23</v>
      </c>
      <c r="G2108" s="14" t="s">
        <v>402</v>
      </c>
      <c r="I2108" s="11">
        <f t="shared" si="99"/>
        <v>5</v>
      </c>
      <c r="K2108" s="16">
        <v>21.6</v>
      </c>
      <c r="M2108" s="17">
        <f t="shared" si="97"/>
        <v>401501.53000000014</v>
      </c>
      <c r="N2108" s="11">
        <f t="shared" si="98"/>
        <v>11</v>
      </c>
    </row>
    <row r="2109" spans="1:14" x14ac:dyDescent="0.25">
      <c r="A2109" s="11" t="s">
        <v>207</v>
      </c>
      <c r="B2109" s="12">
        <v>45260</v>
      </c>
      <c r="C2109" s="11" t="s">
        <v>662</v>
      </c>
      <c r="D2109" s="11" t="s">
        <v>43</v>
      </c>
      <c r="E2109" s="13">
        <v>45260</v>
      </c>
      <c r="F2109" s="14" t="s">
        <v>472</v>
      </c>
      <c r="G2109" s="14" t="s">
        <v>400</v>
      </c>
      <c r="I2109" s="11">
        <f t="shared" si="99"/>
        <v>2</v>
      </c>
      <c r="J2109" s="16">
        <v>122.1</v>
      </c>
      <c r="M2109" s="17">
        <f t="shared" si="97"/>
        <v>401623.63000000012</v>
      </c>
      <c r="N2109" s="11">
        <f t="shared" si="98"/>
        <v>11</v>
      </c>
    </row>
    <row r="2110" spans="1:14" x14ac:dyDescent="0.25">
      <c r="A2110" s="11" t="s">
        <v>0</v>
      </c>
      <c r="B2110" s="12">
        <v>45260</v>
      </c>
      <c r="C2110" s="11" t="s">
        <v>688</v>
      </c>
      <c r="D2110" s="11" t="s">
        <v>696</v>
      </c>
      <c r="E2110" s="13" t="s">
        <v>573</v>
      </c>
      <c r="F2110" s="14" t="s">
        <v>358</v>
      </c>
      <c r="G2110" s="14" t="s">
        <v>173</v>
      </c>
      <c r="H2110" s="15" t="s">
        <v>426</v>
      </c>
      <c r="I2110" s="11">
        <f t="shared" si="99"/>
        <v>6</v>
      </c>
      <c r="K2110" s="16">
        <v>1000</v>
      </c>
      <c r="M2110" s="17">
        <f t="shared" si="97"/>
        <v>400623.63000000012</v>
      </c>
      <c r="N2110" s="11">
        <f t="shared" si="98"/>
        <v>11</v>
      </c>
    </row>
    <row r="2111" spans="1:14" x14ac:dyDescent="0.25">
      <c r="A2111" s="11" t="s">
        <v>0</v>
      </c>
      <c r="B2111" s="12">
        <v>45260</v>
      </c>
      <c r="C2111" s="11" t="s">
        <v>688</v>
      </c>
      <c r="D2111" s="11" t="s">
        <v>696</v>
      </c>
      <c r="E2111" s="13" t="s">
        <v>574</v>
      </c>
      <c r="F2111" s="14" t="s">
        <v>358</v>
      </c>
      <c r="G2111" s="14" t="s">
        <v>173</v>
      </c>
      <c r="H2111" s="15" t="s">
        <v>426</v>
      </c>
      <c r="I2111" s="11">
        <f t="shared" si="99"/>
        <v>6</v>
      </c>
      <c r="K2111" s="16">
        <v>900</v>
      </c>
      <c r="M2111" s="17">
        <f t="shared" si="97"/>
        <v>399723.63000000012</v>
      </c>
      <c r="N2111" s="11">
        <f t="shared" si="98"/>
        <v>11</v>
      </c>
    </row>
    <row r="2112" spans="1:14" x14ac:dyDescent="0.25">
      <c r="A2112" s="11" t="s">
        <v>0</v>
      </c>
      <c r="B2112" s="12">
        <v>45260</v>
      </c>
      <c r="C2112" s="11" t="s">
        <v>688</v>
      </c>
      <c r="D2112" s="11" t="s">
        <v>696</v>
      </c>
      <c r="E2112" s="13" t="s">
        <v>624</v>
      </c>
      <c r="F2112" s="14" t="s">
        <v>62</v>
      </c>
      <c r="G2112" s="14" t="s">
        <v>407</v>
      </c>
      <c r="H2112" s="15" t="s">
        <v>426</v>
      </c>
      <c r="I2112" s="11">
        <f t="shared" si="99"/>
        <v>4</v>
      </c>
      <c r="K2112" s="16">
        <v>384</v>
      </c>
      <c r="M2112" s="17">
        <f t="shared" si="97"/>
        <v>399339.63000000012</v>
      </c>
      <c r="N2112" s="11">
        <f t="shared" si="98"/>
        <v>11</v>
      </c>
    </row>
    <row r="2113" spans="1:14" x14ac:dyDescent="0.25">
      <c r="A2113" s="11" t="s">
        <v>0</v>
      </c>
      <c r="B2113" s="12">
        <v>45260</v>
      </c>
      <c r="C2113" s="11" t="s">
        <v>688</v>
      </c>
      <c r="D2113" s="11" t="s">
        <v>696</v>
      </c>
      <c r="E2113" s="13" t="s">
        <v>149</v>
      </c>
      <c r="F2113" s="14" t="s">
        <v>62</v>
      </c>
      <c r="G2113" s="14" t="s">
        <v>407</v>
      </c>
      <c r="H2113" s="15" t="s">
        <v>426</v>
      </c>
      <c r="I2113" s="11">
        <f t="shared" si="99"/>
        <v>4</v>
      </c>
      <c r="K2113" s="16">
        <v>1400</v>
      </c>
      <c r="M2113" s="17">
        <f t="shared" si="97"/>
        <v>397939.63000000012</v>
      </c>
      <c r="N2113" s="11">
        <f t="shared" si="98"/>
        <v>11</v>
      </c>
    </row>
    <row r="2114" spans="1:14" x14ac:dyDescent="0.25">
      <c r="A2114" s="11" t="s">
        <v>0</v>
      </c>
      <c r="B2114" s="12">
        <v>45260</v>
      </c>
      <c r="C2114" s="11" t="s">
        <v>688</v>
      </c>
      <c r="D2114" s="11" t="s">
        <v>696</v>
      </c>
      <c r="E2114" s="13" t="s">
        <v>421</v>
      </c>
      <c r="F2114" s="14" t="s">
        <v>62</v>
      </c>
      <c r="G2114" s="14" t="s">
        <v>407</v>
      </c>
      <c r="H2114" s="15" t="s">
        <v>426</v>
      </c>
      <c r="I2114" s="11">
        <f t="shared" si="99"/>
        <v>4</v>
      </c>
      <c r="K2114" s="16">
        <v>2500</v>
      </c>
      <c r="M2114" s="17">
        <f t="shared" si="97"/>
        <v>395439.63000000012</v>
      </c>
      <c r="N2114" s="11">
        <f t="shared" si="98"/>
        <v>11</v>
      </c>
    </row>
    <row r="2115" spans="1:14" x14ac:dyDescent="0.25">
      <c r="A2115" s="11" t="s">
        <v>0</v>
      </c>
      <c r="B2115" s="12">
        <v>45260</v>
      </c>
      <c r="C2115" s="11" t="s">
        <v>688</v>
      </c>
      <c r="D2115" s="11" t="s">
        <v>696</v>
      </c>
      <c r="E2115" s="13" t="s">
        <v>165</v>
      </c>
      <c r="F2115" s="14" t="s">
        <v>62</v>
      </c>
      <c r="G2115" s="14" t="s">
        <v>407</v>
      </c>
      <c r="H2115" s="15" t="s">
        <v>426</v>
      </c>
      <c r="I2115" s="11">
        <f t="shared" si="99"/>
        <v>4</v>
      </c>
      <c r="K2115" s="16">
        <v>1200</v>
      </c>
      <c r="M2115" s="17">
        <f t="shared" ref="M2115:M2178" si="100">IF(B2115=0, "",M2114+ J2115-K2115)</f>
        <v>394239.63000000012</v>
      </c>
      <c r="N2115" s="11">
        <f t="shared" ref="N2115:N2178" si="101">IF(B2115=0, "", MONTH(B2115))</f>
        <v>11</v>
      </c>
    </row>
    <row r="2116" spans="1:14" x14ac:dyDescent="0.25">
      <c r="A2116" s="11" t="s">
        <v>0</v>
      </c>
      <c r="B2116" s="12">
        <v>45260</v>
      </c>
      <c r="C2116" s="11" t="s">
        <v>688</v>
      </c>
      <c r="D2116" s="11" t="s">
        <v>696</v>
      </c>
      <c r="E2116" s="13" t="s">
        <v>151</v>
      </c>
      <c r="F2116" s="14" t="s">
        <v>62</v>
      </c>
      <c r="G2116" s="14" t="s">
        <v>407</v>
      </c>
      <c r="H2116" s="15" t="s">
        <v>426</v>
      </c>
      <c r="I2116" s="11">
        <f t="shared" si="99"/>
        <v>4</v>
      </c>
      <c r="K2116" s="16">
        <v>1300</v>
      </c>
      <c r="M2116" s="17">
        <f t="shared" si="100"/>
        <v>392939.63000000012</v>
      </c>
      <c r="N2116" s="11">
        <f t="shared" si="101"/>
        <v>11</v>
      </c>
    </row>
    <row r="2117" spans="1:14" x14ac:dyDescent="0.25">
      <c r="A2117" s="11" t="s">
        <v>0</v>
      </c>
      <c r="B2117" s="12">
        <v>45260</v>
      </c>
      <c r="C2117" s="11" t="s">
        <v>688</v>
      </c>
      <c r="D2117" s="11" t="s">
        <v>696</v>
      </c>
      <c r="E2117" s="13" t="s">
        <v>408</v>
      </c>
      <c r="F2117" s="14" t="s">
        <v>62</v>
      </c>
      <c r="G2117" s="14" t="s">
        <v>407</v>
      </c>
      <c r="H2117" s="15" t="s">
        <v>426</v>
      </c>
      <c r="I2117" s="11">
        <f t="shared" ref="I2117:I2188" si="102">IF(AND(G2117="MERCADO PAGO",A2117="FATURAMENTO"),1,IF(AND(OR(G2117="MERCADO PAGO",G2117="pix mercado pago",G2117= "débito automático mercado pago", G2117= "boleto mercado pago"),A2117="DESPESAS"),4,IF(AND(G2117="SAFRA",A2117="FATURAMENTO"),2,IF(AND(OR(G2117="SAFRA",G2117="PIX SAFRA", G2117="DÉBITO AUTOMÁTICO SAFRA", G2117= "BOLETO SAFRA", G2117= "transferência safra"), A2117="DESPESAS"),5,IF(AND(G2117="espécie",A2117="FATURAMENTO"),3,IF(AND(G2117="espécie",A2117="DESPESAS"),6))))))</f>
        <v>4</v>
      </c>
      <c r="K2117" s="16">
        <v>2000</v>
      </c>
      <c r="M2117" s="17">
        <f t="shared" si="100"/>
        <v>390939.63000000012</v>
      </c>
      <c r="N2117" s="11">
        <f t="shared" si="101"/>
        <v>11</v>
      </c>
    </row>
    <row r="2118" spans="1:14" x14ac:dyDescent="0.25">
      <c r="A2118" s="11" t="s">
        <v>0</v>
      </c>
      <c r="B2118" s="12">
        <v>45260</v>
      </c>
      <c r="C2118" s="11" t="s">
        <v>688</v>
      </c>
      <c r="D2118" s="11" t="s">
        <v>696</v>
      </c>
      <c r="E2118" s="13" t="s">
        <v>607</v>
      </c>
      <c r="F2118" s="14" t="s">
        <v>62</v>
      </c>
      <c r="G2118" s="14" t="s">
        <v>407</v>
      </c>
      <c r="H2118" s="15" t="s">
        <v>426</v>
      </c>
      <c r="I2118" s="11">
        <f t="shared" si="102"/>
        <v>4</v>
      </c>
      <c r="K2118" s="16">
        <v>750</v>
      </c>
      <c r="M2118" s="17">
        <f t="shared" si="100"/>
        <v>390189.63000000012</v>
      </c>
      <c r="N2118" s="11">
        <f t="shared" si="101"/>
        <v>11</v>
      </c>
    </row>
    <row r="2119" spans="1:14" x14ac:dyDescent="0.25">
      <c r="A2119" s="11" t="s">
        <v>0</v>
      </c>
      <c r="B2119" s="12">
        <v>45260</v>
      </c>
      <c r="C2119" s="11" t="s">
        <v>688</v>
      </c>
      <c r="D2119" s="11" t="s">
        <v>696</v>
      </c>
      <c r="E2119" s="13" t="s">
        <v>608</v>
      </c>
      <c r="F2119" s="14" t="s">
        <v>62</v>
      </c>
      <c r="G2119" s="14" t="s">
        <v>407</v>
      </c>
      <c r="H2119" s="15" t="s">
        <v>426</v>
      </c>
      <c r="I2119" s="11">
        <f t="shared" si="102"/>
        <v>4</v>
      </c>
      <c r="K2119" s="16">
        <v>1250</v>
      </c>
      <c r="M2119" s="17">
        <f t="shared" si="100"/>
        <v>388939.63000000012</v>
      </c>
      <c r="N2119" s="11">
        <f t="shared" si="101"/>
        <v>11</v>
      </c>
    </row>
    <row r="2120" spans="1:14" x14ac:dyDescent="0.25">
      <c r="A2120" s="11" t="s">
        <v>0</v>
      </c>
      <c r="B2120" s="12">
        <v>45260</v>
      </c>
      <c r="C2120" s="11" t="s">
        <v>688</v>
      </c>
      <c r="D2120" s="11" t="s">
        <v>696</v>
      </c>
      <c r="E2120" s="13" t="s">
        <v>156</v>
      </c>
      <c r="F2120" s="14" t="s">
        <v>62</v>
      </c>
      <c r="G2120" s="14" t="s">
        <v>407</v>
      </c>
      <c r="H2120" s="15" t="s">
        <v>426</v>
      </c>
      <c r="I2120" s="11">
        <f t="shared" si="102"/>
        <v>4</v>
      </c>
      <c r="K2120" s="16">
        <v>700</v>
      </c>
      <c r="M2120" s="17">
        <f t="shared" si="100"/>
        <v>388239.63000000012</v>
      </c>
      <c r="N2120" s="11">
        <f t="shared" si="101"/>
        <v>11</v>
      </c>
    </row>
    <row r="2121" spans="1:14" x14ac:dyDescent="0.25">
      <c r="A2121" s="11" t="s">
        <v>0</v>
      </c>
      <c r="B2121" s="12">
        <v>45260</v>
      </c>
      <c r="C2121" s="11" t="s">
        <v>688</v>
      </c>
      <c r="D2121" s="11" t="s">
        <v>696</v>
      </c>
      <c r="E2121" s="13" t="s">
        <v>157</v>
      </c>
      <c r="F2121" s="14" t="s">
        <v>62</v>
      </c>
      <c r="G2121" s="14" t="s">
        <v>407</v>
      </c>
      <c r="H2121" s="15" t="s">
        <v>426</v>
      </c>
      <c r="I2121" s="11">
        <f t="shared" si="102"/>
        <v>4</v>
      </c>
      <c r="K2121" s="16">
        <v>266.66000000000003</v>
      </c>
      <c r="M2121" s="17">
        <f t="shared" si="100"/>
        <v>387972.97000000015</v>
      </c>
      <c r="N2121" s="11">
        <f t="shared" si="101"/>
        <v>11</v>
      </c>
    </row>
    <row r="2122" spans="1:14" x14ac:dyDescent="0.25">
      <c r="A2122" s="11" t="s">
        <v>0</v>
      </c>
      <c r="B2122" s="12">
        <v>45260</v>
      </c>
      <c r="C2122" s="11" t="s">
        <v>688</v>
      </c>
      <c r="D2122" s="11" t="s">
        <v>696</v>
      </c>
      <c r="E2122" s="13" t="s">
        <v>158</v>
      </c>
      <c r="F2122" s="14" t="s">
        <v>62</v>
      </c>
      <c r="G2122" s="14" t="s">
        <v>407</v>
      </c>
      <c r="H2122" s="15" t="s">
        <v>426</v>
      </c>
      <c r="I2122" s="11">
        <f t="shared" si="102"/>
        <v>4</v>
      </c>
      <c r="K2122" s="16">
        <v>800</v>
      </c>
      <c r="M2122" s="17">
        <f t="shared" si="100"/>
        <v>387172.97000000015</v>
      </c>
      <c r="N2122" s="11">
        <f t="shared" si="101"/>
        <v>11</v>
      </c>
    </row>
    <row r="2123" spans="1:14" x14ac:dyDescent="0.25">
      <c r="A2123" s="11" t="s">
        <v>0</v>
      </c>
      <c r="B2123" s="12">
        <v>45260</v>
      </c>
      <c r="C2123" s="11" t="s">
        <v>688</v>
      </c>
      <c r="D2123" s="11" t="s">
        <v>696</v>
      </c>
      <c r="E2123" s="13" t="s">
        <v>158</v>
      </c>
      <c r="F2123" s="14" t="s">
        <v>612</v>
      </c>
      <c r="G2123" s="14" t="s">
        <v>407</v>
      </c>
      <c r="H2123" s="15" t="s">
        <v>426</v>
      </c>
      <c r="I2123" s="11">
        <f t="shared" si="102"/>
        <v>4</v>
      </c>
      <c r="K2123" s="16">
        <v>150</v>
      </c>
      <c r="M2123" s="17">
        <f t="shared" si="100"/>
        <v>387022.97000000015</v>
      </c>
      <c r="N2123" s="11">
        <f t="shared" si="101"/>
        <v>11</v>
      </c>
    </row>
    <row r="2124" spans="1:14" x14ac:dyDescent="0.25">
      <c r="A2124" s="11" t="s">
        <v>0</v>
      </c>
      <c r="B2124" s="12">
        <v>45260</v>
      </c>
      <c r="C2124" s="11" t="s">
        <v>688</v>
      </c>
      <c r="D2124" s="11" t="s">
        <v>696</v>
      </c>
      <c r="E2124" s="13" t="s">
        <v>609</v>
      </c>
      <c r="F2124" s="14" t="s">
        <v>62</v>
      </c>
      <c r="G2124" s="14" t="s">
        <v>407</v>
      </c>
      <c r="H2124" s="15" t="s">
        <v>426</v>
      </c>
      <c r="I2124" s="11">
        <f t="shared" si="102"/>
        <v>4</v>
      </c>
      <c r="K2124" s="16">
        <v>750</v>
      </c>
      <c r="M2124" s="17">
        <f t="shared" si="100"/>
        <v>386272.97000000015</v>
      </c>
      <c r="N2124" s="11">
        <f t="shared" si="101"/>
        <v>11</v>
      </c>
    </row>
    <row r="2125" spans="1:14" x14ac:dyDescent="0.25">
      <c r="A2125" s="11" t="s">
        <v>0</v>
      </c>
      <c r="B2125" s="12">
        <v>45260</v>
      </c>
      <c r="C2125" s="11" t="s">
        <v>688</v>
      </c>
      <c r="D2125" s="11" t="s">
        <v>696</v>
      </c>
      <c r="E2125" s="13" t="s">
        <v>610</v>
      </c>
      <c r="F2125" s="14" t="s">
        <v>62</v>
      </c>
      <c r="G2125" s="14" t="s">
        <v>407</v>
      </c>
      <c r="H2125" s="15" t="s">
        <v>426</v>
      </c>
      <c r="I2125" s="11">
        <f t="shared" si="102"/>
        <v>4</v>
      </c>
      <c r="K2125" s="16">
        <v>660</v>
      </c>
      <c r="M2125" s="17">
        <f t="shared" si="100"/>
        <v>385612.97000000015</v>
      </c>
      <c r="N2125" s="11">
        <f t="shared" si="101"/>
        <v>11</v>
      </c>
    </row>
    <row r="2126" spans="1:14" x14ac:dyDescent="0.25">
      <c r="A2126" s="11" t="s">
        <v>0</v>
      </c>
      <c r="B2126" s="12">
        <v>45260</v>
      </c>
      <c r="C2126" s="11" t="s">
        <v>688</v>
      </c>
      <c r="D2126" s="11" t="s">
        <v>696</v>
      </c>
      <c r="E2126" s="13" t="s">
        <v>156</v>
      </c>
      <c r="F2126" s="14" t="s">
        <v>612</v>
      </c>
      <c r="G2126" s="14" t="s">
        <v>407</v>
      </c>
      <c r="H2126" s="15" t="s">
        <v>426</v>
      </c>
      <c r="I2126" s="11">
        <f t="shared" si="102"/>
        <v>4</v>
      </c>
      <c r="K2126" s="16">
        <v>200</v>
      </c>
      <c r="M2126" s="17">
        <f t="shared" si="100"/>
        <v>385412.97000000015</v>
      </c>
      <c r="N2126" s="11">
        <f t="shared" si="101"/>
        <v>11</v>
      </c>
    </row>
    <row r="2127" spans="1:14" x14ac:dyDescent="0.25">
      <c r="A2127" s="11" t="s">
        <v>0</v>
      </c>
      <c r="B2127" s="12">
        <v>45260</v>
      </c>
      <c r="C2127" s="11" t="s">
        <v>688</v>
      </c>
      <c r="D2127" s="11" t="s">
        <v>696</v>
      </c>
      <c r="E2127" s="13" t="s">
        <v>611</v>
      </c>
      <c r="F2127" s="14" t="s">
        <v>62</v>
      </c>
      <c r="G2127" s="14" t="s">
        <v>407</v>
      </c>
      <c r="H2127" s="15" t="s">
        <v>426</v>
      </c>
      <c r="I2127" s="11">
        <f t="shared" si="102"/>
        <v>4</v>
      </c>
      <c r="K2127" s="16">
        <v>800</v>
      </c>
      <c r="M2127" s="17">
        <f t="shared" si="100"/>
        <v>384612.97000000015</v>
      </c>
      <c r="N2127" s="11">
        <f t="shared" si="101"/>
        <v>11</v>
      </c>
    </row>
    <row r="2128" spans="1:14" x14ac:dyDescent="0.25">
      <c r="A2128" s="11" t="s">
        <v>0</v>
      </c>
      <c r="B2128" s="12">
        <v>45260</v>
      </c>
      <c r="C2128" s="11" t="s">
        <v>688</v>
      </c>
      <c r="D2128" s="11" t="s">
        <v>696</v>
      </c>
      <c r="E2128" s="13" t="s">
        <v>614</v>
      </c>
      <c r="F2128" s="14" t="s">
        <v>62</v>
      </c>
      <c r="G2128" s="14" t="s">
        <v>407</v>
      </c>
      <c r="H2128" s="15" t="s">
        <v>426</v>
      </c>
      <c r="I2128" s="11">
        <f t="shared" si="102"/>
        <v>4</v>
      </c>
      <c r="K2128" s="16">
        <v>800</v>
      </c>
      <c r="M2128" s="17">
        <f t="shared" si="100"/>
        <v>383812.97000000015</v>
      </c>
      <c r="N2128" s="11">
        <f t="shared" si="101"/>
        <v>11</v>
      </c>
    </row>
    <row r="2129" spans="1:14" x14ac:dyDescent="0.25">
      <c r="A2129" s="11" t="s">
        <v>0</v>
      </c>
      <c r="B2129" s="12">
        <v>45260</v>
      </c>
      <c r="C2129" s="11" t="s">
        <v>688</v>
      </c>
      <c r="D2129" s="11" t="s">
        <v>696</v>
      </c>
      <c r="E2129" s="13" t="s">
        <v>614</v>
      </c>
      <c r="F2129" s="14" t="s">
        <v>612</v>
      </c>
      <c r="G2129" s="14" t="s">
        <v>407</v>
      </c>
      <c r="H2129" s="15" t="s">
        <v>426</v>
      </c>
      <c r="I2129" s="11">
        <f t="shared" si="102"/>
        <v>4</v>
      </c>
      <c r="K2129" s="16">
        <v>150</v>
      </c>
      <c r="M2129" s="17">
        <f t="shared" si="100"/>
        <v>383662.97000000015</v>
      </c>
      <c r="N2129" s="11">
        <f t="shared" si="101"/>
        <v>11</v>
      </c>
    </row>
    <row r="2130" spans="1:14" x14ac:dyDescent="0.25">
      <c r="A2130" s="11" t="s">
        <v>0</v>
      </c>
      <c r="B2130" s="12">
        <v>45260</v>
      </c>
      <c r="C2130" s="11" t="s">
        <v>688</v>
      </c>
      <c r="D2130" s="11" t="s">
        <v>696</v>
      </c>
      <c r="E2130" s="13" t="s">
        <v>723</v>
      </c>
      <c r="F2130" s="14" t="s">
        <v>62</v>
      </c>
      <c r="G2130" s="14" t="s">
        <v>407</v>
      </c>
      <c r="H2130" s="15" t="s">
        <v>426</v>
      </c>
      <c r="I2130" s="11">
        <f t="shared" si="102"/>
        <v>4</v>
      </c>
      <c r="K2130" s="16">
        <v>1584</v>
      </c>
      <c r="M2130" s="17">
        <f t="shared" si="100"/>
        <v>382078.97000000015</v>
      </c>
      <c r="N2130" s="11">
        <f t="shared" si="101"/>
        <v>11</v>
      </c>
    </row>
    <row r="2131" spans="1:14" x14ac:dyDescent="0.25">
      <c r="A2131" s="11" t="s">
        <v>0</v>
      </c>
      <c r="B2131" s="12">
        <v>45260</v>
      </c>
      <c r="C2131" s="11" t="s">
        <v>688</v>
      </c>
      <c r="D2131" s="11" t="s">
        <v>696</v>
      </c>
      <c r="E2131" s="13" t="s">
        <v>626</v>
      </c>
      <c r="F2131" s="14" t="s">
        <v>62</v>
      </c>
      <c r="G2131" s="14" t="s">
        <v>407</v>
      </c>
      <c r="H2131" s="15" t="s">
        <v>426</v>
      </c>
      <c r="I2131" s="11">
        <f t="shared" si="102"/>
        <v>4</v>
      </c>
      <c r="K2131" s="16">
        <v>352</v>
      </c>
      <c r="M2131" s="17">
        <f t="shared" si="100"/>
        <v>381726.97000000015</v>
      </c>
      <c r="N2131" s="11">
        <f t="shared" si="101"/>
        <v>11</v>
      </c>
    </row>
    <row r="2132" spans="1:14" x14ac:dyDescent="0.25">
      <c r="A2132" s="11" t="s">
        <v>0</v>
      </c>
      <c r="B2132" s="12">
        <v>45260</v>
      </c>
      <c r="C2132" s="11" t="s">
        <v>688</v>
      </c>
      <c r="D2132" s="11" t="s">
        <v>696</v>
      </c>
      <c r="E2132" s="13" t="s">
        <v>627</v>
      </c>
      <c r="F2132" s="14" t="s">
        <v>62</v>
      </c>
      <c r="G2132" s="14" t="s">
        <v>407</v>
      </c>
      <c r="H2132" s="15" t="s">
        <v>426</v>
      </c>
      <c r="I2132" s="11">
        <f t="shared" si="102"/>
        <v>4</v>
      </c>
      <c r="K2132" s="16">
        <v>1000</v>
      </c>
      <c r="M2132" s="17">
        <f t="shared" si="100"/>
        <v>380726.97000000015</v>
      </c>
      <c r="N2132" s="11">
        <f t="shared" si="101"/>
        <v>11</v>
      </c>
    </row>
    <row r="2133" spans="1:14" x14ac:dyDescent="0.25">
      <c r="A2133" s="11" t="s">
        <v>0</v>
      </c>
      <c r="B2133" s="12">
        <v>45260</v>
      </c>
      <c r="C2133" s="11" t="s">
        <v>688</v>
      </c>
      <c r="D2133" s="11" t="s">
        <v>696</v>
      </c>
      <c r="E2133" s="13" t="s">
        <v>628</v>
      </c>
      <c r="F2133" s="14" t="s">
        <v>62</v>
      </c>
      <c r="G2133" s="14" t="s">
        <v>407</v>
      </c>
      <c r="H2133" s="15" t="s">
        <v>426</v>
      </c>
      <c r="I2133" s="11">
        <f t="shared" si="102"/>
        <v>4</v>
      </c>
      <c r="K2133" s="16">
        <v>100</v>
      </c>
      <c r="M2133" s="17">
        <f t="shared" si="100"/>
        <v>380626.97000000015</v>
      </c>
      <c r="N2133" s="11">
        <f t="shared" si="101"/>
        <v>11</v>
      </c>
    </row>
    <row r="2134" spans="1:14" x14ac:dyDescent="0.25">
      <c r="A2134" s="11" t="s">
        <v>0</v>
      </c>
      <c r="B2134" s="12">
        <v>45260</v>
      </c>
      <c r="C2134" s="11" t="s">
        <v>688</v>
      </c>
      <c r="D2134" s="11" t="s">
        <v>698</v>
      </c>
      <c r="E2134" s="242" t="s">
        <v>630</v>
      </c>
      <c r="F2134" s="14" t="s">
        <v>629</v>
      </c>
      <c r="G2134" s="14" t="s">
        <v>407</v>
      </c>
      <c r="H2134" s="15" t="s">
        <v>426</v>
      </c>
      <c r="I2134" s="11">
        <f t="shared" si="102"/>
        <v>4</v>
      </c>
      <c r="K2134" s="16">
        <v>600</v>
      </c>
      <c r="M2134" s="17">
        <f t="shared" si="100"/>
        <v>380026.97000000015</v>
      </c>
      <c r="N2134" s="11">
        <f t="shared" si="101"/>
        <v>11</v>
      </c>
    </row>
    <row r="2135" spans="1:14" x14ac:dyDescent="0.25">
      <c r="A2135" s="11" t="s">
        <v>0</v>
      </c>
      <c r="B2135" s="12">
        <v>45260</v>
      </c>
      <c r="C2135" s="11" t="s">
        <v>688</v>
      </c>
      <c r="D2135" s="11" t="s">
        <v>696</v>
      </c>
      <c r="E2135" s="13" t="s">
        <v>613</v>
      </c>
      <c r="F2135" s="14" t="s">
        <v>62</v>
      </c>
      <c r="G2135" s="14" t="s">
        <v>407</v>
      </c>
      <c r="H2135" s="15" t="s">
        <v>426</v>
      </c>
      <c r="I2135" s="11">
        <f t="shared" si="102"/>
        <v>4</v>
      </c>
      <c r="J2135" s="233"/>
      <c r="K2135" s="233">
        <v>350</v>
      </c>
      <c r="M2135" s="17">
        <f t="shared" si="100"/>
        <v>379676.97000000015</v>
      </c>
      <c r="N2135" s="11">
        <f t="shared" si="101"/>
        <v>11</v>
      </c>
    </row>
    <row r="2136" spans="1:14" x14ac:dyDescent="0.25">
      <c r="A2136" s="11" t="s">
        <v>0</v>
      </c>
      <c r="B2136" s="12">
        <v>45260</v>
      </c>
      <c r="C2136" s="11" t="s">
        <v>688</v>
      </c>
      <c r="D2136" s="11" t="s">
        <v>696</v>
      </c>
      <c r="E2136" s="13" t="s">
        <v>790</v>
      </c>
      <c r="F2136" s="14" t="s">
        <v>62</v>
      </c>
      <c r="G2136" s="14" t="s">
        <v>407</v>
      </c>
      <c r="H2136" s="15" t="s">
        <v>426</v>
      </c>
      <c r="I2136" s="11">
        <f t="shared" si="102"/>
        <v>4</v>
      </c>
      <c r="J2136" s="233"/>
      <c r="K2136" s="233">
        <v>770</v>
      </c>
      <c r="M2136" s="17">
        <f t="shared" si="100"/>
        <v>378906.97000000015</v>
      </c>
      <c r="N2136" s="11">
        <f t="shared" si="101"/>
        <v>11</v>
      </c>
    </row>
    <row r="2137" spans="1:14" x14ac:dyDescent="0.25">
      <c r="A2137" s="11" t="s">
        <v>207</v>
      </c>
      <c r="B2137" s="12">
        <v>45261</v>
      </c>
      <c r="C2137" s="75" t="s">
        <v>688</v>
      </c>
      <c r="D2137" s="11" t="s">
        <v>43</v>
      </c>
      <c r="E2137" s="13" t="s">
        <v>80</v>
      </c>
      <c r="F2137" s="14" t="s">
        <v>79</v>
      </c>
      <c r="G2137" s="14" t="s">
        <v>400</v>
      </c>
      <c r="I2137" s="11">
        <f t="shared" si="102"/>
        <v>2</v>
      </c>
      <c r="J2137" s="16">
        <v>1844.5</v>
      </c>
      <c r="M2137" s="17">
        <f t="shared" si="100"/>
        <v>380751.47000000015</v>
      </c>
      <c r="N2137" s="11">
        <f t="shared" si="101"/>
        <v>12</v>
      </c>
    </row>
    <row r="2138" spans="1:14" x14ac:dyDescent="0.25">
      <c r="A2138" s="11" t="s">
        <v>207</v>
      </c>
      <c r="B2138" s="12">
        <v>45261</v>
      </c>
      <c r="C2138" s="75" t="s">
        <v>688</v>
      </c>
      <c r="D2138" s="11" t="s">
        <v>43</v>
      </c>
      <c r="E2138" s="13" t="s">
        <v>81</v>
      </c>
      <c r="F2138" s="14" t="s">
        <v>79</v>
      </c>
      <c r="G2138" s="14" t="s">
        <v>400</v>
      </c>
      <c r="I2138" s="11">
        <f t="shared" si="102"/>
        <v>2</v>
      </c>
      <c r="J2138" s="16">
        <v>402.76</v>
      </c>
      <c r="M2138" s="17">
        <f t="shared" si="100"/>
        <v>381154.23000000016</v>
      </c>
      <c r="N2138" s="11">
        <f t="shared" si="101"/>
        <v>12</v>
      </c>
    </row>
    <row r="2139" spans="1:14" x14ac:dyDescent="0.25">
      <c r="A2139" s="11" t="s">
        <v>207</v>
      </c>
      <c r="B2139" s="12">
        <v>45261</v>
      </c>
      <c r="C2139" s="75" t="s">
        <v>688</v>
      </c>
      <c r="D2139" s="11" t="s">
        <v>43</v>
      </c>
      <c r="E2139" s="13" t="s">
        <v>382</v>
      </c>
      <c r="F2139" s="14" t="s">
        <v>13</v>
      </c>
      <c r="G2139" s="14" t="s">
        <v>400</v>
      </c>
      <c r="I2139" s="11">
        <f t="shared" si="102"/>
        <v>2</v>
      </c>
      <c r="J2139" s="16">
        <v>15.24</v>
      </c>
      <c r="M2139" s="17">
        <f t="shared" si="100"/>
        <v>381169.47000000015</v>
      </c>
      <c r="N2139" s="11">
        <f t="shared" si="101"/>
        <v>12</v>
      </c>
    </row>
    <row r="2140" spans="1:14" x14ac:dyDescent="0.25">
      <c r="A2140" s="11" t="s">
        <v>207</v>
      </c>
      <c r="B2140" s="12">
        <v>45261</v>
      </c>
      <c r="C2140" s="75" t="s">
        <v>688</v>
      </c>
      <c r="D2140" s="11" t="s">
        <v>43</v>
      </c>
      <c r="E2140" s="13" t="s">
        <v>382</v>
      </c>
      <c r="F2140" s="14" t="s">
        <v>13</v>
      </c>
      <c r="G2140" s="14" t="s">
        <v>400</v>
      </c>
      <c r="I2140" s="11">
        <f t="shared" si="102"/>
        <v>2</v>
      </c>
      <c r="J2140" s="16">
        <v>83.58</v>
      </c>
      <c r="M2140" s="17">
        <f t="shared" si="100"/>
        <v>381253.05000000016</v>
      </c>
      <c r="N2140" s="11">
        <f t="shared" si="101"/>
        <v>12</v>
      </c>
    </row>
    <row r="2141" spans="1:14" x14ac:dyDescent="0.25">
      <c r="A2141" s="11" t="s">
        <v>0</v>
      </c>
      <c r="B2141" s="12">
        <v>45261</v>
      </c>
      <c r="C2141" s="11" t="s">
        <v>688</v>
      </c>
      <c r="D2141" s="11" t="s">
        <v>694</v>
      </c>
      <c r="E2141" s="13" t="s">
        <v>182</v>
      </c>
      <c r="F2141" s="14" t="s">
        <v>365</v>
      </c>
      <c r="G2141" s="14" t="s">
        <v>402</v>
      </c>
      <c r="H2141" s="15" t="s">
        <v>20</v>
      </c>
      <c r="I2141" s="11">
        <f t="shared" si="102"/>
        <v>5</v>
      </c>
      <c r="K2141" s="16">
        <v>3.08</v>
      </c>
      <c r="M2141" s="17">
        <f t="shared" si="100"/>
        <v>381249.97000000015</v>
      </c>
      <c r="N2141" s="11">
        <f t="shared" si="101"/>
        <v>12</v>
      </c>
    </row>
    <row r="2142" spans="1:14" x14ac:dyDescent="0.25">
      <c r="A2142" s="11" t="s">
        <v>0</v>
      </c>
      <c r="B2142" s="12">
        <v>45261</v>
      </c>
      <c r="C2142" s="11" t="s">
        <v>688</v>
      </c>
      <c r="D2142" s="11" t="s">
        <v>694</v>
      </c>
      <c r="E2142" s="13" t="s">
        <v>182</v>
      </c>
      <c r="F2142" s="14" t="s">
        <v>23</v>
      </c>
      <c r="G2142" s="14" t="s">
        <v>402</v>
      </c>
      <c r="H2142" s="15" t="s">
        <v>20</v>
      </c>
      <c r="I2142" s="11">
        <f t="shared" si="102"/>
        <v>5</v>
      </c>
      <c r="K2142" s="16">
        <v>7.43</v>
      </c>
      <c r="M2142" s="17">
        <f t="shared" si="100"/>
        <v>381242.54000000015</v>
      </c>
      <c r="N2142" s="11">
        <f t="shared" si="101"/>
        <v>12</v>
      </c>
    </row>
    <row r="2143" spans="1:14" x14ac:dyDescent="0.25">
      <c r="A2143" s="11" t="s">
        <v>207</v>
      </c>
      <c r="B2143" s="12">
        <v>45261</v>
      </c>
      <c r="C2143" s="75" t="s">
        <v>688</v>
      </c>
      <c r="D2143" s="11" t="s">
        <v>43</v>
      </c>
      <c r="E2143" s="13">
        <v>45261</v>
      </c>
      <c r="F2143" s="14" t="s">
        <v>472</v>
      </c>
      <c r="G2143" s="14" t="s">
        <v>400</v>
      </c>
      <c r="I2143" s="11">
        <f t="shared" si="102"/>
        <v>2</v>
      </c>
      <c r="J2143" s="16">
        <v>450.4</v>
      </c>
      <c r="M2143" s="17">
        <f t="shared" si="100"/>
        <v>381692.94000000018</v>
      </c>
      <c r="N2143" s="11">
        <f t="shared" si="101"/>
        <v>12</v>
      </c>
    </row>
    <row r="2144" spans="1:14" x14ac:dyDescent="0.25">
      <c r="A2144" s="11" t="s">
        <v>0</v>
      </c>
      <c r="B2144" s="12">
        <v>45261</v>
      </c>
      <c r="C2144" s="11" t="s">
        <v>688</v>
      </c>
      <c r="D2144" s="11" t="s">
        <v>692</v>
      </c>
      <c r="E2144" s="13" t="s">
        <v>169</v>
      </c>
      <c r="F2144" s="14" t="s">
        <v>50</v>
      </c>
      <c r="G2144" s="14" t="s">
        <v>404</v>
      </c>
      <c r="H2144" s="15">
        <v>1220981</v>
      </c>
      <c r="I2144" s="11">
        <f t="shared" si="102"/>
        <v>5</v>
      </c>
      <c r="K2144" s="16">
        <v>92</v>
      </c>
      <c r="M2144" s="17">
        <f t="shared" si="100"/>
        <v>381600.94000000018</v>
      </c>
      <c r="N2144" s="11">
        <f t="shared" si="101"/>
        <v>12</v>
      </c>
    </row>
    <row r="2145" spans="1:14" x14ac:dyDescent="0.25">
      <c r="A2145" s="11" t="s">
        <v>0</v>
      </c>
      <c r="B2145" s="12">
        <v>45261</v>
      </c>
      <c r="C2145" s="11" t="s">
        <v>688</v>
      </c>
      <c r="D2145" s="11" t="s">
        <v>692</v>
      </c>
      <c r="E2145" s="13" t="s">
        <v>179</v>
      </c>
      <c r="F2145" s="14" t="s">
        <v>28</v>
      </c>
      <c r="G2145" s="14" t="s">
        <v>404</v>
      </c>
      <c r="H2145" s="15">
        <v>49</v>
      </c>
      <c r="I2145" s="11">
        <f t="shared" si="102"/>
        <v>5</v>
      </c>
      <c r="K2145" s="16">
        <v>4505</v>
      </c>
      <c r="M2145" s="17">
        <f t="shared" si="100"/>
        <v>377095.94000000018</v>
      </c>
      <c r="N2145" s="11">
        <f t="shared" si="101"/>
        <v>12</v>
      </c>
    </row>
    <row r="2146" spans="1:14" x14ac:dyDescent="0.25">
      <c r="A2146" s="11" t="s">
        <v>0</v>
      </c>
      <c r="B2146" s="12">
        <v>45261</v>
      </c>
      <c r="C2146" s="11" t="s">
        <v>688</v>
      </c>
      <c r="D2146" s="11" t="s">
        <v>720</v>
      </c>
      <c r="E2146" s="13" t="s">
        <v>183</v>
      </c>
      <c r="F2146" s="14" t="s">
        <v>366</v>
      </c>
      <c r="G2146" s="14" t="s">
        <v>404</v>
      </c>
      <c r="H2146" s="15">
        <v>58</v>
      </c>
      <c r="I2146" s="11">
        <f t="shared" si="102"/>
        <v>5</v>
      </c>
      <c r="K2146" s="16">
        <v>100</v>
      </c>
      <c r="M2146" s="17">
        <f t="shared" si="100"/>
        <v>376995.94000000018</v>
      </c>
      <c r="N2146" s="11">
        <f t="shared" si="101"/>
        <v>12</v>
      </c>
    </row>
    <row r="2147" spans="1:14" x14ac:dyDescent="0.25">
      <c r="A2147" s="11" t="s">
        <v>0</v>
      </c>
      <c r="B2147" s="12">
        <v>45261</v>
      </c>
      <c r="C2147" s="11" t="s">
        <v>688</v>
      </c>
      <c r="D2147" s="11" t="s">
        <v>692</v>
      </c>
      <c r="E2147" s="13" t="s">
        <v>725</v>
      </c>
      <c r="F2147" s="14" t="s">
        <v>33</v>
      </c>
      <c r="G2147" s="14" t="s">
        <v>404</v>
      </c>
      <c r="H2147" s="15" t="s">
        <v>437</v>
      </c>
      <c r="I2147" s="11">
        <f t="shared" si="102"/>
        <v>5</v>
      </c>
      <c r="K2147" s="16">
        <v>426.5</v>
      </c>
      <c r="M2147" s="17">
        <f t="shared" si="100"/>
        <v>376569.44000000018</v>
      </c>
      <c r="N2147" s="11">
        <f t="shared" si="101"/>
        <v>12</v>
      </c>
    </row>
    <row r="2148" spans="1:14" x14ac:dyDescent="0.25">
      <c r="A2148" s="11" t="s">
        <v>0</v>
      </c>
      <c r="B2148" s="12">
        <v>45261</v>
      </c>
      <c r="C2148" s="11" t="s">
        <v>688</v>
      </c>
      <c r="D2148" s="11" t="s">
        <v>694</v>
      </c>
      <c r="E2148" s="13" t="s">
        <v>181</v>
      </c>
      <c r="F2148" s="14" t="s">
        <v>516</v>
      </c>
      <c r="G2148" s="14" t="s">
        <v>404</v>
      </c>
      <c r="H2148" s="15">
        <v>6863</v>
      </c>
      <c r="I2148" s="11">
        <f t="shared" si="102"/>
        <v>5</v>
      </c>
      <c r="K2148" s="16">
        <v>400</v>
      </c>
      <c r="M2148" s="17">
        <f t="shared" si="100"/>
        <v>376169.44000000018</v>
      </c>
      <c r="N2148" s="11">
        <f t="shared" si="101"/>
        <v>12</v>
      </c>
    </row>
    <row r="2149" spans="1:14" x14ac:dyDescent="0.25">
      <c r="A2149" s="11" t="s">
        <v>0</v>
      </c>
      <c r="B2149" s="12">
        <v>45261</v>
      </c>
      <c r="C2149" s="11" t="s">
        <v>688</v>
      </c>
      <c r="D2149" s="11" t="s">
        <v>692</v>
      </c>
      <c r="E2149" s="13" t="s">
        <v>725</v>
      </c>
      <c r="F2149" s="14" t="s">
        <v>27</v>
      </c>
      <c r="G2149" s="14" t="s">
        <v>404</v>
      </c>
      <c r="H2149" s="15">
        <v>14522</v>
      </c>
      <c r="I2149" s="11">
        <f t="shared" si="102"/>
        <v>5</v>
      </c>
      <c r="K2149" s="16">
        <v>676.61</v>
      </c>
      <c r="M2149" s="17">
        <f t="shared" si="100"/>
        <v>375492.83000000019</v>
      </c>
      <c r="N2149" s="11">
        <f t="shared" si="101"/>
        <v>12</v>
      </c>
    </row>
    <row r="2150" spans="1:14" x14ac:dyDescent="0.25">
      <c r="A2150" s="11" t="s">
        <v>0</v>
      </c>
      <c r="B2150" s="12">
        <v>45261</v>
      </c>
      <c r="C2150" s="11" t="s">
        <v>688</v>
      </c>
      <c r="D2150" s="11" t="s">
        <v>700</v>
      </c>
      <c r="E2150" s="13" t="s">
        <v>571</v>
      </c>
      <c r="F2150" s="14" t="s">
        <v>570</v>
      </c>
      <c r="G2150" s="14" t="s">
        <v>173</v>
      </c>
      <c r="H2150" s="15" t="s">
        <v>426</v>
      </c>
      <c r="I2150" s="11">
        <f t="shared" si="102"/>
        <v>6</v>
      </c>
      <c r="K2150" s="16">
        <v>2500</v>
      </c>
      <c r="M2150" s="17">
        <f t="shared" si="100"/>
        <v>372992.83000000019</v>
      </c>
      <c r="N2150" s="11">
        <f t="shared" si="101"/>
        <v>12</v>
      </c>
    </row>
    <row r="2151" spans="1:14" x14ac:dyDescent="0.25">
      <c r="A2151" s="11" t="s">
        <v>0</v>
      </c>
      <c r="B2151" s="12">
        <v>45261</v>
      </c>
      <c r="C2151" s="11" t="s">
        <v>688</v>
      </c>
      <c r="D2151" s="11" t="s">
        <v>696</v>
      </c>
      <c r="E2151" s="13" t="s">
        <v>593</v>
      </c>
      <c r="F2151" s="14" t="s">
        <v>62</v>
      </c>
      <c r="G2151" s="14" t="s">
        <v>407</v>
      </c>
      <c r="H2151" s="15" t="s">
        <v>426</v>
      </c>
      <c r="I2151" s="11">
        <f t="shared" si="102"/>
        <v>4</v>
      </c>
      <c r="J2151" s="233"/>
      <c r="K2151" s="233">
        <v>3000</v>
      </c>
      <c r="M2151" s="17">
        <f t="shared" si="100"/>
        <v>369992.83000000019</v>
      </c>
      <c r="N2151" s="11">
        <f t="shared" si="101"/>
        <v>12</v>
      </c>
    </row>
    <row r="2152" spans="1:14" x14ac:dyDescent="0.25">
      <c r="A2152" s="11" t="s">
        <v>207</v>
      </c>
      <c r="B2152" s="12">
        <v>45262</v>
      </c>
      <c r="C2152" s="11" t="s">
        <v>688</v>
      </c>
      <c r="D2152" s="11" t="s">
        <v>43</v>
      </c>
      <c r="E2152" s="13" t="s">
        <v>288</v>
      </c>
      <c r="F2152" s="14" t="s">
        <v>288</v>
      </c>
      <c r="G2152" s="14" t="s">
        <v>173</v>
      </c>
      <c r="I2152" s="11">
        <f t="shared" si="102"/>
        <v>3</v>
      </c>
      <c r="J2152" s="16">
        <v>1182</v>
      </c>
      <c r="M2152" s="17">
        <f t="shared" si="100"/>
        <v>371174.83000000019</v>
      </c>
      <c r="N2152" s="11">
        <f t="shared" si="101"/>
        <v>12</v>
      </c>
    </row>
    <row r="2153" spans="1:14" x14ac:dyDescent="0.25">
      <c r="A2153" s="11" t="s">
        <v>207</v>
      </c>
      <c r="B2153" s="12">
        <v>45263</v>
      </c>
      <c r="C2153" s="11" t="s">
        <v>688</v>
      </c>
      <c r="D2153" s="11" t="s">
        <v>43</v>
      </c>
      <c r="E2153" s="13" t="s">
        <v>288</v>
      </c>
      <c r="F2153" s="14" t="s">
        <v>288</v>
      </c>
      <c r="G2153" s="14" t="s">
        <v>173</v>
      </c>
      <c r="J2153" s="16">
        <v>1270</v>
      </c>
      <c r="M2153" s="17">
        <f t="shared" si="100"/>
        <v>372444.83000000019</v>
      </c>
      <c r="N2153" s="11">
        <f t="shared" si="101"/>
        <v>12</v>
      </c>
    </row>
    <row r="2154" spans="1:14" x14ac:dyDescent="0.25">
      <c r="A2154" s="11" t="s">
        <v>0</v>
      </c>
      <c r="B2154" s="12">
        <v>45263</v>
      </c>
      <c r="C2154" s="11" t="s">
        <v>688</v>
      </c>
      <c r="D2154" s="11" t="s">
        <v>700</v>
      </c>
      <c r="E2154" s="13" t="s">
        <v>663</v>
      </c>
      <c r="F2154" s="14" t="s">
        <v>569</v>
      </c>
      <c r="G2154" s="14" t="s">
        <v>173</v>
      </c>
      <c r="H2154" s="15" t="s">
        <v>426</v>
      </c>
      <c r="I2154" s="11">
        <f t="shared" si="102"/>
        <v>6</v>
      </c>
      <c r="K2154" s="16">
        <v>15803</v>
      </c>
      <c r="M2154" s="17">
        <f t="shared" si="100"/>
        <v>356641.83000000019</v>
      </c>
      <c r="N2154" s="11">
        <f t="shared" si="101"/>
        <v>12</v>
      </c>
    </row>
    <row r="2155" spans="1:14" x14ac:dyDescent="0.25">
      <c r="A2155" s="11" t="s">
        <v>0</v>
      </c>
      <c r="B2155" s="12">
        <v>45263</v>
      </c>
      <c r="C2155" s="11" t="s">
        <v>688</v>
      </c>
      <c r="D2155" s="11" t="s">
        <v>700</v>
      </c>
      <c r="E2155" s="13" t="s">
        <v>572</v>
      </c>
      <c r="F2155" s="14" t="s">
        <v>572</v>
      </c>
      <c r="G2155" s="14" t="s">
        <v>173</v>
      </c>
      <c r="H2155" s="15" t="s">
        <v>426</v>
      </c>
      <c r="I2155" s="11">
        <f t="shared" si="102"/>
        <v>6</v>
      </c>
      <c r="K2155" s="16">
        <v>4000</v>
      </c>
      <c r="M2155" s="17">
        <f t="shared" si="100"/>
        <v>352641.83000000019</v>
      </c>
      <c r="N2155" s="11">
        <f t="shared" si="101"/>
        <v>12</v>
      </c>
    </row>
    <row r="2156" spans="1:14" x14ac:dyDescent="0.25">
      <c r="A2156" s="11" t="s">
        <v>207</v>
      </c>
      <c r="B2156" s="12">
        <v>45262</v>
      </c>
      <c r="C2156" s="11" t="s">
        <v>688</v>
      </c>
      <c r="D2156" s="11" t="s">
        <v>43</v>
      </c>
      <c r="E2156" s="14" t="s">
        <v>429</v>
      </c>
      <c r="F2156" s="14" t="s">
        <v>429</v>
      </c>
      <c r="G2156" s="14" t="s">
        <v>428</v>
      </c>
      <c r="I2156" s="11">
        <f t="shared" si="102"/>
        <v>1</v>
      </c>
      <c r="J2156" s="16">
        <v>7186.45</v>
      </c>
      <c r="M2156" s="17">
        <f t="shared" si="100"/>
        <v>359828.2800000002</v>
      </c>
      <c r="N2156" s="11">
        <f t="shared" si="101"/>
        <v>12</v>
      </c>
    </row>
    <row r="2157" spans="1:14" x14ac:dyDescent="0.25">
      <c r="A2157" s="11" t="s">
        <v>207</v>
      </c>
      <c r="B2157" s="12">
        <v>45263</v>
      </c>
      <c r="C2157" s="11" t="s">
        <v>688</v>
      </c>
      <c r="D2157" s="11" t="s">
        <v>43</v>
      </c>
      <c r="E2157" s="14" t="s">
        <v>429</v>
      </c>
      <c r="F2157" s="14" t="s">
        <v>429</v>
      </c>
      <c r="G2157" s="14" t="s">
        <v>428</v>
      </c>
      <c r="I2157" s="11">
        <f t="shared" si="102"/>
        <v>1</v>
      </c>
      <c r="J2157" s="16">
        <v>7467.85</v>
      </c>
      <c r="M2157" s="17">
        <f t="shared" si="100"/>
        <v>367296.13000000018</v>
      </c>
      <c r="N2157" s="11">
        <f t="shared" si="101"/>
        <v>12</v>
      </c>
    </row>
    <row r="2158" spans="1:14" x14ac:dyDescent="0.25">
      <c r="A2158" s="11" t="s">
        <v>207</v>
      </c>
      <c r="B2158" s="12">
        <v>45264</v>
      </c>
      <c r="C2158" s="11" t="s">
        <v>688</v>
      </c>
      <c r="D2158" s="11" t="s">
        <v>43</v>
      </c>
      <c r="E2158" s="13" t="s">
        <v>288</v>
      </c>
      <c r="F2158" s="14" t="s">
        <v>288</v>
      </c>
      <c r="G2158" s="14" t="s">
        <v>173</v>
      </c>
      <c r="I2158" s="11">
        <f t="shared" si="102"/>
        <v>3</v>
      </c>
      <c r="J2158" s="16">
        <v>700</v>
      </c>
      <c r="M2158" s="17">
        <f t="shared" si="100"/>
        <v>367996.13000000018</v>
      </c>
      <c r="N2158" s="11">
        <f t="shared" si="101"/>
        <v>12</v>
      </c>
    </row>
    <row r="2159" spans="1:14" x14ac:dyDescent="0.25">
      <c r="A2159" s="11" t="s">
        <v>207</v>
      </c>
      <c r="B2159" s="12">
        <v>45264</v>
      </c>
      <c r="C2159" s="11" t="s">
        <v>688</v>
      </c>
      <c r="D2159" s="11" t="s">
        <v>43</v>
      </c>
      <c r="E2159" s="14" t="s">
        <v>429</v>
      </c>
      <c r="F2159" s="14" t="s">
        <v>429</v>
      </c>
      <c r="G2159" s="14" t="s">
        <v>428</v>
      </c>
      <c r="I2159" s="11">
        <f t="shared" si="102"/>
        <v>1</v>
      </c>
      <c r="J2159" s="16">
        <v>585</v>
      </c>
      <c r="M2159" s="17">
        <f t="shared" si="100"/>
        <v>368581.13000000018</v>
      </c>
      <c r="N2159" s="11">
        <f t="shared" si="101"/>
        <v>12</v>
      </c>
    </row>
    <row r="2160" spans="1:14" x14ac:dyDescent="0.25">
      <c r="A2160" s="11" t="s">
        <v>207</v>
      </c>
      <c r="B2160" s="12">
        <v>45264</v>
      </c>
      <c r="C2160" s="75" t="s">
        <v>688</v>
      </c>
      <c r="D2160" s="11" t="s">
        <v>43</v>
      </c>
      <c r="E2160" s="13" t="s">
        <v>80</v>
      </c>
      <c r="F2160" s="14" t="s">
        <v>79</v>
      </c>
      <c r="G2160" s="14" t="s">
        <v>400</v>
      </c>
      <c r="I2160" s="11">
        <f t="shared" si="102"/>
        <v>2</v>
      </c>
      <c r="J2160" s="16">
        <v>5896.64</v>
      </c>
      <c r="M2160" s="17">
        <f t="shared" si="100"/>
        <v>374477.77000000019</v>
      </c>
      <c r="N2160" s="11">
        <f t="shared" si="101"/>
        <v>12</v>
      </c>
    </row>
    <row r="2161" spans="1:14" x14ac:dyDescent="0.25">
      <c r="A2161" s="11" t="s">
        <v>207</v>
      </c>
      <c r="B2161" s="12">
        <v>45264</v>
      </c>
      <c r="C2161" s="75" t="s">
        <v>662</v>
      </c>
      <c r="D2161" s="11" t="s">
        <v>43</v>
      </c>
      <c r="E2161" s="13" t="s">
        <v>81</v>
      </c>
      <c r="F2161" s="14" t="s">
        <v>79</v>
      </c>
      <c r="G2161" s="14" t="s">
        <v>400</v>
      </c>
      <c r="I2161" s="11">
        <f t="shared" ref="I2161" si="103">IF(AND(G2161="MERCADO PAGO",A2161="FATURAMENTO"),1,IF(AND(OR(G2161="MERCADO PAGO",G2161="pix mercado pago",G2161= "débito automático mercado pago", G2161= "boleto mercado pago"),A2161="DESPESAS"),4,IF(AND(G2161="SAFRA",A2161="FATURAMENTO"),2,IF(AND(OR(G2161="SAFRA",G2161="PIX SAFRA", G2161="DÉBITO AUTOMÁTICO SAFRA", G2161= "BOLETO SAFRA", G2161= "transferência safra"), A2161="DESPESAS"),5,IF(AND(G2161="espécie",A2161="FATURAMENTO"),3,IF(AND(G2161="espécie",A2161="DESPESAS"),6))))))</f>
        <v>2</v>
      </c>
      <c r="J2161" s="16">
        <v>3000</v>
      </c>
      <c r="M2161" s="17">
        <f t="shared" si="100"/>
        <v>377477.77000000019</v>
      </c>
      <c r="N2161" s="11">
        <f t="shared" si="101"/>
        <v>12</v>
      </c>
    </row>
    <row r="2162" spans="1:14" x14ac:dyDescent="0.25">
      <c r="A2162" s="11" t="s">
        <v>207</v>
      </c>
      <c r="B2162" s="12">
        <v>45264</v>
      </c>
      <c r="C2162" s="75" t="s">
        <v>688</v>
      </c>
      <c r="D2162" s="11" t="s">
        <v>43</v>
      </c>
      <c r="E2162" s="13" t="s">
        <v>81</v>
      </c>
      <c r="F2162" s="14" t="s">
        <v>79</v>
      </c>
      <c r="G2162" s="14" t="s">
        <v>400</v>
      </c>
      <c r="I2162" s="11">
        <f t="shared" si="102"/>
        <v>2</v>
      </c>
      <c r="J2162" s="16">
        <v>992.57</v>
      </c>
      <c r="M2162" s="17">
        <f t="shared" si="100"/>
        <v>378470.3400000002</v>
      </c>
      <c r="N2162" s="11">
        <f t="shared" si="101"/>
        <v>12</v>
      </c>
    </row>
    <row r="2163" spans="1:14" x14ac:dyDescent="0.25">
      <c r="A2163" s="11" t="s">
        <v>207</v>
      </c>
      <c r="B2163" s="12">
        <v>45264</v>
      </c>
      <c r="C2163" s="75" t="s">
        <v>688</v>
      </c>
      <c r="D2163" s="11" t="s">
        <v>43</v>
      </c>
      <c r="E2163" s="13" t="s">
        <v>82</v>
      </c>
      <c r="F2163" s="14" t="s">
        <v>79</v>
      </c>
      <c r="G2163" s="14" t="s">
        <v>400</v>
      </c>
      <c r="I2163" s="11">
        <f t="shared" si="102"/>
        <v>2</v>
      </c>
      <c r="J2163" s="16">
        <v>123.95</v>
      </c>
      <c r="M2163" s="17">
        <f t="shared" si="100"/>
        <v>378594.29000000021</v>
      </c>
      <c r="N2163" s="11">
        <f t="shared" si="101"/>
        <v>12</v>
      </c>
    </row>
    <row r="2164" spans="1:14" x14ac:dyDescent="0.25">
      <c r="A2164" s="11" t="s">
        <v>207</v>
      </c>
      <c r="B2164" s="12">
        <v>45264</v>
      </c>
      <c r="C2164" s="75" t="s">
        <v>688</v>
      </c>
      <c r="D2164" s="11" t="s">
        <v>43</v>
      </c>
      <c r="E2164" s="13" t="s">
        <v>382</v>
      </c>
      <c r="F2164" s="14" t="s">
        <v>13</v>
      </c>
      <c r="G2164" s="14" t="s">
        <v>400</v>
      </c>
      <c r="I2164" s="11">
        <f t="shared" si="102"/>
        <v>2</v>
      </c>
      <c r="J2164" s="16">
        <v>339.62</v>
      </c>
      <c r="M2164" s="17">
        <f t="shared" si="100"/>
        <v>378933.91000000021</v>
      </c>
      <c r="N2164" s="11">
        <f t="shared" si="101"/>
        <v>12</v>
      </c>
    </row>
    <row r="2165" spans="1:14" x14ac:dyDescent="0.25">
      <c r="A2165" s="11" t="s">
        <v>207</v>
      </c>
      <c r="B2165" s="12">
        <v>45264</v>
      </c>
      <c r="C2165" s="75" t="s">
        <v>688</v>
      </c>
      <c r="D2165" s="11" t="s">
        <v>43</v>
      </c>
      <c r="E2165" s="13" t="s">
        <v>382</v>
      </c>
      <c r="F2165" s="14" t="s">
        <v>13</v>
      </c>
      <c r="G2165" s="14" t="s">
        <v>400</v>
      </c>
      <c r="I2165" s="11">
        <f t="shared" si="102"/>
        <v>2</v>
      </c>
      <c r="J2165" s="16">
        <v>330</v>
      </c>
      <c r="M2165" s="17">
        <f t="shared" si="100"/>
        <v>379263.91000000021</v>
      </c>
      <c r="N2165" s="11">
        <f t="shared" si="101"/>
        <v>12</v>
      </c>
    </row>
    <row r="2166" spans="1:14" x14ac:dyDescent="0.25">
      <c r="A2166" s="11" t="s">
        <v>207</v>
      </c>
      <c r="B2166" s="12">
        <v>45264</v>
      </c>
      <c r="C2166" s="75" t="s">
        <v>688</v>
      </c>
      <c r="D2166" s="11" t="s">
        <v>43</v>
      </c>
      <c r="E2166" s="13" t="s">
        <v>382</v>
      </c>
      <c r="F2166" s="14" t="s">
        <v>13</v>
      </c>
      <c r="G2166" s="14" t="s">
        <v>400</v>
      </c>
      <c r="I2166" s="11">
        <f t="shared" si="102"/>
        <v>2</v>
      </c>
      <c r="J2166" s="16">
        <v>499.85</v>
      </c>
      <c r="M2166" s="17">
        <f t="shared" si="100"/>
        <v>379763.76000000018</v>
      </c>
      <c r="N2166" s="11">
        <f t="shared" si="101"/>
        <v>12</v>
      </c>
    </row>
    <row r="2167" spans="1:14" x14ac:dyDescent="0.25">
      <c r="A2167" s="11" t="s">
        <v>207</v>
      </c>
      <c r="B2167" s="12">
        <v>45264</v>
      </c>
      <c r="C2167" s="75" t="s">
        <v>662</v>
      </c>
      <c r="D2167" s="11" t="s">
        <v>43</v>
      </c>
      <c r="E2167" s="13" t="s">
        <v>382</v>
      </c>
      <c r="F2167" s="14" t="s">
        <v>13</v>
      </c>
      <c r="G2167" s="14" t="s">
        <v>400</v>
      </c>
      <c r="I2167" s="11">
        <f t="shared" si="102"/>
        <v>2</v>
      </c>
      <c r="J2167" s="16">
        <v>190.54</v>
      </c>
      <c r="M2167" s="17">
        <f t="shared" si="100"/>
        <v>379954.30000000016</v>
      </c>
      <c r="N2167" s="11">
        <f t="shared" si="101"/>
        <v>12</v>
      </c>
    </row>
    <row r="2168" spans="1:14" x14ac:dyDescent="0.25">
      <c r="A2168" s="11" t="s">
        <v>207</v>
      </c>
      <c r="B2168" s="12">
        <v>45264</v>
      </c>
      <c r="C2168" s="75" t="s">
        <v>688</v>
      </c>
      <c r="D2168" s="11" t="s">
        <v>43</v>
      </c>
      <c r="E2168" s="13" t="s">
        <v>382</v>
      </c>
      <c r="F2168" s="14" t="s">
        <v>13</v>
      </c>
      <c r="G2168" s="14" t="s">
        <v>400</v>
      </c>
      <c r="I2168" s="11">
        <f t="shared" si="102"/>
        <v>2</v>
      </c>
      <c r="J2168" s="16">
        <v>461.44</v>
      </c>
      <c r="M2168" s="17">
        <f t="shared" si="100"/>
        <v>380415.74000000017</v>
      </c>
      <c r="N2168" s="11">
        <f t="shared" si="101"/>
        <v>12</v>
      </c>
    </row>
    <row r="2169" spans="1:14" x14ac:dyDescent="0.25">
      <c r="A2169" s="11" t="s">
        <v>207</v>
      </c>
      <c r="B2169" s="12">
        <v>45264</v>
      </c>
      <c r="C2169" s="75" t="s">
        <v>688</v>
      </c>
      <c r="D2169" s="11" t="s">
        <v>43</v>
      </c>
      <c r="E2169" s="13" t="s">
        <v>382</v>
      </c>
      <c r="F2169" s="14" t="s">
        <v>13</v>
      </c>
      <c r="G2169" s="14" t="s">
        <v>400</v>
      </c>
      <c r="I2169" s="11">
        <f t="shared" si="102"/>
        <v>2</v>
      </c>
      <c r="J2169" s="16">
        <v>197.47</v>
      </c>
      <c r="M2169" s="17">
        <f t="shared" si="100"/>
        <v>380613.21000000014</v>
      </c>
      <c r="N2169" s="11">
        <f t="shared" si="101"/>
        <v>12</v>
      </c>
    </row>
    <row r="2170" spans="1:14" x14ac:dyDescent="0.25">
      <c r="A2170" s="11" t="s">
        <v>207</v>
      </c>
      <c r="B2170" s="12">
        <v>45264</v>
      </c>
      <c r="C2170" s="75" t="s">
        <v>662</v>
      </c>
      <c r="D2170" s="11" t="s">
        <v>43</v>
      </c>
      <c r="E2170" s="13" t="s">
        <v>382</v>
      </c>
      <c r="F2170" s="14" t="s">
        <v>13</v>
      </c>
      <c r="G2170" s="14" t="s">
        <v>400</v>
      </c>
      <c r="I2170" s="11">
        <f t="shared" si="102"/>
        <v>2</v>
      </c>
      <c r="J2170" s="16">
        <v>69.680000000000007</v>
      </c>
      <c r="M2170" s="17">
        <f t="shared" si="100"/>
        <v>380682.89000000013</v>
      </c>
      <c r="N2170" s="11">
        <f t="shared" si="101"/>
        <v>12</v>
      </c>
    </row>
    <row r="2171" spans="1:14" x14ac:dyDescent="0.25">
      <c r="A2171" s="11" t="s">
        <v>207</v>
      </c>
      <c r="B2171" s="12">
        <v>45264</v>
      </c>
      <c r="C2171" s="75" t="s">
        <v>688</v>
      </c>
      <c r="D2171" s="11" t="s">
        <v>43</v>
      </c>
      <c r="E2171" s="13" t="s">
        <v>382</v>
      </c>
      <c r="F2171" s="14" t="s">
        <v>13</v>
      </c>
      <c r="G2171" s="14" t="s">
        <v>400</v>
      </c>
      <c r="I2171" s="11">
        <f t="shared" si="102"/>
        <v>2</v>
      </c>
      <c r="J2171" s="16">
        <v>88.57</v>
      </c>
      <c r="M2171" s="17">
        <f t="shared" si="100"/>
        <v>380771.46000000014</v>
      </c>
      <c r="N2171" s="11">
        <f t="shared" si="101"/>
        <v>12</v>
      </c>
    </row>
    <row r="2172" spans="1:14" x14ac:dyDescent="0.25">
      <c r="A2172" s="11" t="s">
        <v>207</v>
      </c>
      <c r="B2172" s="12">
        <v>45264</v>
      </c>
      <c r="C2172" s="75" t="s">
        <v>688</v>
      </c>
      <c r="D2172" s="11" t="s">
        <v>43</v>
      </c>
      <c r="E2172" s="13" t="s">
        <v>382</v>
      </c>
      <c r="F2172" s="14" t="s">
        <v>13</v>
      </c>
      <c r="G2172" s="14" t="s">
        <v>400</v>
      </c>
      <c r="I2172" s="11">
        <f t="shared" si="102"/>
        <v>2</v>
      </c>
      <c r="J2172" s="16">
        <v>406.18</v>
      </c>
      <c r="M2172" s="17">
        <f t="shared" si="100"/>
        <v>381177.64000000013</v>
      </c>
      <c r="N2172" s="11">
        <f t="shared" si="101"/>
        <v>12</v>
      </c>
    </row>
    <row r="2173" spans="1:14" x14ac:dyDescent="0.25">
      <c r="A2173" s="11" t="s">
        <v>207</v>
      </c>
      <c r="B2173" s="12">
        <v>45264</v>
      </c>
      <c r="C2173" s="75" t="s">
        <v>688</v>
      </c>
      <c r="D2173" s="11" t="s">
        <v>43</v>
      </c>
      <c r="E2173" s="13" t="s">
        <v>382</v>
      </c>
      <c r="F2173" s="14" t="s">
        <v>13</v>
      </c>
      <c r="G2173" s="14" t="s">
        <v>400</v>
      </c>
      <c r="I2173" s="11">
        <f t="shared" si="102"/>
        <v>2</v>
      </c>
      <c r="J2173" s="16">
        <v>107.78</v>
      </c>
      <c r="M2173" s="17">
        <f t="shared" si="100"/>
        <v>381285.42000000016</v>
      </c>
      <c r="N2173" s="11">
        <f t="shared" si="101"/>
        <v>12</v>
      </c>
    </row>
    <row r="2174" spans="1:14" x14ac:dyDescent="0.25">
      <c r="A2174" s="11" t="s">
        <v>207</v>
      </c>
      <c r="B2174" s="12">
        <v>45264</v>
      </c>
      <c r="C2174" s="75" t="s">
        <v>688</v>
      </c>
      <c r="D2174" s="11" t="s">
        <v>43</v>
      </c>
      <c r="E2174" s="13" t="s">
        <v>382</v>
      </c>
      <c r="F2174" s="14" t="s">
        <v>13</v>
      </c>
      <c r="G2174" s="14" t="s">
        <v>400</v>
      </c>
      <c r="I2174" s="11">
        <f t="shared" si="102"/>
        <v>2</v>
      </c>
      <c r="J2174" s="16">
        <v>482.18</v>
      </c>
      <c r="M2174" s="17">
        <f t="shared" si="100"/>
        <v>381767.60000000015</v>
      </c>
      <c r="N2174" s="11">
        <f t="shared" si="101"/>
        <v>12</v>
      </c>
    </row>
    <row r="2175" spans="1:14" x14ac:dyDescent="0.25">
      <c r="A2175" s="11" t="s">
        <v>0</v>
      </c>
      <c r="B2175" s="12">
        <v>45264</v>
      </c>
      <c r="C2175" s="11" t="s">
        <v>688</v>
      </c>
      <c r="D2175" s="11" t="s">
        <v>694</v>
      </c>
      <c r="E2175" s="13" t="s">
        <v>182</v>
      </c>
      <c r="F2175" s="14" t="s">
        <v>365</v>
      </c>
      <c r="G2175" s="14" t="s">
        <v>402</v>
      </c>
      <c r="H2175" s="15" t="s">
        <v>20</v>
      </c>
      <c r="I2175" s="11">
        <f t="shared" si="102"/>
        <v>5</v>
      </c>
      <c r="K2175" s="16">
        <v>8.0399999999999991</v>
      </c>
      <c r="M2175" s="17">
        <f t="shared" si="100"/>
        <v>381759.56000000017</v>
      </c>
      <c r="N2175" s="11">
        <f t="shared" si="101"/>
        <v>12</v>
      </c>
    </row>
    <row r="2176" spans="1:14" x14ac:dyDescent="0.25">
      <c r="A2176" s="11" t="s">
        <v>0</v>
      </c>
      <c r="B2176" s="12">
        <v>45264</v>
      </c>
      <c r="C2176" s="11" t="s">
        <v>688</v>
      </c>
      <c r="D2176" s="11" t="s">
        <v>694</v>
      </c>
      <c r="E2176" s="13" t="s">
        <v>182</v>
      </c>
      <c r="F2176" s="14" t="s">
        <v>23</v>
      </c>
      <c r="G2176" s="14" t="s">
        <v>402</v>
      </c>
      <c r="H2176" s="15" t="s">
        <v>20</v>
      </c>
      <c r="I2176" s="11">
        <f t="shared" si="102"/>
        <v>5</v>
      </c>
      <c r="K2176" s="16">
        <v>37.35</v>
      </c>
      <c r="M2176" s="17">
        <f t="shared" si="100"/>
        <v>381722.2100000002</v>
      </c>
      <c r="N2176" s="11">
        <f t="shared" si="101"/>
        <v>12</v>
      </c>
    </row>
    <row r="2177" spans="1:14" x14ac:dyDescent="0.25">
      <c r="A2177" s="11" t="s">
        <v>207</v>
      </c>
      <c r="B2177" s="12">
        <v>45264</v>
      </c>
      <c r="C2177" s="75" t="s">
        <v>688</v>
      </c>
      <c r="D2177" s="11" t="s">
        <v>43</v>
      </c>
      <c r="E2177" s="13">
        <v>45264</v>
      </c>
      <c r="F2177" s="14" t="s">
        <v>472</v>
      </c>
      <c r="G2177" s="14" t="s">
        <v>400</v>
      </c>
      <c r="I2177" s="11">
        <f t="shared" si="102"/>
        <v>2</v>
      </c>
      <c r="J2177" s="16">
        <v>1593.55</v>
      </c>
      <c r="M2177" s="17">
        <f t="shared" si="100"/>
        <v>383315.76000000018</v>
      </c>
      <c r="N2177" s="11">
        <f t="shared" si="101"/>
        <v>12</v>
      </c>
    </row>
    <row r="2178" spans="1:14" x14ac:dyDescent="0.25">
      <c r="A2178" s="11" t="s">
        <v>0</v>
      </c>
      <c r="B2178" s="12">
        <v>45264</v>
      </c>
      <c r="C2178" s="11" t="s">
        <v>688</v>
      </c>
      <c r="D2178" s="11" t="s">
        <v>698</v>
      </c>
      <c r="E2178" s="13" t="s">
        <v>392</v>
      </c>
      <c r="F2178" s="14" t="s">
        <v>563</v>
      </c>
      <c r="G2178" s="14" t="s">
        <v>404</v>
      </c>
      <c r="H2178" s="15" t="s">
        <v>437</v>
      </c>
      <c r="I2178" s="11">
        <f t="shared" si="102"/>
        <v>5</v>
      </c>
      <c r="K2178" s="16">
        <v>380</v>
      </c>
      <c r="M2178" s="17">
        <f t="shared" si="100"/>
        <v>382935.76000000018</v>
      </c>
      <c r="N2178" s="11">
        <f t="shared" si="101"/>
        <v>12</v>
      </c>
    </row>
    <row r="2179" spans="1:14" x14ac:dyDescent="0.25">
      <c r="A2179" s="11" t="s">
        <v>0</v>
      </c>
      <c r="B2179" s="12">
        <v>45264</v>
      </c>
      <c r="C2179" s="11" t="s">
        <v>688</v>
      </c>
      <c r="D2179" s="11" t="s">
        <v>692</v>
      </c>
      <c r="E2179" s="13" t="s">
        <v>108</v>
      </c>
      <c r="F2179" s="14" t="s">
        <v>107</v>
      </c>
      <c r="G2179" s="14" t="s">
        <v>404</v>
      </c>
      <c r="H2179" s="15">
        <v>15</v>
      </c>
      <c r="I2179" s="11">
        <f t="shared" si="102"/>
        <v>5</v>
      </c>
      <c r="K2179" s="16">
        <v>600</v>
      </c>
      <c r="M2179" s="17">
        <f t="shared" ref="M2179:M2242" si="104">IF(B2179=0, "",M2178+ J2179-K2179)</f>
        <v>382335.76000000018</v>
      </c>
      <c r="N2179" s="11">
        <f t="shared" ref="N2179:N2242" si="105">IF(B2179=0, "", MONTH(B2179))</f>
        <v>12</v>
      </c>
    </row>
    <row r="2180" spans="1:14" x14ac:dyDescent="0.25">
      <c r="A2180" s="11" t="s">
        <v>0</v>
      </c>
      <c r="B2180" s="12">
        <v>45264</v>
      </c>
      <c r="C2180" s="11" t="s">
        <v>688</v>
      </c>
      <c r="D2180" s="11" t="s">
        <v>692</v>
      </c>
      <c r="E2180" s="13" t="s">
        <v>725</v>
      </c>
      <c r="F2180" s="14" t="s">
        <v>27</v>
      </c>
      <c r="G2180" s="14" t="s">
        <v>404</v>
      </c>
      <c r="H2180" s="15" t="s">
        <v>437</v>
      </c>
      <c r="I2180" s="11">
        <f t="shared" si="102"/>
        <v>5</v>
      </c>
      <c r="K2180" s="16">
        <v>479.4</v>
      </c>
      <c r="M2180" s="17">
        <f t="shared" si="104"/>
        <v>381856.36000000016</v>
      </c>
      <c r="N2180" s="11">
        <f t="shared" si="105"/>
        <v>12</v>
      </c>
    </row>
    <row r="2181" spans="1:14" x14ac:dyDescent="0.25">
      <c r="A2181" s="11" t="s">
        <v>0</v>
      </c>
      <c r="B2181" s="12">
        <v>45264</v>
      </c>
      <c r="C2181" s="11" t="s">
        <v>688</v>
      </c>
      <c r="D2181" s="11" t="s">
        <v>692</v>
      </c>
      <c r="E2181" s="13" t="s">
        <v>492</v>
      </c>
      <c r="F2181" s="14" t="s">
        <v>111</v>
      </c>
      <c r="G2181" s="14" t="s">
        <v>404</v>
      </c>
      <c r="H2181" s="15" t="s">
        <v>643</v>
      </c>
      <c r="I2181" s="11">
        <f t="shared" si="102"/>
        <v>5</v>
      </c>
      <c r="K2181" s="16">
        <v>2970</v>
      </c>
      <c r="M2181" s="17">
        <f t="shared" si="104"/>
        <v>378886.36000000016</v>
      </c>
      <c r="N2181" s="11">
        <f t="shared" si="105"/>
        <v>12</v>
      </c>
    </row>
    <row r="2182" spans="1:14" x14ac:dyDescent="0.25">
      <c r="A2182" s="11" t="s">
        <v>0</v>
      </c>
      <c r="B2182" s="12">
        <v>45264</v>
      </c>
      <c r="C2182" s="11" t="s">
        <v>688</v>
      </c>
      <c r="D2182" s="11" t="s">
        <v>692</v>
      </c>
      <c r="E2182" s="13" t="s">
        <v>267</v>
      </c>
      <c r="F2182" s="14" t="s">
        <v>301</v>
      </c>
      <c r="G2182" s="14" t="s">
        <v>404</v>
      </c>
      <c r="H2182" s="15">
        <v>6</v>
      </c>
      <c r="I2182" s="11">
        <f t="shared" si="102"/>
        <v>5</v>
      </c>
      <c r="K2182" s="16">
        <v>492</v>
      </c>
      <c r="M2182" s="17">
        <f t="shared" si="104"/>
        <v>378394.36000000016</v>
      </c>
      <c r="N2182" s="11">
        <f t="shared" si="105"/>
        <v>12</v>
      </c>
    </row>
    <row r="2183" spans="1:14" x14ac:dyDescent="0.25">
      <c r="A2183" s="11" t="s">
        <v>0</v>
      </c>
      <c r="B2183" s="12">
        <v>45264</v>
      </c>
      <c r="C2183" s="11" t="s">
        <v>688</v>
      </c>
      <c r="D2183" s="11" t="s">
        <v>47</v>
      </c>
      <c r="E2183" s="13" t="s">
        <v>565</v>
      </c>
      <c r="F2183" s="14" t="s">
        <v>564</v>
      </c>
      <c r="G2183" s="14" t="s">
        <v>404</v>
      </c>
      <c r="H2183" s="15">
        <v>5</v>
      </c>
      <c r="I2183" s="11">
        <f t="shared" si="102"/>
        <v>5</v>
      </c>
      <c r="K2183" s="16">
        <v>425</v>
      </c>
      <c r="M2183" s="17">
        <f t="shared" si="104"/>
        <v>377969.36000000016</v>
      </c>
      <c r="N2183" s="11">
        <f t="shared" si="105"/>
        <v>12</v>
      </c>
    </row>
    <row r="2184" spans="1:14" x14ac:dyDescent="0.25">
      <c r="A2184" s="11" t="s">
        <v>207</v>
      </c>
      <c r="B2184" s="12">
        <v>45265</v>
      </c>
      <c r="C2184" s="11" t="s">
        <v>688</v>
      </c>
      <c r="D2184" s="11" t="s">
        <v>43</v>
      </c>
      <c r="E2184" s="13" t="s">
        <v>288</v>
      </c>
      <c r="F2184" s="14" t="s">
        <v>288</v>
      </c>
      <c r="G2184" s="14" t="s">
        <v>173</v>
      </c>
      <c r="I2184" s="11">
        <f t="shared" si="102"/>
        <v>3</v>
      </c>
      <c r="J2184" s="16">
        <v>808</v>
      </c>
      <c r="M2184" s="17">
        <f t="shared" si="104"/>
        <v>378777.36000000016</v>
      </c>
      <c r="N2184" s="11">
        <f t="shared" si="105"/>
        <v>12</v>
      </c>
    </row>
    <row r="2185" spans="1:14" x14ac:dyDescent="0.25">
      <c r="A2185" s="11" t="s">
        <v>207</v>
      </c>
      <c r="B2185" s="12">
        <v>45265</v>
      </c>
      <c r="C2185" s="11" t="s">
        <v>688</v>
      </c>
      <c r="D2185" s="11" t="s">
        <v>43</v>
      </c>
      <c r="E2185" s="14" t="s">
        <v>429</v>
      </c>
      <c r="F2185" s="14" t="s">
        <v>429</v>
      </c>
      <c r="G2185" s="14" t="s">
        <v>428</v>
      </c>
      <c r="I2185" s="11">
        <f t="shared" si="102"/>
        <v>1</v>
      </c>
      <c r="J2185" s="16">
        <v>1158.4000000000001</v>
      </c>
      <c r="M2185" s="17">
        <f t="shared" si="104"/>
        <v>379935.76000000018</v>
      </c>
      <c r="N2185" s="11">
        <f t="shared" si="105"/>
        <v>12</v>
      </c>
    </row>
    <row r="2186" spans="1:14" x14ac:dyDescent="0.25">
      <c r="A2186" s="11" t="s">
        <v>207</v>
      </c>
      <c r="B2186" s="12">
        <v>45265</v>
      </c>
      <c r="C2186" s="11" t="s">
        <v>688</v>
      </c>
      <c r="D2186" s="11" t="s">
        <v>43</v>
      </c>
      <c r="E2186" s="13" t="s">
        <v>381</v>
      </c>
      <c r="F2186" s="14" t="s">
        <v>363</v>
      </c>
      <c r="G2186" s="14" t="s">
        <v>400</v>
      </c>
      <c r="I2186" s="11">
        <f t="shared" si="102"/>
        <v>2</v>
      </c>
      <c r="J2186" s="16">
        <v>97.98</v>
      </c>
      <c r="M2186" s="17">
        <f t="shared" si="104"/>
        <v>380033.74000000017</v>
      </c>
      <c r="N2186" s="11">
        <f t="shared" si="105"/>
        <v>12</v>
      </c>
    </row>
    <row r="2187" spans="1:14" x14ac:dyDescent="0.25">
      <c r="A2187" s="11" t="s">
        <v>207</v>
      </c>
      <c r="B2187" s="12">
        <v>45265</v>
      </c>
      <c r="C2187" s="11" t="s">
        <v>688</v>
      </c>
      <c r="D2187" s="11" t="s">
        <v>43</v>
      </c>
      <c r="E2187" s="13" t="s">
        <v>382</v>
      </c>
      <c r="F2187" s="14" t="s">
        <v>13</v>
      </c>
      <c r="G2187" s="14" t="s">
        <v>400</v>
      </c>
      <c r="I2187" s="11">
        <f t="shared" si="102"/>
        <v>2</v>
      </c>
      <c r="J2187" s="16">
        <v>101.7</v>
      </c>
      <c r="M2187" s="17">
        <f t="shared" si="104"/>
        <v>380135.44000000018</v>
      </c>
      <c r="N2187" s="11">
        <f t="shared" si="105"/>
        <v>12</v>
      </c>
    </row>
    <row r="2188" spans="1:14" x14ac:dyDescent="0.25">
      <c r="A2188" s="11" t="s">
        <v>207</v>
      </c>
      <c r="B2188" s="12">
        <v>45265</v>
      </c>
      <c r="C2188" s="11" t="s">
        <v>688</v>
      </c>
      <c r="D2188" s="11" t="s">
        <v>43</v>
      </c>
      <c r="E2188" s="13" t="s">
        <v>382</v>
      </c>
      <c r="F2188" s="14" t="s">
        <v>13</v>
      </c>
      <c r="G2188" s="14" t="s">
        <v>400</v>
      </c>
      <c r="I2188" s="11">
        <f t="shared" si="102"/>
        <v>2</v>
      </c>
      <c r="J2188" s="16">
        <v>12.87</v>
      </c>
      <c r="M2188" s="17">
        <f t="shared" si="104"/>
        <v>380148.31000000017</v>
      </c>
      <c r="N2188" s="11">
        <f t="shared" si="105"/>
        <v>12</v>
      </c>
    </row>
    <row r="2189" spans="1:14" x14ac:dyDescent="0.25">
      <c r="A2189" s="11" t="s">
        <v>207</v>
      </c>
      <c r="B2189" s="12">
        <v>45265</v>
      </c>
      <c r="C2189" s="11" t="s">
        <v>688</v>
      </c>
      <c r="D2189" s="11" t="s">
        <v>43</v>
      </c>
      <c r="E2189" s="13" t="s">
        <v>382</v>
      </c>
      <c r="F2189" s="14" t="s">
        <v>13</v>
      </c>
      <c r="G2189" s="14" t="s">
        <v>400</v>
      </c>
      <c r="I2189" s="11">
        <f t="shared" ref="I2189:I2264" si="106">IF(AND(G2189="MERCADO PAGO",A2189="FATURAMENTO"),1,IF(AND(OR(G2189="MERCADO PAGO",G2189="pix mercado pago",G2189= "débito automático mercado pago", G2189= "boleto mercado pago"),A2189="DESPESAS"),4,IF(AND(G2189="SAFRA",A2189="FATURAMENTO"),2,IF(AND(OR(G2189="SAFRA",G2189="PIX SAFRA", G2189="DÉBITO AUTOMÁTICO SAFRA", G2189= "BOLETO SAFRA", G2189= "transferência safra"), A2189="DESPESAS"),5,IF(AND(G2189="espécie",A2189="FATURAMENTO"),3,IF(AND(G2189="espécie",A2189="DESPESAS"),6))))))</f>
        <v>2</v>
      </c>
      <c r="J2189" s="16">
        <v>207.31</v>
      </c>
      <c r="M2189" s="17">
        <f t="shared" si="104"/>
        <v>380355.62000000017</v>
      </c>
      <c r="N2189" s="11">
        <f t="shared" si="105"/>
        <v>12</v>
      </c>
    </row>
    <row r="2190" spans="1:14" x14ac:dyDescent="0.25">
      <c r="A2190" s="11" t="s">
        <v>207</v>
      </c>
      <c r="B2190" s="12">
        <v>45265</v>
      </c>
      <c r="C2190" s="11" t="s">
        <v>688</v>
      </c>
      <c r="D2190" s="11" t="s">
        <v>43</v>
      </c>
      <c r="E2190" s="13" t="s">
        <v>382</v>
      </c>
      <c r="F2190" s="14" t="s">
        <v>13</v>
      </c>
      <c r="G2190" s="14" t="s">
        <v>400</v>
      </c>
      <c r="I2190" s="11">
        <f t="shared" si="106"/>
        <v>2</v>
      </c>
      <c r="J2190" s="16">
        <v>25.73</v>
      </c>
      <c r="M2190" s="17">
        <f t="shared" si="104"/>
        <v>380381.35000000015</v>
      </c>
      <c r="N2190" s="11">
        <f t="shared" si="105"/>
        <v>12</v>
      </c>
    </row>
    <row r="2191" spans="1:14" x14ac:dyDescent="0.25">
      <c r="A2191" s="11" t="s">
        <v>207</v>
      </c>
      <c r="B2191" s="12">
        <v>45265</v>
      </c>
      <c r="C2191" s="11" t="s">
        <v>688</v>
      </c>
      <c r="D2191" s="11" t="s">
        <v>43</v>
      </c>
      <c r="E2191" s="13" t="s">
        <v>80</v>
      </c>
      <c r="F2191" s="14" t="s">
        <v>79</v>
      </c>
      <c r="G2191" s="14" t="s">
        <v>400</v>
      </c>
      <c r="I2191" s="11">
        <f t="shared" si="106"/>
        <v>2</v>
      </c>
      <c r="J2191" s="16">
        <v>1738.88</v>
      </c>
      <c r="M2191" s="17">
        <f t="shared" si="104"/>
        <v>382120.23000000016</v>
      </c>
      <c r="N2191" s="11">
        <f t="shared" si="105"/>
        <v>12</v>
      </c>
    </row>
    <row r="2192" spans="1:14" x14ac:dyDescent="0.25">
      <c r="A2192" s="11" t="s">
        <v>207</v>
      </c>
      <c r="B2192" s="12">
        <v>45265</v>
      </c>
      <c r="C2192" s="75" t="s">
        <v>662</v>
      </c>
      <c r="D2192" s="11" t="s">
        <v>43</v>
      </c>
      <c r="E2192" s="13" t="s">
        <v>81</v>
      </c>
      <c r="F2192" s="14" t="s">
        <v>79</v>
      </c>
      <c r="G2192" s="14" t="s">
        <v>400</v>
      </c>
      <c r="I2192" s="11">
        <f t="shared" ref="I2192" si="107">IF(AND(G2192="MERCADO PAGO",A2192="FATURAMENTO"),1,IF(AND(OR(G2192="MERCADO PAGO",G2192="pix mercado pago",G2192= "débito automático mercado pago", G2192= "boleto mercado pago"),A2192="DESPESAS"),4,IF(AND(G2192="SAFRA",A2192="FATURAMENTO"),2,IF(AND(OR(G2192="SAFRA",G2192="PIX SAFRA", G2192="DÉBITO AUTOMÁTICO SAFRA", G2192= "BOLETO SAFRA", G2192= "transferência safra"), A2192="DESPESAS"),5,IF(AND(G2192="espécie",A2192="FATURAMENTO"),3,IF(AND(G2192="espécie",A2192="DESPESAS"),6))))))</f>
        <v>2</v>
      </c>
      <c r="J2192" s="16">
        <v>1000</v>
      </c>
      <c r="M2192" s="17">
        <f t="shared" si="104"/>
        <v>383120.23000000016</v>
      </c>
      <c r="N2192" s="11">
        <f t="shared" si="105"/>
        <v>12</v>
      </c>
    </row>
    <row r="2193" spans="1:14" x14ac:dyDescent="0.25">
      <c r="A2193" s="11" t="s">
        <v>207</v>
      </c>
      <c r="B2193" s="12">
        <v>45265</v>
      </c>
      <c r="C2193" s="75" t="s">
        <v>688</v>
      </c>
      <c r="D2193" s="11" t="s">
        <v>43</v>
      </c>
      <c r="E2193" s="13" t="s">
        <v>81</v>
      </c>
      <c r="F2193" s="14" t="s">
        <v>79</v>
      </c>
      <c r="G2193" s="14" t="s">
        <v>400</v>
      </c>
      <c r="I2193" s="11">
        <f t="shared" si="106"/>
        <v>2</v>
      </c>
      <c r="J2193" s="16">
        <v>709.56</v>
      </c>
      <c r="M2193" s="17">
        <f t="shared" si="104"/>
        <v>383829.79000000015</v>
      </c>
      <c r="N2193" s="11">
        <f t="shared" si="105"/>
        <v>12</v>
      </c>
    </row>
    <row r="2194" spans="1:14" x14ac:dyDescent="0.25">
      <c r="A2194" s="11" t="s">
        <v>207</v>
      </c>
      <c r="B2194" s="12">
        <v>45265</v>
      </c>
      <c r="C2194" s="75" t="s">
        <v>688</v>
      </c>
      <c r="D2194" s="11" t="s">
        <v>43</v>
      </c>
      <c r="E2194" s="13" t="s">
        <v>82</v>
      </c>
      <c r="F2194" s="14" t="s">
        <v>79</v>
      </c>
      <c r="G2194" s="14" t="s">
        <v>400</v>
      </c>
      <c r="I2194" s="11">
        <f t="shared" si="106"/>
        <v>2</v>
      </c>
      <c r="J2194" s="16">
        <v>150.12</v>
      </c>
      <c r="M2194" s="17">
        <f t="shared" si="104"/>
        <v>383979.91000000015</v>
      </c>
      <c r="N2194" s="11">
        <f t="shared" si="105"/>
        <v>12</v>
      </c>
    </row>
    <row r="2195" spans="1:14" x14ac:dyDescent="0.25">
      <c r="A2195" s="11" t="s">
        <v>0</v>
      </c>
      <c r="B2195" s="12">
        <v>45265</v>
      </c>
      <c r="C2195" s="11" t="s">
        <v>688</v>
      </c>
      <c r="D2195" s="11" t="s">
        <v>692</v>
      </c>
      <c r="E2195" s="13" t="s">
        <v>179</v>
      </c>
      <c r="F2195" s="14" t="s">
        <v>28</v>
      </c>
      <c r="G2195" s="14" t="s">
        <v>404</v>
      </c>
      <c r="H2195" s="15">
        <v>50</v>
      </c>
      <c r="I2195" s="11">
        <f t="shared" si="106"/>
        <v>5</v>
      </c>
      <c r="K2195" s="16">
        <v>1955</v>
      </c>
      <c r="M2195" s="17">
        <f t="shared" si="104"/>
        <v>382024.91000000015</v>
      </c>
      <c r="N2195" s="11">
        <f t="shared" si="105"/>
        <v>12</v>
      </c>
    </row>
    <row r="2196" spans="1:14" x14ac:dyDescent="0.25">
      <c r="A2196" s="11" t="s">
        <v>0</v>
      </c>
      <c r="B2196" s="12">
        <v>45265</v>
      </c>
      <c r="C2196" s="11" t="s">
        <v>688</v>
      </c>
      <c r="D2196" s="11" t="s">
        <v>694</v>
      </c>
      <c r="E2196" s="13" t="s">
        <v>5</v>
      </c>
      <c r="F2196" s="14" t="s">
        <v>110</v>
      </c>
      <c r="G2196" s="14" t="s">
        <v>404</v>
      </c>
      <c r="H2196" s="15">
        <v>121</v>
      </c>
      <c r="I2196" s="11">
        <f t="shared" si="106"/>
        <v>5</v>
      </c>
      <c r="K2196" s="16">
        <v>300</v>
      </c>
      <c r="M2196" s="17">
        <f t="shared" si="104"/>
        <v>381724.91000000015</v>
      </c>
      <c r="N2196" s="11">
        <f t="shared" si="105"/>
        <v>12</v>
      </c>
    </row>
    <row r="2197" spans="1:14" x14ac:dyDescent="0.25">
      <c r="A2197" s="11" t="s">
        <v>0</v>
      </c>
      <c r="B2197" s="12">
        <v>45265</v>
      </c>
      <c r="C2197" s="11" t="s">
        <v>688</v>
      </c>
      <c r="D2197" s="11" t="s">
        <v>694</v>
      </c>
      <c r="E2197" s="13" t="s">
        <v>2</v>
      </c>
      <c r="F2197" s="14" t="s">
        <v>599</v>
      </c>
      <c r="G2197" s="14" t="s">
        <v>404</v>
      </c>
      <c r="H2197" s="15" t="s">
        <v>437</v>
      </c>
      <c r="I2197" s="11">
        <f t="shared" si="106"/>
        <v>5</v>
      </c>
      <c r="K2197" s="16">
        <v>87</v>
      </c>
      <c r="M2197" s="17">
        <f t="shared" si="104"/>
        <v>381637.91000000015</v>
      </c>
      <c r="N2197" s="11">
        <f t="shared" si="105"/>
        <v>12</v>
      </c>
    </row>
    <row r="2198" spans="1:14" x14ac:dyDescent="0.25">
      <c r="A2198" s="11" t="s">
        <v>0</v>
      </c>
      <c r="B2198" s="12">
        <v>45265</v>
      </c>
      <c r="C2198" s="11" t="s">
        <v>688</v>
      </c>
      <c r="D2198" s="11" t="s">
        <v>47</v>
      </c>
      <c r="E2198" s="13" t="s">
        <v>494</v>
      </c>
      <c r="F2198" s="14" t="s">
        <v>493</v>
      </c>
      <c r="G2198" s="14" t="s">
        <v>404</v>
      </c>
      <c r="H2198" s="15" t="s">
        <v>437</v>
      </c>
      <c r="I2198" s="11">
        <f t="shared" si="106"/>
        <v>5</v>
      </c>
      <c r="K2198" s="16">
        <v>700</v>
      </c>
      <c r="M2198" s="17">
        <f t="shared" si="104"/>
        <v>380937.91000000015</v>
      </c>
      <c r="N2198" s="11">
        <f t="shared" si="105"/>
        <v>12</v>
      </c>
    </row>
    <row r="2199" spans="1:14" x14ac:dyDescent="0.25">
      <c r="A2199" s="11" t="s">
        <v>0</v>
      </c>
      <c r="B2199" s="12">
        <v>45265</v>
      </c>
      <c r="C2199" s="11" t="s">
        <v>688</v>
      </c>
      <c r="D2199" s="11" t="s">
        <v>694</v>
      </c>
      <c r="E2199" s="13" t="s">
        <v>182</v>
      </c>
      <c r="F2199" s="14" t="s">
        <v>365</v>
      </c>
      <c r="G2199" s="14" t="s">
        <v>402</v>
      </c>
      <c r="H2199" s="15" t="s">
        <v>20</v>
      </c>
      <c r="I2199" s="11">
        <f t="shared" si="106"/>
        <v>5</v>
      </c>
      <c r="K2199" s="16">
        <v>2.09</v>
      </c>
      <c r="M2199" s="17">
        <f t="shared" si="104"/>
        <v>380935.82000000012</v>
      </c>
      <c r="N2199" s="11">
        <f t="shared" si="105"/>
        <v>12</v>
      </c>
    </row>
    <row r="2200" spans="1:14" x14ac:dyDescent="0.25">
      <c r="A2200" s="11" t="s">
        <v>0</v>
      </c>
      <c r="B2200" s="12">
        <v>45265</v>
      </c>
      <c r="C2200" s="11" t="s">
        <v>688</v>
      </c>
      <c r="D2200" s="11" t="s">
        <v>694</v>
      </c>
      <c r="E2200" s="13" t="s">
        <v>182</v>
      </c>
      <c r="F2200" s="14" t="s">
        <v>23</v>
      </c>
      <c r="G2200" s="14" t="s">
        <v>402</v>
      </c>
      <c r="H2200" s="15" t="s">
        <v>20</v>
      </c>
      <c r="I2200" s="11">
        <f t="shared" si="106"/>
        <v>5</v>
      </c>
      <c r="K2200" s="16">
        <v>16.2</v>
      </c>
      <c r="M2200" s="17">
        <f t="shared" si="104"/>
        <v>380919.62000000011</v>
      </c>
      <c r="N2200" s="11">
        <f t="shared" si="105"/>
        <v>12</v>
      </c>
    </row>
    <row r="2201" spans="1:14" x14ac:dyDescent="0.25">
      <c r="A2201" s="11" t="s">
        <v>207</v>
      </c>
      <c r="B2201" s="12">
        <v>45265</v>
      </c>
      <c r="C2201" s="75" t="s">
        <v>688</v>
      </c>
      <c r="D2201" s="11" t="s">
        <v>43</v>
      </c>
      <c r="E2201" s="13">
        <v>45265</v>
      </c>
      <c r="F2201" s="14" t="s">
        <v>472</v>
      </c>
      <c r="G2201" s="14" t="s">
        <v>400</v>
      </c>
      <c r="I2201" s="11">
        <f t="shared" si="106"/>
        <v>2</v>
      </c>
      <c r="J2201" s="16">
        <v>306.2</v>
      </c>
      <c r="M2201" s="17">
        <f t="shared" si="104"/>
        <v>381225.82000000012</v>
      </c>
      <c r="N2201" s="11">
        <f t="shared" si="105"/>
        <v>12</v>
      </c>
    </row>
    <row r="2202" spans="1:14" x14ac:dyDescent="0.25">
      <c r="A2202" s="11" t="s">
        <v>0</v>
      </c>
      <c r="B2202" s="12">
        <v>45265</v>
      </c>
      <c r="C2202" s="11" t="s">
        <v>688</v>
      </c>
      <c r="D2202" s="11" t="s">
        <v>694</v>
      </c>
      <c r="E2202" s="13" t="s">
        <v>182</v>
      </c>
      <c r="F2202" s="14" t="s">
        <v>566</v>
      </c>
      <c r="G2202" s="14" t="s">
        <v>402</v>
      </c>
      <c r="H2202" s="15" t="s">
        <v>20</v>
      </c>
      <c r="I2202" s="11">
        <f t="shared" si="106"/>
        <v>5</v>
      </c>
      <c r="K2202" s="16">
        <v>104</v>
      </c>
      <c r="M2202" s="17">
        <f t="shared" si="104"/>
        <v>381121.82000000012</v>
      </c>
      <c r="N2202" s="11">
        <f t="shared" si="105"/>
        <v>12</v>
      </c>
    </row>
    <row r="2203" spans="1:14" x14ac:dyDescent="0.25">
      <c r="A2203" s="11" t="s">
        <v>207</v>
      </c>
      <c r="B2203" s="12">
        <v>45266</v>
      </c>
      <c r="C2203" s="11" t="s">
        <v>688</v>
      </c>
      <c r="D2203" s="11" t="s">
        <v>43</v>
      </c>
      <c r="E2203" s="13" t="s">
        <v>288</v>
      </c>
      <c r="F2203" s="14" t="s">
        <v>288</v>
      </c>
      <c r="G2203" s="14" t="s">
        <v>173</v>
      </c>
      <c r="J2203" s="16">
        <v>1182</v>
      </c>
      <c r="M2203" s="17">
        <f t="shared" si="104"/>
        <v>382303.82000000012</v>
      </c>
      <c r="N2203" s="11">
        <f t="shared" si="105"/>
        <v>12</v>
      </c>
    </row>
    <row r="2204" spans="1:14" x14ac:dyDescent="0.25">
      <c r="A2204" s="11" t="s">
        <v>207</v>
      </c>
      <c r="B2204" s="12">
        <v>45266</v>
      </c>
      <c r="C2204" s="11" t="s">
        <v>688</v>
      </c>
      <c r="D2204" s="11" t="s">
        <v>43</v>
      </c>
      <c r="E2204" s="14" t="s">
        <v>429</v>
      </c>
      <c r="F2204" s="14" t="s">
        <v>429</v>
      </c>
      <c r="G2204" s="14" t="s">
        <v>428</v>
      </c>
      <c r="I2204" s="11">
        <f t="shared" si="106"/>
        <v>1</v>
      </c>
      <c r="J2204" s="16">
        <v>2827.2</v>
      </c>
      <c r="M2204" s="17">
        <f t="shared" si="104"/>
        <v>385131.02000000014</v>
      </c>
      <c r="N2204" s="11">
        <f t="shared" si="105"/>
        <v>12</v>
      </c>
    </row>
    <row r="2205" spans="1:14" x14ac:dyDescent="0.25">
      <c r="A2205" s="11" t="s">
        <v>207</v>
      </c>
      <c r="B2205" s="12">
        <v>45266</v>
      </c>
      <c r="C2205" s="11" t="s">
        <v>688</v>
      </c>
      <c r="D2205" s="11" t="s">
        <v>43</v>
      </c>
      <c r="E2205" s="13" t="s">
        <v>80</v>
      </c>
      <c r="F2205" s="14" t="s">
        <v>79</v>
      </c>
      <c r="G2205" s="14" t="s">
        <v>400</v>
      </c>
      <c r="I2205" s="11">
        <f t="shared" si="106"/>
        <v>2</v>
      </c>
      <c r="J2205" s="16">
        <v>2228.12</v>
      </c>
      <c r="M2205" s="17">
        <f t="shared" si="104"/>
        <v>387359.14000000013</v>
      </c>
      <c r="N2205" s="11">
        <f t="shared" si="105"/>
        <v>12</v>
      </c>
    </row>
    <row r="2206" spans="1:14" x14ac:dyDescent="0.25">
      <c r="A2206" s="11" t="s">
        <v>207</v>
      </c>
      <c r="B2206" s="12">
        <v>45266</v>
      </c>
      <c r="C2206" s="11" t="s">
        <v>688</v>
      </c>
      <c r="D2206" s="11" t="s">
        <v>43</v>
      </c>
      <c r="E2206" s="13" t="s">
        <v>81</v>
      </c>
      <c r="F2206" s="14" t="s">
        <v>79</v>
      </c>
      <c r="G2206" s="14" t="s">
        <v>400</v>
      </c>
      <c r="I2206" s="11">
        <f t="shared" si="106"/>
        <v>2</v>
      </c>
      <c r="J2206" s="16">
        <v>1776.07</v>
      </c>
      <c r="M2206" s="17">
        <f t="shared" si="104"/>
        <v>389135.21000000014</v>
      </c>
      <c r="N2206" s="11">
        <f t="shared" si="105"/>
        <v>12</v>
      </c>
    </row>
    <row r="2207" spans="1:14" x14ac:dyDescent="0.25">
      <c r="A2207" s="11" t="s">
        <v>207</v>
      </c>
      <c r="B2207" s="12">
        <v>45266</v>
      </c>
      <c r="C2207" s="11" t="s">
        <v>688</v>
      </c>
      <c r="D2207" s="11" t="s">
        <v>43</v>
      </c>
      <c r="E2207" s="13" t="s">
        <v>381</v>
      </c>
      <c r="F2207" s="14" t="s">
        <v>363</v>
      </c>
      <c r="G2207" s="14" t="s">
        <v>400</v>
      </c>
      <c r="I2207" s="11">
        <f t="shared" si="106"/>
        <v>2</v>
      </c>
      <c r="J2207" s="16">
        <v>230.64</v>
      </c>
      <c r="M2207" s="17">
        <f t="shared" si="104"/>
        <v>389365.85000000015</v>
      </c>
      <c r="N2207" s="11">
        <f t="shared" si="105"/>
        <v>12</v>
      </c>
    </row>
    <row r="2208" spans="1:14" x14ac:dyDescent="0.25">
      <c r="A2208" s="11" t="s">
        <v>207</v>
      </c>
      <c r="B2208" s="12">
        <v>45266</v>
      </c>
      <c r="C2208" s="11" t="s">
        <v>688</v>
      </c>
      <c r="D2208" s="11" t="s">
        <v>43</v>
      </c>
      <c r="E2208" s="13" t="s">
        <v>382</v>
      </c>
      <c r="F2208" s="14" t="s">
        <v>13</v>
      </c>
      <c r="G2208" s="14" t="s">
        <v>400</v>
      </c>
      <c r="I2208" s="11">
        <f t="shared" si="106"/>
        <v>2</v>
      </c>
      <c r="J2208" s="16">
        <v>15.24</v>
      </c>
      <c r="M2208" s="17">
        <f t="shared" si="104"/>
        <v>389381.09000000014</v>
      </c>
      <c r="N2208" s="11">
        <f t="shared" si="105"/>
        <v>12</v>
      </c>
    </row>
    <row r="2209" spans="1:14" x14ac:dyDescent="0.25">
      <c r="A2209" s="11" t="s">
        <v>207</v>
      </c>
      <c r="B2209" s="12">
        <v>45266</v>
      </c>
      <c r="C2209" s="11" t="s">
        <v>688</v>
      </c>
      <c r="D2209" s="11" t="s">
        <v>43</v>
      </c>
      <c r="E2209" s="13" t="s">
        <v>382</v>
      </c>
      <c r="F2209" s="14" t="s">
        <v>13</v>
      </c>
      <c r="G2209" s="14" t="s">
        <v>400</v>
      </c>
      <c r="I2209" s="11">
        <f t="shared" si="106"/>
        <v>2</v>
      </c>
      <c r="J2209" s="16">
        <v>110.33</v>
      </c>
      <c r="M2209" s="17">
        <f t="shared" si="104"/>
        <v>389491.42000000016</v>
      </c>
      <c r="N2209" s="11">
        <f t="shared" si="105"/>
        <v>12</v>
      </c>
    </row>
    <row r="2210" spans="1:14" x14ac:dyDescent="0.25">
      <c r="A2210" s="11" t="s">
        <v>0</v>
      </c>
      <c r="B2210" s="12">
        <v>45266</v>
      </c>
      <c r="C2210" s="11" t="s">
        <v>688</v>
      </c>
      <c r="D2210" s="11" t="s">
        <v>694</v>
      </c>
      <c r="E2210" s="13" t="s">
        <v>182</v>
      </c>
      <c r="F2210" s="14" t="s">
        <v>365</v>
      </c>
      <c r="G2210" s="14" t="s">
        <v>402</v>
      </c>
      <c r="H2210" s="15" t="s">
        <v>20</v>
      </c>
      <c r="I2210" s="11">
        <f t="shared" si="106"/>
        <v>5</v>
      </c>
      <c r="K2210" s="16">
        <v>0.39</v>
      </c>
      <c r="M2210" s="17">
        <f t="shared" si="104"/>
        <v>389491.03000000014</v>
      </c>
      <c r="N2210" s="11">
        <f t="shared" si="105"/>
        <v>12</v>
      </c>
    </row>
    <row r="2211" spans="1:14" x14ac:dyDescent="0.25">
      <c r="A2211" s="11" t="s">
        <v>0</v>
      </c>
      <c r="B2211" s="12">
        <v>45266</v>
      </c>
      <c r="C2211" s="11" t="s">
        <v>688</v>
      </c>
      <c r="D2211" s="11" t="s">
        <v>694</v>
      </c>
      <c r="E2211" s="13" t="s">
        <v>182</v>
      </c>
      <c r="F2211" s="14" t="s">
        <v>23</v>
      </c>
      <c r="G2211" s="14" t="s">
        <v>402</v>
      </c>
      <c r="H2211" s="15" t="s">
        <v>20</v>
      </c>
      <c r="I2211" s="11">
        <f t="shared" si="106"/>
        <v>5</v>
      </c>
      <c r="K2211" s="16">
        <v>30.54</v>
      </c>
      <c r="M2211" s="17">
        <f t="shared" si="104"/>
        <v>389460.49000000017</v>
      </c>
      <c r="N2211" s="11">
        <f t="shared" si="105"/>
        <v>12</v>
      </c>
    </row>
    <row r="2212" spans="1:14" x14ac:dyDescent="0.25">
      <c r="A2212" s="11" t="s">
        <v>207</v>
      </c>
      <c r="B2212" s="12">
        <v>45266</v>
      </c>
      <c r="C2212" s="11" t="s">
        <v>688</v>
      </c>
      <c r="D2212" s="11" t="s">
        <v>43</v>
      </c>
      <c r="E2212" s="13">
        <v>45266</v>
      </c>
      <c r="F2212" s="14" t="s">
        <v>472</v>
      </c>
      <c r="G2212" s="14" t="s">
        <v>400</v>
      </c>
      <c r="I2212" s="11">
        <f t="shared" si="106"/>
        <v>2</v>
      </c>
      <c r="J2212" s="16">
        <v>57.5</v>
      </c>
      <c r="M2212" s="17">
        <f t="shared" si="104"/>
        <v>389517.99000000017</v>
      </c>
      <c r="N2212" s="11">
        <f t="shared" si="105"/>
        <v>12</v>
      </c>
    </row>
    <row r="2213" spans="1:14" x14ac:dyDescent="0.25">
      <c r="A2213" s="11" t="s">
        <v>0</v>
      </c>
      <c r="B2213" s="12">
        <v>45266</v>
      </c>
      <c r="C2213" s="11" t="s">
        <v>688</v>
      </c>
      <c r="D2213" s="11" t="s">
        <v>698</v>
      </c>
      <c r="E2213" s="13" t="s">
        <v>392</v>
      </c>
      <c r="F2213" s="14" t="s">
        <v>563</v>
      </c>
      <c r="G2213" s="14" t="s">
        <v>404</v>
      </c>
      <c r="H2213" s="15">
        <v>751</v>
      </c>
      <c r="I2213" s="11">
        <f t="shared" si="106"/>
        <v>5</v>
      </c>
      <c r="K2213" s="16">
        <v>155.88</v>
      </c>
      <c r="M2213" s="17">
        <f t="shared" si="104"/>
        <v>389362.11000000016</v>
      </c>
      <c r="N2213" s="11">
        <f t="shared" si="105"/>
        <v>12</v>
      </c>
    </row>
    <row r="2214" spans="1:14" x14ac:dyDescent="0.25">
      <c r="A2214" s="11" t="s">
        <v>0</v>
      </c>
      <c r="B2214" s="12">
        <v>45266</v>
      </c>
      <c r="C2214" s="11" t="s">
        <v>688</v>
      </c>
      <c r="D2214" s="11" t="s">
        <v>692</v>
      </c>
      <c r="E2214" s="13" t="s">
        <v>169</v>
      </c>
      <c r="F2214" s="14" t="s">
        <v>50</v>
      </c>
      <c r="G2214" s="14" t="s">
        <v>404</v>
      </c>
      <c r="H2214" s="15">
        <v>1226381</v>
      </c>
      <c r="I2214" s="11">
        <f t="shared" si="106"/>
        <v>5</v>
      </c>
      <c r="K2214" s="16">
        <v>375</v>
      </c>
      <c r="M2214" s="17">
        <f t="shared" si="104"/>
        <v>388987.11000000016</v>
      </c>
      <c r="N2214" s="11">
        <f t="shared" si="105"/>
        <v>12</v>
      </c>
    </row>
    <row r="2215" spans="1:14" x14ac:dyDescent="0.25">
      <c r="A2215" s="11" t="s">
        <v>0</v>
      </c>
      <c r="B2215" s="12">
        <v>45266</v>
      </c>
      <c r="C2215" s="11" t="s">
        <v>688</v>
      </c>
      <c r="D2215" s="11" t="s">
        <v>692</v>
      </c>
      <c r="E2215" s="13" t="s">
        <v>229</v>
      </c>
      <c r="F2215" s="14" t="s">
        <v>116</v>
      </c>
      <c r="G2215" s="14" t="s">
        <v>404</v>
      </c>
      <c r="H2215" s="15">
        <v>11389</v>
      </c>
      <c r="I2215" s="11">
        <f t="shared" si="106"/>
        <v>5</v>
      </c>
      <c r="K2215" s="16">
        <v>1790</v>
      </c>
      <c r="M2215" s="17">
        <f t="shared" si="104"/>
        <v>387197.11000000016</v>
      </c>
      <c r="N2215" s="11">
        <f t="shared" si="105"/>
        <v>12</v>
      </c>
    </row>
    <row r="2216" spans="1:14" x14ac:dyDescent="0.25">
      <c r="A2216" s="11" t="s">
        <v>0</v>
      </c>
      <c r="B2216" s="12">
        <v>45266</v>
      </c>
      <c r="C2216" s="11" t="s">
        <v>688</v>
      </c>
      <c r="D2216" s="11" t="s">
        <v>720</v>
      </c>
      <c r="E2216" s="13" t="s">
        <v>183</v>
      </c>
      <c r="F2216" s="14" t="s">
        <v>366</v>
      </c>
      <c r="G2216" s="14" t="s">
        <v>404</v>
      </c>
      <c r="H2216" s="15">
        <v>58</v>
      </c>
      <c r="I2216" s="11">
        <f t="shared" si="106"/>
        <v>5</v>
      </c>
      <c r="K2216" s="16">
        <v>230</v>
      </c>
      <c r="M2216" s="17">
        <f t="shared" si="104"/>
        <v>386967.11000000016</v>
      </c>
      <c r="N2216" s="11">
        <f t="shared" si="105"/>
        <v>12</v>
      </c>
    </row>
    <row r="2217" spans="1:14" x14ac:dyDescent="0.25">
      <c r="A2217" s="11" t="s">
        <v>0</v>
      </c>
      <c r="B2217" s="12">
        <v>45266</v>
      </c>
      <c r="C2217" s="11" t="s">
        <v>688</v>
      </c>
      <c r="D2217" s="11" t="s">
        <v>692</v>
      </c>
      <c r="E2217" s="13" t="s">
        <v>725</v>
      </c>
      <c r="F2217" s="14" t="s">
        <v>33</v>
      </c>
      <c r="G2217" s="14" t="s">
        <v>404</v>
      </c>
      <c r="H2217" s="15">
        <v>25444</v>
      </c>
      <c r="I2217" s="11">
        <f t="shared" si="106"/>
        <v>5</v>
      </c>
      <c r="K2217" s="16">
        <v>562.45000000000005</v>
      </c>
      <c r="M2217" s="17">
        <f t="shared" si="104"/>
        <v>386404.66000000015</v>
      </c>
      <c r="N2217" s="11">
        <f t="shared" si="105"/>
        <v>12</v>
      </c>
    </row>
    <row r="2218" spans="1:14" x14ac:dyDescent="0.25">
      <c r="A2218" s="11" t="s">
        <v>0</v>
      </c>
      <c r="B2218" s="12">
        <v>45266</v>
      </c>
      <c r="C2218" s="11" t="s">
        <v>688</v>
      </c>
      <c r="D2218" s="11" t="s">
        <v>720</v>
      </c>
      <c r="E2218" s="13" t="s">
        <v>183</v>
      </c>
      <c r="F2218" s="14" t="s">
        <v>366</v>
      </c>
      <c r="G2218" s="14" t="s">
        <v>404</v>
      </c>
      <c r="H2218" s="15">
        <v>58</v>
      </c>
      <c r="I2218" s="11">
        <f t="shared" si="106"/>
        <v>5</v>
      </c>
      <c r="K2218" s="16">
        <v>120</v>
      </c>
      <c r="M2218" s="17">
        <f t="shared" si="104"/>
        <v>386284.66000000015</v>
      </c>
      <c r="N2218" s="11">
        <f t="shared" si="105"/>
        <v>12</v>
      </c>
    </row>
    <row r="2219" spans="1:14" x14ac:dyDescent="0.25">
      <c r="A2219" s="11" t="s">
        <v>0</v>
      </c>
      <c r="B2219" s="12">
        <v>45266</v>
      </c>
      <c r="C2219" s="11" t="s">
        <v>688</v>
      </c>
      <c r="D2219" s="11" t="s">
        <v>692</v>
      </c>
      <c r="E2219" s="13" t="s">
        <v>179</v>
      </c>
      <c r="F2219" s="14" t="s">
        <v>378</v>
      </c>
      <c r="G2219" s="14" t="s">
        <v>404</v>
      </c>
      <c r="H2219" s="15">
        <v>17</v>
      </c>
      <c r="I2219" s="11">
        <f t="shared" si="106"/>
        <v>5</v>
      </c>
      <c r="K2219" s="16">
        <v>852</v>
      </c>
      <c r="M2219" s="17">
        <f t="shared" si="104"/>
        <v>385432.66000000015</v>
      </c>
      <c r="N2219" s="11">
        <f t="shared" si="105"/>
        <v>12</v>
      </c>
    </row>
    <row r="2220" spans="1:14" x14ac:dyDescent="0.25">
      <c r="A2220" s="11" t="s">
        <v>0</v>
      </c>
      <c r="B2220" s="12">
        <v>45266</v>
      </c>
      <c r="C2220" s="11" t="s">
        <v>688</v>
      </c>
      <c r="D2220" s="11" t="s">
        <v>692</v>
      </c>
      <c r="E2220" s="13" t="s">
        <v>725</v>
      </c>
      <c r="F2220" s="14" t="s">
        <v>27</v>
      </c>
      <c r="G2220" s="14" t="s">
        <v>404</v>
      </c>
      <c r="H2220" s="15" t="s">
        <v>437</v>
      </c>
      <c r="I2220" s="11">
        <f t="shared" si="106"/>
        <v>5</v>
      </c>
      <c r="K2220" s="16">
        <v>1354.48</v>
      </c>
      <c r="M2220" s="17">
        <f t="shared" si="104"/>
        <v>384078.18000000017</v>
      </c>
      <c r="N2220" s="11">
        <f t="shared" si="105"/>
        <v>12</v>
      </c>
    </row>
    <row r="2221" spans="1:14" x14ac:dyDescent="0.25">
      <c r="A2221" s="11" t="s">
        <v>0</v>
      </c>
      <c r="B2221" s="12">
        <v>45266</v>
      </c>
      <c r="C2221" s="11" t="s">
        <v>688</v>
      </c>
      <c r="D2221" s="11" t="s">
        <v>692</v>
      </c>
      <c r="E2221" s="13" t="s">
        <v>726</v>
      </c>
      <c r="F2221" s="14" t="s">
        <v>575</v>
      </c>
      <c r="G2221" s="14" t="s">
        <v>404</v>
      </c>
      <c r="H2221" s="15">
        <v>16668</v>
      </c>
      <c r="I2221" s="11">
        <f t="shared" si="106"/>
        <v>5</v>
      </c>
      <c r="K2221" s="16">
        <v>1429.24</v>
      </c>
      <c r="M2221" s="17">
        <f t="shared" si="104"/>
        <v>382648.94000000018</v>
      </c>
      <c r="N2221" s="11">
        <f t="shared" si="105"/>
        <v>12</v>
      </c>
    </row>
    <row r="2222" spans="1:14" x14ac:dyDescent="0.25">
      <c r="A2222" s="11" t="s">
        <v>0</v>
      </c>
      <c r="B2222" s="12">
        <v>45267</v>
      </c>
      <c r="C2222" s="11" t="s">
        <v>688</v>
      </c>
      <c r="D2222" s="11" t="s">
        <v>698</v>
      </c>
      <c r="E2222" s="13" t="s">
        <v>794</v>
      </c>
      <c r="F2222" s="14" t="s">
        <v>795</v>
      </c>
      <c r="G2222" s="14" t="s">
        <v>407</v>
      </c>
      <c r="H2222" s="15" t="s">
        <v>426</v>
      </c>
      <c r="I2222" s="11">
        <f t="shared" si="106"/>
        <v>4</v>
      </c>
      <c r="J2222" s="233"/>
      <c r="K2222" s="233">
        <v>300</v>
      </c>
      <c r="M2222" s="17">
        <f t="shared" si="104"/>
        <v>382348.94000000018</v>
      </c>
      <c r="N2222" s="11">
        <f t="shared" si="105"/>
        <v>12</v>
      </c>
    </row>
    <row r="2223" spans="1:14" x14ac:dyDescent="0.25">
      <c r="A2223" s="11" t="s">
        <v>0</v>
      </c>
      <c r="B2223" s="12">
        <v>45267</v>
      </c>
      <c r="C2223" s="11" t="s">
        <v>688</v>
      </c>
      <c r="D2223" s="11" t="s">
        <v>699</v>
      </c>
      <c r="E2223" s="13" t="s">
        <v>98</v>
      </c>
      <c r="F2223" s="14" t="s">
        <v>793</v>
      </c>
      <c r="G2223" s="14" t="s">
        <v>407</v>
      </c>
      <c r="H2223" s="15" t="s">
        <v>426</v>
      </c>
      <c r="I2223" s="11">
        <f t="shared" si="106"/>
        <v>4</v>
      </c>
      <c r="J2223" s="233"/>
      <c r="K2223" s="233">
        <v>181.39</v>
      </c>
      <c r="M2223" s="17">
        <f t="shared" si="104"/>
        <v>382167.55000000016</v>
      </c>
      <c r="N2223" s="11">
        <f t="shared" si="105"/>
        <v>12</v>
      </c>
    </row>
    <row r="2224" spans="1:14" x14ac:dyDescent="0.25">
      <c r="A2224" s="11" t="s">
        <v>0</v>
      </c>
      <c r="B2224" s="12">
        <v>45267</v>
      </c>
      <c r="C2224" s="11" t="s">
        <v>688</v>
      </c>
      <c r="D2224" s="11" t="s">
        <v>698</v>
      </c>
      <c r="E2224" s="13" t="s">
        <v>183</v>
      </c>
      <c r="F2224" s="14" t="s">
        <v>796</v>
      </c>
      <c r="G2224" s="14" t="s">
        <v>407</v>
      </c>
      <c r="H2224" s="15" t="s">
        <v>426</v>
      </c>
      <c r="I2224" s="11">
        <f t="shared" si="106"/>
        <v>4</v>
      </c>
      <c r="J2224" s="233"/>
      <c r="K2224" s="233">
        <v>30</v>
      </c>
      <c r="M2224" s="17">
        <f t="shared" si="104"/>
        <v>382137.55000000016</v>
      </c>
      <c r="N2224" s="11">
        <f t="shared" si="105"/>
        <v>12</v>
      </c>
    </row>
    <row r="2225" spans="1:14" x14ac:dyDescent="0.25">
      <c r="A2225" s="11" t="s">
        <v>0</v>
      </c>
      <c r="B2225" s="12">
        <v>45267</v>
      </c>
      <c r="C2225" s="11" t="s">
        <v>688</v>
      </c>
      <c r="D2225" s="11" t="s">
        <v>698</v>
      </c>
      <c r="E2225" s="13" t="s">
        <v>183</v>
      </c>
      <c r="F2225" s="14" t="s">
        <v>791</v>
      </c>
      <c r="G2225" s="14" t="s">
        <v>407</v>
      </c>
      <c r="H2225" s="15" t="s">
        <v>426</v>
      </c>
      <c r="I2225" s="11">
        <f t="shared" si="106"/>
        <v>4</v>
      </c>
      <c r="J2225" s="233"/>
      <c r="K2225" s="233">
        <v>50</v>
      </c>
      <c r="M2225" s="17">
        <f t="shared" si="104"/>
        <v>382087.55000000016</v>
      </c>
      <c r="N2225" s="11">
        <f t="shared" si="105"/>
        <v>12</v>
      </c>
    </row>
    <row r="2226" spans="1:14" x14ac:dyDescent="0.25">
      <c r="A2226" s="11" t="s">
        <v>0</v>
      </c>
      <c r="B2226" s="12">
        <v>45267</v>
      </c>
      <c r="C2226" s="11" t="s">
        <v>688</v>
      </c>
      <c r="D2226" s="11" t="s">
        <v>697</v>
      </c>
      <c r="E2226" s="13" t="s">
        <v>753</v>
      </c>
      <c r="F2226" s="14" t="s">
        <v>792</v>
      </c>
      <c r="G2226" s="14" t="s">
        <v>407</v>
      </c>
      <c r="H2226" s="15" t="s">
        <v>426</v>
      </c>
      <c r="I2226" s="11">
        <f t="shared" si="106"/>
        <v>4</v>
      </c>
      <c r="J2226" s="233"/>
      <c r="K2226" s="233">
        <v>339.2</v>
      </c>
      <c r="M2226" s="17">
        <f t="shared" si="104"/>
        <v>381748.35000000015</v>
      </c>
      <c r="N2226" s="11">
        <f t="shared" si="105"/>
        <v>12</v>
      </c>
    </row>
    <row r="2227" spans="1:14" x14ac:dyDescent="0.25">
      <c r="A2227" s="11" t="s">
        <v>207</v>
      </c>
      <c r="B2227" s="12">
        <v>45267</v>
      </c>
      <c r="C2227" s="11" t="s">
        <v>688</v>
      </c>
      <c r="D2227" s="11" t="s">
        <v>43</v>
      </c>
      <c r="E2227" s="13" t="s">
        <v>288</v>
      </c>
      <c r="F2227" s="14" t="s">
        <v>288</v>
      </c>
      <c r="G2227" s="14" t="s">
        <v>173</v>
      </c>
      <c r="J2227" s="16">
        <v>844</v>
      </c>
      <c r="M2227" s="17">
        <f t="shared" si="104"/>
        <v>382592.35000000015</v>
      </c>
      <c r="N2227" s="11">
        <f t="shared" si="105"/>
        <v>12</v>
      </c>
    </row>
    <row r="2228" spans="1:14" x14ac:dyDescent="0.25">
      <c r="A2228" s="11" t="s">
        <v>207</v>
      </c>
      <c r="B2228" s="12">
        <v>45267</v>
      </c>
      <c r="C2228" s="11" t="s">
        <v>688</v>
      </c>
      <c r="D2228" s="11" t="s">
        <v>43</v>
      </c>
      <c r="E2228" s="13" t="s">
        <v>80</v>
      </c>
      <c r="F2228" s="14" t="s">
        <v>79</v>
      </c>
      <c r="G2228" s="14" t="s">
        <v>400</v>
      </c>
      <c r="I2228" s="11">
        <f t="shared" si="106"/>
        <v>2</v>
      </c>
      <c r="J2228" s="16">
        <v>1025.8</v>
      </c>
      <c r="M2228" s="17">
        <f t="shared" si="104"/>
        <v>383618.15000000014</v>
      </c>
      <c r="N2228" s="11">
        <f t="shared" si="105"/>
        <v>12</v>
      </c>
    </row>
    <row r="2229" spans="1:14" x14ac:dyDescent="0.25">
      <c r="A2229" s="11" t="s">
        <v>207</v>
      </c>
      <c r="B2229" s="12">
        <v>45267</v>
      </c>
      <c r="C2229" s="11" t="s">
        <v>688</v>
      </c>
      <c r="D2229" s="11" t="s">
        <v>43</v>
      </c>
      <c r="E2229" s="13" t="s">
        <v>81</v>
      </c>
      <c r="F2229" s="14" t="s">
        <v>79</v>
      </c>
      <c r="G2229" s="14" t="s">
        <v>400</v>
      </c>
      <c r="I2229" s="11">
        <f t="shared" si="106"/>
        <v>2</v>
      </c>
      <c r="J2229" s="16">
        <v>446.04</v>
      </c>
      <c r="M2229" s="17">
        <f t="shared" si="104"/>
        <v>384064.19000000012</v>
      </c>
      <c r="N2229" s="11">
        <f t="shared" si="105"/>
        <v>12</v>
      </c>
    </row>
    <row r="2230" spans="1:14" x14ac:dyDescent="0.25">
      <c r="A2230" s="11" t="s">
        <v>207</v>
      </c>
      <c r="B2230" s="12">
        <v>45267</v>
      </c>
      <c r="C2230" s="11" t="s">
        <v>688</v>
      </c>
      <c r="D2230" s="11" t="s">
        <v>43</v>
      </c>
      <c r="E2230" s="13" t="s">
        <v>83</v>
      </c>
      <c r="F2230" s="14" t="s">
        <v>79</v>
      </c>
      <c r="G2230" s="14" t="s">
        <v>400</v>
      </c>
      <c r="I2230" s="11">
        <f t="shared" si="106"/>
        <v>2</v>
      </c>
      <c r="J2230" s="16">
        <v>28.98</v>
      </c>
      <c r="M2230" s="17">
        <f t="shared" si="104"/>
        <v>384093.1700000001</v>
      </c>
      <c r="N2230" s="11">
        <f t="shared" si="105"/>
        <v>12</v>
      </c>
    </row>
    <row r="2231" spans="1:14" x14ac:dyDescent="0.25">
      <c r="A2231" s="11" t="s">
        <v>207</v>
      </c>
      <c r="B2231" s="12">
        <v>45267</v>
      </c>
      <c r="C2231" s="11" t="s">
        <v>688</v>
      </c>
      <c r="D2231" s="11" t="s">
        <v>43</v>
      </c>
      <c r="E2231" s="13" t="s">
        <v>382</v>
      </c>
      <c r="F2231" s="14" t="s">
        <v>13</v>
      </c>
      <c r="G2231" s="14" t="s">
        <v>400</v>
      </c>
      <c r="I2231" s="11">
        <f t="shared" si="106"/>
        <v>2</v>
      </c>
      <c r="J2231" s="16">
        <v>112.14</v>
      </c>
      <c r="M2231" s="17">
        <f t="shared" si="104"/>
        <v>384205.31000000011</v>
      </c>
      <c r="N2231" s="11">
        <f t="shared" si="105"/>
        <v>12</v>
      </c>
    </row>
    <row r="2232" spans="1:14" x14ac:dyDescent="0.25">
      <c r="A2232" s="11" t="s">
        <v>207</v>
      </c>
      <c r="B2232" s="12">
        <v>45267</v>
      </c>
      <c r="C2232" s="11" t="s">
        <v>688</v>
      </c>
      <c r="D2232" s="11" t="s">
        <v>43</v>
      </c>
      <c r="E2232" s="13" t="s">
        <v>382</v>
      </c>
      <c r="F2232" s="14" t="s">
        <v>13</v>
      </c>
      <c r="G2232" s="14" t="s">
        <v>400</v>
      </c>
      <c r="I2232" s="11">
        <f t="shared" si="106"/>
        <v>2</v>
      </c>
      <c r="J2232" s="16">
        <v>182.12</v>
      </c>
      <c r="M2232" s="17">
        <f t="shared" si="104"/>
        <v>384387.43000000011</v>
      </c>
      <c r="N2232" s="11">
        <f t="shared" si="105"/>
        <v>12</v>
      </c>
    </row>
    <row r="2233" spans="1:14" x14ac:dyDescent="0.25">
      <c r="A2233" s="11" t="s">
        <v>0</v>
      </c>
      <c r="B2233" s="12">
        <v>45267</v>
      </c>
      <c r="C2233" s="11" t="s">
        <v>688</v>
      </c>
      <c r="D2233" s="11" t="s">
        <v>694</v>
      </c>
      <c r="E2233" s="13" t="s">
        <v>182</v>
      </c>
      <c r="F2233" s="14" t="s">
        <v>365</v>
      </c>
      <c r="G2233" s="14" t="s">
        <v>402</v>
      </c>
      <c r="H2233" s="15" t="s">
        <v>20</v>
      </c>
      <c r="I2233" s="11">
        <f t="shared" si="106"/>
        <v>5</v>
      </c>
      <c r="K2233" s="16">
        <v>1.43</v>
      </c>
      <c r="M2233" s="17">
        <f t="shared" si="104"/>
        <v>384386.00000000012</v>
      </c>
      <c r="N2233" s="11">
        <f t="shared" si="105"/>
        <v>12</v>
      </c>
    </row>
    <row r="2234" spans="1:14" x14ac:dyDescent="0.25">
      <c r="A2234" s="11" t="s">
        <v>0</v>
      </c>
      <c r="B2234" s="12">
        <v>45267</v>
      </c>
      <c r="C2234" s="11" t="s">
        <v>688</v>
      </c>
      <c r="D2234" s="11" t="s">
        <v>694</v>
      </c>
      <c r="E2234" s="13" t="s">
        <v>182</v>
      </c>
      <c r="F2234" s="14" t="s">
        <v>23</v>
      </c>
      <c r="G2234" s="14" t="s">
        <v>402</v>
      </c>
      <c r="H2234" s="15" t="s">
        <v>20</v>
      </c>
      <c r="I2234" s="11">
        <f t="shared" si="106"/>
        <v>5</v>
      </c>
      <c r="K2234" s="16">
        <v>33.799999999999997</v>
      </c>
      <c r="M2234" s="17">
        <f t="shared" si="104"/>
        <v>384352.20000000013</v>
      </c>
      <c r="N2234" s="11">
        <f t="shared" si="105"/>
        <v>12</v>
      </c>
    </row>
    <row r="2235" spans="1:14" x14ac:dyDescent="0.25">
      <c r="A2235" s="11" t="s">
        <v>0</v>
      </c>
      <c r="B2235" s="12">
        <v>45267</v>
      </c>
      <c r="C2235" s="11" t="s">
        <v>688</v>
      </c>
      <c r="D2235" s="11" t="s">
        <v>692</v>
      </c>
      <c r="E2235" s="13" t="s">
        <v>143</v>
      </c>
      <c r="F2235" s="14" t="s">
        <v>59</v>
      </c>
      <c r="G2235" s="14" t="s">
        <v>403</v>
      </c>
      <c r="H2235" s="15">
        <v>516899</v>
      </c>
      <c r="I2235" s="11">
        <f t="shared" si="106"/>
        <v>5</v>
      </c>
      <c r="K2235" s="16">
        <v>699.49</v>
      </c>
      <c r="M2235" s="17">
        <f t="shared" si="104"/>
        <v>383652.71000000014</v>
      </c>
      <c r="N2235" s="11">
        <f t="shared" si="105"/>
        <v>12</v>
      </c>
    </row>
    <row r="2236" spans="1:14" x14ac:dyDescent="0.25">
      <c r="A2236" s="11" t="s">
        <v>0</v>
      </c>
      <c r="B2236" s="12">
        <v>45267</v>
      </c>
      <c r="C2236" s="11" t="s">
        <v>688</v>
      </c>
      <c r="D2236" s="11" t="s">
        <v>692</v>
      </c>
      <c r="E2236" s="13" t="s">
        <v>143</v>
      </c>
      <c r="F2236" s="14" t="s">
        <v>511</v>
      </c>
      <c r="G2236" s="14" t="s">
        <v>403</v>
      </c>
      <c r="H2236" s="15">
        <v>2914976</v>
      </c>
      <c r="I2236" s="11">
        <f t="shared" si="106"/>
        <v>5</v>
      </c>
      <c r="K2236" s="16">
        <v>1015.3</v>
      </c>
      <c r="M2236" s="17">
        <f t="shared" si="104"/>
        <v>382637.41000000015</v>
      </c>
      <c r="N2236" s="11">
        <f t="shared" si="105"/>
        <v>12</v>
      </c>
    </row>
    <row r="2237" spans="1:14" ht="26.4" x14ac:dyDescent="0.25">
      <c r="A2237" s="11" t="s">
        <v>0</v>
      </c>
      <c r="B2237" s="12">
        <v>45267</v>
      </c>
      <c r="C2237" s="11" t="s">
        <v>688</v>
      </c>
      <c r="D2237" s="11" t="s">
        <v>692</v>
      </c>
      <c r="E2237" s="13" t="s">
        <v>724</v>
      </c>
      <c r="F2237" s="14" t="s">
        <v>223</v>
      </c>
      <c r="G2237" s="14" t="s">
        <v>404</v>
      </c>
      <c r="H2237" s="15" t="s">
        <v>579</v>
      </c>
      <c r="I2237" s="11">
        <f t="shared" si="106"/>
        <v>5</v>
      </c>
      <c r="K2237" s="16">
        <v>1802.24</v>
      </c>
      <c r="M2237" s="17">
        <f t="shared" si="104"/>
        <v>380835.17000000016</v>
      </c>
      <c r="N2237" s="11">
        <f t="shared" si="105"/>
        <v>12</v>
      </c>
    </row>
    <row r="2238" spans="1:14" x14ac:dyDescent="0.25">
      <c r="A2238" s="11" t="s">
        <v>0</v>
      </c>
      <c r="B2238" s="12">
        <v>45267</v>
      </c>
      <c r="C2238" s="11" t="s">
        <v>688</v>
      </c>
      <c r="D2238" s="11" t="s">
        <v>698</v>
      </c>
      <c r="E2238" s="13" t="s">
        <v>392</v>
      </c>
      <c r="F2238" s="14" t="s">
        <v>563</v>
      </c>
      <c r="G2238" s="14" t="s">
        <v>404</v>
      </c>
      <c r="H2238" s="15">
        <v>754</v>
      </c>
      <c r="I2238" s="11">
        <f t="shared" si="106"/>
        <v>5</v>
      </c>
      <c r="K2238" s="16">
        <v>37</v>
      </c>
      <c r="M2238" s="17">
        <f t="shared" si="104"/>
        <v>380798.17000000016</v>
      </c>
      <c r="N2238" s="11">
        <f t="shared" si="105"/>
        <v>12</v>
      </c>
    </row>
    <row r="2239" spans="1:14" x14ac:dyDescent="0.25">
      <c r="A2239" s="11" t="s">
        <v>0</v>
      </c>
      <c r="B2239" s="12">
        <v>45267</v>
      </c>
      <c r="C2239" s="11" t="s">
        <v>688</v>
      </c>
      <c r="D2239" s="11" t="s">
        <v>692</v>
      </c>
      <c r="E2239" s="13" t="s">
        <v>143</v>
      </c>
      <c r="F2239" s="14" t="s">
        <v>90</v>
      </c>
      <c r="G2239" s="14" t="s">
        <v>404</v>
      </c>
      <c r="H2239" s="15">
        <v>23</v>
      </c>
      <c r="I2239" s="11">
        <f t="shared" si="106"/>
        <v>5</v>
      </c>
      <c r="K2239" s="16">
        <v>2025</v>
      </c>
      <c r="M2239" s="17">
        <f t="shared" si="104"/>
        <v>378773.17000000016</v>
      </c>
      <c r="N2239" s="11">
        <f t="shared" si="105"/>
        <v>12</v>
      </c>
    </row>
    <row r="2240" spans="1:14" x14ac:dyDescent="0.25">
      <c r="A2240" s="11" t="s">
        <v>0</v>
      </c>
      <c r="B2240" s="12">
        <v>45267</v>
      </c>
      <c r="C2240" s="11" t="s">
        <v>688</v>
      </c>
      <c r="D2240" s="11" t="s">
        <v>694</v>
      </c>
      <c r="E2240" s="13" t="s">
        <v>181</v>
      </c>
      <c r="F2240" s="14" t="s">
        <v>516</v>
      </c>
      <c r="G2240" s="14" t="s">
        <v>404</v>
      </c>
      <c r="H2240" s="15">
        <v>6871</v>
      </c>
      <c r="I2240" s="11">
        <f t="shared" si="106"/>
        <v>5</v>
      </c>
      <c r="K2240" s="16">
        <v>400</v>
      </c>
      <c r="M2240" s="17">
        <f t="shared" si="104"/>
        <v>378373.17000000016</v>
      </c>
      <c r="N2240" s="11">
        <f t="shared" si="105"/>
        <v>12</v>
      </c>
    </row>
    <row r="2241" spans="1:14" x14ac:dyDescent="0.25">
      <c r="A2241" s="11" t="s">
        <v>0</v>
      </c>
      <c r="B2241" s="12">
        <v>45267</v>
      </c>
      <c r="C2241" s="11" t="s">
        <v>688</v>
      </c>
      <c r="D2241" s="11" t="s">
        <v>694</v>
      </c>
      <c r="E2241" s="13" t="s">
        <v>6</v>
      </c>
      <c r="F2241" s="14" t="s">
        <v>60</v>
      </c>
      <c r="G2241" s="14" t="s">
        <v>404</v>
      </c>
      <c r="H2241" s="15" t="s">
        <v>437</v>
      </c>
      <c r="I2241" s="11">
        <f t="shared" si="106"/>
        <v>5</v>
      </c>
      <c r="K2241" s="16">
        <v>109.9</v>
      </c>
      <c r="M2241" s="17">
        <f t="shared" si="104"/>
        <v>378263.27000000014</v>
      </c>
      <c r="N2241" s="11">
        <f t="shared" si="105"/>
        <v>12</v>
      </c>
    </row>
    <row r="2242" spans="1:14" x14ac:dyDescent="0.25">
      <c r="A2242" s="11" t="s">
        <v>207</v>
      </c>
      <c r="B2242" s="12">
        <v>45267</v>
      </c>
      <c r="C2242" s="11" t="s">
        <v>688</v>
      </c>
      <c r="D2242" s="11" t="s">
        <v>43</v>
      </c>
      <c r="E2242" s="13">
        <v>45267</v>
      </c>
      <c r="F2242" s="14" t="s">
        <v>472</v>
      </c>
      <c r="G2242" s="14" t="s">
        <v>400</v>
      </c>
      <c r="I2242" s="11">
        <f t="shared" si="106"/>
        <v>2</v>
      </c>
      <c r="J2242" s="16">
        <v>459</v>
      </c>
      <c r="M2242" s="17">
        <f t="shared" si="104"/>
        <v>378722.27000000014</v>
      </c>
      <c r="N2242" s="11">
        <f t="shared" si="105"/>
        <v>12</v>
      </c>
    </row>
    <row r="2243" spans="1:14" x14ac:dyDescent="0.25">
      <c r="A2243" s="11" t="s">
        <v>0</v>
      </c>
      <c r="B2243" s="12">
        <v>45268</v>
      </c>
      <c r="C2243" s="11" t="s">
        <v>688</v>
      </c>
      <c r="D2243" s="11" t="s">
        <v>696</v>
      </c>
      <c r="E2243" s="13" t="s">
        <v>259</v>
      </c>
      <c r="F2243" s="14" t="s">
        <v>62</v>
      </c>
      <c r="G2243" s="14" t="s">
        <v>407</v>
      </c>
      <c r="H2243" s="15" t="s">
        <v>426</v>
      </c>
      <c r="I2243" s="11">
        <f t="shared" si="106"/>
        <v>4</v>
      </c>
      <c r="J2243" s="233"/>
      <c r="K2243" s="233">
        <v>100</v>
      </c>
      <c r="M2243" s="17">
        <f t="shared" ref="M2243:M2306" si="108">IF(B2243=0, "",M2242+ J2243-K2243)</f>
        <v>378622.27000000014</v>
      </c>
      <c r="N2243" s="11">
        <f t="shared" ref="N2243:N2306" si="109">IF(B2243=0, "", MONTH(B2243))</f>
        <v>12</v>
      </c>
    </row>
    <row r="2244" spans="1:14" x14ac:dyDescent="0.25">
      <c r="A2244" s="11" t="s">
        <v>207</v>
      </c>
      <c r="B2244" s="12">
        <v>45268</v>
      </c>
      <c r="C2244" s="11" t="s">
        <v>688</v>
      </c>
      <c r="D2244" s="11" t="s">
        <v>43</v>
      </c>
      <c r="E2244" s="13" t="s">
        <v>288</v>
      </c>
      <c r="F2244" s="14" t="s">
        <v>288</v>
      </c>
      <c r="G2244" s="14" t="s">
        <v>173</v>
      </c>
      <c r="J2244" s="16">
        <v>390</v>
      </c>
      <c r="M2244" s="17">
        <f t="shared" si="108"/>
        <v>379012.27000000014</v>
      </c>
      <c r="N2244" s="11">
        <f t="shared" si="109"/>
        <v>12</v>
      </c>
    </row>
    <row r="2245" spans="1:14" x14ac:dyDescent="0.25">
      <c r="A2245" s="11" t="s">
        <v>207</v>
      </c>
      <c r="B2245" s="12">
        <v>45268</v>
      </c>
      <c r="C2245" s="11" t="s">
        <v>688</v>
      </c>
      <c r="D2245" s="11" t="s">
        <v>43</v>
      </c>
      <c r="E2245" s="13" t="s">
        <v>80</v>
      </c>
      <c r="F2245" s="14" t="s">
        <v>79</v>
      </c>
      <c r="G2245" s="14" t="s">
        <v>400</v>
      </c>
      <c r="I2245" s="11">
        <f t="shared" si="106"/>
        <v>2</v>
      </c>
      <c r="J2245" s="16">
        <v>1822.66</v>
      </c>
      <c r="M2245" s="17">
        <f t="shared" si="108"/>
        <v>380834.93000000011</v>
      </c>
      <c r="N2245" s="11">
        <f t="shared" si="109"/>
        <v>12</v>
      </c>
    </row>
    <row r="2246" spans="1:14" x14ac:dyDescent="0.25">
      <c r="A2246" s="11" t="s">
        <v>207</v>
      </c>
      <c r="B2246" s="12">
        <v>45268</v>
      </c>
      <c r="C2246" s="11" t="s">
        <v>688</v>
      </c>
      <c r="D2246" s="11" t="s">
        <v>43</v>
      </c>
      <c r="E2246" s="13" t="s">
        <v>81</v>
      </c>
      <c r="F2246" s="14" t="s">
        <v>79</v>
      </c>
      <c r="G2246" s="14" t="s">
        <v>400</v>
      </c>
      <c r="I2246" s="11">
        <f t="shared" si="106"/>
        <v>2</v>
      </c>
      <c r="J2246" s="16">
        <v>913.34</v>
      </c>
      <c r="M2246" s="17">
        <f t="shared" si="108"/>
        <v>381748.27000000014</v>
      </c>
      <c r="N2246" s="11">
        <f t="shared" si="109"/>
        <v>12</v>
      </c>
    </row>
    <row r="2247" spans="1:14" x14ac:dyDescent="0.25">
      <c r="A2247" s="11" t="s">
        <v>207</v>
      </c>
      <c r="B2247" s="12">
        <v>45268</v>
      </c>
      <c r="C2247" s="11" t="s">
        <v>688</v>
      </c>
      <c r="D2247" s="11" t="s">
        <v>43</v>
      </c>
      <c r="E2247" s="13" t="s">
        <v>82</v>
      </c>
      <c r="F2247" s="14" t="s">
        <v>79</v>
      </c>
      <c r="G2247" s="14" t="s">
        <v>400</v>
      </c>
      <c r="I2247" s="11">
        <f t="shared" si="106"/>
        <v>2</v>
      </c>
      <c r="J2247" s="16">
        <v>221.49</v>
      </c>
      <c r="M2247" s="17">
        <f t="shared" si="108"/>
        <v>381969.76000000013</v>
      </c>
      <c r="N2247" s="11">
        <f t="shared" si="109"/>
        <v>12</v>
      </c>
    </row>
    <row r="2248" spans="1:14" x14ac:dyDescent="0.25">
      <c r="A2248" s="11" t="s">
        <v>207</v>
      </c>
      <c r="B2248" s="12">
        <v>45268</v>
      </c>
      <c r="C2248" s="11" t="s">
        <v>688</v>
      </c>
      <c r="D2248" s="11" t="s">
        <v>43</v>
      </c>
      <c r="E2248" s="13" t="s">
        <v>83</v>
      </c>
      <c r="F2248" s="14" t="s">
        <v>79</v>
      </c>
      <c r="G2248" s="14" t="s">
        <v>400</v>
      </c>
      <c r="I2248" s="11">
        <f t="shared" si="106"/>
        <v>2</v>
      </c>
      <c r="J2248" s="16">
        <v>61.91</v>
      </c>
      <c r="M2248" s="17">
        <f t="shared" si="108"/>
        <v>382031.6700000001</v>
      </c>
      <c r="N2248" s="11">
        <f t="shared" si="109"/>
        <v>12</v>
      </c>
    </row>
    <row r="2249" spans="1:14" x14ac:dyDescent="0.25">
      <c r="A2249" s="11" t="s">
        <v>207</v>
      </c>
      <c r="B2249" s="12">
        <v>45268</v>
      </c>
      <c r="C2249" s="11" t="s">
        <v>688</v>
      </c>
      <c r="D2249" s="11" t="s">
        <v>43</v>
      </c>
      <c r="E2249" s="13" t="s">
        <v>382</v>
      </c>
      <c r="F2249" s="14" t="s">
        <v>13</v>
      </c>
      <c r="G2249" s="14" t="s">
        <v>400</v>
      </c>
      <c r="I2249" s="11">
        <f t="shared" si="106"/>
        <v>2</v>
      </c>
      <c r="J2249" s="16">
        <v>121.94</v>
      </c>
      <c r="M2249" s="17">
        <f t="shared" si="108"/>
        <v>382153.6100000001</v>
      </c>
      <c r="N2249" s="11">
        <f t="shared" si="109"/>
        <v>12</v>
      </c>
    </row>
    <row r="2250" spans="1:14" x14ac:dyDescent="0.25">
      <c r="A2250" s="11" t="s">
        <v>207</v>
      </c>
      <c r="B2250" s="12">
        <v>45268</v>
      </c>
      <c r="C2250" s="11" t="s">
        <v>688</v>
      </c>
      <c r="D2250" s="11" t="s">
        <v>43</v>
      </c>
      <c r="E2250" s="13" t="s">
        <v>382</v>
      </c>
      <c r="F2250" s="14" t="s">
        <v>13</v>
      </c>
      <c r="G2250" s="14" t="s">
        <v>400</v>
      </c>
      <c r="I2250" s="11">
        <f t="shared" si="106"/>
        <v>2</v>
      </c>
      <c r="J2250" s="16">
        <v>23.01</v>
      </c>
      <c r="M2250" s="17">
        <f t="shared" si="108"/>
        <v>382176.62000000011</v>
      </c>
      <c r="N2250" s="11">
        <f t="shared" si="109"/>
        <v>12</v>
      </c>
    </row>
    <row r="2251" spans="1:14" x14ac:dyDescent="0.25">
      <c r="A2251" s="11" t="s">
        <v>207</v>
      </c>
      <c r="B2251" s="12">
        <v>45268</v>
      </c>
      <c r="C2251" s="11" t="s">
        <v>688</v>
      </c>
      <c r="D2251" s="11" t="s">
        <v>43</v>
      </c>
      <c r="E2251" s="13" t="s">
        <v>382</v>
      </c>
      <c r="F2251" s="14" t="s">
        <v>13</v>
      </c>
      <c r="G2251" s="14" t="s">
        <v>400</v>
      </c>
      <c r="I2251" s="11">
        <f t="shared" si="106"/>
        <v>2</v>
      </c>
      <c r="J2251" s="16">
        <v>108.17</v>
      </c>
      <c r="M2251" s="17">
        <f t="shared" si="108"/>
        <v>382284.7900000001</v>
      </c>
      <c r="N2251" s="11">
        <f t="shared" si="109"/>
        <v>12</v>
      </c>
    </row>
    <row r="2252" spans="1:14" x14ac:dyDescent="0.25">
      <c r="A2252" s="11" t="s">
        <v>207</v>
      </c>
      <c r="B2252" s="12">
        <v>45268</v>
      </c>
      <c r="C2252" s="11" t="s">
        <v>688</v>
      </c>
      <c r="D2252" s="11" t="s">
        <v>43</v>
      </c>
      <c r="E2252" s="13" t="s">
        <v>382</v>
      </c>
      <c r="F2252" s="14" t="s">
        <v>13</v>
      </c>
      <c r="G2252" s="14" t="s">
        <v>400</v>
      </c>
      <c r="I2252" s="11">
        <f t="shared" si="106"/>
        <v>2</v>
      </c>
      <c r="J2252" s="16">
        <v>7.62</v>
      </c>
      <c r="M2252" s="17">
        <f t="shared" si="108"/>
        <v>382292.41000000009</v>
      </c>
      <c r="N2252" s="11">
        <f t="shared" si="109"/>
        <v>12</v>
      </c>
    </row>
    <row r="2253" spans="1:14" x14ac:dyDescent="0.25">
      <c r="A2253" s="11" t="s">
        <v>207</v>
      </c>
      <c r="B2253" s="12">
        <v>45268</v>
      </c>
      <c r="C2253" s="11" t="s">
        <v>688</v>
      </c>
      <c r="D2253" s="11" t="s">
        <v>43</v>
      </c>
      <c r="E2253" s="13">
        <v>45268</v>
      </c>
      <c r="F2253" s="14" t="s">
        <v>472</v>
      </c>
      <c r="G2253" s="14" t="s">
        <v>400</v>
      </c>
      <c r="I2253" s="11">
        <f t="shared" si="106"/>
        <v>2</v>
      </c>
      <c r="J2253" s="16">
        <v>907.8</v>
      </c>
      <c r="M2253" s="17">
        <f t="shared" si="108"/>
        <v>383200.21000000008</v>
      </c>
      <c r="N2253" s="11">
        <f t="shared" si="109"/>
        <v>12</v>
      </c>
    </row>
    <row r="2254" spans="1:14" x14ac:dyDescent="0.25">
      <c r="A2254" s="11" t="s">
        <v>0</v>
      </c>
      <c r="B2254" s="12">
        <v>45268</v>
      </c>
      <c r="C2254" s="11" t="s">
        <v>688</v>
      </c>
      <c r="D2254" s="11" t="s">
        <v>694</v>
      </c>
      <c r="E2254" s="13" t="s">
        <v>182</v>
      </c>
      <c r="F2254" s="14" t="s">
        <v>365</v>
      </c>
      <c r="G2254" s="14" t="s">
        <v>402</v>
      </c>
      <c r="H2254" s="15" t="s">
        <v>20</v>
      </c>
      <c r="I2254" s="11">
        <f t="shared" si="106"/>
        <v>5</v>
      </c>
      <c r="K2254" s="16">
        <v>2.79</v>
      </c>
      <c r="M2254" s="17">
        <f t="shared" si="108"/>
        <v>383197.4200000001</v>
      </c>
      <c r="N2254" s="11">
        <f t="shared" si="109"/>
        <v>12</v>
      </c>
    </row>
    <row r="2255" spans="1:14" x14ac:dyDescent="0.25">
      <c r="A2255" s="11" t="s">
        <v>0</v>
      </c>
      <c r="B2255" s="12">
        <v>45268</v>
      </c>
      <c r="C2255" s="11" t="s">
        <v>688</v>
      </c>
      <c r="D2255" s="11" t="s">
        <v>694</v>
      </c>
      <c r="E2255" s="13" t="s">
        <v>182</v>
      </c>
      <c r="F2255" s="14" t="s">
        <v>23</v>
      </c>
      <c r="G2255" s="14" t="s">
        <v>402</v>
      </c>
      <c r="H2255" s="15" t="s">
        <v>20</v>
      </c>
      <c r="I2255" s="11">
        <f t="shared" si="106"/>
        <v>5</v>
      </c>
      <c r="K2255" s="16">
        <v>15.94</v>
      </c>
      <c r="M2255" s="17">
        <f t="shared" si="108"/>
        <v>383181.4800000001</v>
      </c>
      <c r="N2255" s="11">
        <f t="shared" si="109"/>
        <v>12</v>
      </c>
    </row>
    <row r="2256" spans="1:14" x14ac:dyDescent="0.25">
      <c r="A2256" s="11" t="s">
        <v>0</v>
      </c>
      <c r="B2256" s="12">
        <v>45268</v>
      </c>
      <c r="C2256" s="11" t="s">
        <v>688</v>
      </c>
      <c r="D2256" s="11" t="s">
        <v>699</v>
      </c>
      <c r="E2256" s="13" t="s">
        <v>98</v>
      </c>
      <c r="F2256" s="14" t="s">
        <v>576</v>
      </c>
      <c r="G2256" s="14" t="s">
        <v>404</v>
      </c>
      <c r="H2256" s="15">
        <v>125</v>
      </c>
      <c r="I2256" s="11">
        <f t="shared" si="106"/>
        <v>5</v>
      </c>
      <c r="K2256" s="16">
        <v>306.39999999999998</v>
      </c>
      <c r="M2256" s="17">
        <f t="shared" si="108"/>
        <v>382875.08000000007</v>
      </c>
      <c r="N2256" s="11">
        <f t="shared" si="109"/>
        <v>12</v>
      </c>
    </row>
    <row r="2257" spans="1:14" x14ac:dyDescent="0.25">
      <c r="A2257" s="11" t="s">
        <v>0</v>
      </c>
      <c r="B2257" s="12">
        <v>45268</v>
      </c>
      <c r="C2257" s="11" t="s">
        <v>688</v>
      </c>
      <c r="D2257" s="11" t="s">
        <v>692</v>
      </c>
      <c r="E2257" s="13" t="s">
        <v>492</v>
      </c>
      <c r="F2257" s="14" t="s">
        <v>111</v>
      </c>
      <c r="G2257" s="14" t="s">
        <v>404</v>
      </c>
      <c r="H2257" s="15" t="s">
        <v>644</v>
      </c>
      <c r="I2257" s="11">
        <f t="shared" si="106"/>
        <v>5</v>
      </c>
      <c r="K2257" s="16">
        <v>2034</v>
      </c>
      <c r="M2257" s="17">
        <f t="shared" si="108"/>
        <v>380841.08000000007</v>
      </c>
      <c r="N2257" s="11">
        <f t="shared" si="109"/>
        <v>12</v>
      </c>
    </row>
    <row r="2258" spans="1:14" x14ac:dyDescent="0.25">
      <c r="A2258" s="11" t="s">
        <v>0</v>
      </c>
      <c r="B2258" s="12">
        <v>45268</v>
      </c>
      <c r="C2258" s="11" t="s">
        <v>688</v>
      </c>
      <c r="D2258" s="11" t="s">
        <v>698</v>
      </c>
      <c r="E2258" s="13" t="s">
        <v>577</v>
      </c>
      <c r="F2258" s="14" t="s">
        <v>578</v>
      </c>
      <c r="G2258" s="14" t="s">
        <v>404</v>
      </c>
      <c r="H2258" s="15">
        <v>93</v>
      </c>
      <c r="I2258" s="11">
        <f t="shared" si="106"/>
        <v>5</v>
      </c>
      <c r="K2258" s="16">
        <v>366</v>
      </c>
      <c r="M2258" s="17">
        <f t="shared" si="108"/>
        <v>380475.08000000007</v>
      </c>
      <c r="N2258" s="11">
        <f t="shared" si="109"/>
        <v>12</v>
      </c>
    </row>
    <row r="2259" spans="1:14" x14ac:dyDescent="0.25">
      <c r="A2259" s="11" t="s">
        <v>0</v>
      </c>
      <c r="B2259" s="12">
        <v>45268</v>
      </c>
      <c r="C2259" s="11" t="s">
        <v>688</v>
      </c>
      <c r="D2259" s="11" t="s">
        <v>692</v>
      </c>
      <c r="E2259" s="13" t="s">
        <v>725</v>
      </c>
      <c r="F2259" s="14" t="s">
        <v>27</v>
      </c>
      <c r="G2259" s="14" t="s">
        <v>404</v>
      </c>
      <c r="H2259" s="15" t="s">
        <v>437</v>
      </c>
      <c r="I2259" s="11">
        <f t="shared" si="106"/>
        <v>5</v>
      </c>
      <c r="K2259" s="16">
        <v>1679.71</v>
      </c>
      <c r="M2259" s="17">
        <f t="shared" si="108"/>
        <v>378795.37000000005</v>
      </c>
      <c r="N2259" s="11">
        <f t="shared" si="109"/>
        <v>12</v>
      </c>
    </row>
    <row r="2260" spans="1:14" x14ac:dyDescent="0.25">
      <c r="A2260" s="11" t="s">
        <v>0</v>
      </c>
      <c r="B2260" s="12">
        <v>45268</v>
      </c>
      <c r="C2260" s="11" t="s">
        <v>688</v>
      </c>
      <c r="D2260" s="11" t="s">
        <v>694</v>
      </c>
      <c r="E2260" s="13" t="s">
        <v>5</v>
      </c>
      <c r="F2260" s="14" t="s">
        <v>110</v>
      </c>
      <c r="G2260" s="14" t="s">
        <v>404</v>
      </c>
      <c r="H2260" s="15">
        <v>122</v>
      </c>
      <c r="I2260" s="11">
        <f t="shared" si="106"/>
        <v>5</v>
      </c>
      <c r="K2260" s="16">
        <v>100</v>
      </c>
      <c r="M2260" s="17">
        <f t="shared" si="108"/>
        <v>378695.37000000005</v>
      </c>
      <c r="N2260" s="11">
        <f t="shared" si="109"/>
        <v>12</v>
      </c>
    </row>
    <row r="2261" spans="1:14" x14ac:dyDescent="0.25">
      <c r="A2261" s="11" t="s">
        <v>0</v>
      </c>
      <c r="B2261" s="12">
        <v>45270</v>
      </c>
      <c r="C2261" s="11" t="s">
        <v>688</v>
      </c>
      <c r="D2261" s="11" t="s">
        <v>698</v>
      </c>
      <c r="E2261" s="13" t="s">
        <v>183</v>
      </c>
      <c r="F2261" s="14" t="s">
        <v>791</v>
      </c>
      <c r="G2261" s="14" t="s">
        <v>407</v>
      </c>
      <c r="H2261" s="15" t="s">
        <v>426</v>
      </c>
      <c r="I2261" s="11">
        <f t="shared" ref="I2261" si="110">IF(AND(G2261="MERCADO PAGO",A2261="FATURAMENTO"),1,IF(AND(OR(G2261="MERCADO PAGO",G2261="pix mercado pago",G2261= "débito automático mercado pago", G2261= "boleto mercado pago"),A2261="DESPESAS"),4,IF(AND(G2261="SAFRA",A2261="FATURAMENTO"),2,IF(AND(OR(G2261="SAFRA",G2261="PIX SAFRA", G2261="DÉBITO AUTOMÁTICO SAFRA", G2261= "BOLETO SAFRA", G2261= "transferência safra"), A2261="DESPESAS"),5,IF(AND(G2261="espécie",A2261="FATURAMENTO"),3,IF(AND(G2261="espécie",A2261="DESPESAS"),6))))))</f>
        <v>4</v>
      </c>
      <c r="J2261" s="233"/>
      <c r="K2261" s="233">
        <v>70</v>
      </c>
      <c r="M2261" s="17">
        <f t="shared" si="108"/>
        <v>378625.37000000005</v>
      </c>
      <c r="N2261" s="11">
        <f t="shared" si="109"/>
        <v>12</v>
      </c>
    </row>
    <row r="2262" spans="1:14" x14ac:dyDescent="0.25">
      <c r="A2262" s="11" t="s">
        <v>207</v>
      </c>
      <c r="B2262" s="12">
        <v>45270</v>
      </c>
      <c r="C2262" s="75" t="s">
        <v>662</v>
      </c>
      <c r="D2262" s="11" t="s">
        <v>43</v>
      </c>
      <c r="E2262" s="14" t="s">
        <v>429</v>
      </c>
      <c r="F2262" s="14" t="s">
        <v>429</v>
      </c>
      <c r="G2262" s="14" t="s">
        <v>428</v>
      </c>
      <c r="J2262" s="16">
        <v>75</v>
      </c>
      <c r="M2262" s="17">
        <f t="shared" si="108"/>
        <v>378700.37000000005</v>
      </c>
      <c r="N2262" s="11">
        <f t="shared" si="109"/>
        <v>12</v>
      </c>
    </row>
    <row r="2263" spans="1:14" x14ac:dyDescent="0.25">
      <c r="A2263" s="11" t="s">
        <v>207</v>
      </c>
      <c r="B2263" s="12">
        <v>45270</v>
      </c>
      <c r="C2263" s="11" t="s">
        <v>688</v>
      </c>
      <c r="D2263" s="11" t="s">
        <v>43</v>
      </c>
      <c r="E2263" s="14" t="s">
        <v>429</v>
      </c>
      <c r="F2263" s="14" t="s">
        <v>429</v>
      </c>
      <c r="G2263" s="14" t="s">
        <v>428</v>
      </c>
      <c r="I2263" s="11">
        <f t="shared" si="106"/>
        <v>1</v>
      </c>
      <c r="J2263" s="16">
        <v>250.8</v>
      </c>
      <c r="M2263" s="17">
        <f t="shared" si="108"/>
        <v>378951.17000000004</v>
      </c>
      <c r="N2263" s="11">
        <f t="shared" si="109"/>
        <v>12</v>
      </c>
    </row>
    <row r="2264" spans="1:14" x14ac:dyDescent="0.25">
      <c r="A2264" s="11" t="s">
        <v>207</v>
      </c>
      <c r="B2264" s="12">
        <v>45270</v>
      </c>
      <c r="C2264" s="11" t="s">
        <v>688</v>
      </c>
      <c r="D2264" s="11" t="s">
        <v>43</v>
      </c>
      <c r="E2264" s="14" t="s">
        <v>288</v>
      </c>
      <c r="F2264" s="14" t="s">
        <v>288</v>
      </c>
      <c r="G2264" s="14" t="s">
        <v>173</v>
      </c>
      <c r="I2264" s="11">
        <f t="shared" si="106"/>
        <v>3</v>
      </c>
      <c r="J2264" s="16">
        <v>1.1000000000000001</v>
      </c>
      <c r="M2264" s="17">
        <f t="shared" si="108"/>
        <v>378952.27</v>
      </c>
      <c r="N2264" s="11">
        <f t="shared" si="109"/>
        <v>12</v>
      </c>
    </row>
    <row r="2265" spans="1:14" x14ac:dyDescent="0.25">
      <c r="A2265" s="11" t="s">
        <v>207</v>
      </c>
      <c r="B2265" s="12">
        <v>45271</v>
      </c>
      <c r="C2265" s="11" t="s">
        <v>662</v>
      </c>
      <c r="D2265" s="11" t="s">
        <v>43</v>
      </c>
      <c r="E2265" s="13" t="s">
        <v>80</v>
      </c>
      <c r="F2265" s="14" t="s">
        <v>79</v>
      </c>
      <c r="G2265" s="14" t="s">
        <v>400</v>
      </c>
      <c r="J2265" s="16">
        <v>600</v>
      </c>
      <c r="M2265" s="17">
        <f t="shared" si="108"/>
        <v>379552.27</v>
      </c>
      <c r="N2265" s="11">
        <f t="shared" si="109"/>
        <v>12</v>
      </c>
    </row>
    <row r="2266" spans="1:14" x14ac:dyDescent="0.25">
      <c r="A2266" s="11" t="s">
        <v>207</v>
      </c>
      <c r="B2266" s="12">
        <v>45271</v>
      </c>
      <c r="C2266" s="11" t="s">
        <v>688</v>
      </c>
      <c r="D2266" s="11" t="s">
        <v>43</v>
      </c>
      <c r="E2266" s="13" t="s">
        <v>80</v>
      </c>
      <c r="F2266" s="14" t="s">
        <v>79</v>
      </c>
      <c r="G2266" s="14" t="s">
        <v>400</v>
      </c>
      <c r="I2266" s="11">
        <f t="shared" ref="I2266:I2299" si="111">IF(AND(G2266="MERCADO PAGO",A2266="FATURAMENTO"),1,IF(AND(OR(G2266="MERCADO PAGO",G2266="pix mercado pago",G2266= "débito automático mercado pago", G2266= "boleto mercado pago"),A2266="DESPESAS"),4,IF(AND(G2266="SAFRA",A2266="FATURAMENTO"),2,IF(AND(OR(G2266="SAFRA",G2266="PIX SAFRA", G2266="DÉBITO AUTOMÁTICO SAFRA", G2266= "BOLETO SAFRA", G2266= "transferência safra"), A2266="DESPESAS"),5,IF(AND(G2266="espécie",A2266="FATURAMENTO"),3,IF(AND(G2266="espécie",A2266="DESPESAS"),6))))))</f>
        <v>2</v>
      </c>
      <c r="J2266" s="16">
        <v>7523.41</v>
      </c>
      <c r="M2266" s="17">
        <f t="shared" si="108"/>
        <v>387075.68</v>
      </c>
      <c r="N2266" s="11">
        <f t="shared" si="109"/>
        <v>12</v>
      </c>
    </row>
    <row r="2267" spans="1:14" x14ac:dyDescent="0.25">
      <c r="A2267" s="11" t="s">
        <v>207</v>
      </c>
      <c r="B2267" s="12">
        <v>45271</v>
      </c>
      <c r="C2267" s="11" t="s">
        <v>688</v>
      </c>
      <c r="D2267" s="11" t="s">
        <v>43</v>
      </c>
      <c r="E2267" s="13" t="s">
        <v>81</v>
      </c>
      <c r="F2267" s="14" t="s">
        <v>79</v>
      </c>
      <c r="G2267" s="14" t="s">
        <v>400</v>
      </c>
      <c r="I2267" s="11">
        <f t="shared" si="111"/>
        <v>2</v>
      </c>
      <c r="J2267" s="16">
        <v>9599.0300000000007</v>
      </c>
      <c r="M2267" s="17">
        <f t="shared" si="108"/>
        <v>396674.71</v>
      </c>
      <c r="N2267" s="11">
        <f t="shared" si="109"/>
        <v>12</v>
      </c>
    </row>
    <row r="2268" spans="1:14" x14ac:dyDescent="0.25">
      <c r="A2268" s="11" t="s">
        <v>207</v>
      </c>
      <c r="B2268" s="12">
        <v>45271</v>
      </c>
      <c r="C2268" s="11" t="s">
        <v>688</v>
      </c>
      <c r="D2268" s="11" t="s">
        <v>43</v>
      </c>
      <c r="E2268" s="13" t="s">
        <v>82</v>
      </c>
      <c r="F2268" s="14" t="s">
        <v>79</v>
      </c>
      <c r="G2268" s="14" t="s">
        <v>400</v>
      </c>
      <c r="I2268" s="11">
        <f t="shared" si="111"/>
        <v>2</v>
      </c>
      <c r="J2268" s="16">
        <v>407.47</v>
      </c>
      <c r="M2268" s="17">
        <f t="shared" si="108"/>
        <v>397082.18</v>
      </c>
      <c r="N2268" s="11">
        <f t="shared" si="109"/>
        <v>12</v>
      </c>
    </row>
    <row r="2269" spans="1:14" x14ac:dyDescent="0.25">
      <c r="A2269" s="11" t="s">
        <v>207</v>
      </c>
      <c r="B2269" s="12">
        <v>45271</v>
      </c>
      <c r="C2269" s="11" t="s">
        <v>688</v>
      </c>
      <c r="D2269" s="11" t="s">
        <v>43</v>
      </c>
      <c r="E2269" s="13" t="s">
        <v>83</v>
      </c>
      <c r="F2269" s="14" t="s">
        <v>79</v>
      </c>
      <c r="G2269" s="14" t="s">
        <v>400</v>
      </c>
      <c r="I2269" s="11">
        <f t="shared" si="111"/>
        <v>2</v>
      </c>
      <c r="J2269" s="16">
        <v>851.57</v>
      </c>
      <c r="M2269" s="17">
        <f t="shared" si="108"/>
        <v>397933.75</v>
      </c>
      <c r="N2269" s="11">
        <f t="shared" si="109"/>
        <v>12</v>
      </c>
    </row>
    <row r="2270" spans="1:14" x14ac:dyDescent="0.25">
      <c r="A2270" s="11" t="s">
        <v>207</v>
      </c>
      <c r="B2270" s="12">
        <v>45271</v>
      </c>
      <c r="C2270" s="11" t="s">
        <v>688</v>
      </c>
      <c r="D2270" s="11" t="s">
        <v>43</v>
      </c>
      <c r="E2270" s="13" t="s">
        <v>382</v>
      </c>
      <c r="F2270" s="14" t="s">
        <v>13</v>
      </c>
      <c r="G2270" s="14" t="s">
        <v>400</v>
      </c>
      <c r="I2270" s="11">
        <f t="shared" si="111"/>
        <v>2</v>
      </c>
      <c r="J2270" s="16">
        <v>166.58</v>
      </c>
      <c r="M2270" s="17">
        <f t="shared" si="108"/>
        <v>398100.33</v>
      </c>
      <c r="N2270" s="11">
        <f t="shared" si="109"/>
        <v>12</v>
      </c>
    </row>
    <row r="2271" spans="1:14" x14ac:dyDescent="0.25">
      <c r="A2271" s="11" t="s">
        <v>207</v>
      </c>
      <c r="B2271" s="12">
        <v>45271</v>
      </c>
      <c r="C2271" s="11" t="s">
        <v>688</v>
      </c>
      <c r="D2271" s="11" t="s">
        <v>43</v>
      </c>
      <c r="E2271" s="13" t="s">
        <v>382</v>
      </c>
      <c r="F2271" s="14" t="s">
        <v>13</v>
      </c>
      <c r="G2271" s="14" t="s">
        <v>400</v>
      </c>
      <c r="I2271" s="11">
        <f t="shared" si="111"/>
        <v>2</v>
      </c>
      <c r="J2271" s="16">
        <v>94.72</v>
      </c>
      <c r="M2271" s="17">
        <f t="shared" si="108"/>
        <v>398195.05</v>
      </c>
      <c r="N2271" s="11">
        <f t="shared" si="109"/>
        <v>12</v>
      </c>
    </row>
    <row r="2272" spans="1:14" x14ac:dyDescent="0.25">
      <c r="A2272" s="11" t="s">
        <v>207</v>
      </c>
      <c r="B2272" s="12">
        <v>45271</v>
      </c>
      <c r="C2272" s="11" t="s">
        <v>688</v>
      </c>
      <c r="D2272" s="11" t="s">
        <v>43</v>
      </c>
      <c r="E2272" s="13" t="s">
        <v>382</v>
      </c>
      <c r="F2272" s="14" t="s">
        <v>13</v>
      </c>
      <c r="G2272" s="14" t="s">
        <v>400</v>
      </c>
      <c r="I2272" s="11">
        <f t="shared" si="111"/>
        <v>2</v>
      </c>
      <c r="J2272" s="16">
        <v>418.69</v>
      </c>
      <c r="M2272" s="17">
        <f t="shared" si="108"/>
        <v>398613.74</v>
      </c>
      <c r="N2272" s="11">
        <f t="shared" si="109"/>
        <v>12</v>
      </c>
    </row>
    <row r="2273" spans="1:14" x14ac:dyDescent="0.25">
      <c r="A2273" s="11" t="s">
        <v>207</v>
      </c>
      <c r="B2273" s="12">
        <v>45271</v>
      </c>
      <c r="C2273" s="11" t="s">
        <v>688</v>
      </c>
      <c r="D2273" s="11" t="s">
        <v>43</v>
      </c>
      <c r="E2273" s="13" t="s">
        <v>382</v>
      </c>
      <c r="F2273" s="14" t="s">
        <v>13</v>
      </c>
      <c r="G2273" s="14" t="s">
        <v>400</v>
      </c>
      <c r="I2273" s="11">
        <f t="shared" si="111"/>
        <v>2</v>
      </c>
      <c r="J2273" s="16">
        <v>7.62</v>
      </c>
      <c r="M2273" s="17">
        <f t="shared" si="108"/>
        <v>398621.36</v>
      </c>
      <c r="N2273" s="11">
        <f t="shared" si="109"/>
        <v>12</v>
      </c>
    </row>
    <row r="2274" spans="1:14" x14ac:dyDescent="0.25">
      <c r="A2274" s="11" t="s">
        <v>207</v>
      </c>
      <c r="B2274" s="12">
        <v>45271</v>
      </c>
      <c r="C2274" s="11" t="s">
        <v>688</v>
      </c>
      <c r="D2274" s="11" t="s">
        <v>43</v>
      </c>
      <c r="E2274" s="13" t="s">
        <v>382</v>
      </c>
      <c r="F2274" s="14" t="s">
        <v>13</v>
      </c>
      <c r="G2274" s="14" t="s">
        <v>400</v>
      </c>
      <c r="I2274" s="11">
        <f t="shared" si="111"/>
        <v>2</v>
      </c>
      <c r="J2274" s="16">
        <v>141.79</v>
      </c>
      <c r="M2274" s="17">
        <f t="shared" si="108"/>
        <v>398763.14999999997</v>
      </c>
      <c r="N2274" s="11">
        <f t="shared" si="109"/>
        <v>12</v>
      </c>
    </row>
    <row r="2275" spans="1:14" x14ac:dyDescent="0.25">
      <c r="A2275" s="11" t="s">
        <v>207</v>
      </c>
      <c r="B2275" s="12">
        <v>45271</v>
      </c>
      <c r="C2275" s="11" t="s">
        <v>688</v>
      </c>
      <c r="D2275" s="11" t="s">
        <v>43</v>
      </c>
      <c r="E2275" s="13" t="s">
        <v>382</v>
      </c>
      <c r="F2275" s="14" t="s">
        <v>13</v>
      </c>
      <c r="G2275" s="14" t="s">
        <v>400</v>
      </c>
      <c r="I2275" s="11">
        <f t="shared" si="111"/>
        <v>2</v>
      </c>
      <c r="J2275" s="16">
        <v>47.91</v>
      </c>
      <c r="M2275" s="17">
        <f t="shared" si="108"/>
        <v>398811.05999999994</v>
      </c>
      <c r="N2275" s="11">
        <f t="shared" si="109"/>
        <v>12</v>
      </c>
    </row>
    <row r="2276" spans="1:14" x14ac:dyDescent="0.25">
      <c r="A2276" s="11" t="s">
        <v>207</v>
      </c>
      <c r="B2276" s="12">
        <v>45271</v>
      </c>
      <c r="C2276" s="11" t="s">
        <v>688</v>
      </c>
      <c r="D2276" s="11" t="s">
        <v>43</v>
      </c>
      <c r="E2276" s="13" t="s">
        <v>382</v>
      </c>
      <c r="F2276" s="14" t="s">
        <v>13</v>
      </c>
      <c r="G2276" s="14" t="s">
        <v>400</v>
      </c>
      <c r="I2276" s="11">
        <f t="shared" si="111"/>
        <v>2</v>
      </c>
      <c r="J2276" s="16">
        <v>499.75</v>
      </c>
      <c r="M2276" s="17">
        <f t="shared" si="108"/>
        <v>399310.80999999994</v>
      </c>
      <c r="N2276" s="11">
        <f t="shared" si="109"/>
        <v>12</v>
      </c>
    </row>
    <row r="2277" spans="1:14" x14ac:dyDescent="0.25">
      <c r="A2277" s="11" t="s">
        <v>207</v>
      </c>
      <c r="B2277" s="12">
        <v>45271</v>
      </c>
      <c r="C2277" s="11" t="s">
        <v>688</v>
      </c>
      <c r="D2277" s="11" t="s">
        <v>43</v>
      </c>
      <c r="E2277" s="13" t="s">
        <v>382</v>
      </c>
      <c r="F2277" s="14" t="s">
        <v>13</v>
      </c>
      <c r="G2277" s="14" t="s">
        <v>400</v>
      </c>
      <c r="I2277" s="11">
        <f t="shared" si="111"/>
        <v>2</v>
      </c>
      <c r="J2277" s="16">
        <v>438.58</v>
      </c>
      <c r="M2277" s="17">
        <f t="shared" si="108"/>
        <v>399749.38999999996</v>
      </c>
      <c r="N2277" s="11">
        <f t="shared" si="109"/>
        <v>12</v>
      </c>
    </row>
    <row r="2278" spans="1:14" x14ac:dyDescent="0.25">
      <c r="A2278" s="11" t="s">
        <v>207</v>
      </c>
      <c r="B2278" s="12">
        <v>45271</v>
      </c>
      <c r="C2278" s="11" t="s">
        <v>688</v>
      </c>
      <c r="D2278" s="11" t="s">
        <v>43</v>
      </c>
      <c r="E2278" s="13" t="s">
        <v>382</v>
      </c>
      <c r="F2278" s="14" t="s">
        <v>13</v>
      </c>
      <c r="G2278" s="14" t="s">
        <v>400</v>
      </c>
      <c r="I2278" s="11">
        <f t="shared" si="111"/>
        <v>2</v>
      </c>
      <c r="J2278" s="16">
        <v>447.49</v>
      </c>
      <c r="M2278" s="17">
        <f t="shared" si="108"/>
        <v>400196.87999999995</v>
      </c>
      <c r="N2278" s="11">
        <f t="shared" si="109"/>
        <v>12</v>
      </c>
    </row>
    <row r="2279" spans="1:14" x14ac:dyDescent="0.25">
      <c r="A2279" s="11" t="s">
        <v>207</v>
      </c>
      <c r="B2279" s="12">
        <v>45271</v>
      </c>
      <c r="C2279" s="11" t="s">
        <v>688</v>
      </c>
      <c r="D2279" s="11" t="s">
        <v>43</v>
      </c>
      <c r="E2279" s="13" t="s">
        <v>382</v>
      </c>
      <c r="F2279" s="14" t="s">
        <v>13</v>
      </c>
      <c r="G2279" s="14" t="s">
        <v>400</v>
      </c>
      <c r="I2279" s="11">
        <f t="shared" si="111"/>
        <v>2</v>
      </c>
      <c r="J2279" s="16">
        <v>6.86</v>
      </c>
      <c r="M2279" s="17">
        <f t="shared" si="108"/>
        <v>400203.73999999993</v>
      </c>
      <c r="N2279" s="11">
        <f t="shared" si="109"/>
        <v>12</v>
      </c>
    </row>
    <row r="2280" spans="1:14" x14ac:dyDescent="0.25">
      <c r="A2280" s="11" t="s">
        <v>207</v>
      </c>
      <c r="B2280" s="12">
        <v>45271</v>
      </c>
      <c r="C2280" s="11" t="s">
        <v>688</v>
      </c>
      <c r="D2280" s="11" t="s">
        <v>43</v>
      </c>
      <c r="E2280" s="13" t="s">
        <v>382</v>
      </c>
      <c r="F2280" s="14" t="s">
        <v>13</v>
      </c>
      <c r="G2280" s="14" t="s">
        <v>400</v>
      </c>
      <c r="I2280" s="11">
        <f t="shared" si="111"/>
        <v>2</v>
      </c>
      <c r="J2280" s="16">
        <v>165.98</v>
      </c>
      <c r="M2280" s="17">
        <f t="shared" si="108"/>
        <v>400369.71999999991</v>
      </c>
      <c r="N2280" s="11">
        <f t="shared" si="109"/>
        <v>12</v>
      </c>
    </row>
    <row r="2281" spans="1:14" x14ac:dyDescent="0.25">
      <c r="A2281" s="11" t="s">
        <v>207</v>
      </c>
      <c r="B2281" s="12">
        <v>45271</v>
      </c>
      <c r="C2281" s="11" t="s">
        <v>688</v>
      </c>
      <c r="D2281" s="11" t="s">
        <v>43</v>
      </c>
      <c r="E2281" s="13" t="s">
        <v>382</v>
      </c>
      <c r="F2281" s="14" t="s">
        <v>13</v>
      </c>
      <c r="G2281" s="14" t="s">
        <v>400</v>
      </c>
      <c r="I2281" s="11">
        <f t="shared" si="111"/>
        <v>2</v>
      </c>
      <c r="J2281" s="16">
        <v>245.05</v>
      </c>
      <c r="M2281" s="17">
        <f t="shared" si="108"/>
        <v>400614.7699999999</v>
      </c>
      <c r="N2281" s="11">
        <f t="shared" si="109"/>
        <v>12</v>
      </c>
    </row>
    <row r="2282" spans="1:14" x14ac:dyDescent="0.25">
      <c r="A2282" s="11" t="s">
        <v>207</v>
      </c>
      <c r="B2282" s="12">
        <v>45271</v>
      </c>
      <c r="C2282" s="11" t="s">
        <v>688</v>
      </c>
      <c r="D2282" s="11" t="s">
        <v>43</v>
      </c>
      <c r="E2282" s="13" t="s">
        <v>382</v>
      </c>
      <c r="F2282" s="14" t="s">
        <v>13</v>
      </c>
      <c r="G2282" s="14" t="s">
        <v>400</v>
      </c>
      <c r="I2282" s="11">
        <f t="shared" si="111"/>
        <v>2</v>
      </c>
      <c r="J2282" s="16">
        <v>348.26</v>
      </c>
      <c r="M2282" s="17">
        <f t="shared" si="108"/>
        <v>400963.02999999991</v>
      </c>
      <c r="N2282" s="11">
        <f t="shared" si="109"/>
        <v>12</v>
      </c>
    </row>
    <row r="2283" spans="1:14" x14ac:dyDescent="0.25">
      <c r="A2283" s="11" t="s">
        <v>207</v>
      </c>
      <c r="B2283" s="12">
        <v>45271</v>
      </c>
      <c r="C2283" s="11" t="s">
        <v>688</v>
      </c>
      <c r="D2283" s="11" t="s">
        <v>43</v>
      </c>
      <c r="E2283" s="13" t="s">
        <v>382</v>
      </c>
      <c r="F2283" s="14" t="s">
        <v>13</v>
      </c>
      <c r="G2283" s="14" t="s">
        <v>400</v>
      </c>
      <c r="I2283" s="11">
        <f t="shared" si="111"/>
        <v>2</v>
      </c>
      <c r="J2283" s="16">
        <v>1471.59</v>
      </c>
      <c r="M2283" s="17">
        <f t="shared" si="108"/>
        <v>402434.61999999994</v>
      </c>
      <c r="N2283" s="11">
        <f t="shared" si="109"/>
        <v>12</v>
      </c>
    </row>
    <row r="2284" spans="1:14" x14ac:dyDescent="0.25">
      <c r="A2284" s="11" t="s">
        <v>207</v>
      </c>
      <c r="B2284" s="12">
        <v>45271</v>
      </c>
      <c r="C2284" s="11" t="s">
        <v>688</v>
      </c>
      <c r="D2284" s="11" t="s">
        <v>43</v>
      </c>
      <c r="E2284" s="13" t="s">
        <v>382</v>
      </c>
      <c r="F2284" s="14" t="s">
        <v>13</v>
      </c>
      <c r="G2284" s="14" t="s">
        <v>400</v>
      </c>
      <c r="I2284" s="11">
        <f t="shared" si="111"/>
        <v>2</v>
      </c>
      <c r="J2284" s="16">
        <v>158.56</v>
      </c>
      <c r="M2284" s="17">
        <f t="shared" si="108"/>
        <v>402593.17999999993</v>
      </c>
      <c r="N2284" s="11">
        <f t="shared" si="109"/>
        <v>12</v>
      </c>
    </row>
    <row r="2285" spans="1:14" x14ac:dyDescent="0.25">
      <c r="A2285" s="11" t="s">
        <v>0</v>
      </c>
      <c r="B2285" s="12">
        <v>45271</v>
      </c>
      <c r="C2285" s="11" t="s">
        <v>688</v>
      </c>
      <c r="D2285" s="11" t="s">
        <v>694</v>
      </c>
      <c r="E2285" s="13" t="s">
        <v>182</v>
      </c>
      <c r="F2285" s="14" t="s">
        <v>365</v>
      </c>
      <c r="G2285" s="14" t="s">
        <v>402</v>
      </c>
      <c r="H2285" s="15" t="s">
        <v>20</v>
      </c>
      <c r="I2285" s="11">
        <f t="shared" si="111"/>
        <v>5</v>
      </c>
      <c r="K2285" s="16">
        <v>11.36</v>
      </c>
      <c r="M2285" s="17">
        <f t="shared" si="108"/>
        <v>402581.81999999995</v>
      </c>
      <c r="N2285" s="11">
        <f t="shared" si="109"/>
        <v>12</v>
      </c>
    </row>
    <row r="2286" spans="1:14" x14ac:dyDescent="0.25">
      <c r="A2286" s="11" t="s">
        <v>0</v>
      </c>
      <c r="B2286" s="12">
        <v>45271</v>
      </c>
      <c r="C2286" s="11" t="s">
        <v>688</v>
      </c>
      <c r="D2286" s="11" t="s">
        <v>694</v>
      </c>
      <c r="E2286" s="13" t="s">
        <v>182</v>
      </c>
      <c r="F2286" s="14" t="s">
        <v>23</v>
      </c>
      <c r="G2286" s="14" t="s">
        <v>402</v>
      </c>
      <c r="H2286" s="15" t="s">
        <v>20</v>
      </c>
      <c r="I2286" s="11">
        <f t="shared" si="111"/>
        <v>5</v>
      </c>
      <c r="K2286" s="16">
        <v>19.36</v>
      </c>
      <c r="M2286" s="17">
        <f t="shared" si="108"/>
        <v>402562.45999999996</v>
      </c>
      <c r="N2286" s="11">
        <f t="shared" si="109"/>
        <v>12</v>
      </c>
    </row>
    <row r="2287" spans="1:14" x14ac:dyDescent="0.25">
      <c r="A2287" s="11" t="s">
        <v>207</v>
      </c>
      <c r="B2287" s="12">
        <v>45271</v>
      </c>
      <c r="C2287" s="11" t="s">
        <v>688</v>
      </c>
      <c r="D2287" s="11" t="s">
        <v>43</v>
      </c>
      <c r="E2287" s="13">
        <v>45271</v>
      </c>
      <c r="F2287" s="14" t="s">
        <v>472</v>
      </c>
      <c r="G2287" s="14" t="s">
        <v>400</v>
      </c>
      <c r="I2287" s="11">
        <f t="shared" si="111"/>
        <v>2</v>
      </c>
      <c r="J2287" s="16">
        <v>1660.33</v>
      </c>
      <c r="M2287" s="17">
        <f t="shared" si="108"/>
        <v>404222.79</v>
      </c>
      <c r="N2287" s="11">
        <f t="shared" si="109"/>
        <v>12</v>
      </c>
    </row>
    <row r="2288" spans="1:14" x14ac:dyDescent="0.25">
      <c r="A2288" s="11" t="s">
        <v>0</v>
      </c>
      <c r="B2288" s="12">
        <v>45271</v>
      </c>
      <c r="C2288" s="11" t="s">
        <v>688</v>
      </c>
      <c r="D2288" s="11" t="s">
        <v>720</v>
      </c>
      <c r="E2288" s="13" t="s">
        <v>183</v>
      </c>
      <c r="F2288" s="14" t="s">
        <v>366</v>
      </c>
      <c r="G2288" s="14" t="s">
        <v>404</v>
      </c>
      <c r="H2288" s="15">
        <v>58</v>
      </c>
      <c r="I2288" s="11">
        <f t="shared" si="111"/>
        <v>5</v>
      </c>
      <c r="K2288" s="16">
        <v>80</v>
      </c>
      <c r="M2288" s="17">
        <f t="shared" si="108"/>
        <v>404142.79</v>
      </c>
      <c r="N2288" s="11">
        <f t="shared" si="109"/>
        <v>12</v>
      </c>
    </row>
    <row r="2289" spans="1:14" x14ac:dyDescent="0.25">
      <c r="A2289" s="11" t="s">
        <v>0</v>
      </c>
      <c r="B2289" s="12">
        <v>45271</v>
      </c>
      <c r="C2289" s="11" t="s">
        <v>688</v>
      </c>
      <c r="D2289" s="11" t="s">
        <v>692</v>
      </c>
      <c r="E2289" s="13" t="s">
        <v>717</v>
      </c>
      <c r="F2289" s="14" t="s">
        <v>76</v>
      </c>
      <c r="G2289" s="14" t="s">
        <v>404</v>
      </c>
      <c r="H2289" s="15">
        <v>1233044</v>
      </c>
      <c r="I2289" s="11">
        <f t="shared" si="111"/>
        <v>5</v>
      </c>
      <c r="K2289" s="16">
        <v>971.56</v>
      </c>
      <c r="M2289" s="17">
        <f t="shared" si="108"/>
        <v>403171.23</v>
      </c>
      <c r="N2289" s="11">
        <f t="shared" si="109"/>
        <v>12</v>
      </c>
    </row>
    <row r="2290" spans="1:14" x14ac:dyDescent="0.25">
      <c r="A2290" s="11" t="s">
        <v>0</v>
      </c>
      <c r="B2290" s="12">
        <v>45271</v>
      </c>
      <c r="C2290" s="11" t="s">
        <v>688</v>
      </c>
      <c r="D2290" s="11" t="s">
        <v>692</v>
      </c>
      <c r="E2290" s="13" t="s">
        <v>730</v>
      </c>
      <c r="F2290" s="14" t="s">
        <v>34</v>
      </c>
      <c r="G2290" s="14" t="s">
        <v>404</v>
      </c>
      <c r="H2290" s="15">
        <v>11444</v>
      </c>
      <c r="I2290" s="11">
        <f t="shared" si="111"/>
        <v>5</v>
      </c>
      <c r="K2290" s="16">
        <v>2638.68</v>
      </c>
      <c r="M2290" s="17">
        <f t="shared" si="108"/>
        <v>400532.55</v>
      </c>
      <c r="N2290" s="11">
        <f t="shared" si="109"/>
        <v>12</v>
      </c>
    </row>
    <row r="2291" spans="1:14" x14ac:dyDescent="0.25">
      <c r="A2291" s="11" t="s">
        <v>0</v>
      </c>
      <c r="B2291" s="12">
        <v>45271</v>
      </c>
      <c r="C2291" s="11" t="s">
        <v>688</v>
      </c>
      <c r="D2291" s="11" t="s">
        <v>699</v>
      </c>
      <c r="E2291" s="13" t="s">
        <v>98</v>
      </c>
      <c r="F2291" s="14" t="s">
        <v>206</v>
      </c>
      <c r="G2291" s="14" t="s">
        <v>404</v>
      </c>
      <c r="H2291" s="15" t="s">
        <v>437</v>
      </c>
      <c r="I2291" s="11">
        <f t="shared" si="111"/>
        <v>5</v>
      </c>
      <c r="K2291" s="16">
        <v>233.18</v>
      </c>
      <c r="M2291" s="17">
        <f t="shared" si="108"/>
        <v>400299.37</v>
      </c>
      <c r="N2291" s="11">
        <f t="shared" si="109"/>
        <v>12</v>
      </c>
    </row>
    <row r="2292" spans="1:14" x14ac:dyDescent="0.25">
      <c r="A2292" s="11" t="s">
        <v>0</v>
      </c>
      <c r="B2292" s="12">
        <v>45272</v>
      </c>
      <c r="C2292" s="11" t="s">
        <v>688</v>
      </c>
      <c r="D2292" s="11" t="s">
        <v>47</v>
      </c>
      <c r="E2292" s="13" t="s">
        <v>583</v>
      </c>
      <c r="F2292" s="14" t="s">
        <v>799</v>
      </c>
      <c r="G2292" s="14" t="s">
        <v>407</v>
      </c>
      <c r="H2292" s="15" t="s">
        <v>426</v>
      </c>
      <c r="I2292" s="11">
        <f t="shared" si="111"/>
        <v>4</v>
      </c>
      <c r="J2292" s="233"/>
      <c r="K2292" s="233">
        <v>360</v>
      </c>
      <c r="M2292" s="17">
        <f t="shared" si="108"/>
        <v>399939.37</v>
      </c>
      <c r="N2292" s="11">
        <f t="shared" si="109"/>
        <v>12</v>
      </c>
    </row>
    <row r="2293" spans="1:14" x14ac:dyDescent="0.25">
      <c r="A2293" s="11" t="s">
        <v>0</v>
      </c>
      <c r="B2293" s="12">
        <v>45272</v>
      </c>
      <c r="C2293" s="11" t="s">
        <v>688</v>
      </c>
      <c r="D2293" s="11" t="s">
        <v>700</v>
      </c>
      <c r="E2293" s="13" t="s">
        <v>797</v>
      </c>
      <c r="F2293" s="14" t="s">
        <v>798</v>
      </c>
      <c r="G2293" s="14" t="s">
        <v>407</v>
      </c>
      <c r="H2293" s="15" t="s">
        <v>426</v>
      </c>
      <c r="I2293" s="11">
        <f t="shared" si="111"/>
        <v>4</v>
      </c>
      <c r="J2293" s="233"/>
      <c r="K2293" s="233">
        <v>1100</v>
      </c>
      <c r="M2293" s="17">
        <f t="shared" si="108"/>
        <v>398839.37</v>
      </c>
      <c r="N2293" s="11">
        <f t="shared" si="109"/>
        <v>12</v>
      </c>
    </row>
    <row r="2294" spans="1:14" x14ac:dyDescent="0.25">
      <c r="A2294" s="11" t="s">
        <v>207</v>
      </c>
      <c r="B2294" s="12">
        <v>45272</v>
      </c>
      <c r="C2294" s="11" t="s">
        <v>688</v>
      </c>
      <c r="D2294" s="11" t="s">
        <v>43</v>
      </c>
      <c r="E2294" s="13" t="s">
        <v>80</v>
      </c>
      <c r="F2294" s="14" t="s">
        <v>79</v>
      </c>
      <c r="G2294" s="14" t="s">
        <v>400</v>
      </c>
      <c r="I2294" s="11">
        <f t="shared" si="111"/>
        <v>2</v>
      </c>
      <c r="J2294" s="16">
        <v>1851.96</v>
      </c>
      <c r="M2294" s="17">
        <f t="shared" si="108"/>
        <v>400691.33</v>
      </c>
      <c r="N2294" s="11">
        <f t="shared" si="109"/>
        <v>12</v>
      </c>
    </row>
    <row r="2295" spans="1:14" x14ac:dyDescent="0.25">
      <c r="A2295" s="11" t="s">
        <v>207</v>
      </c>
      <c r="B2295" s="12">
        <v>45272</v>
      </c>
      <c r="C2295" s="11" t="s">
        <v>688</v>
      </c>
      <c r="D2295" s="11" t="s">
        <v>43</v>
      </c>
      <c r="E2295" s="13" t="s">
        <v>81</v>
      </c>
      <c r="F2295" s="14" t="s">
        <v>79</v>
      </c>
      <c r="G2295" s="14" t="s">
        <v>400</v>
      </c>
      <c r="I2295" s="11">
        <f t="shared" si="111"/>
        <v>2</v>
      </c>
      <c r="J2295" s="16">
        <v>2698.71</v>
      </c>
      <c r="M2295" s="17">
        <f t="shared" si="108"/>
        <v>403390.04000000004</v>
      </c>
      <c r="N2295" s="11">
        <f t="shared" si="109"/>
        <v>12</v>
      </c>
    </row>
    <row r="2296" spans="1:14" x14ac:dyDescent="0.25">
      <c r="A2296" s="11" t="s">
        <v>207</v>
      </c>
      <c r="B2296" s="12">
        <v>45272</v>
      </c>
      <c r="C2296" s="11" t="s">
        <v>688</v>
      </c>
      <c r="D2296" s="11" t="s">
        <v>43</v>
      </c>
      <c r="E2296" s="13" t="s">
        <v>288</v>
      </c>
      <c r="F2296" s="14" t="s">
        <v>288</v>
      </c>
      <c r="G2296" s="14" t="s">
        <v>173</v>
      </c>
      <c r="I2296" s="11">
        <f t="shared" si="111"/>
        <v>3</v>
      </c>
      <c r="J2296" s="16">
        <v>6.65</v>
      </c>
      <c r="M2296" s="17">
        <f t="shared" si="108"/>
        <v>403396.69000000006</v>
      </c>
      <c r="N2296" s="11">
        <f t="shared" si="109"/>
        <v>12</v>
      </c>
    </row>
    <row r="2297" spans="1:14" x14ac:dyDescent="0.25">
      <c r="A2297" s="11" t="s">
        <v>207</v>
      </c>
      <c r="B2297" s="12">
        <v>45272</v>
      </c>
      <c r="C2297" s="11" t="s">
        <v>688</v>
      </c>
      <c r="D2297" s="11" t="s">
        <v>43</v>
      </c>
      <c r="E2297" s="13" t="s">
        <v>83</v>
      </c>
      <c r="F2297" s="14" t="s">
        <v>79</v>
      </c>
      <c r="G2297" s="14" t="s">
        <v>400</v>
      </c>
      <c r="I2297" s="11">
        <f t="shared" si="111"/>
        <v>2</v>
      </c>
      <c r="J2297" s="16">
        <v>117.58</v>
      </c>
      <c r="M2297" s="17">
        <f t="shared" si="108"/>
        <v>403514.27000000008</v>
      </c>
      <c r="N2297" s="11">
        <f t="shared" si="109"/>
        <v>12</v>
      </c>
    </row>
    <row r="2298" spans="1:14" x14ac:dyDescent="0.25">
      <c r="A2298" s="11" t="s">
        <v>207</v>
      </c>
      <c r="B2298" s="12">
        <v>45272</v>
      </c>
      <c r="C2298" s="11" t="s">
        <v>688</v>
      </c>
      <c r="D2298" s="11" t="s">
        <v>43</v>
      </c>
      <c r="E2298" s="13" t="s">
        <v>381</v>
      </c>
      <c r="F2298" s="14" t="s">
        <v>363</v>
      </c>
      <c r="G2298" s="14" t="s">
        <v>400</v>
      </c>
      <c r="I2298" s="11">
        <f t="shared" si="111"/>
        <v>2</v>
      </c>
      <c r="J2298" s="16">
        <v>132.57</v>
      </c>
      <c r="M2298" s="17">
        <f t="shared" si="108"/>
        <v>403646.84000000008</v>
      </c>
      <c r="N2298" s="11">
        <f t="shared" si="109"/>
        <v>12</v>
      </c>
    </row>
    <row r="2299" spans="1:14" x14ac:dyDescent="0.25">
      <c r="A2299" s="11" t="s">
        <v>207</v>
      </c>
      <c r="B2299" s="12">
        <v>45272</v>
      </c>
      <c r="C2299" s="11" t="s">
        <v>688</v>
      </c>
      <c r="D2299" s="11" t="s">
        <v>43</v>
      </c>
      <c r="E2299" s="13" t="s">
        <v>382</v>
      </c>
      <c r="F2299" s="14" t="s">
        <v>13</v>
      </c>
      <c r="G2299" s="14" t="s">
        <v>400</v>
      </c>
      <c r="I2299" s="11">
        <f t="shared" si="111"/>
        <v>2</v>
      </c>
      <c r="J2299" s="16">
        <v>204.86</v>
      </c>
      <c r="M2299" s="17">
        <f t="shared" si="108"/>
        <v>403851.70000000007</v>
      </c>
      <c r="N2299" s="11">
        <f t="shared" si="109"/>
        <v>12</v>
      </c>
    </row>
    <row r="2300" spans="1:14" x14ac:dyDescent="0.25">
      <c r="A2300" s="11" t="s">
        <v>207</v>
      </c>
      <c r="B2300" s="12">
        <v>45272</v>
      </c>
      <c r="C2300" s="11" t="s">
        <v>688</v>
      </c>
      <c r="D2300" s="11" t="s">
        <v>43</v>
      </c>
      <c r="E2300" s="13" t="s">
        <v>382</v>
      </c>
      <c r="F2300" s="14" t="s">
        <v>13</v>
      </c>
      <c r="G2300" s="14" t="s">
        <v>400</v>
      </c>
      <c r="I2300" s="11">
        <f t="shared" ref="I2300:I2333" si="112">IF(AND(G2300="MERCADO PAGO",A2300="FATURAMENTO"),1,IF(AND(OR(G2300="MERCADO PAGO",G2300="pix mercado pago",G2300= "débito automático mercado pago", G2300= "boleto mercado pago"),A2300="DESPESAS"),4,IF(AND(G2300="SAFRA",A2300="FATURAMENTO"),2,IF(AND(OR(G2300="SAFRA",G2300="PIX SAFRA", G2300="DÉBITO AUTOMÁTICO SAFRA", G2300= "BOLETO SAFRA", G2300= "transferência safra"), A2300="DESPESAS"),5,IF(AND(G2300="espécie",A2300="FATURAMENTO"),3,IF(AND(G2300="espécie",A2300="DESPESAS"),6))))))</f>
        <v>2</v>
      </c>
      <c r="J2300" s="16">
        <v>51.17</v>
      </c>
      <c r="M2300" s="17">
        <f t="shared" si="108"/>
        <v>403902.87000000005</v>
      </c>
      <c r="N2300" s="11">
        <f t="shared" si="109"/>
        <v>12</v>
      </c>
    </row>
    <row r="2301" spans="1:14" x14ac:dyDescent="0.25">
      <c r="A2301" s="11" t="s">
        <v>207</v>
      </c>
      <c r="B2301" s="12">
        <v>45272</v>
      </c>
      <c r="C2301" s="11" t="s">
        <v>688</v>
      </c>
      <c r="D2301" s="11" t="s">
        <v>43</v>
      </c>
      <c r="E2301" s="13" t="s">
        <v>382</v>
      </c>
      <c r="F2301" s="14" t="s">
        <v>13</v>
      </c>
      <c r="G2301" s="14" t="s">
        <v>400</v>
      </c>
      <c r="I2301" s="11">
        <f t="shared" si="112"/>
        <v>2</v>
      </c>
      <c r="J2301" s="16">
        <v>68.98</v>
      </c>
      <c r="M2301" s="17">
        <f t="shared" si="108"/>
        <v>403971.85000000003</v>
      </c>
      <c r="N2301" s="11">
        <f t="shared" si="109"/>
        <v>12</v>
      </c>
    </row>
    <row r="2302" spans="1:14" x14ac:dyDescent="0.25">
      <c r="A2302" s="11" t="s">
        <v>207</v>
      </c>
      <c r="B2302" s="12">
        <v>45272</v>
      </c>
      <c r="C2302" s="11" t="s">
        <v>688</v>
      </c>
      <c r="D2302" s="11" t="s">
        <v>43</v>
      </c>
      <c r="E2302" s="13" t="s">
        <v>382</v>
      </c>
      <c r="F2302" s="14" t="s">
        <v>13</v>
      </c>
      <c r="G2302" s="14" t="s">
        <v>400</v>
      </c>
      <c r="I2302" s="11">
        <f t="shared" si="112"/>
        <v>2</v>
      </c>
      <c r="J2302" s="16">
        <v>206.52</v>
      </c>
      <c r="M2302" s="17">
        <f t="shared" si="108"/>
        <v>404178.37000000005</v>
      </c>
      <c r="N2302" s="11">
        <f t="shared" si="109"/>
        <v>12</v>
      </c>
    </row>
    <row r="2303" spans="1:14" x14ac:dyDescent="0.25">
      <c r="A2303" s="11" t="s">
        <v>207</v>
      </c>
      <c r="B2303" s="12">
        <v>45272</v>
      </c>
      <c r="C2303" s="11" t="s">
        <v>688</v>
      </c>
      <c r="D2303" s="11" t="s">
        <v>43</v>
      </c>
      <c r="E2303" s="13" t="s">
        <v>580</v>
      </c>
      <c r="F2303" s="14" t="s">
        <v>580</v>
      </c>
      <c r="G2303" s="14" t="s">
        <v>400</v>
      </c>
      <c r="I2303" s="11">
        <f t="shared" si="112"/>
        <v>2</v>
      </c>
      <c r="J2303" s="16">
        <v>347.74</v>
      </c>
      <c r="M2303" s="17">
        <f t="shared" si="108"/>
        <v>404526.11000000004</v>
      </c>
      <c r="N2303" s="11">
        <f t="shared" si="109"/>
        <v>12</v>
      </c>
    </row>
    <row r="2304" spans="1:14" x14ac:dyDescent="0.25">
      <c r="A2304" s="11" t="s">
        <v>0</v>
      </c>
      <c r="B2304" s="12">
        <v>45272</v>
      </c>
      <c r="C2304" s="11" t="s">
        <v>688</v>
      </c>
      <c r="D2304" s="11" t="s">
        <v>694</v>
      </c>
      <c r="E2304" s="13" t="s">
        <v>182</v>
      </c>
      <c r="F2304" s="14" t="s">
        <v>365</v>
      </c>
      <c r="G2304" s="14" t="s">
        <v>402</v>
      </c>
      <c r="H2304" s="15" t="s">
        <v>20</v>
      </c>
      <c r="I2304" s="11">
        <f t="shared" si="112"/>
        <v>5</v>
      </c>
      <c r="K2304" s="16">
        <v>3.88</v>
      </c>
      <c r="M2304" s="17">
        <f t="shared" si="108"/>
        <v>404522.23000000004</v>
      </c>
      <c r="N2304" s="11">
        <f t="shared" si="109"/>
        <v>12</v>
      </c>
    </row>
    <row r="2305" spans="1:14" x14ac:dyDescent="0.25">
      <c r="A2305" s="11" t="s">
        <v>0</v>
      </c>
      <c r="B2305" s="12">
        <v>45272</v>
      </c>
      <c r="C2305" s="11" t="s">
        <v>688</v>
      </c>
      <c r="D2305" s="11" t="s">
        <v>694</v>
      </c>
      <c r="E2305" s="13" t="s">
        <v>182</v>
      </c>
      <c r="F2305" s="14" t="s">
        <v>23</v>
      </c>
      <c r="G2305" s="14" t="s">
        <v>402</v>
      </c>
      <c r="H2305" s="15" t="s">
        <v>20</v>
      </c>
      <c r="I2305" s="11">
        <f t="shared" si="112"/>
        <v>5</v>
      </c>
      <c r="K2305" s="16">
        <v>21.77</v>
      </c>
      <c r="M2305" s="17">
        <f t="shared" si="108"/>
        <v>404500.46</v>
      </c>
      <c r="N2305" s="11">
        <f t="shared" si="109"/>
        <v>12</v>
      </c>
    </row>
    <row r="2306" spans="1:14" x14ac:dyDescent="0.25">
      <c r="A2306" s="11" t="s">
        <v>0</v>
      </c>
      <c r="B2306" s="12">
        <v>45272</v>
      </c>
      <c r="C2306" s="11" t="s">
        <v>688</v>
      </c>
      <c r="D2306" s="11" t="s">
        <v>692</v>
      </c>
      <c r="E2306" s="13" t="s">
        <v>143</v>
      </c>
      <c r="F2306" s="14" t="s">
        <v>36</v>
      </c>
      <c r="G2306" s="14" t="s">
        <v>403</v>
      </c>
      <c r="H2306" s="15">
        <v>228638</v>
      </c>
      <c r="I2306" s="11">
        <f t="shared" si="112"/>
        <v>5</v>
      </c>
      <c r="K2306" s="16">
        <v>244.7</v>
      </c>
      <c r="M2306" s="17">
        <f t="shared" si="108"/>
        <v>404255.76</v>
      </c>
      <c r="N2306" s="11">
        <f t="shared" si="109"/>
        <v>12</v>
      </c>
    </row>
    <row r="2307" spans="1:14" x14ac:dyDescent="0.25">
      <c r="A2307" s="11" t="s">
        <v>207</v>
      </c>
      <c r="B2307" s="12">
        <v>45272</v>
      </c>
      <c r="C2307" s="11" t="s">
        <v>688</v>
      </c>
      <c r="D2307" s="11" t="s">
        <v>43</v>
      </c>
      <c r="E2307" s="13">
        <v>45272</v>
      </c>
      <c r="F2307" s="14" t="s">
        <v>472</v>
      </c>
      <c r="G2307" s="14" t="s">
        <v>400</v>
      </c>
      <c r="I2307" s="11">
        <f t="shared" si="112"/>
        <v>2</v>
      </c>
      <c r="J2307" s="16">
        <v>569.54999999999995</v>
      </c>
      <c r="M2307" s="17">
        <f t="shared" ref="M2307:M2370" si="113">IF(B2307=0, "",M2306+ J2307-K2307)</f>
        <v>404825.31</v>
      </c>
      <c r="N2307" s="11">
        <f t="shared" ref="N2307:N2370" si="114">IF(B2307=0, "", MONTH(B2307))</f>
        <v>12</v>
      </c>
    </row>
    <row r="2308" spans="1:14" x14ac:dyDescent="0.25">
      <c r="A2308" s="11" t="s">
        <v>0</v>
      </c>
      <c r="B2308" s="12">
        <v>45272</v>
      </c>
      <c r="C2308" s="11" t="s">
        <v>688</v>
      </c>
      <c r="D2308" s="11" t="s">
        <v>701</v>
      </c>
      <c r="E2308" s="13" t="s">
        <v>180</v>
      </c>
      <c r="F2308" s="14" t="s">
        <v>37</v>
      </c>
      <c r="G2308" s="14" t="s">
        <v>404</v>
      </c>
      <c r="H2308" s="15" t="s">
        <v>102</v>
      </c>
      <c r="I2308" s="11">
        <f t="shared" si="112"/>
        <v>5</v>
      </c>
      <c r="K2308" s="16">
        <v>401.8</v>
      </c>
      <c r="M2308" s="17">
        <f t="shared" si="113"/>
        <v>404423.51</v>
      </c>
      <c r="N2308" s="11">
        <f t="shared" si="114"/>
        <v>12</v>
      </c>
    </row>
    <row r="2309" spans="1:14" x14ac:dyDescent="0.25">
      <c r="A2309" s="11" t="s">
        <v>0</v>
      </c>
      <c r="B2309" s="12">
        <v>45272</v>
      </c>
      <c r="C2309" s="11" t="s">
        <v>688</v>
      </c>
      <c r="D2309" s="11" t="s">
        <v>47</v>
      </c>
      <c r="E2309" s="13" t="s">
        <v>387</v>
      </c>
      <c r="F2309" s="14" t="s">
        <v>474</v>
      </c>
      <c r="G2309" s="14" t="s">
        <v>404</v>
      </c>
      <c r="H2309" s="15">
        <v>11</v>
      </c>
      <c r="I2309" s="11">
        <f t="shared" si="112"/>
        <v>5</v>
      </c>
      <c r="K2309" s="16">
        <v>300</v>
      </c>
      <c r="M2309" s="17">
        <f t="shared" si="113"/>
        <v>404123.51</v>
      </c>
      <c r="N2309" s="11">
        <f t="shared" si="114"/>
        <v>12</v>
      </c>
    </row>
    <row r="2310" spans="1:14" x14ac:dyDescent="0.25">
      <c r="A2310" s="11" t="s">
        <v>0</v>
      </c>
      <c r="B2310" s="12">
        <v>45272</v>
      </c>
      <c r="C2310" s="11" t="s">
        <v>688</v>
      </c>
      <c r="D2310" s="11" t="s">
        <v>698</v>
      </c>
      <c r="E2310" s="13" t="s">
        <v>392</v>
      </c>
      <c r="F2310" s="14" t="s">
        <v>393</v>
      </c>
      <c r="G2310" s="14" t="s">
        <v>404</v>
      </c>
      <c r="H2310" s="15">
        <v>756</v>
      </c>
      <c r="I2310" s="11">
        <f t="shared" si="112"/>
        <v>5</v>
      </c>
      <c r="K2310" s="16">
        <v>12.5</v>
      </c>
      <c r="M2310" s="17">
        <f t="shared" si="113"/>
        <v>404111.01</v>
      </c>
      <c r="N2310" s="11">
        <f t="shared" si="114"/>
        <v>12</v>
      </c>
    </row>
    <row r="2311" spans="1:14" x14ac:dyDescent="0.25">
      <c r="A2311" s="11" t="s">
        <v>0</v>
      </c>
      <c r="B2311" s="12">
        <v>45272</v>
      </c>
      <c r="C2311" s="11" t="s">
        <v>688</v>
      </c>
      <c r="D2311" s="11" t="s">
        <v>692</v>
      </c>
      <c r="E2311" s="13" t="s">
        <v>179</v>
      </c>
      <c r="F2311" s="14" t="s">
        <v>378</v>
      </c>
      <c r="G2311" s="14" t="s">
        <v>404</v>
      </c>
      <c r="H2311" s="15">
        <v>16</v>
      </c>
      <c r="I2311" s="11">
        <f t="shared" si="112"/>
        <v>5</v>
      </c>
      <c r="K2311" s="16">
        <v>1236</v>
      </c>
      <c r="M2311" s="17">
        <f t="shared" si="113"/>
        <v>402875.01</v>
      </c>
      <c r="N2311" s="11">
        <f t="shared" si="114"/>
        <v>12</v>
      </c>
    </row>
    <row r="2312" spans="1:14" x14ac:dyDescent="0.25">
      <c r="A2312" s="11" t="s">
        <v>0</v>
      </c>
      <c r="B2312" s="12">
        <v>45272</v>
      </c>
      <c r="C2312" s="11" t="s">
        <v>688</v>
      </c>
      <c r="D2312" s="11" t="s">
        <v>47</v>
      </c>
      <c r="E2312" s="13" t="s">
        <v>582</v>
      </c>
      <c r="F2312" s="14" t="s">
        <v>581</v>
      </c>
      <c r="G2312" s="14" t="s">
        <v>404</v>
      </c>
      <c r="H2312" s="15">
        <v>1770</v>
      </c>
      <c r="I2312" s="11">
        <f t="shared" si="112"/>
        <v>5</v>
      </c>
      <c r="K2312" s="16">
        <v>64.400000000000006</v>
      </c>
      <c r="M2312" s="17">
        <f t="shared" si="113"/>
        <v>402810.61</v>
      </c>
      <c r="N2312" s="11">
        <f t="shared" si="114"/>
        <v>12</v>
      </c>
    </row>
    <row r="2313" spans="1:14" x14ac:dyDescent="0.25">
      <c r="A2313" s="11" t="s">
        <v>0</v>
      </c>
      <c r="B2313" s="12">
        <v>45272</v>
      </c>
      <c r="C2313" s="11" t="s">
        <v>688</v>
      </c>
      <c r="D2313" s="11" t="s">
        <v>47</v>
      </c>
      <c r="E2313" s="13" t="s">
        <v>583</v>
      </c>
      <c r="F2313" s="14" t="s">
        <v>269</v>
      </c>
      <c r="G2313" s="14" t="s">
        <v>404</v>
      </c>
      <c r="H2313" s="15">
        <v>3275</v>
      </c>
      <c r="I2313" s="11">
        <f t="shared" si="112"/>
        <v>5</v>
      </c>
      <c r="K2313" s="16">
        <v>499.95</v>
      </c>
      <c r="M2313" s="17">
        <f t="shared" si="113"/>
        <v>402310.66</v>
      </c>
      <c r="N2313" s="11">
        <f t="shared" si="114"/>
        <v>12</v>
      </c>
    </row>
    <row r="2314" spans="1:14" x14ac:dyDescent="0.25">
      <c r="A2314" s="11" t="s">
        <v>0</v>
      </c>
      <c r="B2314" s="12">
        <v>45272</v>
      </c>
      <c r="C2314" s="11" t="s">
        <v>688</v>
      </c>
      <c r="D2314" s="11" t="s">
        <v>692</v>
      </c>
      <c r="E2314" s="13" t="s">
        <v>725</v>
      </c>
      <c r="F2314" s="14" t="s">
        <v>27</v>
      </c>
      <c r="G2314" s="14" t="s">
        <v>404</v>
      </c>
      <c r="H2314" s="15">
        <v>14763</v>
      </c>
      <c r="I2314" s="11">
        <f t="shared" si="112"/>
        <v>5</v>
      </c>
      <c r="K2314" s="16">
        <v>693.92</v>
      </c>
      <c r="M2314" s="17">
        <f t="shared" si="113"/>
        <v>401616.74</v>
      </c>
      <c r="N2314" s="11">
        <f t="shared" si="114"/>
        <v>12</v>
      </c>
    </row>
    <row r="2315" spans="1:14" x14ac:dyDescent="0.25">
      <c r="A2315" s="11" t="s">
        <v>0</v>
      </c>
      <c r="B2315" s="12">
        <v>45272</v>
      </c>
      <c r="C2315" s="11" t="s">
        <v>688</v>
      </c>
      <c r="D2315" s="11" t="s">
        <v>700</v>
      </c>
      <c r="E2315" s="13" t="s">
        <v>536</v>
      </c>
      <c r="F2315" s="14" t="s">
        <v>35</v>
      </c>
      <c r="G2315" s="14" t="s">
        <v>404</v>
      </c>
      <c r="H2315" s="15">
        <v>21790</v>
      </c>
      <c r="I2315" s="11">
        <f t="shared" si="112"/>
        <v>5</v>
      </c>
      <c r="K2315" s="16">
        <v>347.74</v>
      </c>
      <c r="M2315" s="17">
        <f t="shared" si="113"/>
        <v>401269</v>
      </c>
      <c r="N2315" s="11">
        <f t="shared" si="114"/>
        <v>12</v>
      </c>
    </row>
    <row r="2316" spans="1:14" x14ac:dyDescent="0.25">
      <c r="A2316" s="11" t="s">
        <v>0</v>
      </c>
      <c r="B2316" s="12">
        <v>45272</v>
      </c>
      <c r="C2316" s="11" t="s">
        <v>688</v>
      </c>
      <c r="D2316" s="11" t="s">
        <v>700</v>
      </c>
      <c r="E2316" s="13" t="s">
        <v>536</v>
      </c>
      <c r="F2316" s="14" t="s">
        <v>35</v>
      </c>
      <c r="G2316" s="14" t="s">
        <v>404</v>
      </c>
      <c r="H2316" s="15" t="s">
        <v>437</v>
      </c>
      <c r="I2316" s="11">
        <f t="shared" si="112"/>
        <v>5</v>
      </c>
      <c r="K2316" s="16">
        <v>716.32</v>
      </c>
      <c r="M2316" s="17">
        <f t="shared" si="113"/>
        <v>400552.68</v>
      </c>
      <c r="N2316" s="11">
        <f t="shared" si="114"/>
        <v>12</v>
      </c>
    </row>
    <row r="2317" spans="1:14" x14ac:dyDescent="0.25">
      <c r="A2317" s="11" t="s">
        <v>0</v>
      </c>
      <c r="B2317" s="12">
        <v>45272</v>
      </c>
      <c r="C2317" s="11" t="s">
        <v>688</v>
      </c>
      <c r="D2317" s="11" t="s">
        <v>47</v>
      </c>
      <c r="E2317" s="13" t="s">
        <v>584</v>
      </c>
      <c r="F2317" s="14" t="s">
        <v>35</v>
      </c>
      <c r="G2317" s="14" t="s">
        <v>404</v>
      </c>
      <c r="H2317" s="15" t="s">
        <v>437</v>
      </c>
      <c r="I2317" s="11">
        <f t="shared" si="112"/>
        <v>5</v>
      </c>
      <c r="K2317" s="16">
        <v>1599.6</v>
      </c>
      <c r="M2317" s="17">
        <f t="shared" si="113"/>
        <v>398953.08</v>
      </c>
      <c r="N2317" s="11">
        <f t="shared" si="114"/>
        <v>12</v>
      </c>
    </row>
    <row r="2318" spans="1:14" x14ac:dyDescent="0.25">
      <c r="A2318" s="11" t="s">
        <v>0</v>
      </c>
      <c r="B2318" s="12">
        <v>45273</v>
      </c>
      <c r="C2318" s="11" t="s">
        <v>688</v>
      </c>
      <c r="D2318" s="11" t="s">
        <v>47</v>
      </c>
      <c r="E2318" s="13" t="s">
        <v>836</v>
      </c>
      <c r="F2318" s="14" t="s">
        <v>837</v>
      </c>
      <c r="G2318" s="14" t="s">
        <v>407</v>
      </c>
      <c r="H2318" s="15" t="s">
        <v>426</v>
      </c>
      <c r="I2318" s="11">
        <f t="shared" si="112"/>
        <v>4</v>
      </c>
      <c r="K2318" s="16">
        <v>450</v>
      </c>
      <c r="M2318" s="17">
        <f t="shared" si="113"/>
        <v>398503.08</v>
      </c>
      <c r="N2318" s="11">
        <f t="shared" si="114"/>
        <v>12</v>
      </c>
    </row>
    <row r="2319" spans="1:14" x14ac:dyDescent="0.25">
      <c r="A2319" s="11" t="s">
        <v>0</v>
      </c>
      <c r="B2319" s="12">
        <v>45273</v>
      </c>
      <c r="C2319" s="11" t="s">
        <v>688</v>
      </c>
      <c r="D2319" s="11" t="s">
        <v>701</v>
      </c>
      <c r="E2319" s="13" t="s">
        <v>800</v>
      </c>
      <c r="F2319" s="14" t="s">
        <v>801</v>
      </c>
      <c r="G2319" s="14" t="s">
        <v>407</v>
      </c>
      <c r="H2319" s="15" t="s">
        <v>426</v>
      </c>
      <c r="I2319" s="11">
        <f t="shared" si="112"/>
        <v>4</v>
      </c>
      <c r="J2319" s="233"/>
      <c r="K2319" s="233">
        <v>40</v>
      </c>
      <c r="M2319" s="17">
        <f t="shared" si="113"/>
        <v>398463.08</v>
      </c>
      <c r="N2319" s="11">
        <f t="shared" si="114"/>
        <v>12</v>
      </c>
    </row>
    <row r="2320" spans="1:14" x14ac:dyDescent="0.25">
      <c r="A2320" s="11" t="s">
        <v>207</v>
      </c>
      <c r="B2320" s="12">
        <v>45273</v>
      </c>
      <c r="C2320" s="11" t="s">
        <v>688</v>
      </c>
      <c r="D2320" s="11" t="s">
        <v>43</v>
      </c>
      <c r="E2320" s="13" t="s">
        <v>288</v>
      </c>
      <c r="F2320" s="14" t="s">
        <v>288</v>
      </c>
      <c r="G2320" s="14" t="s">
        <v>173</v>
      </c>
      <c r="I2320" s="11">
        <f t="shared" si="112"/>
        <v>3</v>
      </c>
      <c r="J2320" s="16">
        <v>610</v>
      </c>
      <c r="M2320" s="17">
        <f t="shared" si="113"/>
        <v>399073.08</v>
      </c>
      <c r="N2320" s="11">
        <f t="shared" si="114"/>
        <v>12</v>
      </c>
    </row>
    <row r="2321" spans="1:14" x14ac:dyDescent="0.25">
      <c r="A2321" s="11" t="s">
        <v>207</v>
      </c>
      <c r="B2321" s="12">
        <v>45273</v>
      </c>
      <c r="C2321" s="11" t="s">
        <v>688</v>
      </c>
      <c r="D2321" s="11" t="s">
        <v>43</v>
      </c>
      <c r="E2321" s="14" t="s">
        <v>429</v>
      </c>
      <c r="F2321" s="14" t="s">
        <v>429</v>
      </c>
      <c r="G2321" s="14" t="s">
        <v>428</v>
      </c>
      <c r="I2321" s="11">
        <f t="shared" si="112"/>
        <v>1</v>
      </c>
      <c r="J2321" s="16">
        <v>1971</v>
      </c>
      <c r="M2321" s="17">
        <f t="shared" si="113"/>
        <v>401044.08</v>
      </c>
      <c r="N2321" s="11">
        <f t="shared" si="114"/>
        <v>12</v>
      </c>
    </row>
    <row r="2322" spans="1:14" x14ac:dyDescent="0.25">
      <c r="A2322" s="11" t="s">
        <v>207</v>
      </c>
      <c r="B2322" s="12">
        <v>45273</v>
      </c>
      <c r="C2322" s="11" t="s">
        <v>688</v>
      </c>
      <c r="D2322" s="11" t="s">
        <v>43</v>
      </c>
      <c r="E2322" s="13" t="s">
        <v>382</v>
      </c>
      <c r="F2322" s="14" t="s">
        <v>13</v>
      </c>
      <c r="G2322" s="14" t="s">
        <v>400</v>
      </c>
      <c r="I2322" s="11">
        <f t="shared" si="112"/>
        <v>2</v>
      </c>
      <c r="J2322" s="16">
        <v>367.42</v>
      </c>
      <c r="M2322" s="17">
        <f t="shared" si="113"/>
        <v>401411.5</v>
      </c>
      <c r="N2322" s="11">
        <f t="shared" si="114"/>
        <v>12</v>
      </c>
    </row>
    <row r="2323" spans="1:14" x14ac:dyDescent="0.25">
      <c r="A2323" s="11" t="s">
        <v>207</v>
      </c>
      <c r="B2323" s="12">
        <v>45273</v>
      </c>
      <c r="C2323" s="11" t="s">
        <v>688</v>
      </c>
      <c r="D2323" s="11" t="s">
        <v>43</v>
      </c>
      <c r="E2323" s="13" t="s">
        <v>382</v>
      </c>
      <c r="F2323" s="14" t="s">
        <v>13</v>
      </c>
      <c r="G2323" s="14" t="s">
        <v>400</v>
      </c>
      <c r="I2323" s="11">
        <f t="shared" si="112"/>
        <v>2</v>
      </c>
      <c r="J2323" s="16">
        <v>686.62</v>
      </c>
      <c r="M2323" s="17">
        <f t="shared" si="113"/>
        <v>402098.12</v>
      </c>
      <c r="N2323" s="11">
        <f t="shared" si="114"/>
        <v>12</v>
      </c>
    </row>
    <row r="2324" spans="1:14" x14ac:dyDescent="0.25">
      <c r="A2324" s="11" t="s">
        <v>207</v>
      </c>
      <c r="B2324" s="12">
        <v>45273</v>
      </c>
      <c r="C2324" s="11" t="s">
        <v>688</v>
      </c>
      <c r="D2324" s="11" t="s">
        <v>43</v>
      </c>
      <c r="E2324" s="13" t="s">
        <v>382</v>
      </c>
      <c r="F2324" s="14" t="s">
        <v>13</v>
      </c>
      <c r="G2324" s="14" t="s">
        <v>400</v>
      </c>
      <c r="I2324" s="11">
        <f t="shared" si="112"/>
        <v>2</v>
      </c>
      <c r="J2324" s="16">
        <v>91.95</v>
      </c>
      <c r="M2324" s="17">
        <f t="shared" si="113"/>
        <v>402190.07</v>
      </c>
      <c r="N2324" s="11">
        <f t="shared" si="114"/>
        <v>12</v>
      </c>
    </row>
    <row r="2325" spans="1:14" x14ac:dyDescent="0.25">
      <c r="A2325" s="11" t="s">
        <v>207</v>
      </c>
      <c r="B2325" s="12">
        <v>45273</v>
      </c>
      <c r="C2325" s="11" t="s">
        <v>688</v>
      </c>
      <c r="D2325" s="11" t="s">
        <v>43</v>
      </c>
      <c r="E2325" s="13" t="s">
        <v>382</v>
      </c>
      <c r="F2325" s="14" t="s">
        <v>13</v>
      </c>
      <c r="G2325" s="14" t="s">
        <v>400</v>
      </c>
      <c r="I2325" s="11">
        <f t="shared" si="112"/>
        <v>2</v>
      </c>
      <c r="J2325" s="16">
        <v>161.13999999999999</v>
      </c>
      <c r="M2325" s="17">
        <f t="shared" si="113"/>
        <v>402351.21</v>
      </c>
      <c r="N2325" s="11">
        <f t="shared" si="114"/>
        <v>12</v>
      </c>
    </row>
    <row r="2326" spans="1:14" x14ac:dyDescent="0.25">
      <c r="A2326" s="11" t="s">
        <v>207</v>
      </c>
      <c r="B2326" s="12">
        <v>45273</v>
      </c>
      <c r="C2326" s="11" t="s">
        <v>688</v>
      </c>
      <c r="D2326" s="11" t="s">
        <v>43</v>
      </c>
      <c r="F2326" s="14" t="s">
        <v>79</v>
      </c>
      <c r="G2326" s="14" t="s">
        <v>400</v>
      </c>
      <c r="I2326" s="11">
        <f t="shared" si="112"/>
        <v>2</v>
      </c>
      <c r="J2326" s="16">
        <v>4114.04</v>
      </c>
      <c r="M2326" s="17">
        <f t="shared" si="113"/>
        <v>406465.25</v>
      </c>
      <c r="N2326" s="11">
        <f t="shared" si="114"/>
        <v>12</v>
      </c>
    </row>
    <row r="2327" spans="1:14" x14ac:dyDescent="0.25">
      <c r="A2327" s="11" t="s">
        <v>207</v>
      </c>
      <c r="B2327" s="12">
        <v>45273</v>
      </c>
      <c r="C2327" s="11" t="s">
        <v>688</v>
      </c>
      <c r="D2327" s="11" t="s">
        <v>43</v>
      </c>
      <c r="F2327" s="14" t="s">
        <v>79</v>
      </c>
      <c r="G2327" s="14" t="s">
        <v>400</v>
      </c>
      <c r="I2327" s="11">
        <f t="shared" si="112"/>
        <v>2</v>
      </c>
      <c r="J2327" s="16">
        <v>3990.35</v>
      </c>
      <c r="M2327" s="17">
        <f t="shared" si="113"/>
        <v>410455.6</v>
      </c>
      <c r="N2327" s="11">
        <f t="shared" si="114"/>
        <v>12</v>
      </c>
    </row>
    <row r="2328" spans="1:14" x14ac:dyDescent="0.25">
      <c r="A2328" s="11" t="s">
        <v>0</v>
      </c>
      <c r="B2328" s="12">
        <v>45273</v>
      </c>
      <c r="C2328" s="11" t="s">
        <v>688</v>
      </c>
      <c r="D2328" s="11" t="s">
        <v>47</v>
      </c>
      <c r="E2328" s="13" t="s">
        <v>585</v>
      </c>
      <c r="F2328" s="14" t="s">
        <v>564</v>
      </c>
      <c r="G2328" s="14" t="s">
        <v>404</v>
      </c>
      <c r="H2328" s="15">
        <v>6</v>
      </c>
      <c r="I2328" s="11">
        <f t="shared" si="112"/>
        <v>5</v>
      </c>
      <c r="K2328" s="16">
        <v>425</v>
      </c>
      <c r="M2328" s="17">
        <f t="shared" si="113"/>
        <v>410030.6</v>
      </c>
      <c r="N2328" s="11">
        <f t="shared" si="114"/>
        <v>12</v>
      </c>
    </row>
    <row r="2329" spans="1:14" x14ac:dyDescent="0.25">
      <c r="A2329" s="11" t="s">
        <v>0</v>
      </c>
      <c r="B2329" s="12">
        <v>45273</v>
      </c>
      <c r="C2329" s="11" t="s">
        <v>688</v>
      </c>
      <c r="D2329" s="11" t="s">
        <v>692</v>
      </c>
      <c r="E2329" s="13" t="s">
        <v>179</v>
      </c>
      <c r="F2329" s="14" t="s">
        <v>28</v>
      </c>
      <c r="G2329" s="14" t="s">
        <v>404</v>
      </c>
      <c r="H2329" s="15">
        <v>52</v>
      </c>
      <c r="I2329" s="11">
        <f t="shared" si="112"/>
        <v>5</v>
      </c>
      <c r="K2329" s="16">
        <v>5255</v>
      </c>
      <c r="M2329" s="17">
        <f t="shared" si="113"/>
        <v>404775.6</v>
      </c>
      <c r="N2329" s="11">
        <f t="shared" si="114"/>
        <v>12</v>
      </c>
    </row>
    <row r="2330" spans="1:14" x14ac:dyDescent="0.25">
      <c r="A2330" s="11" t="s">
        <v>0</v>
      </c>
      <c r="B2330" s="12">
        <v>45273</v>
      </c>
      <c r="C2330" s="11" t="s">
        <v>688</v>
      </c>
      <c r="D2330" s="11" t="s">
        <v>700</v>
      </c>
      <c r="E2330" s="13" t="s">
        <v>589</v>
      </c>
      <c r="F2330" s="14" t="s">
        <v>586</v>
      </c>
      <c r="G2330" s="14" t="s">
        <v>404</v>
      </c>
      <c r="H2330" s="15">
        <v>1262</v>
      </c>
      <c r="I2330" s="11">
        <f t="shared" si="112"/>
        <v>5</v>
      </c>
      <c r="K2330" s="16">
        <v>1040</v>
      </c>
      <c r="M2330" s="17">
        <f t="shared" si="113"/>
        <v>403735.6</v>
      </c>
      <c r="N2330" s="11">
        <f t="shared" si="114"/>
        <v>12</v>
      </c>
    </row>
    <row r="2331" spans="1:14" x14ac:dyDescent="0.25">
      <c r="A2331" s="11" t="s">
        <v>207</v>
      </c>
      <c r="B2331" s="12">
        <v>45273</v>
      </c>
      <c r="C2331" s="11" t="s">
        <v>688</v>
      </c>
      <c r="D2331" s="11" t="s">
        <v>43</v>
      </c>
      <c r="E2331" s="13">
        <v>45273</v>
      </c>
      <c r="F2331" s="14" t="s">
        <v>472</v>
      </c>
      <c r="G2331" s="14" t="s">
        <v>400</v>
      </c>
      <c r="I2331" s="11">
        <f t="shared" si="112"/>
        <v>2</v>
      </c>
      <c r="J2331" s="16">
        <v>1098.1500000000001</v>
      </c>
      <c r="M2331" s="17">
        <f t="shared" si="113"/>
        <v>404833.75</v>
      </c>
      <c r="N2331" s="11">
        <f t="shared" si="114"/>
        <v>12</v>
      </c>
    </row>
    <row r="2332" spans="1:14" x14ac:dyDescent="0.25">
      <c r="A2332" s="11" t="s">
        <v>0</v>
      </c>
      <c r="B2332" s="12">
        <v>45273</v>
      </c>
      <c r="C2332" s="11" t="s">
        <v>688</v>
      </c>
      <c r="D2332" s="11" t="s">
        <v>694</v>
      </c>
      <c r="E2332" s="13" t="s">
        <v>182</v>
      </c>
      <c r="F2332" s="14" t="s">
        <v>365</v>
      </c>
      <c r="G2332" s="14" t="s">
        <v>402</v>
      </c>
      <c r="H2332" s="15" t="s">
        <v>20</v>
      </c>
      <c r="I2332" s="11">
        <f t="shared" si="112"/>
        <v>5</v>
      </c>
      <c r="K2332" s="16">
        <v>0.33</v>
      </c>
      <c r="M2332" s="17">
        <f t="shared" si="113"/>
        <v>404833.42</v>
      </c>
      <c r="N2332" s="11">
        <f t="shared" si="114"/>
        <v>12</v>
      </c>
    </row>
    <row r="2333" spans="1:14" x14ac:dyDescent="0.25">
      <c r="A2333" s="11" t="s">
        <v>0</v>
      </c>
      <c r="B2333" s="12">
        <v>45273</v>
      </c>
      <c r="C2333" s="11" t="s">
        <v>688</v>
      </c>
      <c r="D2333" s="11" t="s">
        <v>694</v>
      </c>
      <c r="E2333" s="13" t="s">
        <v>182</v>
      </c>
      <c r="F2333" s="14" t="s">
        <v>23</v>
      </c>
      <c r="G2333" s="14" t="s">
        <v>402</v>
      </c>
      <c r="H2333" s="15" t="s">
        <v>20</v>
      </c>
      <c r="I2333" s="11">
        <f t="shared" si="112"/>
        <v>5</v>
      </c>
      <c r="K2333" s="16">
        <v>65.97</v>
      </c>
      <c r="M2333" s="17">
        <f t="shared" si="113"/>
        <v>404767.45</v>
      </c>
      <c r="N2333" s="11">
        <f t="shared" si="114"/>
        <v>12</v>
      </c>
    </row>
    <row r="2334" spans="1:14" x14ac:dyDescent="0.25">
      <c r="A2334" s="11" t="s">
        <v>0</v>
      </c>
      <c r="B2334" s="12">
        <v>45273</v>
      </c>
      <c r="C2334" s="11" t="s">
        <v>688</v>
      </c>
      <c r="D2334" s="11" t="s">
        <v>47</v>
      </c>
      <c r="E2334" s="13" t="s">
        <v>588</v>
      </c>
      <c r="F2334" s="14" t="s">
        <v>587</v>
      </c>
      <c r="G2334" s="14" t="s">
        <v>404</v>
      </c>
      <c r="H2334" s="15" t="s">
        <v>20</v>
      </c>
      <c r="I2334" s="11">
        <f t="shared" ref="I2334:I2393" si="115">IF(AND(G2334="MERCADO PAGO",A2334="FATURAMENTO"),1,IF(AND(OR(G2334="MERCADO PAGO",G2334="pix mercado pago",G2334= "débito automático mercado pago", G2334= "boleto mercado pago"),A2334="DESPESAS"),4,IF(AND(G2334="SAFRA",A2334="FATURAMENTO"),2,IF(AND(OR(G2334="SAFRA",G2334="PIX SAFRA", G2334="DÉBITO AUTOMÁTICO SAFRA", G2334= "BOLETO SAFRA", G2334= "transferência safra"), A2334="DESPESAS"),5,IF(AND(G2334="espécie",A2334="FATURAMENTO"),3,IF(AND(G2334="espécie",A2334="DESPESAS"),6))))))</f>
        <v>5</v>
      </c>
      <c r="K2334" s="16">
        <v>105</v>
      </c>
      <c r="M2334" s="17">
        <f t="shared" si="113"/>
        <v>404662.45</v>
      </c>
      <c r="N2334" s="11">
        <f t="shared" si="114"/>
        <v>12</v>
      </c>
    </row>
    <row r="2335" spans="1:14" x14ac:dyDescent="0.25">
      <c r="A2335" s="11" t="s">
        <v>0</v>
      </c>
      <c r="B2335" s="12">
        <v>45273</v>
      </c>
      <c r="C2335" s="11" t="s">
        <v>688</v>
      </c>
      <c r="D2335" s="11" t="s">
        <v>692</v>
      </c>
      <c r="E2335" s="13" t="s">
        <v>725</v>
      </c>
      <c r="F2335" s="14" t="s">
        <v>33</v>
      </c>
      <c r="G2335" s="14" t="s">
        <v>404</v>
      </c>
      <c r="H2335" s="15">
        <v>25543</v>
      </c>
      <c r="I2335" s="11">
        <f t="shared" si="115"/>
        <v>5</v>
      </c>
      <c r="K2335" s="16">
        <v>1551.64</v>
      </c>
      <c r="M2335" s="17">
        <f t="shared" si="113"/>
        <v>403110.81</v>
      </c>
      <c r="N2335" s="11">
        <f t="shared" si="114"/>
        <v>12</v>
      </c>
    </row>
    <row r="2336" spans="1:14" x14ac:dyDescent="0.25">
      <c r="A2336" s="11" t="s">
        <v>0</v>
      </c>
      <c r="B2336" s="12">
        <v>45273</v>
      </c>
      <c r="C2336" s="11" t="s">
        <v>688</v>
      </c>
      <c r="D2336" s="11" t="s">
        <v>692</v>
      </c>
      <c r="E2336" s="13" t="s">
        <v>169</v>
      </c>
      <c r="F2336" s="14" t="s">
        <v>50</v>
      </c>
      <c r="G2336" s="14" t="s">
        <v>404</v>
      </c>
      <c r="H2336" s="15">
        <v>1232120</v>
      </c>
      <c r="I2336" s="11">
        <f t="shared" si="115"/>
        <v>5</v>
      </c>
      <c r="K2336" s="16">
        <v>750</v>
      </c>
      <c r="M2336" s="17">
        <f t="shared" si="113"/>
        <v>402360.81</v>
      </c>
      <c r="N2336" s="11">
        <f t="shared" si="114"/>
        <v>12</v>
      </c>
    </row>
    <row r="2337" spans="1:14" x14ac:dyDescent="0.25">
      <c r="A2337" s="11" t="s">
        <v>0</v>
      </c>
      <c r="B2337" s="12">
        <v>45273</v>
      </c>
      <c r="C2337" s="11" t="s">
        <v>688</v>
      </c>
      <c r="D2337" s="11" t="s">
        <v>692</v>
      </c>
      <c r="E2337" s="13" t="s">
        <v>179</v>
      </c>
      <c r="F2337" s="14" t="s">
        <v>51</v>
      </c>
      <c r="G2337" s="14" t="s">
        <v>404</v>
      </c>
      <c r="H2337" s="15">
        <v>18</v>
      </c>
      <c r="I2337" s="11">
        <f t="shared" si="115"/>
        <v>5</v>
      </c>
      <c r="K2337" s="16">
        <v>540</v>
      </c>
      <c r="M2337" s="17">
        <f t="shared" si="113"/>
        <v>401820.81</v>
      </c>
      <c r="N2337" s="11">
        <f t="shared" si="114"/>
        <v>12</v>
      </c>
    </row>
    <row r="2338" spans="1:14" x14ac:dyDescent="0.25">
      <c r="A2338" s="11" t="s">
        <v>0</v>
      </c>
      <c r="B2338" s="12">
        <v>45273</v>
      </c>
      <c r="C2338" s="11" t="s">
        <v>688</v>
      </c>
      <c r="D2338" s="11" t="s">
        <v>700</v>
      </c>
      <c r="E2338" s="13" t="s">
        <v>589</v>
      </c>
      <c r="F2338" s="14" t="s">
        <v>35</v>
      </c>
      <c r="G2338" s="14" t="s">
        <v>404</v>
      </c>
      <c r="H2338" s="15" t="s">
        <v>437</v>
      </c>
      <c r="I2338" s="11">
        <f t="shared" si="115"/>
        <v>5</v>
      </c>
      <c r="K2338" s="16">
        <v>1396.16</v>
      </c>
      <c r="M2338" s="17">
        <f t="shared" si="113"/>
        <v>400424.65</v>
      </c>
      <c r="N2338" s="11">
        <f t="shared" si="114"/>
        <v>12</v>
      </c>
    </row>
    <row r="2339" spans="1:14" x14ac:dyDescent="0.25">
      <c r="A2339" s="11" t="s">
        <v>0</v>
      </c>
      <c r="B2339" s="12">
        <v>45273</v>
      </c>
      <c r="C2339" s="11" t="s">
        <v>688</v>
      </c>
      <c r="D2339" s="11" t="s">
        <v>701</v>
      </c>
      <c r="E2339" s="13" t="s">
        <v>180</v>
      </c>
      <c r="F2339" s="14" t="s">
        <v>37</v>
      </c>
      <c r="G2339" s="14" t="s">
        <v>404</v>
      </c>
      <c r="H2339" s="15" t="s">
        <v>102</v>
      </c>
      <c r="I2339" s="11">
        <f t="shared" si="115"/>
        <v>5</v>
      </c>
      <c r="K2339" s="16">
        <v>78.75</v>
      </c>
      <c r="M2339" s="17">
        <f t="shared" si="113"/>
        <v>400345.9</v>
      </c>
      <c r="N2339" s="11">
        <f t="shared" si="114"/>
        <v>12</v>
      </c>
    </row>
    <row r="2340" spans="1:14" x14ac:dyDescent="0.25">
      <c r="A2340" s="11" t="s">
        <v>0</v>
      </c>
      <c r="B2340" s="12">
        <v>45273</v>
      </c>
      <c r="C2340" s="11" t="s">
        <v>688</v>
      </c>
      <c r="D2340" s="11" t="s">
        <v>694</v>
      </c>
      <c r="E2340" s="13" t="s">
        <v>181</v>
      </c>
      <c r="F2340" s="14" t="s">
        <v>516</v>
      </c>
      <c r="G2340" s="14" t="s">
        <v>404</v>
      </c>
      <c r="H2340" s="15">
        <v>6879</v>
      </c>
      <c r="I2340" s="11">
        <f t="shared" si="115"/>
        <v>5</v>
      </c>
      <c r="K2340" s="16">
        <v>400</v>
      </c>
      <c r="M2340" s="17">
        <f t="shared" si="113"/>
        <v>399945.9</v>
      </c>
      <c r="N2340" s="11">
        <f t="shared" si="114"/>
        <v>12</v>
      </c>
    </row>
    <row r="2341" spans="1:14" x14ac:dyDescent="0.25">
      <c r="A2341" s="11" t="s">
        <v>0</v>
      </c>
      <c r="B2341" s="12">
        <v>45273</v>
      </c>
      <c r="C2341" s="11" t="s">
        <v>688</v>
      </c>
      <c r="D2341" s="11" t="s">
        <v>692</v>
      </c>
      <c r="E2341" s="13" t="s">
        <v>179</v>
      </c>
      <c r="F2341" s="14" t="s">
        <v>378</v>
      </c>
      <c r="G2341" s="14" t="s">
        <v>404</v>
      </c>
      <c r="H2341" s="15">
        <v>16</v>
      </c>
      <c r="I2341" s="11">
        <f t="shared" si="115"/>
        <v>5</v>
      </c>
      <c r="K2341" s="16">
        <v>3024</v>
      </c>
      <c r="M2341" s="17">
        <f t="shared" si="113"/>
        <v>396921.9</v>
      </c>
      <c r="N2341" s="11">
        <f t="shared" si="114"/>
        <v>12</v>
      </c>
    </row>
    <row r="2342" spans="1:14" x14ac:dyDescent="0.25">
      <c r="A2342" s="11" t="s">
        <v>0</v>
      </c>
      <c r="B2342" s="12">
        <v>45274</v>
      </c>
      <c r="C2342" s="11" t="s">
        <v>688</v>
      </c>
      <c r="D2342" s="11" t="s">
        <v>47</v>
      </c>
      <c r="E2342" s="13" t="s">
        <v>807</v>
      </c>
      <c r="F2342" s="14" t="s">
        <v>808</v>
      </c>
      <c r="G2342" s="14" t="s">
        <v>407</v>
      </c>
      <c r="H2342" s="15" t="s">
        <v>426</v>
      </c>
      <c r="I2342" s="11">
        <f t="shared" ref="I2342" si="116">IF(AND(G2342="MERCADO PAGO",A2342="FATURAMENTO"),1,IF(AND(OR(G2342="MERCADO PAGO",G2342="pix mercado pago",G2342= "débito automático mercado pago", G2342= "boleto mercado pago"),A2342="DESPESAS"),4,IF(AND(G2342="SAFRA",A2342="FATURAMENTO"),2,IF(AND(OR(G2342="SAFRA",G2342="PIX SAFRA", G2342="DÉBITO AUTOMÁTICO SAFRA", G2342= "BOLETO SAFRA", G2342= "transferência safra"), A2342="DESPESAS"),5,IF(AND(G2342="espécie",A2342="FATURAMENTO"),3,IF(AND(G2342="espécie",A2342="DESPESAS"),6))))))</f>
        <v>4</v>
      </c>
      <c r="J2342" s="233"/>
      <c r="K2342" s="233">
        <v>200</v>
      </c>
      <c r="M2342" s="17">
        <f t="shared" si="113"/>
        <v>396721.9</v>
      </c>
      <c r="N2342" s="11">
        <f t="shared" si="114"/>
        <v>12</v>
      </c>
    </row>
    <row r="2343" spans="1:14" x14ac:dyDescent="0.25">
      <c r="A2343" s="11" t="s">
        <v>0</v>
      </c>
      <c r="B2343" s="12">
        <v>45274</v>
      </c>
      <c r="C2343" s="11" t="s">
        <v>688</v>
      </c>
      <c r="D2343" s="11" t="s">
        <v>47</v>
      </c>
      <c r="E2343" s="13" t="s">
        <v>805</v>
      </c>
      <c r="F2343" s="14" t="s">
        <v>806</v>
      </c>
      <c r="G2343" s="14" t="s">
        <v>407</v>
      </c>
      <c r="H2343" s="15" t="s">
        <v>426</v>
      </c>
      <c r="I2343" s="11">
        <f t="shared" si="115"/>
        <v>4</v>
      </c>
      <c r="J2343" s="233"/>
      <c r="K2343" s="233">
        <v>250</v>
      </c>
      <c r="M2343" s="17">
        <f t="shared" si="113"/>
        <v>396471.9</v>
      </c>
      <c r="N2343" s="11">
        <f t="shared" si="114"/>
        <v>12</v>
      </c>
    </row>
    <row r="2344" spans="1:14" x14ac:dyDescent="0.25">
      <c r="A2344" s="11" t="s">
        <v>0</v>
      </c>
      <c r="B2344" s="12">
        <v>45274</v>
      </c>
      <c r="C2344" s="11" t="s">
        <v>688</v>
      </c>
      <c r="D2344" s="11" t="s">
        <v>47</v>
      </c>
      <c r="E2344" s="13" t="s">
        <v>803</v>
      </c>
      <c r="F2344" s="14" t="s">
        <v>804</v>
      </c>
      <c r="G2344" s="14" t="s">
        <v>407</v>
      </c>
      <c r="H2344" s="15" t="s">
        <v>426</v>
      </c>
      <c r="I2344" s="11">
        <f t="shared" si="115"/>
        <v>4</v>
      </c>
      <c r="J2344" s="233"/>
      <c r="K2344" s="233">
        <v>250</v>
      </c>
      <c r="M2344" s="17">
        <f t="shared" si="113"/>
        <v>396221.9</v>
      </c>
      <c r="N2344" s="11">
        <f t="shared" si="114"/>
        <v>12</v>
      </c>
    </row>
    <row r="2345" spans="1:14" x14ac:dyDescent="0.25">
      <c r="A2345" s="11" t="s">
        <v>0</v>
      </c>
      <c r="B2345" s="12">
        <v>45274</v>
      </c>
      <c r="C2345" s="11" t="s">
        <v>688</v>
      </c>
      <c r="D2345" s="11" t="s">
        <v>698</v>
      </c>
      <c r="E2345" s="13" t="s">
        <v>183</v>
      </c>
      <c r="F2345" s="14" t="s">
        <v>802</v>
      </c>
      <c r="G2345" s="14" t="s">
        <v>407</v>
      </c>
      <c r="H2345" s="15" t="s">
        <v>426</v>
      </c>
      <c r="I2345" s="11">
        <f t="shared" si="115"/>
        <v>4</v>
      </c>
      <c r="J2345" s="233"/>
      <c r="K2345" s="233">
        <v>30</v>
      </c>
      <c r="M2345" s="17">
        <f t="shared" si="113"/>
        <v>396191.9</v>
      </c>
      <c r="N2345" s="11">
        <f t="shared" si="114"/>
        <v>12</v>
      </c>
    </row>
    <row r="2346" spans="1:14" x14ac:dyDescent="0.25">
      <c r="A2346" s="11" t="s">
        <v>207</v>
      </c>
      <c r="B2346" s="12">
        <v>45274</v>
      </c>
      <c r="C2346" s="11" t="s">
        <v>688</v>
      </c>
      <c r="D2346" s="11" t="s">
        <v>43</v>
      </c>
      <c r="E2346" s="13" t="s">
        <v>288</v>
      </c>
      <c r="F2346" s="14" t="s">
        <v>288</v>
      </c>
      <c r="G2346" s="14" t="s">
        <v>173</v>
      </c>
      <c r="I2346" s="11">
        <f t="shared" si="115"/>
        <v>3</v>
      </c>
      <c r="J2346" s="16">
        <v>170</v>
      </c>
      <c r="M2346" s="17">
        <f t="shared" si="113"/>
        <v>396361.9</v>
      </c>
      <c r="N2346" s="11">
        <f t="shared" si="114"/>
        <v>12</v>
      </c>
    </row>
    <row r="2347" spans="1:14" x14ac:dyDescent="0.25">
      <c r="A2347" s="11" t="s">
        <v>207</v>
      </c>
      <c r="B2347" s="12">
        <v>45274</v>
      </c>
      <c r="C2347" s="11" t="s">
        <v>662</v>
      </c>
      <c r="D2347" s="11" t="s">
        <v>43</v>
      </c>
      <c r="E2347" s="13" t="s">
        <v>80</v>
      </c>
      <c r="F2347" s="14" t="s">
        <v>79</v>
      </c>
      <c r="G2347" s="14" t="s">
        <v>400</v>
      </c>
      <c r="I2347" s="11">
        <f t="shared" si="115"/>
        <v>2</v>
      </c>
      <c r="J2347" s="16">
        <v>600</v>
      </c>
      <c r="M2347" s="17">
        <f t="shared" si="113"/>
        <v>396961.9</v>
      </c>
      <c r="N2347" s="11">
        <f t="shared" si="114"/>
        <v>12</v>
      </c>
    </row>
    <row r="2348" spans="1:14" x14ac:dyDescent="0.25">
      <c r="A2348" s="11" t="s">
        <v>207</v>
      </c>
      <c r="B2348" s="12">
        <v>45274</v>
      </c>
      <c r="C2348" s="11" t="s">
        <v>688</v>
      </c>
      <c r="D2348" s="11" t="s">
        <v>43</v>
      </c>
      <c r="E2348" s="13" t="s">
        <v>80</v>
      </c>
      <c r="F2348" s="14" t="s">
        <v>79</v>
      </c>
      <c r="G2348" s="14" t="s">
        <v>400</v>
      </c>
      <c r="I2348" s="11">
        <f t="shared" si="115"/>
        <v>2</v>
      </c>
      <c r="J2348" s="16">
        <v>910.18</v>
      </c>
      <c r="M2348" s="17">
        <f t="shared" si="113"/>
        <v>397872.08</v>
      </c>
      <c r="N2348" s="11">
        <f t="shared" si="114"/>
        <v>12</v>
      </c>
    </row>
    <row r="2349" spans="1:14" x14ac:dyDescent="0.25">
      <c r="A2349" s="11" t="s">
        <v>207</v>
      </c>
      <c r="B2349" s="12">
        <v>45274</v>
      </c>
      <c r="C2349" s="11" t="s">
        <v>688</v>
      </c>
      <c r="D2349" s="11" t="s">
        <v>43</v>
      </c>
      <c r="E2349" s="13" t="s">
        <v>81</v>
      </c>
      <c r="F2349" s="14" t="s">
        <v>79</v>
      </c>
      <c r="G2349" s="14" t="s">
        <v>400</v>
      </c>
      <c r="I2349" s="11">
        <f t="shared" si="115"/>
        <v>2</v>
      </c>
      <c r="J2349" s="16">
        <v>2883.68</v>
      </c>
      <c r="M2349" s="17">
        <f t="shared" si="113"/>
        <v>400755.76</v>
      </c>
      <c r="N2349" s="11">
        <f t="shared" si="114"/>
        <v>12</v>
      </c>
    </row>
    <row r="2350" spans="1:14" x14ac:dyDescent="0.25">
      <c r="A2350" s="11" t="s">
        <v>207</v>
      </c>
      <c r="B2350" s="12">
        <v>45274</v>
      </c>
      <c r="C2350" s="11" t="s">
        <v>688</v>
      </c>
      <c r="D2350" s="11" t="s">
        <v>43</v>
      </c>
      <c r="E2350" s="13" t="s">
        <v>382</v>
      </c>
      <c r="F2350" s="14" t="s">
        <v>13</v>
      </c>
      <c r="G2350" s="14" t="s">
        <v>400</v>
      </c>
      <c r="I2350" s="11">
        <f t="shared" si="115"/>
        <v>2</v>
      </c>
      <c r="J2350" s="16">
        <v>440.07</v>
      </c>
      <c r="M2350" s="17">
        <f t="shared" si="113"/>
        <v>401195.83</v>
      </c>
      <c r="N2350" s="11">
        <f t="shared" si="114"/>
        <v>12</v>
      </c>
    </row>
    <row r="2351" spans="1:14" x14ac:dyDescent="0.25">
      <c r="A2351" s="11" t="s">
        <v>207</v>
      </c>
      <c r="B2351" s="12">
        <v>45274</v>
      </c>
      <c r="C2351" s="11" t="s">
        <v>688</v>
      </c>
      <c r="D2351" s="11" t="s">
        <v>43</v>
      </c>
      <c r="E2351" s="13" t="s">
        <v>382</v>
      </c>
      <c r="F2351" s="14" t="s">
        <v>13</v>
      </c>
      <c r="G2351" s="14" t="s">
        <v>400</v>
      </c>
      <c r="I2351" s="11">
        <f t="shared" si="115"/>
        <v>2</v>
      </c>
      <c r="J2351" s="16">
        <v>309.91000000000003</v>
      </c>
      <c r="M2351" s="17">
        <f t="shared" si="113"/>
        <v>401505.74</v>
      </c>
      <c r="N2351" s="11">
        <f t="shared" si="114"/>
        <v>12</v>
      </c>
    </row>
    <row r="2352" spans="1:14" x14ac:dyDescent="0.25">
      <c r="A2352" s="11" t="s">
        <v>207</v>
      </c>
      <c r="B2352" s="12">
        <v>45274</v>
      </c>
      <c r="C2352" s="11" t="s">
        <v>688</v>
      </c>
      <c r="D2352" s="11" t="s">
        <v>43</v>
      </c>
      <c r="E2352" s="13" t="s">
        <v>382</v>
      </c>
      <c r="F2352" s="14" t="s">
        <v>13</v>
      </c>
      <c r="G2352" s="14" t="s">
        <v>400</v>
      </c>
      <c r="I2352" s="11">
        <f t="shared" si="115"/>
        <v>2</v>
      </c>
      <c r="J2352" s="16">
        <v>140.11000000000001</v>
      </c>
      <c r="M2352" s="17">
        <f t="shared" si="113"/>
        <v>401645.85</v>
      </c>
      <c r="N2352" s="11">
        <f t="shared" si="114"/>
        <v>12</v>
      </c>
    </row>
    <row r="2353" spans="1:14" x14ac:dyDescent="0.25">
      <c r="A2353" s="11" t="s">
        <v>0</v>
      </c>
      <c r="B2353" s="12">
        <v>45274</v>
      </c>
      <c r="C2353" s="11" t="s">
        <v>688</v>
      </c>
      <c r="D2353" s="11" t="s">
        <v>694</v>
      </c>
      <c r="E2353" s="13" t="s">
        <v>182</v>
      </c>
      <c r="F2353" s="14" t="s">
        <v>365</v>
      </c>
      <c r="G2353" s="14" t="s">
        <v>402</v>
      </c>
      <c r="I2353" s="11">
        <f t="shared" si="115"/>
        <v>5</v>
      </c>
      <c r="K2353" s="16">
        <v>4.43</v>
      </c>
      <c r="M2353" s="17">
        <f t="shared" si="113"/>
        <v>401641.42</v>
      </c>
      <c r="N2353" s="11">
        <f t="shared" si="114"/>
        <v>12</v>
      </c>
    </row>
    <row r="2354" spans="1:14" x14ac:dyDescent="0.25">
      <c r="A2354" s="11" t="s">
        <v>0</v>
      </c>
      <c r="B2354" s="12">
        <v>45274</v>
      </c>
      <c r="C2354" s="11" t="s">
        <v>688</v>
      </c>
      <c r="D2354" s="11" t="s">
        <v>694</v>
      </c>
      <c r="E2354" s="13" t="s">
        <v>182</v>
      </c>
      <c r="F2354" s="14" t="s">
        <v>23</v>
      </c>
      <c r="G2354" s="14" t="s">
        <v>402</v>
      </c>
      <c r="I2354" s="11">
        <f t="shared" si="115"/>
        <v>5</v>
      </c>
      <c r="K2354" s="16">
        <v>13.81</v>
      </c>
      <c r="M2354" s="17">
        <f t="shared" si="113"/>
        <v>401627.61</v>
      </c>
      <c r="N2354" s="11">
        <f t="shared" si="114"/>
        <v>12</v>
      </c>
    </row>
    <row r="2355" spans="1:14" x14ac:dyDescent="0.25">
      <c r="A2355" s="11" t="s">
        <v>207</v>
      </c>
      <c r="B2355" s="12">
        <v>45274</v>
      </c>
      <c r="C2355" s="11" t="s">
        <v>688</v>
      </c>
      <c r="D2355" s="11" t="s">
        <v>43</v>
      </c>
      <c r="E2355" s="13">
        <v>45274</v>
      </c>
      <c r="F2355" s="14" t="s">
        <v>472</v>
      </c>
      <c r="G2355" s="14" t="s">
        <v>400</v>
      </c>
      <c r="I2355" s="11">
        <f t="shared" si="115"/>
        <v>2</v>
      </c>
      <c r="J2355" s="16">
        <v>646.15</v>
      </c>
      <c r="M2355" s="17">
        <f t="shared" si="113"/>
        <v>402273.76</v>
      </c>
      <c r="N2355" s="11">
        <f t="shared" si="114"/>
        <v>12</v>
      </c>
    </row>
    <row r="2356" spans="1:14" x14ac:dyDescent="0.25">
      <c r="A2356" s="11" t="s">
        <v>0</v>
      </c>
      <c r="B2356" s="12">
        <v>45274</v>
      </c>
      <c r="C2356" s="11" t="s">
        <v>688</v>
      </c>
      <c r="D2356" s="11" t="s">
        <v>47</v>
      </c>
      <c r="E2356" s="13" t="s">
        <v>646</v>
      </c>
      <c r="F2356" s="14" t="s">
        <v>645</v>
      </c>
      <c r="G2356" s="14" t="s">
        <v>404</v>
      </c>
      <c r="H2356" s="15" t="s">
        <v>437</v>
      </c>
      <c r="I2356" s="11">
        <f t="shared" si="115"/>
        <v>5</v>
      </c>
      <c r="K2356" s="16">
        <v>4100</v>
      </c>
      <c r="M2356" s="17">
        <f t="shared" si="113"/>
        <v>398173.76</v>
      </c>
      <c r="N2356" s="11">
        <f t="shared" si="114"/>
        <v>12</v>
      </c>
    </row>
    <row r="2357" spans="1:14" x14ac:dyDescent="0.25">
      <c r="A2357" s="11" t="s">
        <v>0</v>
      </c>
      <c r="B2357" s="12">
        <v>45274</v>
      </c>
      <c r="C2357" s="11" t="s">
        <v>688</v>
      </c>
      <c r="D2357" s="11" t="s">
        <v>47</v>
      </c>
      <c r="E2357" s="13" t="s">
        <v>648</v>
      </c>
      <c r="F2357" s="14" t="s">
        <v>647</v>
      </c>
      <c r="G2357" s="14" t="s">
        <v>404</v>
      </c>
      <c r="H2357" s="15" t="s">
        <v>437</v>
      </c>
      <c r="I2357" s="11">
        <f t="shared" si="115"/>
        <v>5</v>
      </c>
      <c r="K2357" s="16">
        <v>300</v>
      </c>
      <c r="M2357" s="17">
        <f t="shared" si="113"/>
        <v>397873.76</v>
      </c>
      <c r="N2357" s="11">
        <f t="shared" si="114"/>
        <v>12</v>
      </c>
    </row>
    <row r="2358" spans="1:14" x14ac:dyDescent="0.25">
      <c r="A2358" s="11" t="s">
        <v>0</v>
      </c>
      <c r="B2358" s="12">
        <v>45274</v>
      </c>
      <c r="C2358" s="11" t="s">
        <v>688</v>
      </c>
      <c r="D2358" s="11" t="s">
        <v>700</v>
      </c>
      <c r="E2358" s="13" t="s">
        <v>650</v>
      </c>
      <c r="F2358" s="14" t="s">
        <v>649</v>
      </c>
      <c r="G2358" s="14" t="s">
        <v>404</v>
      </c>
      <c r="H2358" s="15" t="s">
        <v>437</v>
      </c>
      <c r="I2358" s="11">
        <f t="shared" si="115"/>
        <v>5</v>
      </c>
      <c r="K2358" s="16">
        <v>135</v>
      </c>
      <c r="M2358" s="17">
        <f t="shared" si="113"/>
        <v>397738.76</v>
      </c>
      <c r="N2358" s="11">
        <f t="shared" si="114"/>
        <v>12</v>
      </c>
    </row>
    <row r="2359" spans="1:14" x14ac:dyDescent="0.25">
      <c r="A2359" s="11" t="s">
        <v>0</v>
      </c>
      <c r="B2359" s="12">
        <v>45275</v>
      </c>
      <c r="C2359" s="11" t="s">
        <v>688</v>
      </c>
      <c r="D2359" s="11" t="s">
        <v>701</v>
      </c>
      <c r="E2359" s="13" t="s">
        <v>619</v>
      </c>
      <c r="F2359" s="14" t="s">
        <v>813</v>
      </c>
      <c r="G2359" s="14" t="s">
        <v>407</v>
      </c>
      <c r="H2359" s="15" t="s">
        <v>426</v>
      </c>
      <c r="I2359" s="11">
        <f t="shared" si="115"/>
        <v>4</v>
      </c>
      <c r="J2359" s="233"/>
      <c r="K2359" s="233">
        <v>795</v>
      </c>
      <c r="M2359" s="17">
        <f t="shared" si="113"/>
        <v>396943.76</v>
      </c>
      <c r="N2359" s="11">
        <f t="shared" si="114"/>
        <v>12</v>
      </c>
    </row>
    <row r="2360" spans="1:14" x14ac:dyDescent="0.25">
      <c r="A2360" s="11" t="s">
        <v>0</v>
      </c>
      <c r="B2360" s="12">
        <v>45275</v>
      </c>
      <c r="C2360" s="11" t="s">
        <v>688</v>
      </c>
      <c r="D2360" s="11" t="s">
        <v>696</v>
      </c>
      <c r="E2360" s="13" t="s">
        <v>812</v>
      </c>
      <c r="F2360" s="14" t="s">
        <v>62</v>
      </c>
      <c r="G2360" s="14" t="s">
        <v>407</v>
      </c>
      <c r="H2360" s="15" t="s">
        <v>426</v>
      </c>
      <c r="J2360" s="233"/>
      <c r="K2360" s="233">
        <v>250</v>
      </c>
      <c r="M2360" s="17">
        <f t="shared" si="113"/>
        <v>396693.76000000001</v>
      </c>
      <c r="N2360" s="11">
        <f t="shared" si="114"/>
        <v>12</v>
      </c>
    </row>
    <row r="2361" spans="1:14" x14ac:dyDescent="0.25">
      <c r="A2361" s="11" t="s">
        <v>0</v>
      </c>
      <c r="B2361" s="12">
        <v>45275</v>
      </c>
      <c r="C2361" s="11" t="s">
        <v>688</v>
      </c>
      <c r="D2361" s="11" t="s">
        <v>696</v>
      </c>
      <c r="E2361" s="13" t="s">
        <v>624</v>
      </c>
      <c r="F2361" s="14" t="s">
        <v>62</v>
      </c>
      <c r="G2361" s="14" t="s">
        <v>407</v>
      </c>
      <c r="H2361" s="15" t="s">
        <v>426</v>
      </c>
      <c r="J2361" s="233"/>
      <c r="K2361" s="233">
        <v>260</v>
      </c>
      <c r="M2361" s="17">
        <f t="shared" si="113"/>
        <v>396433.76</v>
      </c>
      <c r="N2361" s="11">
        <f t="shared" si="114"/>
        <v>12</v>
      </c>
    </row>
    <row r="2362" spans="1:14" x14ac:dyDescent="0.25">
      <c r="A2362" s="11" t="s">
        <v>0</v>
      </c>
      <c r="B2362" s="12">
        <v>45275</v>
      </c>
      <c r="C2362" s="11" t="s">
        <v>688</v>
      </c>
      <c r="D2362" s="11" t="s">
        <v>696</v>
      </c>
      <c r="E2362" s="13" t="s">
        <v>624</v>
      </c>
      <c r="F2362" s="14" t="s">
        <v>62</v>
      </c>
      <c r="G2362" s="14" t="s">
        <v>407</v>
      </c>
      <c r="H2362" s="15" t="s">
        <v>426</v>
      </c>
      <c r="J2362" s="233"/>
      <c r="K2362" s="233">
        <v>630</v>
      </c>
      <c r="M2362" s="17">
        <f t="shared" si="113"/>
        <v>395803.76</v>
      </c>
      <c r="N2362" s="11">
        <f t="shared" si="114"/>
        <v>12</v>
      </c>
    </row>
    <row r="2363" spans="1:14" x14ac:dyDescent="0.25">
      <c r="A2363" s="11" t="s">
        <v>0</v>
      </c>
      <c r="B2363" s="12">
        <v>45275</v>
      </c>
      <c r="C2363" s="11" t="s">
        <v>688</v>
      </c>
      <c r="D2363" s="11" t="s">
        <v>696</v>
      </c>
      <c r="E2363" s="13" t="s">
        <v>614</v>
      </c>
      <c r="F2363" s="14" t="s">
        <v>62</v>
      </c>
      <c r="G2363" s="14" t="s">
        <v>407</v>
      </c>
      <c r="H2363" s="15" t="s">
        <v>426</v>
      </c>
      <c r="J2363" s="233"/>
      <c r="K2363" s="233">
        <v>800</v>
      </c>
      <c r="M2363" s="17">
        <f t="shared" si="113"/>
        <v>395003.76</v>
      </c>
      <c r="N2363" s="11">
        <f t="shared" si="114"/>
        <v>12</v>
      </c>
    </row>
    <row r="2364" spans="1:14" x14ac:dyDescent="0.25">
      <c r="A2364" s="11" t="s">
        <v>0</v>
      </c>
      <c r="B2364" s="12">
        <v>45275</v>
      </c>
      <c r="C2364" s="11" t="s">
        <v>688</v>
      </c>
      <c r="D2364" s="11" t="s">
        <v>696</v>
      </c>
      <c r="E2364" s="13" t="s">
        <v>811</v>
      </c>
      <c r="F2364" s="14" t="s">
        <v>62</v>
      </c>
      <c r="G2364" s="14" t="s">
        <v>407</v>
      </c>
      <c r="H2364" s="15" t="s">
        <v>426</v>
      </c>
      <c r="J2364" s="233"/>
      <c r="K2364" s="233">
        <v>1150</v>
      </c>
      <c r="M2364" s="17">
        <f t="shared" si="113"/>
        <v>393853.76</v>
      </c>
      <c r="N2364" s="11">
        <f t="shared" si="114"/>
        <v>12</v>
      </c>
    </row>
    <row r="2365" spans="1:14" x14ac:dyDescent="0.25">
      <c r="A2365" s="11" t="s">
        <v>0</v>
      </c>
      <c r="B2365" s="12">
        <v>45275</v>
      </c>
      <c r="C2365" s="11" t="s">
        <v>688</v>
      </c>
      <c r="D2365" s="11" t="s">
        <v>696</v>
      </c>
      <c r="E2365" s="13" t="s">
        <v>608</v>
      </c>
      <c r="F2365" s="14" t="s">
        <v>62</v>
      </c>
      <c r="G2365" s="14" t="s">
        <v>407</v>
      </c>
      <c r="H2365" s="15" t="s">
        <v>426</v>
      </c>
      <c r="J2365" s="233"/>
      <c r="K2365" s="233">
        <v>1100</v>
      </c>
      <c r="M2365" s="17">
        <f t="shared" si="113"/>
        <v>392753.76</v>
      </c>
      <c r="N2365" s="11">
        <f t="shared" si="114"/>
        <v>12</v>
      </c>
    </row>
    <row r="2366" spans="1:14" x14ac:dyDescent="0.25">
      <c r="A2366" s="11" t="s">
        <v>0</v>
      </c>
      <c r="B2366" s="12">
        <v>45275</v>
      </c>
      <c r="C2366" s="11" t="s">
        <v>688</v>
      </c>
      <c r="D2366" s="11" t="s">
        <v>696</v>
      </c>
      <c r="E2366" s="13" t="s">
        <v>611</v>
      </c>
      <c r="F2366" s="14" t="s">
        <v>62</v>
      </c>
      <c r="G2366" s="14" t="s">
        <v>407</v>
      </c>
      <c r="H2366" s="15" t="s">
        <v>426</v>
      </c>
      <c r="J2366" s="233"/>
      <c r="K2366" s="233">
        <v>200</v>
      </c>
      <c r="M2366" s="17">
        <f t="shared" si="113"/>
        <v>392553.76</v>
      </c>
      <c r="N2366" s="11">
        <f t="shared" si="114"/>
        <v>12</v>
      </c>
    </row>
    <row r="2367" spans="1:14" x14ac:dyDescent="0.25">
      <c r="A2367" s="11" t="s">
        <v>0</v>
      </c>
      <c r="B2367" s="12">
        <v>45275</v>
      </c>
      <c r="C2367" s="11" t="s">
        <v>688</v>
      </c>
      <c r="D2367" s="11" t="s">
        <v>696</v>
      </c>
      <c r="E2367" s="13" t="s">
        <v>613</v>
      </c>
      <c r="F2367" s="14" t="s">
        <v>62</v>
      </c>
      <c r="G2367" s="14" t="s">
        <v>407</v>
      </c>
      <c r="H2367" s="15" t="s">
        <v>426</v>
      </c>
      <c r="J2367" s="233"/>
      <c r="K2367" s="233">
        <v>280</v>
      </c>
      <c r="M2367" s="17">
        <f t="shared" si="113"/>
        <v>392273.76</v>
      </c>
      <c r="N2367" s="11">
        <f t="shared" si="114"/>
        <v>12</v>
      </c>
    </row>
    <row r="2368" spans="1:14" x14ac:dyDescent="0.25">
      <c r="A2368" s="11" t="s">
        <v>0</v>
      </c>
      <c r="B2368" s="12">
        <v>45275</v>
      </c>
      <c r="C2368" s="11" t="s">
        <v>688</v>
      </c>
      <c r="D2368" s="11" t="s">
        <v>696</v>
      </c>
      <c r="E2368" s="13" t="s">
        <v>723</v>
      </c>
      <c r="F2368" s="14" t="s">
        <v>62</v>
      </c>
      <c r="G2368" s="14" t="s">
        <v>407</v>
      </c>
      <c r="H2368" s="15" t="s">
        <v>426</v>
      </c>
      <c r="J2368" s="233"/>
      <c r="K2368" s="233">
        <v>1320</v>
      </c>
      <c r="M2368" s="17">
        <f t="shared" si="113"/>
        <v>390953.76</v>
      </c>
      <c r="N2368" s="11">
        <f t="shared" si="114"/>
        <v>12</v>
      </c>
    </row>
    <row r="2369" spans="1:14" x14ac:dyDescent="0.25">
      <c r="A2369" s="11" t="s">
        <v>0</v>
      </c>
      <c r="B2369" s="12">
        <v>45275</v>
      </c>
      <c r="C2369" s="11" t="s">
        <v>688</v>
      </c>
      <c r="D2369" s="11" t="s">
        <v>696</v>
      </c>
      <c r="E2369" s="13" t="s">
        <v>626</v>
      </c>
      <c r="F2369" s="14" t="s">
        <v>62</v>
      </c>
      <c r="G2369" s="14" t="s">
        <v>407</v>
      </c>
      <c r="H2369" s="15" t="s">
        <v>426</v>
      </c>
      <c r="J2369" s="233"/>
      <c r="K2369" s="233">
        <v>1320</v>
      </c>
      <c r="M2369" s="17">
        <f t="shared" si="113"/>
        <v>389633.76</v>
      </c>
      <c r="N2369" s="11">
        <f t="shared" si="114"/>
        <v>12</v>
      </c>
    </row>
    <row r="2370" spans="1:14" x14ac:dyDescent="0.25">
      <c r="A2370" s="11" t="s">
        <v>0</v>
      </c>
      <c r="B2370" s="12">
        <v>45275</v>
      </c>
      <c r="C2370" s="11" t="s">
        <v>688</v>
      </c>
      <c r="D2370" s="11" t="s">
        <v>696</v>
      </c>
      <c r="E2370" s="13" t="s">
        <v>605</v>
      </c>
      <c r="F2370" s="14" t="s">
        <v>62</v>
      </c>
      <c r="G2370" s="14" t="s">
        <v>407</v>
      </c>
      <c r="H2370" s="15" t="s">
        <v>426</v>
      </c>
      <c r="J2370" s="233"/>
      <c r="K2370" s="233">
        <v>750</v>
      </c>
      <c r="M2370" s="17">
        <f t="shared" si="113"/>
        <v>388883.76</v>
      </c>
      <c r="N2370" s="11">
        <f t="shared" si="114"/>
        <v>12</v>
      </c>
    </row>
    <row r="2371" spans="1:14" x14ac:dyDescent="0.25">
      <c r="A2371" s="11" t="s">
        <v>0</v>
      </c>
      <c r="B2371" s="12">
        <v>45275</v>
      </c>
      <c r="C2371" s="11" t="s">
        <v>688</v>
      </c>
      <c r="D2371" s="11" t="s">
        <v>696</v>
      </c>
      <c r="E2371" s="13" t="s">
        <v>158</v>
      </c>
      <c r="F2371" s="14" t="s">
        <v>62</v>
      </c>
      <c r="G2371" s="14" t="s">
        <v>407</v>
      </c>
      <c r="H2371" s="15" t="s">
        <v>426</v>
      </c>
      <c r="J2371" s="233"/>
      <c r="K2371" s="233">
        <v>625</v>
      </c>
      <c r="M2371" s="17">
        <f t="shared" ref="M2371:M2434" si="117">IF(B2371=0, "",M2370+ J2371-K2371)</f>
        <v>388258.76</v>
      </c>
      <c r="N2371" s="11">
        <f t="shared" ref="N2371:N2434" si="118">IF(B2371=0, "", MONTH(B2371))</f>
        <v>12</v>
      </c>
    </row>
    <row r="2372" spans="1:14" x14ac:dyDescent="0.25">
      <c r="A2372" s="11" t="s">
        <v>0</v>
      </c>
      <c r="B2372" s="12">
        <v>45275</v>
      </c>
      <c r="C2372" s="11" t="s">
        <v>688</v>
      </c>
      <c r="D2372" s="11" t="s">
        <v>696</v>
      </c>
      <c r="E2372" s="13" t="s">
        <v>156</v>
      </c>
      <c r="F2372" s="14" t="s">
        <v>62</v>
      </c>
      <c r="G2372" s="14" t="s">
        <v>407</v>
      </c>
      <c r="H2372" s="15" t="s">
        <v>426</v>
      </c>
      <c r="J2372" s="233"/>
      <c r="K2372" s="233">
        <v>900</v>
      </c>
      <c r="M2372" s="17">
        <f t="shared" si="117"/>
        <v>387358.76</v>
      </c>
      <c r="N2372" s="11">
        <f t="shared" si="118"/>
        <v>12</v>
      </c>
    </row>
    <row r="2373" spans="1:14" x14ac:dyDescent="0.25">
      <c r="A2373" s="11" t="s">
        <v>0</v>
      </c>
      <c r="B2373" s="12">
        <v>45275</v>
      </c>
      <c r="C2373" s="11" t="s">
        <v>688</v>
      </c>
      <c r="D2373" s="11" t="s">
        <v>696</v>
      </c>
      <c r="E2373" s="13" t="s">
        <v>806</v>
      </c>
      <c r="F2373" s="14" t="s">
        <v>62</v>
      </c>
      <c r="G2373" s="14" t="s">
        <v>407</v>
      </c>
      <c r="H2373" s="15" t="s">
        <v>426</v>
      </c>
      <c r="J2373" s="233"/>
      <c r="K2373" s="233">
        <v>750</v>
      </c>
      <c r="M2373" s="17">
        <f t="shared" si="117"/>
        <v>386608.76</v>
      </c>
      <c r="N2373" s="11">
        <f t="shared" si="118"/>
        <v>12</v>
      </c>
    </row>
    <row r="2374" spans="1:14" x14ac:dyDescent="0.25">
      <c r="A2374" s="11" t="s">
        <v>0</v>
      </c>
      <c r="B2374" s="12">
        <v>45275</v>
      </c>
      <c r="C2374" s="11" t="s">
        <v>688</v>
      </c>
      <c r="D2374" s="11" t="s">
        <v>696</v>
      </c>
      <c r="E2374" s="13" t="s">
        <v>408</v>
      </c>
      <c r="F2374" s="14" t="s">
        <v>62</v>
      </c>
      <c r="G2374" s="14" t="s">
        <v>407</v>
      </c>
      <c r="H2374" s="15" t="s">
        <v>426</v>
      </c>
      <c r="J2374" s="233"/>
      <c r="K2374" s="233">
        <v>2000</v>
      </c>
      <c r="M2374" s="17">
        <f t="shared" si="117"/>
        <v>384608.76</v>
      </c>
      <c r="N2374" s="11">
        <f t="shared" si="118"/>
        <v>12</v>
      </c>
    </row>
    <row r="2375" spans="1:14" x14ac:dyDescent="0.25">
      <c r="A2375" s="11" t="s">
        <v>0</v>
      </c>
      <c r="B2375" s="12">
        <v>45275</v>
      </c>
      <c r="C2375" s="11" t="s">
        <v>688</v>
      </c>
      <c r="D2375" s="11" t="s">
        <v>696</v>
      </c>
      <c r="E2375" s="13" t="s">
        <v>151</v>
      </c>
      <c r="F2375" s="14" t="s">
        <v>62</v>
      </c>
      <c r="G2375" s="14" t="s">
        <v>407</v>
      </c>
      <c r="H2375" s="15" t="s">
        <v>426</v>
      </c>
      <c r="J2375" s="233"/>
      <c r="K2375" s="233">
        <v>1000</v>
      </c>
      <c r="M2375" s="17">
        <f t="shared" si="117"/>
        <v>383608.76</v>
      </c>
      <c r="N2375" s="11">
        <f t="shared" si="118"/>
        <v>12</v>
      </c>
    </row>
    <row r="2376" spans="1:14" x14ac:dyDescent="0.25">
      <c r="A2376" s="11" t="s">
        <v>0</v>
      </c>
      <c r="B2376" s="12">
        <v>45275</v>
      </c>
      <c r="C2376" s="11" t="s">
        <v>688</v>
      </c>
      <c r="D2376" s="11" t="s">
        <v>696</v>
      </c>
      <c r="E2376" s="13" t="s">
        <v>165</v>
      </c>
      <c r="F2376" s="14" t="s">
        <v>62</v>
      </c>
      <c r="G2376" s="14" t="s">
        <v>407</v>
      </c>
      <c r="H2376" s="15" t="s">
        <v>426</v>
      </c>
      <c r="J2376" s="233"/>
      <c r="K2376" s="233">
        <v>1200</v>
      </c>
      <c r="M2376" s="17">
        <f t="shared" si="117"/>
        <v>382408.76</v>
      </c>
      <c r="N2376" s="11">
        <f t="shared" si="118"/>
        <v>12</v>
      </c>
    </row>
    <row r="2377" spans="1:14" x14ac:dyDescent="0.25">
      <c r="A2377" s="11" t="s">
        <v>0</v>
      </c>
      <c r="B2377" s="12">
        <v>45275</v>
      </c>
      <c r="C2377" s="11" t="s">
        <v>688</v>
      </c>
      <c r="D2377" s="11" t="s">
        <v>696</v>
      </c>
      <c r="E2377" s="13" t="s">
        <v>421</v>
      </c>
      <c r="F2377" s="14" t="s">
        <v>62</v>
      </c>
      <c r="G2377" s="14" t="s">
        <v>407</v>
      </c>
      <c r="H2377" s="15" t="s">
        <v>426</v>
      </c>
      <c r="J2377" s="233"/>
      <c r="K2377" s="233">
        <v>1500</v>
      </c>
      <c r="M2377" s="17">
        <f t="shared" si="117"/>
        <v>380908.76</v>
      </c>
      <c r="N2377" s="11">
        <f t="shared" si="118"/>
        <v>12</v>
      </c>
    </row>
    <row r="2378" spans="1:14" x14ac:dyDescent="0.25">
      <c r="A2378" s="11" t="s">
        <v>0</v>
      </c>
      <c r="B2378" s="12">
        <v>45275</v>
      </c>
      <c r="C2378" s="11" t="s">
        <v>688</v>
      </c>
      <c r="D2378" s="11" t="s">
        <v>696</v>
      </c>
      <c r="E2378" s="13" t="s">
        <v>149</v>
      </c>
      <c r="F2378" s="14" t="s">
        <v>62</v>
      </c>
      <c r="G2378" s="14" t="s">
        <v>407</v>
      </c>
      <c r="H2378" s="15" t="s">
        <v>426</v>
      </c>
      <c r="J2378" s="233"/>
      <c r="K2378" s="233">
        <v>1150</v>
      </c>
      <c r="M2378" s="17">
        <f t="shared" si="117"/>
        <v>379758.76</v>
      </c>
      <c r="N2378" s="11">
        <f t="shared" si="118"/>
        <v>12</v>
      </c>
    </row>
    <row r="2379" spans="1:14" x14ac:dyDescent="0.25">
      <c r="A2379" s="11" t="s">
        <v>0</v>
      </c>
      <c r="B2379" s="12">
        <v>45275</v>
      </c>
      <c r="C2379" s="11" t="s">
        <v>688</v>
      </c>
      <c r="D2379" s="11" t="s">
        <v>700</v>
      </c>
      <c r="E2379" s="13" t="s">
        <v>317</v>
      </c>
      <c r="F2379" s="14" t="s">
        <v>810</v>
      </c>
      <c r="G2379" s="14" t="s">
        <v>407</v>
      </c>
      <c r="H2379" s="15" t="s">
        <v>426</v>
      </c>
      <c r="J2379" s="233"/>
      <c r="K2379" s="233">
        <v>120</v>
      </c>
      <c r="M2379" s="17">
        <f t="shared" si="117"/>
        <v>379638.76</v>
      </c>
      <c r="N2379" s="11">
        <f t="shared" si="118"/>
        <v>12</v>
      </c>
    </row>
    <row r="2380" spans="1:14" x14ac:dyDescent="0.25">
      <c r="A2380" s="11" t="s">
        <v>0</v>
      </c>
      <c r="B2380" s="12">
        <v>45275</v>
      </c>
      <c r="C2380" s="11" t="s">
        <v>688</v>
      </c>
      <c r="D2380" s="11" t="s">
        <v>694</v>
      </c>
      <c r="E2380" s="13" t="s">
        <v>2</v>
      </c>
      <c r="F2380" s="14" t="s">
        <v>599</v>
      </c>
      <c r="G2380" s="14" t="s">
        <v>488</v>
      </c>
      <c r="H2380" s="15" t="s">
        <v>426</v>
      </c>
      <c r="J2380" s="233"/>
      <c r="K2380" s="233">
        <v>381.94</v>
      </c>
      <c r="M2380" s="17">
        <f t="shared" si="117"/>
        <v>379256.82</v>
      </c>
      <c r="N2380" s="11">
        <f t="shared" si="118"/>
        <v>12</v>
      </c>
    </row>
    <row r="2381" spans="1:14" x14ac:dyDescent="0.25">
      <c r="A2381" s="11" t="s">
        <v>0</v>
      </c>
      <c r="B2381" s="12">
        <v>45275</v>
      </c>
      <c r="C2381" s="11" t="s">
        <v>688</v>
      </c>
      <c r="D2381" s="11" t="s">
        <v>698</v>
      </c>
      <c r="E2381" s="13" t="s">
        <v>183</v>
      </c>
      <c r="F2381" s="14" t="s">
        <v>802</v>
      </c>
      <c r="G2381" s="14" t="s">
        <v>407</v>
      </c>
      <c r="H2381" s="15" t="s">
        <v>426</v>
      </c>
      <c r="J2381" s="233"/>
      <c r="K2381" s="233">
        <v>70</v>
      </c>
      <c r="M2381" s="17">
        <f t="shared" si="117"/>
        <v>379186.82</v>
      </c>
      <c r="N2381" s="11">
        <f t="shared" si="118"/>
        <v>12</v>
      </c>
    </row>
    <row r="2382" spans="1:14" x14ac:dyDescent="0.25">
      <c r="A2382" s="11" t="s">
        <v>0</v>
      </c>
      <c r="B2382" s="12">
        <v>45275</v>
      </c>
      <c r="C2382" s="11" t="s">
        <v>688</v>
      </c>
      <c r="D2382" s="11" t="s">
        <v>698</v>
      </c>
      <c r="E2382" s="13" t="s">
        <v>809</v>
      </c>
      <c r="F2382" s="14" t="s">
        <v>629</v>
      </c>
      <c r="G2382" s="14" t="s">
        <v>407</v>
      </c>
      <c r="H2382" s="15" t="s">
        <v>426</v>
      </c>
      <c r="I2382" s="11">
        <f t="shared" si="115"/>
        <v>4</v>
      </c>
      <c r="J2382" s="233"/>
      <c r="K2382" s="233">
        <v>1200</v>
      </c>
      <c r="M2382" s="17">
        <f t="shared" si="117"/>
        <v>377986.82</v>
      </c>
      <c r="N2382" s="11">
        <f t="shared" si="118"/>
        <v>12</v>
      </c>
    </row>
    <row r="2383" spans="1:14" x14ac:dyDescent="0.25">
      <c r="A2383" s="11" t="s">
        <v>207</v>
      </c>
      <c r="B2383" s="12">
        <v>45275</v>
      </c>
      <c r="C2383" s="11" t="s">
        <v>688</v>
      </c>
      <c r="D2383" s="11" t="s">
        <v>43</v>
      </c>
      <c r="E2383" s="13" t="s">
        <v>288</v>
      </c>
      <c r="F2383" s="14" t="s">
        <v>288</v>
      </c>
      <c r="G2383" s="14" t="s">
        <v>173</v>
      </c>
      <c r="I2383" s="11">
        <f t="shared" si="115"/>
        <v>3</v>
      </c>
      <c r="J2383" s="16">
        <v>505</v>
      </c>
      <c r="M2383" s="17">
        <f t="shared" si="117"/>
        <v>378491.82</v>
      </c>
      <c r="N2383" s="11">
        <f t="shared" si="118"/>
        <v>12</v>
      </c>
    </row>
    <row r="2384" spans="1:14" x14ac:dyDescent="0.25">
      <c r="A2384" s="11" t="s">
        <v>207</v>
      </c>
      <c r="B2384" s="12">
        <v>45275</v>
      </c>
      <c r="C2384" s="11" t="s">
        <v>688</v>
      </c>
      <c r="D2384" s="11" t="s">
        <v>43</v>
      </c>
      <c r="E2384" s="13" t="s">
        <v>80</v>
      </c>
      <c r="F2384" s="14" t="s">
        <v>79</v>
      </c>
      <c r="G2384" s="14" t="s">
        <v>400</v>
      </c>
      <c r="I2384" s="11">
        <f t="shared" si="115"/>
        <v>2</v>
      </c>
      <c r="J2384" s="16">
        <v>1121.08</v>
      </c>
      <c r="M2384" s="17">
        <f t="shared" si="117"/>
        <v>379612.9</v>
      </c>
      <c r="N2384" s="11">
        <f t="shared" si="118"/>
        <v>12</v>
      </c>
    </row>
    <row r="2385" spans="1:14" x14ac:dyDescent="0.25">
      <c r="A2385" s="11" t="s">
        <v>207</v>
      </c>
      <c r="B2385" s="12">
        <v>45275</v>
      </c>
      <c r="C2385" s="11" t="s">
        <v>688</v>
      </c>
      <c r="D2385" s="11" t="s">
        <v>43</v>
      </c>
      <c r="E2385" s="13" t="s">
        <v>81</v>
      </c>
      <c r="F2385" s="14" t="s">
        <v>79</v>
      </c>
      <c r="G2385" s="14" t="s">
        <v>400</v>
      </c>
      <c r="I2385" s="11">
        <f t="shared" si="115"/>
        <v>2</v>
      </c>
      <c r="J2385" s="16">
        <v>2200.7600000000002</v>
      </c>
      <c r="M2385" s="17">
        <f t="shared" si="117"/>
        <v>381813.66000000003</v>
      </c>
      <c r="N2385" s="11">
        <f t="shared" si="118"/>
        <v>12</v>
      </c>
    </row>
    <row r="2386" spans="1:14" x14ac:dyDescent="0.25">
      <c r="A2386" s="11" t="s">
        <v>207</v>
      </c>
      <c r="B2386" s="12">
        <v>45275</v>
      </c>
      <c r="C2386" s="11" t="s">
        <v>688</v>
      </c>
      <c r="D2386" s="11" t="s">
        <v>43</v>
      </c>
      <c r="E2386" s="13" t="s">
        <v>382</v>
      </c>
      <c r="F2386" s="14" t="s">
        <v>13</v>
      </c>
      <c r="G2386" s="14" t="s">
        <v>400</v>
      </c>
      <c r="I2386" s="11">
        <f t="shared" si="115"/>
        <v>2</v>
      </c>
      <c r="J2386" s="16">
        <v>459.47</v>
      </c>
      <c r="M2386" s="17">
        <f t="shared" si="117"/>
        <v>382273.13</v>
      </c>
      <c r="N2386" s="11">
        <f t="shared" si="118"/>
        <v>12</v>
      </c>
    </row>
    <row r="2387" spans="1:14" x14ac:dyDescent="0.25">
      <c r="A2387" s="11" t="s">
        <v>207</v>
      </c>
      <c r="B2387" s="12">
        <v>45275</v>
      </c>
      <c r="C2387" s="11" t="s">
        <v>688</v>
      </c>
      <c r="D2387" s="11" t="s">
        <v>43</v>
      </c>
      <c r="E2387" s="13" t="s">
        <v>382</v>
      </c>
      <c r="F2387" s="14" t="s">
        <v>13</v>
      </c>
      <c r="G2387" s="14" t="s">
        <v>400</v>
      </c>
      <c r="I2387" s="11">
        <f t="shared" si="115"/>
        <v>2</v>
      </c>
      <c r="J2387" s="16">
        <v>150.25</v>
      </c>
      <c r="M2387" s="17">
        <f t="shared" si="117"/>
        <v>382423.38</v>
      </c>
      <c r="N2387" s="11">
        <f t="shared" si="118"/>
        <v>12</v>
      </c>
    </row>
    <row r="2388" spans="1:14" x14ac:dyDescent="0.25">
      <c r="A2388" s="11" t="s">
        <v>207</v>
      </c>
      <c r="B2388" s="12">
        <v>45275</v>
      </c>
      <c r="C2388" s="11" t="s">
        <v>688</v>
      </c>
      <c r="D2388" s="11" t="s">
        <v>43</v>
      </c>
      <c r="E2388" s="13" t="s">
        <v>382</v>
      </c>
      <c r="F2388" s="14" t="s">
        <v>13</v>
      </c>
      <c r="G2388" s="14" t="s">
        <v>400</v>
      </c>
      <c r="I2388" s="11">
        <f t="shared" si="115"/>
        <v>2</v>
      </c>
      <c r="J2388" s="16">
        <v>127.72</v>
      </c>
      <c r="M2388" s="17">
        <f t="shared" si="117"/>
        <v>382551.1</v>
      </c>
      <c r="N2388" s="11">
        <f t="shared" si="118"/>
        <v>12</v>
      </c>
    </row>
    <row r="2389" spans="1:14" x14ac:dyDescent="0.25">
      <c r="A2389" s="11" t="s">
        <v>207</v>
      </c>
      <c r="B2389" s="12">
        <v>45275</v>
      </c>
      <c r="C2389" s="11" t="s">
        <v>688</v>
      </c>
      <c r="D2389" s="11" t="s">
        <v>43</v>
      </c>
      <c r="E2389" s="13" t="s">
        <v>382</v>
      </c>
      <c r="F2389" s="14" t="s">
        <v>13</v>
      </c>
      <c r="G2389" s="14" t="s">
        <v>400</v>
      </c>
      <c r="I2389" s="11">
        <f t="shared" si="115"/>
        <v>2</v>
      </c>
      <c r="J2389" s="16">
        <v>153.27000000000001</v>
      </c>
      <c r="M2389" s="17">
        <f t="shared" si="117"/>
        <v>382704.37</v>
      </c>
      <c r="N2389" s="11">
        <f t="shared" si="118"/>
        <v>12</v>
      </c>
    </row>
    <row r="2390" spans="1:14" x14ac:dyDescent="0.25">
      <c r="A2390" s="11" t="s">
        <v>0</v>
      </c>
      <c r="B2390" s="12">
        <v>45275</v>
      </c>
      <c r="C2390" s="11" t="s">
        <v>688</v>
      </c>
      <c r="D2390" s="11" t="s">
        <v>694</v>
      </c>
      <c r="E2390" s="13" t="s">
        <v>182</v>
      </c>
      <c r="F2390" s="14" t="s">
        <v>365</v>
      </c>
      <c r="G2390" s="14" t="s">
        <v>402</v>
      </c>
      <c r="I2390" s="11">
        <f t="shared" si="115"/>
        <v>5</v>
      </c>
      <c r="K2390" s="16">
        <v>4.3499999999999996</v>
      </c>
      <c r="M2390" s="17">
        <f t="shared" si="117"/>
        <v>382700.02</v>
      </c>
      <c r="N2390" s="11">
        <f t="shared" si="118"/>
        <v>12</v>
      </c>
    </row>
    <row r="2391" spans="1:14" x14ac:dyDescent="0.25">
      <c r="A2391" s="11" t="s">
        <v>0</v>
      </c>
      <c r="B2391" s="12">
        <v>45275</v>
      </c>
      <c r="C2391" s="11" t="s">
        <v>688</v>
      </c>
      <c r="D2391" s="11" t="s">
        <v>694</v>
      </c>
      <c r="E2391" s="13" t="s">
        <v>182</v>
      </c>
      <c r="F2391" s="14" t="s">
        <v>23</v>
      </c>
      <c r="G2391" s="14" t="s">
        <v>402</v>
      </c>
      <c r="I2391" s="11">
        <f t="shared" si="115"/>
        <v>5</v>
      </c>
      <c r="K2391" s="16">
        <v>15.67</v>
      </c>
      <c r="M2391" s="17">
        <f t="shared" si="117"/>
        <v>382684.35000000003</v>
      </c>
      <c r="N2391" s="11">
        <f t="shared" si="118"/>
        <v>12</v>
      </c>
    </row>
    <row r="2392" spans="1:14" x14ac:dyDescent="0.25">
      <c r="A2392" s="11" t="s">
        <v>207</v>
      </c>
      <c r="B2392" s="12">
        <v>45275</v>
      </c>
      <c r="C2392" s="11" t="s">
        <v>688</v>
      </c>
      <c r="D2392" s="11" t="s">
        <v>43</v>
      </c>
      <c r="E2392" s="13">
        <v>45275</v>
      </c>
      <c r="F2392" s="14" t="s">
        <v>472</v>
      </c>
      <c r="G2392" s="14" t="s">
        <v>400</v>
      </c>
      <c r="I2392" s="11">
        <f t="shared" si="115"/>
        <v>2</v>
      </c>
      <c r="J2392" s="16">
        <v>636.1</v>
      </c>
      <c r="M2392" s="17">
        <f t="shared" si="117"/>
        <v>383320.45</v>
      </c>
      <c r="N2392" s="11">
        <f t="shared" si="118"/>
        <v>12</v>
      </c>
    </row>
    <row r="2393" spans="1:14" x14ac:dyDescent="0.25">
      <c r="A2393" s="11" t="s">
        <v>0</v>
      </c>
      <c r="B2393" s="12">
        <v>45275</v>
      </c>
      <c r="C2393" s="11" t="s">
        <v>688</v>
      </c>
      <c r="D2393" s="11" t="s">
        <v>692</v>
      </c>
      <c r="E2393" s="13" t="s">
        <v>492</v>
      </c>
      <c r="F2393" s="14" t="s">
        <v>111</v>
      </c>
      <c r="G2393" s="14" t="s">
        <v>404</v>
      </c>
      <c r="H2393" s="15" t="s">
        <v>437</v>
      </c>
      <c r="I2393" s="11">
        <f t="shared" si="115"/>
        <v>5</v>
      </c>
      <c r="K2393" s="16">
        <v>2786</v>
      </c>
      <c r="M2393" s="17">
        <f t="shared" si="117"/>
        <v>380534.45</v>
      </c>
      <c r="N2393" s="11">
        <f t="shared" si="118"/>
        <v>12</v>
      </c>
    </row>
    <row r="2394" spans="1:14" x14ac:dyDescent="0.25">
      <c r="A2394" s="11" t="s">
        <v>0</v>
      </c>
      <c r="B2394" s="12">
        <v>45275</v>
      </c>
      <c r="C2394" s="11" t="s">
        <v>688</v>
      </c>
      <c r="D2394" s="11" t="s">
        <v>720</v>
      </c>
      <c r="E2394" s="13" t="s">
        <v>183</v>
      </c>
      <c r="F2394" s="14" t="s">
        <v>366</v>
      </c>
      <c r="G2394" s="14" t="s">
        <v>404</v>
      </c>
      <c r="H2394" s="15">
        <v>58</v>
      </c>
      <c r="I2394" s="11">
        <f t="shared" ref="I2394:I2428" si="119">IF(AND(G2394="MERCADO PAGO",A2394="FATURAMENTO"),1,IF(AND(OR(G2394="MERCADO PAGO",G2394="pix mercado pago",G2394= "débito automático mercado pago", G2394= "boleto mercado pago"),A2394="DESPESAS"),4,IF(AND(G2394="SAFRA",A2394="FATURAMENTO"),2,IF(AND(OR(G2394="SAFRA",G2394="PIX SAFRA", G2394="DÉBITO AUTOMÁTICO SAFRA", G2394= "BOLETO SAFRA", G2394= "transferência safra"), A2394="DESPESAS"),5,IF(AND(G2394="espécie",A2394="FATURAMENTO"),3,IF(AND(G2394="espécie",A2394="DESPESAS"),6))))))</f>
        <v>5</v>
      </c>
      <c r="K2394" s="16">
        <v>120</v>
      </c>
      <c r="M2394" s="17">
        <f t="shared" si="117"/>
        <v>380414.45</v>
      </c>
      <c r="N2394" s="11">
        <f t="shared" si="118"/>
        <v>12</v>
      </c>
    </row>
    <row r="2395" spans="1:14" x14ac:dyDescent="0.25">
      <c r="A2395" s="11" t="s">
        <v>0</v>
      </c>
      <c r="B2395" s="12">
        <v>45275</v>
      </c>
      <c r="C2395" s="11" t="s">
        <v>688</v>
      </c>
      <c r="D2395" s="11" t="s">
        <v>692</v>
      </c>
      <c r="E2395" s="13" t="s">
        <v>719</v>
      </c>
      <c r="F2395" s="14" t="s">
        <v>58</v>
      </c>
      <c r="G2395" s="14" t="s">
        <v>404</v>
      </c>
      <c r="H2395" s="15" t="s">
        <v>437</v>
      </c>
      <c r="I2395" s="11">
        <f t="shared" si="119"/>
        <v>5</v>
      </c>
      <c r="K2395" s="16">
        <v>522</v>
      </c>
      <c r="M2395" s="17">
        <f t="shared" si="117"/>
        <v>379892.45</v>
      </c>
      <c r="N2395" s="11">
        <f t="shared" si="118"/>
        <v>12</v>
      </c>
    </row>
    <row r="2396" spans="1:14" x14ac:dyDescent="0.25">
      <c r="A2396" s="11" t="s">
        <v>0</v>
      </c>
      <c r="B2396" s="12">
        <v>45275</v>
      </c>
      <c r="C2396" s="11" t="s">
        <v>688</v>
      </c>
      <c r="D2396" s="11" t="s">
        <v>692</v>
      </c>
      <c r="E2396" s="13" t="s">
        <v>725</v>
      </c>
      <c r="F2396" s="14" t="s">
        <v>27</v>
      </c>
      <c r="G2396" s="14" t="s">
        <v>404</v>
      </c>
      <c r="H2396" s="15" t="s">
        <v>437</v>
      </c>
      <c r="I2396" s="11">
        <f t="shared" si="119"/>
        <v>5</v>
      </c>
      <c r="K2396" s="16">
        <v>1302.21</v>
      </c>
      <c r="M2396" s="17">
        <f t="shared" si="117"/>
        <v>378590.24</v>
      </c>
      <c r="N2396" s="11">
        <f t="shared" si="118"/>
        <v>12</v>
      </c>
    </row>
    <row r="2397" spans="1:14" x14ac:dyDescent="0.25">
      <c r="A2397" s="11" t="s">
        <v>0</v>
      </c>
      <c r="B2397" s="12">
        <v>45275</v>
      </c>
      <c r="C2397" s="11" t="s">
        <v>688</v>
      </c>
      <c r="D2397" s="11" t="s">
        <v>699</v>
      </c>
      <c r="E2397" s="13" t="s">
        <v>98</v>
      </c>
      <c r="F2397" s="14" t="s">
        <v>206</v>
      </c>
      <c r="G2397" s="14" t="s">
        <v>404</v>
      </c>
      <c r="H2397" s="15">
        <v>7532</v>
      </c>
      <c r="I2397" s="11">
        <f t="shared" si="119"/>
        <v>5</v>
      </c>
      <c r="K2397" s="16">
        <v>250</v>
      </c>
      <c r="M2397" s="17">
        <f t="shared" si="117"/>
        <v>378340.24</v>
      </c>
      <c r="N2397" s="11">
        <f t="shared" si="118"/>
        <v>12</v>
      </c>
    </row>
    <row r="2398" spans="1:14" x14ac:dyDescent="0.25">
      <c r="A2398" s="11" t="s">
        <v>0</v>
      </c>
      <c r="B2398" s="12">
        <v>45275</v>
      </c>
      <c r="C2398" s="11" t="s">
        <v>688</v>
      </c>
      <c r="D2398" s="11" t="s">
        <v>692</v>
      </c>
      <c r="E2398" s="13" t="s">
        <v>730</v>
      </c>
      <c r="F2398" s="14" t="s">
        <v>34</v>
      </c>
      <c r="G2398" s="14" t="s">
        <v>404</v>
      </c>
      <c r="H2398" s="15" t="s">
        <v>437</v>
      </c>
      <c r="I2398" s="11">
        <f t="shared" si="119"/>
        <v>5</v>
      </c>
      <c r="K2398" s="16">
        <v>2092.11</v>
      </c>
      <c r="M2398" s="17">
        <f t="shared" si="117"/>
        <v>376248.13</v>
      </c>
      <c r="N2398" s="11">
        <f t="shared" si="118"/>
        <v>12</v>
      </c>
    </row>
    <row r="2399" spans="1:14" x14ac:dyDescent="0.25">
      <c r="A2399" s="11" t="s">
        <v>0</v>
      </c>
      <c r="B2399" s="12">
        <v>45276</v>
      </c>
      <c r="C2399" s="11" t="s">
        <v>748</v>
      </c>
      <c r="D2399" s="11" t="s">
        <v>701</v>
      </c>
      <c r="E2399" s="13" t="s">
        <v>814</v>
      </c>
      <c r="F2399" s="14" t="s">
        <v>815</v>
      </c>
      <c r="G2399" s="14" t="s">
        <v>407</v>
      </c>
      <c r="H2399" s="15" t="s">
        <v>426</v>
      </c>
      <c r="I2399" s="11">
        <f t="shared" si="119"/>
        <v>4</v>
      </c>
      <c r="J2399" s="233"/>
      <c r="K2399" s="233">
        <v>1850</v>
      </c>
      <c r="M2399" s="17">
        <f t="shared" si="117"/>
        <v>374398.13</v>
      </c>
      <c r="N2399" s="11">
        <f t="shared" si="118"/>
        <v>12</v>
      </c>
    </row>
    <row r="2400" spans="1:14" x14ac:dyDescent="0.25">
      <c r="A2400" s="11" t="s">
        <v>207</v>
      </c>
      <c r="B2400" s="12">
        <v>45276</v>
      </c>
      <c r="C2400" s="11" t="s">
        <v>688</v>
      </c>
      <c r="D2400" s="11" t="s">
        <v>43</v>
      </c>
      <c r="E2400" s="13" t="s">
        <v>288</v>
      </c>
      <c r="F2400" s="14" t="s">
        <v>288</v>
      </c>
      <c r="G2400" s="14" t="s">
        <v>173</v>
      </c>
      <c r="I2400" s="11">
        <f t="shared" si="119"/>
        <v>3</v>
      </c>
      <c r="J2400" s="16">
        <v>160</v>
      </c>
      <c r="M2400" s="17">
        <f t="shared" si="117"/>
        <v>374558.13</v>
      </c>
      <c r="N2400" s="11">
        <f t="shared" si="118"/>
        <v>12</v>
      </c>
    </row>
    <row r="2401" spans="1:14" x14ac:dyDescent="0.25">
      <c r="A2401" s="11" t="s">
        <v>0</v>
      </c>
      <c r="B2401" s="12">
        <v>45278</v>
      </c>
      <c r="C2401" s="11" t="s">
        <v>688</v>
      </c>
      <c r="D2401" s="11" t="s">
        <v>47</v>
      </c>
      <c r="E2401" s="13" t="s">
        <v>652</v>
      </c>
      <c r="F2401" s="14" t="s">
        <v>651</v>
      </c>
      <c r="G2401" s="14" t="s">
        <v>404</v>
      </c>
      <c r="H2401" s="15">
        <v>10748</v>
      </c>
      <c r="I2401" s="11">
        <f t="shared" si="119"/>
        <v>5</v>
      </c>
      <c r="K2401" s="16">
        <v>3321.75</v>
      </c>
      <c r="M2401" s="17">
        <f t="shared" si="117"/>
        <v>371236.38</v>
      </c>
      <c r="N2401" s="11">
        <f t="shared" si="118"/>
        <v>12</v>
      </c>
    </row>
    <row r="2402" spans="1:14" x14ac:dyDescent="0.25">
      <c r="A2402" s="11" t="s">
        <v>207</v>
      </c>
      <c r="B2402" s="12">
        <v>45276</v>
      </c>
      <c r="C2402" s="11" t="s">
        <v>688</v>
      </c>
      <c r="D2402" s="11" t="s">
        <v>43</v>
      </c>
      <c r="E2402" s="14" t="s">
        <v>429</v>
      </c>
      <c r="F2402" s="14" t="s">
        <v>429</v>
      </c>
      <c r="G2402" s="14" t="s">
        <v>428</v>
      </c>
      <c r="I2402" s="11">
        <f t="shared" si="119"/>
        <v>1</v>
      </c>
      <c r="J2402" s="16">
        <v>1168</v>
      </c>
      <c r="M2402" s="17">
        <f t="shared" si="117"/>
        <v>372404.38</v>
      </c>
      <c r="N2402" s="11">
        <f t="shared" si="118"/>
        <v>12</v>
      </c>
    </row>
    <row r="2403" spans="1:14" x14ac:dyDescent="0.25">
      <c r="A2403" s="11" t="s">
        <v>207</v>
      </c>
      <c r="B2403" s="12">
        <v>45277</v>
      </c>
      <c r="C2403" s="11" t="s">
        <v>688</v>
      </c>
      <c r="D2403" s="11" t="s">
        <v>43</v>
      </c>
      <c r="E2403" s="14" t="s">
        <v>288</v>
      </c>
      <c r="F2403" s="14" t="s">
        <v>288</v>
      </c>
      <c r="G2403" s="14" t="s">
        <v>173</v>
      </c>
      <c r="I2403" s="11">
        <f t="shared" si="119"/>
        <v>3</v>
      </c>
      <c r="J2403" s="16">
        <v>1570</v>
      </c>
      <c r="M2403" s="17">
        <f t="shared" si="117"/>
        <v>373974.38</v>
      </c>
      <c r="N2403" s="11">
        <f t="shared" si="118"/>
        <v>12</v>
      </c>
    </row>
    <row r="2404" spans="1:14" x14ac:dyDescent="0.25">
      <c r="A2404" s="11" t="s">
        <v>207</v>
      </c>
      <c r="B2404" s="12">
        <v>45277</v>
      </c>
      <c r="C2404" s="11" t="s">
        <v>688</v>
      </c>
      <c r="D2404" s="11" t="s">
        <v>43</v>
      </c>
      <c r="E2404" s="14" t="s">
        <v>429</v>
      </c>
      <c r="F2404" s="14" t="s">
        <v>429</v>
      </c>
      <c r="G2404" s="14" t="s">
        <v>428</v>
      </c>
      <c r="I2404" s="11">
        <f t="shared" si="119"/>
        <v>1</v>
      </c>
      <c r="J2404" s="16">
        <v>940</v>
      </c>
      <c r="M2404" s="17">
        <f t="shared" si="117"/>
        <v>374914.38</v>
      </c>
      <c r="N2404" s="11">
        <f t="shared" si="118"/>
        <v>12</v>
      </c>
    </row>
    <row r="2405" spans="1:14" x14ac:dyDescent="0.25">
      <c r="A2405" s="11" t="s">
        <v>207</v>
      </c>
      <c r="B2405" s="12">
        <v>45278</v>
      </c>
      <c r="C2405" s="11" t="s">
        <v>662</v>
      </c>
      <c r="D2405" s="11" t="s">
        <v>43</v>
      </c>
      <c r="E2405" s="13">
        <v>45278</v>
      </c>
      <c r="F2405" s="14" t="s">
        <v>472</v>
      </c>
      <c r="G2405" s="14" t="s">
        <v>400</v>
      </c>
      <c r="I2405" s="11">
        <f t="shared" si="119"/>
        <v>2</v>
      </c>
      <c r="J2405" s="16">
        <v>1940</v>
      </c>
      <c r="M2405" s="17">
        <f t="shared" si="117"/>
        <v>376854.38</v>
      </c>
      <c r="N2405" s="11">
        <f t="shared" si="118"/>
        <v>12</v>
      </c>
    </row>
    <row r="2406" spans="1:14" x14ac:dyDescent="0.25">
      <c r="A2406" s="11" t="s">
        <v>0</v>
      </c>
      <c r="B2406" s="12">
        <v>45278</v>
      </c>
      <c r="C2406" s="11" t="s">
        <v>688</v>
      </c>
      <c r="D2406" s="11" t="s">
        <v>697</v>
      </c>
      <c r="E2406" s="13" t="s">
        <v>697</v>
      </c>
      <c r="F2406" s="14" t="s">
        <v>816</v>
      </c>
      <c r="G2406" s="14" t="s">
        <v>407</v>
      </c>
      <c r="H2406" s="15" t="s">
        <v>426</v>
      </c>
      <c r="I2406" s="11">
        <f t="shared" si="119"/>
        <v>4</v>
      </c>
      <c r="J2406" s="233"/>
      <c r="K2406" s="233">
        <v>600</v>
      </c>
      <c r="M2406" s="17">
        <f t="shared" si="117"/>
        <v>376254.38</v>
      </c>
      <c r="N2406" s="11">
        <f t="shared" si="118"/>
        <v>12</v>
      </c>
    </row>
    <row r="2407" spans="1:14" x14ac:dyDescent="0.25">
      <c r="A2407" s="11" t="s">
        <v>0</v>
      </c>
      <c r="B2407" s="12">
        <v>45278</v>
      </c>
      <c r="C2407" s="11" t="s">
        <v>688</v>
      </c>
      <c r="D2407" s="11" t="s">
        <v>696</v>
      </c>
      <c r="E2407" s="13" t="s">
        <v>790</v>
      </c>
      <c r="F2407" s="14" t="s">
        <v>62</v>
      </c>
      <c r="G2407" s="14" t="s">
        <v>407</v>
      </c>
      <c r="H2407" s="15" t="s">
        <v>426</v>
      </c>
      <c r="I2407" s="11">
        <f t="shared" si="119"/>
        <v>4</v>
      </c>
      <c r="J2407" s="233"/>
      <c r="K2407" s="233">
        <v>350</v>
      </c>
      <c r="M2407" s="17">
        <f t="shared" si="117"/>
        <v>375904.38</v>
      </c>
      <c r="N2407" s="11">
        <f t="shared" si="118"/>
        <v>12</v>
      </c>
    </row>
    <row r="2408" spans="1:14" x14ac:dyDescent="0.25">
      <c r="A2408" s="11" t="s">
        <v>207</v>
      </c>
      <c r="B2408" s="12">
        <v>45278</v>
      </c>
      <c r="C2408" s="11" t="s">
        <v>688</v>
      </c>
      <c r="D2408" s="11" t="s">
        <v>43</v>
      </c>
      <c r="E2408" s="13">
        <v>45278</v>
      </c>
      <c r="F2408" s="14" t="s">
        <v>472</v>
      </c>
      <c r="G2408" s="14" t="s">
        <v>400</v>
      </c>
      <c r="I2408" s="11">
        <f t="shared" si="119"/>
        <v>2</v>
      </c>
      <c r="J2408" s="16">
        <v>1287.1500000000001</v>
      </c>
      <c r="M2408" s="17">
        <f t="shared" si="117"/>
        <v>377191.53</v>
      </c>
      <c r="N2408" s="11">
        <f t="shared" si="118"/>
        <v>12</v>
      </c>
    </row>
    <row r="2409" spans="1:14" x14ac:dyDescent="0.25">
      <c r="A2409" s="11" t="s">
        <v>0</v>
      </c>
      <c r="B2409" s="12">
        <v>45278</v>
      </c>
      <c r="C2409" s="11" t="s">
        <v>688</v>
      </c>
      <c r="D2409" s="11" t="s">
        <v>694</v>
      </c>
      <c r="E2409" s="13" t="s">
        <v>182</v>
      </c>
      <c r="F2409" s="14" t="s">
        <v>365</v>
      </c>
      <c r="G2409" s="14" t="s">
        <v>402</v>
      </c>
      <c r="I2409" s="11">
        <f t="shared" si="119"/>
        <v>5</v>
      </c>
      <c r="K2409" s="16">
        <v>22.12</v>
      </c>
      <c r="M2409" s="17">
        <f t="shared" si="117"/>
        <v>377169.41000000003</v>
      </c>
      <c r="N2409" s="11">
        <f t="shared" si="118"/>
        <v>12</v>
      </c>
    </row>
    <row r="2410" spans="1:14" x14ac:dyDescent="0.25">
      <c r="A2410" s="11" t="s">
        <v>0</v>
      </c>
      <c r="B2410" s="12">
        <v>45278</v>
      </c>
      <c r="C2410" s="11" t="s">
        <v>688</v>
      </c>
      <c r="D2410" s="11" t="s">
        <v>694</v>
      </c>
      <c r="E2410" s="13" t="s">
        <v>182</v>
      </c>
      <c r="F2410" s="14" t="s">
        <v>23</v>
      </c>
      <c r="G2410" s="14" t="s">
        <v>402</v>
      </c>
      <c r="I2410" s="11">
        <f t="shared" si="119"/>
        <v>5</v>
      </c>
      <c r="K2410" s="16">
        <v>51.13</v>
      </c>
      <c r="M2410" s="17">
        <f t="shared" si="117"/>
        <v>377118.28</v>
      </c>
      <c r="N2410" s="11">
        <f t="shared" si="118"/>
        <v>12</v>
      </c>
    </row>
    <row r="2411" spans="1:14" x14ac:dyDescent="0.25">
      <c r="A2411" s="11" t="s">
        <v>0</v>
      </c>
      <c r="B2411" s="12">
        <v>45278</v>
      </c>
      <c r="C2411" s="11" t="s">
        <v>688</v>
      </c>
      <c r="D2411" s="11" t="s">
        <v>692</v>
      </c>
      <c r="E2411" s="13" t="s">
        <v>143</v>
      </c>
      <c r="F2411" s="14" t="s">
        <v>653</v>
      </c>
      <c r="G2411" s="14" t="s">
        <v>404</v>
      </c>
      <c r="H2411" s="15" t="s">
        <v>437</v>
      </c>
      <c r="I2411" s="11">
        <f t="shared" si="119"/>
        <v>5</v>
      </c>
      <c r="K2411" s="16">
        <v>2653.2</v>
      </c>
      <c r="M2411" s="17">
        <f t="shared" si="117"/>
        <v>374465.08</v>
      </c>
      <c r="N2411" s="11">
        <f t="shared" si="118"/>
        <v>12</v>
      </c>
    </row>
    <row r="2412" spans="1:14" x14ac:dyDescent="0.25">
      <c r="A2412" s="11" t="s">
        <v>0</v>
      </c>
      <c r="B2412" s="12">
        <v>45278</v>
      </c>
      <c r="C2412" s="11" t="s">
        <v>688</v>
      </c>
      <c r="D2412" s="11" t="s">
        <v>698</v>
      </c>
      <c r="E2412" s="13" t="s">
        <v>389</v>
      </c>
      <c r="F2412" s="14" t="s">
        <v>388</v>
      </c>
      <c r="G2412" s="14" t="s">
        <v>404</v>
      </c>
      <c r="H2412" s="15" t="s">
        <v>437</v>
      </c>
      <c r="I2412" s="11">
        <f t="shared" si="119"/>
        <v>5</v>
      </c>
      <c r="K2412" s="16">
        <v>2930</v>
      </c>
      <c r="M2412" s="17">
        <f t="shared" si="117"/>
        <v>371535.08</v>
      </c>
      <c r="N2412" s="11">
        <f t="shared" si="118"/>
        <v>12</v>
      </c>
    </row>
    <row r="2413" spans="1:14" x14ac:dyDescent="0.25">
      <c r="A2413" s="11" t="s">
        <v>0</v>
      </c>
      <c r="B2413" s="12">
        <v>45278</v>
      </c>
      <c r="C2413" s="11" t="s">
        <v>688</v>
      </c>
      <c r="D2413" s="11" t="s">
        <v>692</v>
      </c>
      <c r="E2413" s="13" t="s">
        <v>725</v>
      </c>
      <c r="F2413" s="14" t="s">
        <v>27</v>
      </c>
      <c r="G2413" s="14" t="s">
        <v>404</v>
      </c>
      <c r="H2413" s="15" t="s">
        <v>437</v>
      </c>
      <c r="I2413" s="11">
        <f t="shared" si="119"/>
        <v>5</v>
      </c>
      <c r="K2413" s="16">
        <v>341.31</v>
      </c>
      <c r="M2413" s="17">
        <f t="shared" si="117"/>
        <v>371193.77</v>
      </c>
      <c r="N2413" s="11">
        <f t="shared" si="118"/>
        <v>12</v>
      </c>
    </row>
    <row r="2414" spans="1:14" x14ac:dyDescent="0.25">
      <c r="A2414" s="11" t="s">
        <v>207</v>
      </c>
      <c r="B2414" s="12">
        <v>45278</v>
      </c>
      <c r="C2414" s="11" t="s">
        <v>688</v>
      </c>
      <c r="D2414" s="11" t="s">
        <v>43</v>
      </c>
      <c r="E2414" s="13" t="s">
        <v>382</v>
      </c>
      <c r="F2414" s="14" t="s">
        <v>13</v>
      </c>
      <c r="G2414" s="14" t="s">
        <v>400</v>
      </c>
      <c r="I2414" s="11">
        <f t="shared" si="119"/>
        <v>2</v>
      </c>
      <c r="J2414" s="16">
        <v>164.71</v>
      </c>
      <c r="M2414" s="17">
        <f t="shared" si="117"/>
        <v>371358.48000000004</v>
      </c>
      <c r="N2414" s="11">
        <f t="shared" si="118"/>
        <v>12</v>
      </c>
    </row>
    <row r="2415" spans="1:14" x14ac:dyDescent="0.25">
      <c r="A2415" s="11" t="s">
        <v>207</v>
      </c>
      <c r="B2415" s="12">
        <v>45278</v>
      </c>
      <c r="C2415" s="11" t="s">
        <v>688</v>
      </c>
      <c r="D2415" s="11" t="s">
        <v>43</v>
      </c>
      <c r="E2415" s="13" t="s">
        <v>382</v>
      </c>
      <c r="F2415" s="14" t="s">
        <v>13</v>
      </c>
      <c r="G2415" s="14" t="s">
        <v>400</v>
      </c>
      <c r="I2415" s="11">
        <f t="shared" si="119"/>
        <v>2</v>
      </c>
      <c r="J2415" s="16">
        <v>722.5</v>
      </c>
      <c r="M2415" s="17">
        <f t="shared" si="117"/>
        <v>372080.98000000004</v>
      </c>
      <c r="N2415" s="11">
        <f t="shared" si="118"/>
        <v>12</v>
      </c>
    </row>
    <row r="2416" spans="1:14" x14ac:dyDescent="0.25">
      <c r="A2416" s="11" t="s">
        <v>207</v>
      </c>
      <c r="B2416" s="12">
        <v>45278</v>
      </c>
      <c r="C2416" s="11" t="s">
        <v>688</v>
      </c>
      <c r="D2416" s="11" t="s">
        <v>43</v>
      </c>
      <c r="E2416" s="13" t="s">
        <v>382</v>
      </c>
      <c r="F2416" s="14" t="s">
        <v>13</v>
      </c>
      <c r="G2416" s="14" t="s">
        <v>400</v>
      </c>
      <c r="I2416" s="11">
        <f t="shared" si="119"/>
        <v>2</v>
      </c>
      <c r="J2416" s="16">
        <v>24.79</v>
      </c>
      <c r="M2416" s="17">
        <f t="shared" si="117"/>
        <v>372105.77</v>
      </c>
      <c r="N2416" s="11">
        <f t="shared" si="118"/>
        <v>12</v>
      </c>
    </row>
    <row r="2417" spans="1:14" x14ac:dyDescent="0.25">
      <c r="A2417" s="11" t="s">
        <v>207</v>
      </c>
      <c r="B2417" s="12">
        <v>45278</v>
      </c>
      <c r="C2417" s="11" t="s">
        <v>688</v>
      </c>
      <c r="D2417" s="11" t="s">
        <v>43</v>
      </c>
      <c r="E2417" s="13" t="s">
        <v>382</v>
      </c>
      <c r="F2417" s="14" t="s">
        <v>13</v>
      </c>
      <c r="G2417" s="14" t="s">
        <v>400</v>
      </c>
      <c r="I2417" s="11">
        <f t="shared" si="119"/>
        <v>2</v>
      </c>
      <c r="J2417" s="16">
        <v>939.42</v>
      </c>
      <c r="M2417" s="17">
        <f t="shared" si="117"/>
        <v>373045.19</v>
      </c>
      <c r="N2417" s="11">
        <f t="shared" si="118"/>
        <v>12</v>
      </c>
    </row>
    <row r="2418" spans="1:14" x14ac:dyDescent="0.25">
      <c r="A2418" s="11" t="s">
        <v>207</v>
      </c>
      <c r="B2418" s="12">
        <v>45278</v>
      </c>
      <c r="C2418" s="11" t="s">
        <v>688</v>
      </c>
      <c r="D2418" s="11" t="s">
        <v>43</v>
      </c>
      <c r="E2418" s="13" t="s">
        <v>382</v>
      </c>
      <c r="F2418" s="14" t="s">
        <v>13</v>
      </c>
      <c r="G2418" s="14" t="s">
        <v>400</v>
      </c>
      <c r="I2418" s="11">
        <f t="shared" si="119"/>
        <v>2</v>
      </c>
      <c r="J2418" s="16">
        <v>246.46</v>
      </c>
      <c r="M2418" s="17">
        <f t="shared" si="117"/>
        <v>373291.65</v>
      </c>
      <c r="N2418" s="11">
        <f t="shared" si="118"/>
        <v>12</v>
      </c>
    </row>
    <row r="2419" spans="1:14" x14ac:dyDescent="0.25">
      <c r="A2419" s="11" t="s">
        <v>207</v>
      </c>
      <c r="B2419" s="12">
        <v>45278</v>
      </c>
      <c r="C2419" s="11" t="s">
        <v>688</v>
      </c>
      <c r="D2419" s="11" t="s">
        <v>43</v>
      </c>
      <c r="E2419" s="13" t="s">
        <v>382</v>
      </c>
      <c r="F2419" s="14" t="s">
        <v>13</v>
      </c>
      <c r="G2419" s="14" t="s">
        <v>400</v>
      </c>
      <c r="I2419" s="11">
        <f t="shared" si="119"/>
        <v>2</v>
      </c>
      <c r="J2419" s="16">
        <v>127.88</v>
      </c>
      <c r="M2419" s="17">
        <f t="shared" si="117"/>
        <v>373419.53</v>
      </c>
      <c r="N2419" s="11">
        <f t="shared" si="118"/>
        <v>12</v>
      </c>
    </row>
    <row r="2420" spans="1:14" x14ac:dyDescent="0.25">
      <c r="A2420" s="11" t="s">
        <v>207</v>
      </c>
      <c r="B2420" s="12">
        <v>45278</v>
      </c>
      <c r="C2420" s="11" t="s">
        <v>688</v>
      </c>
      <c r="D2420" s="11" t="s">
        <v>43</v>
      </c>
      <c r="E2420" s="13" t="s">
        <v>382</v>
      </c>
      <c r="F2420" s="14" t="s">
        <v>13</v>
      </c>
      <c r="G2420" s="14" t="s">
        <v>400</v>
      </c>
      <c r="I2420" s="11">
        <f t="shared" si="119"/>
        <v>2</v>
      </c>
      <c r="J2420" s="16">
        <v>281.99</v>
      </c>
      <c r="M2420" s="17">
        <f t="shared" si="117"/>
        <v>373701.52</v>
      </c>
      <c r="N2420" s="11">
        <f t="shared" si="118"/>
        <v>12</v>
      </c>
    </row>
    <row r="2421" spans="1:14" x14ac:dyDescent="0.25">
      <c r="A2421" s="11" t="s">
        <v>207</v>
      </c>
      <c r="B2421" s="12">
        <v>45278</v>
      </c>
      <c r="C2421" s="11" t="s">
        <v>688</v>
      </c>
      <c r="D2421" s="11" t="s">
        <v>43</v>
      </c>
      <c r="E2421" s="13" t="s">
        <v>382</v>
      </c>
      <c r="F2421" s="14" t="s">
        <v>13</v>
      </c>
      <c r="G2421" s="14" t="s">
        <v>400</v>
      </c>
      <c r="I2421" s="11">
        <f t="shared" si="119"/>
        <v>2</v>
      </c>
      <c r="J2421" s="16">
        <v>18.260000000000002</v>
      </c>
      <c r="M2421" s="17">
        <f t="shared" si="117"/>
        <v>373719.78</v>
      </c>
      <c r="N2421" s="11">
        <f t="shared" si="118"/>
        <v>12</v>
      </c>
    </row>
    <row r="2422" spans="1:14" x14ac:dyDescent="0.25">
      <c r="A2422" s="11" t="s">
        <v>207</v>
      </c>
      <c r="B2422" s="12">
        <v>45278</v>
      </c>
      <c r="C2422" s="11" t="s">
        <v>688</v>
      </c>
      <c r="D2422" s="11" t="s">
        <v>43</v>
      </c>
      <c r="E2422" s="13" t="s">
        <v>382</v>
      </c>
      <c r="F2422" s="14" t="s">
        <v>13</v>
      </c>
      <c r="G2422" s="14" t="s">
        <v>400</v>
      </c>
      <c r="I2422" s="11">
        <f t="shared" si="119"/>
        <v>2</v>
      </c>
      <c r="J2422" s="16">
        <v>376.22</v>
      </c>
      <c r="M2422" s="17">
        <f t="shared" si="117"/>
        <v>374096</v>
      </c>
      <c r="N2422" s="11">
        <f t="shared" si="118"/>
        <v>12</v>
      </c>
    </row>
    <row r="2423" spans="1:14" x14ac:dyDescent="0.25">
      <c r="A2423" s="11" t="s">
        <v>207</v>
      </c>
      <c r="B2423" s="12">
        <v>45278</v>
      </c>
      <c r="C2423" s="11" t="s">
        <v>688</v>
      </c>
      <c r="D2423" s="11" t="s">
        <v>43</v>
      </c>
      <c r="E2423" s="13" t="s">
        <v>382</v>
      </c>
      <c r="F2423" s="14" t="s">
        <v>13</v>
      </c>
      <c r="G2423" s="14" t="s">
        <v>400</v>
      </c>
      <c r="I2423" s="11">
        <f t="shared" si="119"/>
        <v>2</v>
      </c>
      <c r="J2423" s="16">
        <v>782.74</v>
      </c>
      <c r="M2423" s="17">
        <f t="shared" si="117"/>
        <v>374878.74</v>
      </c>
      <c r="N2423" s="11">
        <f t="shared" si="118"/>
        <v>12</v>
      </c>
    </row>
    <row r="2424" spans="1:14" x14ac:dyDescent="0.25">
      <c r="A2424" s="11" t="s">
        <v>207</v>
      </c>
      <c r="B2424" s="12">
        <v>45278</v>
      </c>
      <c r="C2424" s="11" t="s">
        <v>688</v>
      </c>
      <c r="D2424" s="11" t="s">
        <v>43</v>
      </c>
      <c r="E2424" s="13" t="s">
        <v>382</v>
      </c>
      <c r="F2424" s="14" t="s">
        <v>13</v>
      </c>
      <c r="G2424" s="14" t="s">
        <v>400</v>
      </c>
      <c r="I2424" s="11">
        <f t="shared" si="119"/>
        <v>2</v>
      </c>
      <c r="J2424" s="16">
        <v>540.97</v>
      </c>
      <c r="M2424" s="17">
        <f t="shared" si="117"/>
        <v>375419.70999999996</v>
      </c>
      <c r="N2424" s="11">
        <f t="shared" si="118"/>
        <v>12</v>
      </c>
    </row>
    <row r="2425" spans="1:14" x14ac:dyDescent="0.25">
      <c r="A2425" s="11" t="s">
        <v>207</v>
      </c>
      <c r="B2425" s="12">
        <v>45278</v>
      </c>
      <c r="C2425" s="11" t="s">
        <v>688</v>
      </c>
      <c r="D2425" s="11" t="s">
        <v>43</v>
      </c>
      <c r="E2425" s="13" t="s">
        <v>382</v>
      </c>
      <c r="F2425" s="14" t="s">
        <v>13</v>
      </c>
      <c r="G2425" s="14" t="s">
        <v>400</v>
      </c>
      <c r="I2425" s="11">
        <f t="shared" si="119"/>
        <v>2</v>
      </c>
      <c r="J2425" s="16">
        <v>1227.55</v>
      </c>
      <c r="M2425" s="17">
        <f t="shared" si="117"/>
        <v>376647.25999999995</v>
      </c>
      <c r="N2425" s="11">
        <f t="shared" si="118"/>
        <v>12</v>
      </c>
    </row>
    <row r="2426" spans="1:14" x14ac:dyDescent="0.25">
      <c r="A2426" s="11" t="s">
        <v>207</v>
      </c>
      <c r="B2426" s="12">
        <v>45278</v>
      </c>
      <c r="C2426" s="11" t="s">
        <v>688</v>
      </c>
      <c r="D2426" s="11" t="s">
        <v>43</v>
      </c>
      <c r="E2426" s="13" t="s">
        <v>80</v>
      </c>
      <c r="F2426" s="14" t="s">
        <v>79</v>
      </c>
      <c r="G2426" s="14" t="s">
        <v>400</v>
      </c>
      <c r="I2426" s="11">
        <f t="shared" si="119"/>
        <v>2</v>
      </c>
      <c r="J2426" s="16">
        <v>5841.65</v>
      </c>
      <c r="M2426" s="17">
        <f t="shared" si="117"/>
        <v>382488.91</v>
      </c>
      <c r="N2426" s="11">
        <f t="shared" si="118"/>
        <v>12</v>
      </c>
    </row>
    <row r="2427" spans="1:14" x14ac:dyDescent="0.25">
      <c r="A2427" s="11" t="s">
        <v>207</v>
      </c>
      <c r="B2427" s="12">
        <v>45278</v>
      </c>
      <c r="C2427" s="11" t="s">
        <v>688</v>
      </c>
      <c r="D2427" s="11" t="s">
        <v>43</v>
      </c>
      <c r="E2427" s="13" t="s">
        <v>81</v>
      </c>
      <c r="F2427" s="14" t="s">
        <v>79</v>
      </c>
      <c r="G2427" s="14" t="s">
        <v>400</v>
      </c>
      <c r="I2427" s="11">
        <f t="shared" si="119"/>
        <v>2</v>
      </c>
      <c r="J2427" s="16">
        <v>7983.02</v>
      </c>
      <c r="M2427" s="17">
        <f t="shared" si="117"/>
        <v>390471.93</v>
      </c>
      <c r="N2427" s="11">
        <f t="shared" si="118"/>
        <v>12</v>
      </c>
    </row>
    <row r="2428" spans="1:14" x14ac:dyDescent="0.25">
      <c r="A2428" s="11" t="s">
        <v>207</v>
      </c>
      <c r="B2428" s="12">
        <v>45278</v>
      </c>
      <c r="C2428" s="11" t="s">
        <v>688</v>
      </c>
      <c r="D2428" s="11" t="s">
        <v>43</v>
      </c>
      <c r="E2428" s="13" t="s">
        <v>82</v>
      </c>
      <c r="F2428" s="14" t="s">
        <v>79</v>
      </c>
      <c r="G2428" s="14" t="s">
        <v>400</v>
      </c>
      <c r="I2428" s="11">
        <f t="shared" si="119"/>
        <v>2</v>
      </c>
      <c r="J2428" s="16">
        <v>551.16999999999996</v>
      </c>
      <c r="M2428" s="17">
        <f t="shared" si="117"/>
        <v>391023.1</v>
      </c>
      <c r="N2428" s="11">
        <f t="shared" si="118"/>
        <v>12</v>
      </c>
    </row>
    <row r="2429" spans="1:14" x14ac:dyDescent="0.25">
      <c r="A2429" s="11" t="s">
        <v>0</v>
      </c>
      <c r="B2429" s="12">
        <v>45278</v>
      </c>
      <c r="C2429" s="11" t="s">
        <v>688</v>
      </c>
      <c r="D2429" s="11" t="s">
        <v>699</v>
      </c>
      <c r="E2429" s="13" t="s">
        <v>98</v>
      </c>
      <c r="F2429" s="14" t="s">
        <v>576</v>
      </c>
      <c r="G2429" s="14" t="s">
        <v>404</v>
      </c>
      <c r="H2429" s="15">
        <v>130</v>
      </c>
      <c r="I2429" s="11">
        <f t="shared" ref="I2429:I2470" si="120">IF(AND(G2429="MERCADO PAGO",A2429="FATURAMENTO"),1,IF(AND(OR(G2429="MERCADO PAGO",G2429="pix mercado pago",G2429= "débito automático mercado pago", G2429= "boleto mercado pago"),A2429="DESPESAS"),4,IF(AND(G2429="SAFRA",A2429="FATURAMENTO"),2,IF(AND(OR(G2429="SAFRA",G2429="PIX SAFRA", G2429="DÉBITO AUTOMÁTICO SAFRA", G2429= "BOLETO SAFRA", G2429= "transferência safra"), A2429="DESPESAS"),5,IF(AND(G2429="espécie",A2429="FATURAMENTO"),3,IF(AND(G2429="espécie",A2429="DESPESAS"),6))))))</f>
        <v>5</v>
      </c>
      <c r="K2429" s="16">
        <v>302.86</v>
      </c>
      <c r="M2429" s="17">
        <f t="shared" si="117"/>
        <v>390720.24</v>
      </c>
      <c r="N2429" s="11">
        <f t="shared" si="118"/>
        <v>12</v>
      </c>
    </row>
    <row r="2430" spans="1:14" x14ac:dyDescent="0.25">
      <c r="A2430" s="11" t="s">
        <v>0</v>
      </c>
      <c r="B2430" s="12">
        <v>45260</v>
      </c>
      <c r="C2430" s="11" t="s">
        <v>688</v>
      </c>
      <c r="D2430" s="11" t="s">
        <v>694</v>
      </c>
      <c r="E2430" s="13" t="s">
        <v>718</v>
      </c>
      <c r="F2430" s="14" t="s">
        <v>263</v>
      </c>
      <c r="G2430" s="14" t="s">
        <v>404</v>
      </c>
      <c r="H2430" s="15" t="s">
        <v>437</v>
      </c>
      <c r="I2430" s="11">
        <f t="shared" si="120"/>
        <v>5</v>
      </c>
      <c r="K2430" s="16">
        <v>605.30999999999995</v>
      </c>
      <c r="M2430" s="17">
        <f t="shared" si="117"/>
        <v>390114.93</v>
      </c>
      <c r="N2430" s="11">
        <f t="shared" si="118"/>
        <v>11</v>
      </c>
    </row>
    <row r="2431" spans="1:14" x14ac:dyDescent="0.25">
      <c r="A2431" s="11" t="s">
        <v>0</v>
      </c>
      <c r="B2431" s="12">
        <v>45278</v>
      </c>
      <c r="C2431" s="11" t="s">
        <v>688</v>
      </c>
      <c r="D2431" s="11" t="s">
        <v>692</v>
      </c>
      <c r="E2431" s="13" t="s">
        <v>108</v>
      </c>
      <c r="F2431" s="14" t="s">
        <v>107</v>
      </c>
      <c r="G2431" s="14" t="s">
        <v>404</v>
      </c>
      <c r="H2431" s="15">
        <v>15</v>
      </c>
      <c r="I2431" s="11">
        <f t="shared" si="120"/>
        <v>5</v>
      </c>
      <c r="K2431" s="16">
        <v>300</v>
      </c>
      <c r="M2431" s="17">
        <f t="shared" si="117"/>
        <v>389814.93</v>
      </c>
      <c r="N2431" s="11">
        <f t="shared" si="118"/>
        <v>12</v>
      </c>
    </row>
    <row r="2432" spans="1:14" x14ac:dyDescent="0.25">
      <c r="A2432" s="11" t="s">
        <v>0</v>
      </c>
      <c r="B2432" s="12">
        <v>45278</v>
      </c>
      <c r="C2432" s="11" t="s">
        <v>688</v>
      </c>
      <c r="D2432" s="11" t="s">
        <v>698</v>
      </c>
      <c r="E2432" s="13" t="s">
        <v>392</v>
      </c>
      <c r="F2432" s="14" t="s">
        <v>563</v>
      </c>
      <c r="G2432" s="14" t="s">
        <v>404</v>
      </c>
      <c r="H2432" s="15" t="s">
        <v>437</v>
      </c>
      <c r="I2432" s="11">
        <f t="shared" si="120"/>
        <v>5</v>
      </c>
      <c r="K2432" s="16">
        <v>338.5</v>
      </c>
      <c r="M2432" s="17">
        <f t="shared" si="117"/>
        <v>389476.43</v>
      </c>
      <c r="N2432" s="11">
        <f t="shared" si="118"/>
        <v>12</v>
      </c>
    </row>
    <row r="2433" spans="1:14" x14ac:dyDescent="0.25">
      <c r="A2433" s="11" t="s">
        <v>0</v>
      </c>
      <c r="B2433" s="12">
        <v>45278</v>
      </c>
      <c r="C2433" s="11" t="s">
        <v>688</v>
      </c>
      <c r="D2433" s="11" t="s">
        <v>701</v>
      </c>
      <c r="E2433" s="13" t="s">
        <v>654</v>
      </c>
      <c r="F2433" s="14" t="s">
        <v>35</v>
      </c>
      <c r="G2433" s="14" t="s">
        <v>404</v>
      </c>
      <c r="H2433" s="15" t="s">
        <v>437</v>
      </c>
      <c r="I2433" s="11">
        <f t="shared" si="120"/>
        <v>5</v>
      </c>
      <c r="K2433" s="16">
        <v>104.58</v>
      </c>
      <c r="M2433" s="17">
        <f t="shared" si="117"/>
        <v>389371.85</v>
      </c>
      <c r="N2433" s="11">
        <f t="shared" si="118"/>
        <v>12</v>
      </c>
    </row>
    <row r="2434" spans="1:14" x14ac:dyDescent="0.25">
      <c r="A2434" s="11" t="s">
        <v>0</v>
      </c>
      <c r="B2434" s="12">
        <v>45278</v>
      </c>
      <c r="C2434" s="11" t="s">
        <v>688</v>
      </c>
      <c r="D2434" s="11" t="s">
        <v>47</v>
      </c>
      <c r="E2434" s="13" t="s">
        <v>655</v>
      </c>
      <c r="F2434" s="14" t="s">
        <v>208</v>
      </c>
      <c r="G2434" s="14" t="s">
        <v>404</v>
      </c>
      <c r="H2434" s="15">
        <v>6</v>
      </c>
      <c r="I2434" s="11">
        <f t="shared" si="120"/>
        <v>5</v>
      </c>
      <c r="K2434" s="16">
        <v>850</v>
      </c>
      <c r="M2434" s="17">
        <f t="shared" si="117"/>
        <v>388521.85</v>
      </c>
      <c r="N2434" s="11">
        <f t="shared" si="118"/>
        <v>12</v>
      </c>
    </row>
    <row r="2435" spans="1:14" x14ac:dyDescent="0.25">
      <c r="A2435" s="11" t="s">
        <v>0</v>
      </c>
      <c r="B2435" s="12">
        <v>45278</v>
      </c>
      <c r="C2435" s="11" t="s">
        <v>688</v>
      </c>
      <c r="D2435" s="11" t="s">
        <v>692</v>
      </c>
      <c r="E2435" s="13" t="s">
        <v>143</v>
      </c>
      <c r="F2435" s="14" t="s">
        <v>224</v>
      </c>
      <c r="G2435" s="14" t="s">
        <v>403</v>
      </c>
      <c r="H2435" s="15">
        <v>288920</v>
      </c>
      <c r="I2435" s="11">
        <f t="shared" si="120"/>
        <v>5</v>
      </c>
      <c r="K2435" s="16">
        <v>1238.98</v>
      </c>
      <c r="M2435" s="17">
        <f t="shared" ref="M2435:M2498" si="121">IF(B2435=0, "",M2434+ J2435-K2435)</f>
        <v>387282.87</v>
      </c>
      <c r="N2435" s="11">
        <f t="shared" ref="N2435:N2498" si="122">IF(B2435=0, "", MONTH(B2435))</f>
        <v>12</v>
      </c>
    </row>
    <row r="2436" spans="1:14" x14ac:dyDescent="0.25">
      <c r="A2436" s="11" t="s">
        <v>0</v>
      </c>
      <c r="B2436" s="12">
        <v>45278</v>
      </c>
      <c r="C2436" s="11" t="s">
        <v>688</v>
      </c>
      <c r="D2436" s="11" t="s">
        <v>692</v>
      </c>
      <c r="E2436" s="13" t="s">
        <v>143</v>
      </c>
      <c r="F2436" s="14" t="s">
        <v>59</v>
      </c>
      <c r="G2436" s="14" t="s">
        <v>403</v>
      </c>
      <c r="H2436" s="15">
        <v>533247</v>
      </c>
      <c r="I2436" s="11">
        <f t="shared" si="120"/>
        <v>5</v>
      </c>
      <c r="K2436" s="16">
        <v>2816.14</v>
      </c>
      <c r="M2436" s="17">
        <f t="shared" si="121"/>
        <v>384466.73</v>
      </c>
      <c r="N2436" s="11">
        <f t="shared" si="122"/>
        <v>12</v>
      </c>
    </row>
    <row r="2437" spans="1:14" x14ac:dyDescent="0.25">
      <c r="A2437" s="11" t="s">
        <v>0</v>
      </c>
      <c r="B2437" s="12">
        <v>45279</v>
      </c>
      <c r="C2437" s="11" t="s">
        <v>688</v>
      </c>
      <c r="D2437" s="11" t="s">
        <v>696</v>
      </c>
      <c r="E2437" s="13" t="s">
        <v>611</v>
      </c>
      <c r="F2437" s="14" t="s">
        <v>62</v>
      </c>
      <c r="G2437" s="14" t="s">
        <v>407</v>
      </c>
      <c r="H2437" s="15" t="s">
        <v>426</v>
      </c>
      <c r="I2437" s="11">
        <f t="shared" si="120"/>
        <v>4</v>
      </c>
      <c r="J2437" s="233"/>
      <c r="K2437" s="233">
        <v>100</v>
      </c>
      <c r="M2437" s="17">
        <f t="shared" si="121"/>
        <v>384366.73</v>
      </c>
      <c r="N2437" s="11">
        <f t="shared" si="122"/>
        <v>12</v>
      </c>
    </row>
    <row r="2438" spans="1:14" x14ac:dyDescent="0.25">
      <c r="A2438" s="11" t="s">
        <v>0</v>
      </c>
      <c r="B2438" s="12">
        <v>45279</v>
      </c>
      <c r="C2438" s="11" t="s">
        <v>688</v>
      </c>
      <c r="D2438" s="11" t="s">
        <v>698</v>
      </c>
      <c r="E2438" s="13" t="s">
        <v>183</v>
      </c>
      <c r="F2438" s="14" t="s">
        <v>817</v>
      </c>
      <c r="G2438" s="14" t="s">
        <v>407</v>
      </c>
      <c r="H2438" s="15" t="s">
        <v>426</v>
      </c>
      <c r="I2438" s="11">
        <f t="shared" si="120"/>
        <v>4</v>
      </c>
      <c r="J2438" s="233"/>
      <c r="K2438" s="233">
        <v>600</v>
      </c>
      <c r="M2438" s="17">
        <f t="shared" si="121"/>
        <v>383766.73</v>
      </c>
      <c r="N2438" s="11">
        <f t="shared" si="122"/>
        <v>12</v>
      </c>
    </row>
    <row r="2439" spans="1:14" x14ac:dyDescent="0.25">
      <c r="A2439" s="11" t="s">
        <v>207</v>
      </c>
      <c r="B2439" s="12">
        <v>45279</v>
      </c>
      <c r="C2439" s="11" t="s">
        <v>688</v>
      </c>
      <c r="D2439" s="11" t="s">
        <v>43</v>
      </c>
      <c r="E2439" s="13" t="s">
        <v>288</v>
      </c>
      <c r="F2439" s="14" t="s">
        <v>288</v>
      </c>
      <c r="G2439" s="14" t="s">
        <v>173</v>
      </c>
      <c r="I2439" s="11">
        <f t="shared" si="120"/>
        <v>3</v>
      </c>
      <c r="J2439" s="16">
        <v>37.6</v>
      </c>
      <c r="M2439" s="17">
        <f t="shared" si="121"/>
        <v>383804.32999999996</v>
      </c>
      <c r="N2439" s="11">
        <f t="shared" si="122"/>
        <v>12</v>
      </c>
    </row>
    <row r="2440" spans="1:14" x14ac:dyDescent="0.25">
      <c r="A2440" s="11" t="s">
        <v>207</v>
      </c>
      <c r="B2440" s="12">
        <v>45279</v>
      </c>
      <c r="C2440" s="11" t="s">
        <v>688</v>
      </c>
      <c r="D2440" s="11" t="s">
        <v>43</v>
      </c>
      <c r="E2440" s="14" t="s">
        <v>429</v>
      </c>
      <c r="F2440" s="14" t="s">
        <v>429</v>
      </c>
      <c r="G2440" s="14" t="s">
        <v>428</v>
      </c>
      <c r="I2440" s="11">
        <f t="shared" si="120"/>
        <v>1</v>
      </c>
      <c r="J2440" s="16">
        <v>200</v>
      </c>
      <c r="M2440" s="17">
        <f t="shared" si="121"/>
        <v>384004.32999999996</v>
      </c>
      <c r="N2440" s="11">
        <f t="shared" si="122"/>
        <v>12</v>
      </c>
    </row>
    <row r="2441" spans="1:14" x14ac:dyDescent="0.25">
      <c r="A2441" s="11" t="s">
        <v>207</v>
      </c>
      <c r="B2441" s="12">
        <v>45279</v>
      </c>
      <c r="C2441" s="11" t="s">
        <v>662</v>
      </c>
      <c r="D2441" s="11" t="s">
        <v>43</v>
      </c>
      <c r="E2441" s="13" t="s">
        <v>80</v>
      </c>
      <c r="F2441" s="14" t="s">
        <v>79</v>
      </c>
      <c r="G2441" s="14" t="s">
        <v>400</v>
      </c>
      <c r="I2441" s="11">
        <f t="shared" si="120"/>
        <v>2</v>
      </c>
      <c r="J2441" s="16">
        <v>200</v>
      </c>
      <c r="M2441" s="17">
        <f t="shared" si="121"/>
        <v>384204.32999999996</v>
      </c>
      <c r="N2441" s="11">
        <f t="shared" si="122"/>
        <v>12</v>
      </c>
    </row>
    <row r="2442" spans="1:14" x14ac:dyDescent="0.25">
      <c r="A2442" s="11" t="s">
        <v>207</v>
      </c>
      <c r="B2442" s="12">
        <v>45279</v>
      </c>
      <c r="C2442" s="11" t="s">
        <v>688</v>
      </c>
      <c r="D2442" s="11" t="s">
        <v>43</v>
      </c>
      <c r="E2442" s="13" t="s">
        <v>80</v>
      </c>
      <c r="F2442" s="14" t="s">
        <v>79</v>
      </c>
      <c r="G2442" s="14" t="s">
        <v>400</v>
      </c>
      <c r="I2442" s="11">
        <f t="shared" si="120"/>
        <v>2</v>
      </c>
      <c r="J2442" s="16">
        <v>637.04</v>
      </c>
      <c r="M2442" s="17">
        <f t="shared" si="121"/>
        <v>384841.36999999994</v>
      </c>
      <c r="N2442" s="11">
        <f t="shared" si="122"/>
        <v>12</v>
      </c>
    </row>
    <row r="2443" spans="1:14" x14ac:dyDescent="0.25">
      <c r="A2443" s="11" t="s">
        <v>207</v>
      </c>
      <c r="B2443" s="12">
        <v>45279</v>
      </c>
      <c r="C2443" s="11" t="s">
        <v>688</v>
      </c>
      <c r="D2443" s="11" t="s">
        <v>43</v>
      </c>
      <c r="E2443" s="13" t="s">
        <v>81</v>
      </c>
      <c r="F2443" s="14" t="s">
        <v>79</v>
      </c>
      <c r="G2443" s="14" t="s">
        <v>400</v>
      </c>
      <c r="I2443" s="11">
        <f t="shared" si="120"/>
        <v>2</v>
      </c>
      <c r="J2443" s="16">
        <v>859.21</v>
      </c>
      <c r="M2443" s="17">
        <f t="shared" si="121"/>
        <v>385700.57999999996</v>
      </c>
      <c r="N2443" s="11">
        <f t="shared" si="122"/>
        <v>12</v>
      </c>
    </row>
    <row r="2444" spans="1:14" x14ac:dyDescent="0.25">
      <c r="A2444" s="11" t="s">
        <v>207</v>
      </c>
      <c r="B2444" s="12">
        <v>45279</v>
      </c>
      <c r="C2444" s="11" t="s">
        <v>688</v>
      </c>
      <c r="D2444" s="11" t="s">
        <v>43</v>
      </c>
      <c r="E2444" s="13" t="s">
        <v>381</v>
      </c>
      <c r="F2444" s="14" t="s">
        <v>363</v>
      </c>
      <c r="G2444" s="14" t="s">
        <v>400</v>
      </c>
      <c r="I2444" s="11">
        <f t="shared" si="120"/>
        <v>2</v>
      </c>
      <c r="J2444" s="16">
        <v>322.26</v>
      </c>
      <c r="M2444" s="17">
        <f t="shared" si="121"/>
        <v>386022.83999999997</v>
      </c>
      <c r="N2444" s="11">
        <f t="shared" si="122"/>
        <v>12</v>
      </c>
    </row>
    <row r="2445" spans="1:14" x14ac:dyDescent="0.25">
      <c r="A2445" s="11" t="s">
        <v>207</v>
      </c>
      <c r="B2445" s="12">
        <v>45279</v>
      </c>
      <c r="C2445" s="11" t="s">
        <v>688</v>
      </c>
      <c r="D2445" s="11" t="s">
        <v>43</v>
      </c>
      <c r="E2445" s="13" t="s">
        <v>382</v>
      </c>
      <c r="F2445" s="14" t="s">
        <v>13</v>
      </c>
      <c r="G2445" s="14" t="s">
        <v>400</v>
      </c>
      <c r="I2445" s="11">
        <f t="shared" si="120"/>
        <v>2</v>
      </c>
      <c r="J2445" s="16">
        <v>261.85000000000002</v>
      </c>
      <c r="M2445" s="17">
        <f t="shared" si="121"/>
        <v>386284.68999999994</v>
      </c>
      <c r="N2445" s="11">
        <f t="shared" si="122"/>
        <v>12</v>
      </c>
    </row>
    <row r="2446" spans="1:14" x14ac:dyDescent="0.25">
      <c r="A2446" s="11" t="s">
        <v>207</v>
      </c>
      <c r="B2446" s="12">
        <v>45279</v>
      </c>
      <c r="C2446" s="11" t="s">
        <v>688</v>
      </c>
      <c r="D2446" s="11" t="s">
        <v>43</v>
      </c>
      <c r="E2446" s="13" t="s">
        <v>382</v>
      </c>
      <c r="F2446" s="14" t="s">
        <v>13</v>
      </c>
      <c r="G2446" s="14" t="s">
        <v>400</v>
      </c>
      <c r="I2446" s="11">
        <f t="shared" si="120"/>
        <v>2</v>
      </c>
      <c r="J2446" s="16">
        <v>83.83</v>
      </c>
      <c r="M2446" s="17">
        <f t="shared" si="121"/>
        <v>386368.51999999996</v>
      </c>
      <c r="N2446" s="11">
        <f t="shared" si="122"/>
        <v>12</v>
      </c>
    </row>
    <row r="2447" spans="1:14" x14ac:dyDescent="0.25">
      <c r="A2447" s="11" t="s">
        <v>207</v>
      </c>
      <c r="B2447" s="12">
        <v>45279</v>
      </c>
      <c r="C2447" s="11" t="s">
        <v>688</v>
      </c>
      <c r="D2447" s="11" t="s">
        <v>43</v>
      </c>
      <c r="E2447" s="13" t="s">
        <v>382</v>
      </c>
      <c r="F2447" s="14" t="s">
        <v>13</v>
      </c>
      <c r="G2447" s="14" t="s">
        <v>400</v>
      </c>
      <c r="I2447" s="11">
        <f t="shared" si="120"/>
        <v>2</v>
      </c>
      <c r="J2447" s="16">
        <v>29.39</v>
      </c>
      <c r="M2447" s="17">
        <f t="shared" si="121"/>
        <v>386397.91</v>
      </c>
      <c r="N2447" s="11">
        <f t="shared" si="122"/>
        <v>12</v>
      </c>
    </row>
    <row r="2448" spans="1:14" x14ac:dyDescent="0.25">
      <c r="A2448" s="11" t="s">
        <v>0</v>
      </c>
      <c r="B2448" s="12">
        <v>45279</v>
      </c>
      <c r="C2448" s="11" t="s">
        <v>688</v>
      </c>
      <c r="D2448" s="11" t="s">
        <v>694</v>
      </c>
      <c r="E2448" s="13" t="s">
        <v>182</v>
      </c>
      <c r="F2448" s="14" t="s">
        <v>365</v>
      </c>
      <c r="G2448" s="14" t="s">
        <v>402</v>
      </c>
      <c r="I2448" s="11">
        <f t="shared" si="120"/>
        <v>5</v>
      </c>
      <c r="K2448" s="16">
        <v>0.98</v>
      </c>
      <c r="M2448" s="17">
        <f t="shared" si="121"/>
        <v>386396.93</v>
      </c>
      <c r="N2448" s="11">
        <f t="shared" si="122"/>
        <v>12</v>
      </c>
    </row>
    <row r="2449" spans="1:14" x14ac:dyDescent="0.25">
      <c r="A2449" s="11" t="s">
        <v>0</v>
      </c>
      <c r="B2449" s="12">
        <v>45279</v>
      </c>
      <c r="C2449" s="11" t="s">
        <v>688</v>
      </c>
      <c r="D2449" s="11" t="s">
        <v>694</v>
      </c>
      <c r="E2449" s="13" t="s">
        <v>182</v>
      </c>
      <c r="F2449" s="14" t="s">
        <v>23</v>
      </c>
      <c r="G2449" s="14" t="s">
        <v>402</v>
      </c>
      <c r="I2449" s="11">
        <f t="shared" si="120"/>
        <v>5</v>
      </c>
      <c r="K2449" s="16">
        <v>49.05</v>
      </c>
      <c r="M2449" s="17">
        <f t="shared" si="121"/>
        <v>386347.88</v>
      </c>
      <c r="N2449" s="11">
        <f t="shared" si="122"/>
        <v>12</v>
      </c>
    </row>
    <row r="2450" spans="1:14" x14ac:dyDescent="0.25">
      <c r="A2450" s="11" t="s">
        <v>0</v>
      </c>
      <c r="B2450" s="12">
        <v>45279</v>
      </c>
      <c r="C2450" s="11" t="s">
        <v>688</v>
      </c>
      <c r="D2450" s="11" t="s">
        <v>692</v>
      </c>
      <c r="E2450" s="13" t="s">
        <v>726</v>
      </c>
      <c r="F2450" s="14" t="s">
        <v>91</v>
      </c>
      <c r="G2450" s="14" t="s">
        <v>403</v>
      </c>
      <c r="H2450" s="15">
        <v>402081</v>
      </c>
      <c r="I2450" s="11">
        <f t="shared" si="120"/>
        <v>5</v>
      </c>
      <c r="K2450" s="16">
        <v>661.27</v>
      </c>
      <c r="M2450" s="17">
        <f t="shared" si="121"/>
        <v>385686.61</v>
      </c>
      <c r="N2450" s="11">
        <f t="shared" si="122"/>
        <v>12</v>
      </c>
    </row>
    <row r="2451" spans="1:14" x14ac:dyDescent="0.25">
      <c r="A2451" s="11" t="s">
        <v>207</v>
      </c>
      <c r="B2451" s="12">
        <v>45279</v>
      </c>
      <c r="C2451" s="11" t="s">
        <v>688</v>
      </c>
      <c r="D2451" s="11" t="s">
        <v>43</v>
      </c>
      <c r="E2451" s="13">
        <v>45279</v>
      </c>
      <c r="F2451" s="14" t="s">
        <v>472</v>
      </c>
      <c r="G2451" s="14" t="s">
        <v>400</v>
      </c>
      <c r="I2451" s="11">
        <f t="shared" si="120"/>
        <v>2</v>
      </c>
      <c r="J2451" s="16">
        <v>143.6</v>
      </c>
      <c r="M2451" s="17">
        <f t="shared" si="121"/>
        <v>385830.20999999996</v>
      </c>
      <c r="N2451" s="11">
        <f t="shared" si="122"/>
        <v>12</v>
      </c>
    </row>
    <row r="2452" spans="1:14" x14ac:dyDescent="0.25">
      <c r="A2452" s="11" t="s">
        <v>0</v>
      </c>
      <c r="B2452" s="12">
        <v>45279</v>
      </c>
      <c r="C2452" s="11" t="s">
        <v>688</v>
      </c>
      <c r="D2452" s="11" t="s">
        <v>692</v>
      </c>
      <c r="E2452" s="13" t="s">
        <v>179</v>
      </c>
      <c r="F2452" s="14" t="s">
        <v>51</v>
      </c>
      <c r="G2452" s="14" t="s">
        <v>404</v>
      </c>
      <c r="H2452" s="15">
        <v>18</v>
      </c>
      <c r="I2452" s="11">
        <f t="shared" si="120"/>
        <v>5</v>
      </c>
      <c r="K2452" s="16">
        <v>2870</v>
      </c>
      <c r="M2452" s="17">
        <f t="shared" si="121"/>
        <v>382960.20999999996</v>
      </c>
      <c r="N2452" s="11">
        <f t="shared" si="122"/>
        <v>12</v>
      </c>
    </row>
    <row r="2453" spans="1:14" x14ac:dyDescent="0.25">
      <c r="A2453" s="11" t="s">
        <v>0</v>
      </c>
      <c r="B2453" s="12">
        <v>45279</v>
      </c>
      <c r="C2453" s="11" t="s">
        <v>688</v>
      </c>
      <c r="D2453" s="11" t="s">
        <v>692</v>
      </c>
      <c r="E2453" s="13" t="s">
        <v>717</v>
      </c>
      <c r="F2453" s="14" t="s">
        <v>76</v>
      </c>
      <c r="G2453" s="14" t="s">
        <v>404</v>
      </c>
      <c r="H2453" s="15">
        <v>1248617</v>
      </c>
      <c r="I2453" s="11">
        <f t="shared" si="120"/>
        <v>5</v>
      </c>
      <c r="K2453" s="16">
        <v>1304.5999999999999</v>
      </c>
      <c r="M2453" s="17">
        <f t="shared" si="121"/>
        <v>381655.61</v>
      </c>
      <c r="N2453" s="11">
        <f t="shared" si="122"/>
        <v>12</v>
      </c>
    </row>
    <row r="2454" spans="1:14" x14ac:dyDescent="0.25">
      <c r="A2454" s="11" t="s">
        <v>0</v>
      </c>
      <c r="B2454" s="12">
        <v>45279</v>
      </c>
      <c r="C2454" s="11" t="s">
        <v>688</v>
      </c>
      <c r="D2454" s="11" t="s">
        <v>694</v>
      </c>
      <c r="E2454" s="13" t="s">
        <v>181</v>
      </c>
      <c r="F2454" s="14" t="s">
        <v>516</v>
      </c>
      <c r="G2454" s="14" t="s">
        <v>404</v>
      </c>
      <c r="H2454" s="15">
        <v>6888</v>
      </c>
      <c r="I2454" s="11">
        <f t="shared" si="120"/>
        <v>5</v>
      </c>
      <c r="K2454" s="16">
        <v>400</v>
      </c>
      <c r="M2454" s="17">
        <f t="shared" si="121"/>
        <v>381255.61</v>
      </c>
      <c r="N2454" s="11">
        <f t="shared" si="122"/>
        <v>12</v>
      </c>
    </row>
    <row r="2455" spans="1:14" x14ac:dyDescent="0.25">
      <c r="A2455" s="11" t="s">
        <v>0</v>
      </c>
      <c r="B2455" s="12">
        <v>45279</v>
      </c>
      <c r="C2455" s="11" t="s">
        <v>688</v>
      </c>
      <c r="D2455" s="11" t="s">
        <v>692</v>
      </c>
      <c r="E2455" s="13" t="s">
        <v>229</v>
      </c>
      <c r="F2455" s="14" t="s">
        <v>116</v>
      </c>
      <c r="G2455" s="14" t="s">
        <v>404</v>
      </c>
      <c r="H2455" s="15">
        <v>11637</v>
      </c>
      <c r="I2455" s="11">
        <f t="shared" si="120"/>
        <v>5</v>
      </c>
      <c r="K2455" s="16">
        <v>2649.5</v>
      </c>
      <c r="M2455" s="17">
        <f t="shared" si="121"/>
        <v>378606.11</v>
      </c>
      <c r="N2455" s="11">
        <f t="shared" si="122"/>
        <v>12</v>
      </c>
    </row>
    <row r="2456" spans="1:14" x14ac:dyDescent="0.25">
      <c r="A2456" s="11" t="s">
        <v>0</v>
      </c>
      <c r="B2456" s="12">
        <v>45279</v>
      </c>
      <c r="C2456" s="11" t="s">
        <v>689</v>
      </c>
      <c r="D2456" s="11" t="s">
        <v>701</v>
      </c>
      <c r="E2456" s="13" t="s">
        <v>657</v>
      </c>
      <c r="F2456" s="14" t="s">
        <v>656</v>
      </c>
      <c r="G2456" s="14" t="s">
        <v>404</v>
      </c>
      <c r="H2456" s="15" t="s">
        <v>437</v>
      </c>
      <c r="I2456" s="11">
        <f t="shared" si="120"/>
        <v>5</v>
      </c>
      <c r="K2456" s="16">
        <v>900</v>
      </c>
      <c r="M2456" s="17">
        <f t="shared" si="121"/>
        <v>377706.11</v>
      </c>
      <c r="N2456" s="11">
        <f t="shared" si="122"/>
        <v>12</v>
      </c>
    </row>
    <row r="2457" spans="1:14" x14ac:dyDescent="0.25">
      <c r="A2457" s="11" t="s">
        <v>0</v>
      </c>
      <c r="B2457" s="12">
        <v>45279</v>
      </c>
      <c r="C2457" s="11" t="s">
        <v>688</v>
      </c>
      <c r="D2457" s="11" t="s">
        <v>692</v>
      </c>
      <c r="E2457" s="13" t="s">
        <v>725</v>
      </c>
      <c r="F2457" s="14" t="s">
        <v>27</v>
      </c>
      <c r="G2457" s="14" t="s">
        <v>404</v>
      </c>
      <c r="H2457" s="15" t="s">
        <v>437</v>
      </c>
      <c r="I2457" s="11">
        <f t="shared" si="120"/>
        <v>5</v>
      </c>
      <c r="K2457" s="16">
        <v>1231.19</v>
      </c>
      <c r="M2457" s="17">
        <f t="shared" si="121"/>
        <v>376474.92</v>
      </c>
      <c r="N2457" s="11">
        <f t="shared" si="122"/>
        <v>12</v>
      </c>
    </row>
    <row r="2458" spans="1:14" x14ac:dyDescent="0.25">
      <c r="A2458" s="11" t="s">
        <v>0</v>
      </c>
      <c r="B2458" s="12">
        <v>45280</v>
      </c>
      <c r="C2458" s="11" t="s">
        <v>688</v>
      </c>
      <c r="D2458" s="11" t="s">
        <v>696</v>
      </c>
      <c r="E2458" s="13" t="s">
        <v>408</v>
      </c>
      <c r="F2458" s="14" t="s">
        <v>822</v>
      </c>
      <c r="G2458" s="14" t="s">
        <v>407</v>
      </c>
      <c r="H2458" s="15" t="s">
        <v>426</v>
      </c>
      <c r="I2458" s="11">
        <f t="shared" si="120"/>
        <v>4</v>
      </c>
      <c r="J2458" s="233"/>
      <c r="K2458" s="233">
        <v>630</v>
      </c>
      <c r="M2458" s="17">
        <f t="shared" si="121"/>
        <v>375844.92</v>
      </c>
      <c r="N2458" s="11">
        <f t="shared" si="122"/>
        <v>12</v>
      </c>
    </row>
    <row r="2459" spans="1:14" x14ac:dyDescent="0.25">
      <c r="A2459" s="11" t="s">
        <v>0</v>
      </c>
      <c r="B2459" s="12">
        <v>45280</v>
      </c>
      <c r="C2459" s="11" t="s">
        <v>688</v>
      </c>
      <c r="D2459" s="11" t="s">
        <v>696</v>
      </c>
      <c r="E2459" s="13" t="s">
        <v>151</v>
      </c>
      <c r="F2459" s="14" t="s">
        <v>822</v>
      </c>
      <c r="G2459" s="14" t="s">
        <v>407</v>
      </c>
      <c r="H2459" s="15" t="s">
        <v>426</v>
      </c>
      <c r="I2459" s="11">
        <f t="shared" si="120"/>
        <v>4</v>
      </c>
      <c r="J2459" s="233"/>
      <c r="K2459" s="233">
        <v>194.75</v>
      </c>
      <c r="M2459" s="17">
        <f t="shared" si="121"/>
        <v>375650.17</v>
      </c>
      <c r="N2459" s="11">
        <f t="shared" si="122"/>
        <v>12</v>
      </c>
    </row>
    <row r="2460" spans="1:14" x14ac:dyDescent="0.25">
      <c r="A2460" s="11" t="s">
        <v>0</v>
      </c>
      <c r="B2460" s="12">
        <v>45280</v>
      </c>
      <c r="C2460" s="11" t="s">
        <v>688</v>
      </c>
      <c r="D2460" s="11" t="s">
        <v>696</v>
      </c>
      <c r="E2460" s="13" t="s">
        <v>149</v>
      </c>
      <c r="F2460" s="14" t="s">
        <v>822</v>
      </c>
      <c r="G2460" s="14" t="s">
        <v>407</v>
      </c>
      <c r="H2460" s="15" t="s">
        <v>426</v>
      </c>
      <c r="I2460" s="11">
        <f t="shared" ref="I2460" si="123">IF(AND(G2460="MERCADO PAGO",A2460="FATURAMENTO"),1,IF(AND(OR(G2460="MERCADO PAGO",G2460="pix mercado pago",G2460= "débito automático mercado pago", G2460= "boleto mercado pago"),A2460="DESPESAS"),4,IF(AND(G2460="SAFRA",A2460="FATURAMENTO"),2,IF(AND(OR(G2460="SAFRA",G2460="PIX SAFRA", G2460="DÉBITO AUTOMÁTICO SAFRA", G2460= "BOLETO SAFRA", G2460= "transferência safra"), A2460="DESPESAS"),5,IF(AND(G2460="espécie",A2460="FATURAMENTO"),3,IF(AND(G2460="espécie",A2460="DESPESAS"),6))))))</f>
        <v>4</v>
      </c>
      <c r="J2460" s="233"/>
      <c r="K2460" s="233">
        <v>269.75</v>
      </c>
      <c r="M2460" s="17">
        <f t="shared" si="121"/>
        <v>375380.42</v>
      </c>
      <c r="N2460" s="11">
        <f t="shared" si="122"/>
        <v>12</v>
      </c>
    </row>
    <row r="2461" spans="1:14" x14ac:dyDescent="0.25">
      <c r="A2461" s="11" t="s">
        <v>0</v>
      </c>
      <c r="B2461" s="12">
        <v>45280</v>
      </c>
      <c r="C2461" s="11" t="s">
        <v>688</v>
      </c>
      <c r="D2461" s="11" t="s">
        <v>696</v>
      </c>
      <c r="E2461" s="13" t="s">
        <v>823</v>
      </c>
      <c r="F2461" s="14" t="s">
        <v>822</v>
      </c>
      <c r="G2461" s="14" t="s">
        <v>407</v>
      </c>
      <c r="H2461" s="15" t="s">
        <v>426</v>
      </c>
      <c r="I2461" s="11">
        <f t="shared" ref="I2461" si="124">IF(AND(G2461="MERCADO PAGO",A2461="FATURAMENTO"),1,IF(AND(OR(G2461="MERCADO PAGO",G2461="pix mercado pago",G2461= "débito automático mercado pago", G2461= "boleto mercado pago"),A2461="DESPESAS"),4,IF(AND(G2461="SAFRA",A2461="FATURAMENTO"),2,IF(AND(OR(G2461="SAFRA",G2461="PIX SAFRA", G2461="DÉBITO AUTOMÁTICO SAFRA", G2461= "BOLETO SAFRA", G2461= "transferência safra"), A2461="DESPESAS"),5,IF(AND(G2461="espécie",A2461="FATURAMENTO"),3,IF(AND(G2461="espécie",A2461="DESPESAS"),6))))))</f>
        <v>4</v>
      </c>
      <c r="J2461" s="233"/>
      <c r="K2461" s="233">
        <v>1648.25</v>
      </c>
      <c r="M2461" s="17">
        <f t="shared" si="121"/>
        <v>373732.17</v>
      </c>
      <c r="N2461" s="11">
        <f t="shared" si="122"/>
        <v>12</v>
      </c>
    </row>
    <row r="2462" spans="1:14" x14ac:dyDescent="0.25">
      <c r="A2462" s="11" t="s">
        <v>0</v>
      </c>
      <c r="B2462" s="12">
        <v>45280</v>
      </c>
      <c r="C2462" s="11" t="s">
        <v>688</v>
      </c>
      <c r="D2462" s="11" t="s">
        <v>696</v>
      </c>
      <c r="E2462" s="13" t="s">
        <v>408</v>
      </c>
      <c r="F2462" s="14" t="s">
        <v>822</v>
      </c>
      <c r="G2462" s="14" t="s">
        <v>407</v>
      </c>
      <c r="H2462" s="15" t="s">
        <v>426</v>
      </c>
      <c r="I2462" s="11">
        <f t="shared" ref="I2462" si="125">IF(AND(G2462="MERCADO PAGO",A2462="FATURAMENTO"),1,IF(AND(OR(G2462="MERCADO PAGO",G2462="pix mercado pago",G2462= "débito automático mercado pago", G2462= "boleto mercado pago"),A2462="DESPESAS"),4,IF(AND(G2462="SAFRA",A2462="FATURAMENTO"),2,IF(AND(OR(G2462="SAFRA",G2462="PIX SAFRA", G2462="DÉBITO AUTOMÁTICO SAFRA", G2462= "BOLETO SAFRA", G2462= "transferência safra"), A2462="DESPESAS"),5,IF(AND(G2462="espécie",A2462="FATURAMENTO"),3,IF(AND(G2462="espécie",A2462="DESPESAS"),6))))))</f>
        <v>4</v>
      </c>
      <c r="J2462" s="233"/>
      <c r="K2462" s="233">
        <v>370</v>
      </c>
      <c r="M2462" s="17">
        <f t="shared" si="121"/>
        <v>373362.17</v>
      </c>
      <c r="N2462" s="11">
        <f t="shared" si="122"/>
        <v>12</v>
      </c>
    </row>
    <row r="2463" spans="1:14" x14ac:dyDescent="0.25">
      <c r="A2463" s="11" t="s">
        <v>0</v>
      </c>
      <c r="B2463" s="12">
        <v>45280</v>
      </c>
      <c r="C2463" s="11" t="s">
        <v>688</v>
      </c>
      <c r="D2463" s="11" t="s">
        <v>696</v>
      </c>
      <c r="E2463" s="13" t="s">
        <v>823</v>
      </c>
      <c r="F2463" s="14" t="s">
        <v>822</v>
      </c>
      <c r="G2463" s="14" t="s">
        <v>407</v>
      </c>
      <c r="H2463" s="15" t="s">
        <v>426</v>
      </c>
      <c r="I2463" s="11">
        <f t="shared" si="120"/>
        <v>4</v>
      </c>
      <c r="J2463" s="233"/>
      <c r="K2463" s="233">
        <v>123.4</v>
      </c>
      <c r="M2463" s="17">
        <f t="shared" si="121"/>
        <v>373238.76999999996</v>
      </c>
      <c r="N2463" s="11">
        <f t="shared" si="122"/>
        <v>12</v>
      </c>
    </row>
    <row r="2464" spans="1:14" x14ac:dyDescent="0.25">
      <c r="A2464" s="11" t="s">
        <v>0</v>
      </c>
      <c r="B2464" s="12">
        <v>45280</v>
      </c>
      <c r="C2464" s="11" t="s">
        <v>688</v>
      </c>
      <c r="D2464" s="11" t="s">
        <v>696</v>
      </c>
      <c r="E2464" s="13" t="s">
        <v>151</v>
      </c>
      <c r="F2464" s="14" t="s">
        <v>822</v>
      </c>
      <c r="G2464" s="14" t="s">
        <v>407</v>
      </c>
      <c r="H2464" s="15" t="s">
        <v>426</v>
      </c>
      <c r="I2464" s="11">
        <f t="shared" ref="I2464" si="126">IF(AND(G2464="MERCADO PAGO",A2464="FATURAMENTO"),1,IF(AND(OR(G2464="MERCADO PAGO",G2464="pix mercado pago",G2464= "débito automático mercado pago", G2464= "boleto mercado pago"),A2464="DESPESAS"),4,IF(AND(G2464="SAFRA",A2464="FATURAMENTO"),2,IF(AND(OR(G2464="SAFRA",G2464="PIX SAFRA", G2464="DÉBITO AUTOMÁTICO SAFRA", G2464= "BOLETO SAFRA", G2464= "transferência safra"), A2464="DESPESAS"),5,IF(AND(G2464="espécie",A2464="FATURAMENTO"),3,IF(AND(G2464="espécie",A2464="DESPESAS"),6))))))</f>
        <v>4</v>
      </c>
      <c r="J2464" s="233"/>
      <c r="K2464" s="233">
        <v>305.25</v>
      </c>
      <c r="M2464" s="17">
        <f t="shared" si="121"/>
        <v>372933.51999999996</v>
      </c>
      <c r="N2464" s="11">
        <f t="shared" si="122"/>
        <v>12</v>
      </c>
    </row>
    <row r="2465" spans="1:14" x14ac:dyDescent="0.25">
      <c r="A2465" s="11" t="s">
        <v>0</v>
      </c>
      <c r="B2465" s="12">
        <v>45280</v>
      </c>
      <c r="C2465" s="11" t="s">
        <v>688</v>
      </c>
      <c r="D2465" s="11" t="s">
        <v>696</v>
      </c>
      <c r="E2465" s="13" t="s">
        <v>149</v>
      </c>
      <c r="F2465" s="14" t="s">
        <v>822</v>
      </c>
      <c r="G2465" s="14" t="s">
        <v>407</v>
      </c>
      <c r="H2465" s="15" t="s">
        <v>426</v>
      </c>
      <c r="I2465" s="11">
        <f t="shared" si="120"/>
        <v>4</v>
      </c>
      <c r="J2465" s="233"/>
      <c r="K2465" s="233">
        <v>305.25</v>
      </c>
      <c r="M2465" s="17">
        <f t="shared" si="121"/>
        <v>372628.26999999996</v>
      </c>
      <c r="N2465" s="11">
        <f t="shared" si="122"/>
        <v>12</v>
      </c>
    </row>
    <row r="2466" spans="1:14" x14ac:dyDescent="0.25">
      <c r="A2466" s="11" t="s">
        <v>0</v>
      </c>
      <c r="B2466" s="12">
        <v>45280</v>
      </c>
      <c r="C2466" s="11" t="s">
        <v>688</v>
      </c>
      <c r="D2466" s="11" t="s">
        <v>698</v>
      </c>
      <c r="E2466" s="13" t="s">
        <v>183</v>
      </c>
      <c r="F2466" s="14" t="s">
        <v>802</v>
      </c>
      <c r="G2466" s="14" t="s">
        <v>407</v>
      </c>
      <c r="H2466" s="15" t="s">
        <v>426</v>
      </c>
      <c r="I2466" s="11">
        <f t="shared" si="120"/>
        <v>4</v>
      </c>
      <c r="J2466" s="233"/>
      <c r="K2466" s="233">
        <v>70</v>
      </c>
      <c r="M2466" s="17">
        <f t="shared" si="121"/>
        <v>372558.26999999996</v>
      </c>
      <c r="N2466" s="11">
        <f t="shared" si="122"/>
        <v>12</v>
      </c>
    </row>
    <row r="2467" spans="1:14" x14ac:dyDescent="0.25">
      <c r="A2467" s="11" t="s">
        <v>0</v>
      </c>
      <c r="B2467" s="12">
        <v>45280</v>
      </c>
      <c r="C2467" s="11" t="s">
        <v>688</v>
      </c>
      <c r="D2467" s="11" t="s">
        <v>697</v>
      </c>
      <c r="E2467" s="13" t="s">
        <v>427</v>
      </c>
      <c r="F2467" s="14" t="s">
        <v>427</v>
      </c>
      <c r="G2467" s="14" t="s">
        <v>488</v>
      </c>
      <c r="H2467" s="15" t="s">
        <v>426</v>
      </c>
      <c r="I2467" s="11">
        <f t="shared" si="120"/>
        <v>4</v>
      </c>
      <c r="J2467" s="233"/>
      <c r="K2467" s="233">
        <v>5327.21</v>
      </c>
      <c r="M2467" s="17">
        <f t="shared" si="121"/>
        <v>367231.05999999994</v>
      </c>
      <c r="N2467" s="11">
        <f t="shared" si="122"/>
        <v>12</v>
      </c>
    </row>
    <row r="2468" spans="1:14" x14ac:dyDescent="0.25">
      <c r="A2468" s="11" t="s">
        <v>0</v>
      </c>
      <c r="B2468" s="12">
        <v>45280</v>
      </c>
      <c r="C2468" s="11" t="s">
        <v>688</v>
      </c>
      <c r="D2468" s="11" t="s">
        <v>697</v>
      </c>
      <c r="E2468" s="13" t="s">
        <v>753</v>
      </c>
      <c r="F2468" s="14" t="s">
        <v>821</v>
      </c>
      <c r="G2468" s="14" t="s">
        <v>488</v>
      </c>
      <c r="H2468" s="15" t="s">
        <v>426</v>
      </c>
      <c r="I2468" s="11">
        <f t="shared" ref="I2468" si="127">IF(AND(G2468="MERCADO PAGO",A2468="FATURAMENTO"),1,IF(AND(OR(G2468="MERCADO PAGO",G2468="pix mercado pago",G2468= "débito automático mercado pago", G2468= "boleto mercado pago"),A2468="DESPESAS"),4,IF(AND(G2468="SAFRA",A2468="FATURAMENTO"),2,IF(AND(OR(G2468="SAFRA",G2468="PIX SAFRA", G2468="DÉBITO AUTOMÁTICO SAFRA", G2468= "BOLETO SAFRA", G2468= "transferência safra"), A2468="DESPESAS"),5,IF(AND(G2468="espécie",A2468="FATURAMENTO"),3,IF(AND(G2468="espécie",A2468="DESPESAS"),6))))))</f>
        <v>4</v>
      </c>
      <c r="J2468" s="233"/>
      <c r="K2468" s="233">
        <v>142.74</v>
      </c>
      <c r="M2468" s="17">
        <f t="shared" si="121"/>
        <v>367088.31999999995</v>
      </c>
      <c r="N2468" s="11">
        <f t="shared" si="122"/>
        <v>12</v>
      </c>
    </row>
    <row r="2469" spans="1:14" x14ac:dyDescent="0.25">
      <c r="A2469" s="11" t="s">
        <v>0</v>
      </c>
      <c r="B2469" s="12">
        <v>45280</v>
      </c>
      <c r="C2469" s="11" t="s">
        <v>688</v>
      </c>
      <c r="D2469" s="11" t="s">
        <v>697</v>
      </c>
      <c r="E2469" s="13" t="s">
        <v>753</v>
      </c>
      <c r="F2469" s="14" t="s">
        <v>820</v>
      </c>
      <c r="G2469" s="14" t="s">
        <v>488</v>
      </c>
      <c r="H2469" s="15" t="s">
        <v>426</v>
      </c>
      <c r="I2469" s="11">
        <f t="shared" si="120"/>
        <v>4</v>
      </c>
      <c r="J2469" s="233"/>
      <c r="K2469" s="233">
        <v>87.75</v>
      </c>
      <c r="M2469" s="17">
        <f t="shared" si="121"/>
        <v>367000.56999999995</v>
      </c>
      <c r="N2469" s="11">
        <f t="shared" si="122"/>
        <v>12</v>
      </c>
    </row>
    <row r="2470" spans="1:14" x14ac:dyDescent="0.25">
      <c r="A2470" s="11" t="s">
        <v>0</v>
      </c>
      <c r="B2470" s="12">
        <v>45280</v>
      </c>
      <c r="C2470" s="11" t="s">
        <v>688</v>
      </c>
      <c r="D2470" s="11" t="s">
        <v>47</v>
      </c>
      <c r="E2470" s="13" t="s">
        <v>818</v>
      </c>
      <c r="F2470" s="14" t="s">
        <v>819</v>
      </c>
      <c r="G2470" s="14" t="s">
        <v>407</v>
      </c>
      <c r="H2470" s="15" t="s">
        <v>426</v>
      </c>
      <c r="I2470" s="11">
        <f t="shared" si="120"/>
        <v>4</v>
      </c>
      <c r="J2470" s="233"/>
      <c r="K2470" s="233">
        <v>300</v>
      </c>
      <c r="M2470" s="17">
        <f t="shared" si="121"/>
        <v>366700.56999999995</v>
      </c>
      <c r="N2470" s="11">
        <f t="shared" si="122"/>
        <v>12</v>
      </c>
    </row>
    <row r="2471" spans="1:14" x14ac:dyDescent="0.25">
      <c r="A2471" s="11" t="s">
        <v>207</v>
      </c>
      <c r="B2471" s="12">
        <v>45280</v>
      </c>
      <c r="C2471" s="11" t="s">
        <v>688</v>
      </c>
      <c r="D2471" s="11" t="s">
        <v>43</v>
      </c>
      <c r="E2471" s="13" t="s">
        <v>288</v>
      </c>
      <c r="F2471" s="14" t="s">
        <v>288</v>
      </c>
      <c r="G2471" s="14" t="s">
        <v>173</v>
      </c>
      <c r="J2471" s="16">
        <v>350</v>
      </c>
      <c r="M2471" s="17">
        <f t="shared" si="121"/>
        <v>367050.56999999995</v>
      </c>
      <c r="N2471" s="11">
        <f t="shared" si="122"/>
        <v>12</v>
      </c>
    </row>
    <row r="2472" spans="1:14" x14ac:dyDescent="0.25">
      <c r="A2472" s="11" t="s">
        <v>207</v>
      </c>
      <c r="B2472" s="12">
        <v>45280</v>
      </c>
      <c r="C2472" s="11" t="s">
        <v>688</v>
      </c>
      <c r="D2472" s="11" t="s">
        <v>43</v>
      </c>
      <c r="E2472" s="14" t="s">
        <v>429</v>
      </c>
      <c r="F2472" s="14" t="s">
        <v>429</v>
      </c>
      <c r="G2472" s="14" t="s">
        <v>428</v>
      </c>
      <c r="I2472" s="11">
        <f t="shared" ref="I2472:I2505" si="128">IF(AND(G2472="MERCADO PAGO",A2472="FATURAMENTO"),1,IF(AND(OR(G2472="MERCADO PAGO",G2472="pix mercado pago",G2472= "débito automático mercado pago", G2472= "boleto mercado pago"),A2472="DESPESAS"),4,IF(AND(G2472="SAFRA",A2472="FATURAMENTO"),2,IF(AND(OR(G2472="SAFRA",G2472="PIX SAFRA", G2472="DÉBITO AUTOMÁTICO SAFRA", G2472= "BOLETO SAFRA", G2472= "transferência safra"), A2472="DESPESAS"),5,IF(AND(G2472="espécie",A2472="FATURAMENTO"),3,IF(AND(G2472="espécie",A2472="DESPESAS"),6))))))</f>
        <v>1</v>
      </c>
      <c r="J2472" s="16">
        <v>100</v>
      </c>
      <c r="M2472" s="17">
        <f t="shared" si="121"/>
        <v>367150.56999999995</v>
      </c>
      <c r="N2472" s="11">
        <f t="shared" si="122"/>
        <v>12</v>
      </c>
    </row>
    <row r="2473" spans="1:14" x14ac:dyDescent="0.25">
      <c r="A2473" s="11" t="s">
        <v>207</v>
      </c>
      <c r="B2473" s="12">
        <v>45280</v>
      </c>
      <c r="C2473" s="11" t="s">
        <v>688</v>
      </c>
      <c r="D2473" s="11" t="s">
        <v>43</v>
      </c>
      <c r="E2473" s="13" t="s">
        <v>382</v>
      </c>
      <c r="F2473" s="14" t="s">
        <v>13</v>
      </c>
      <c r="G2473" s="14" t="s">
        <v>400</v>
      </c>
      <c r="I2473" s="11">
        <f t="shared" si="128"/>
        <v>2</v>
      </c>
      <c r="J2473" s="16">
        <v>89.46</v>
      </c>
      <c r="M2473" s="17">
        <f t="shared" si="121"/>
        <v>367240.02999999997</v>
      </c>
      <c r="N2473" s="11">
        <f t="shared" si="122"/>
        <v>12</v>
      </c>
    </row>
    <row r="2474" spans="1:14" x14ac:dyDescent="0.25">
      <c r="A2474" s="11" t="s">
        <v>207</v>
      </c>
      <c r="B2474" s="12">
        <v>45280</v>
      </c>
      <c r="C2474" s="11" t="s">
        <v>662</v>
      </c>
      <c r="D2474" s="11" t="s">
        <v>43</v>
      </c>
      <c r="E2474" s="13" t="s">
        <v>382</v>
      </c>
      <c r="F2474" s="14" t="s">
        <v>13</v>
      </c>
      <c r="G2474" s="14" t="s">
        <v>400</v>
      </c>
      <c r="I2474" s="11">
        <f t="shared" si="128"/>
        <v>2</v>
      </c>
      <c r="J2474" s="16">
        <v>100</v>
      </c>
      <c r="M2474" s="17">
        <f t="shared" si="121"/>
        <v>367340.02999999997</v>
      </c>
      <c r="N2474" s="11">
        <f t="shared" si="122"/>
        <v>12</v>
      </c>
    </row>
    <row r="2475" spans="1:14" x14ac:dyDescent="0.25">
      <c r="A2475" s="11" t="s">
        <v>207</v>
      </c>
      <c r="B2475" s="12">
        <v>45280</v>
      </c>
      <c r="C2475" s="11" t="s">
        <v>688</v>
      </c>
      <c r="D2475" s="11" t="s">
        <v>43</v>
      </c>
      <c r="E2475" s="13" t="s">
        <v>382</v>
      </c>
      <c r="F2475" s="14" t="s">
        <v>13</v>
      </c>
      <c r="G2475" s="14" t="s">
        <v>400</v>
      </c>
      <c r="I2475" s="11">
        <f t="shared" si="128"/>
        <v>2</v>
      </c>
      <c r="J2475" s="16">
        <v>105.78</v>
      </c>
      <c r="M2475" s="17">
        <f t="shared" si="121"/>
        <v>367445.81</v>
      </c>
      <c r="N2475" s="11">
        <f t="shared" si="122"/>
        <v>12</v>
      </c>
    </row>
    <row r="2476" spans="1:14" x14ac:dyDescent="0.25">
      <c r="A2476" s="11" t="s">
        <v>207</v>
      </c>
      <c r="B2476" s="12">
        <v>45280</v>
      </c>
      <c r="C2476" s="11" t="s">
        <v>688</v>
      </c>
      <c r="D2476" s="11" t="s">
        <v>43</v>
      </c>
      <c r="E2476" s="13" t="s">
        <v>382</v>
      </c>
      <c r="F2476" s="14" t="s">
        <v>13</v>
      </c>
      <c r="G2476" s="14" t="s">
        <v>400</v>
      </c>
      <c r="I2476" s="11">
        <f t="shared" si="128"/>
        <v>2</v>
      </c>
      <c r="J2476" s="16">
        <v>182.92</v>
      </c>
      <c r="M2476" s="17">
        <f t="shared" si="121"/>
        <v>367628.73</v>
      </c>
      <c r="N2476" s="11">
        <f t="shared" si="122"/>
        <v>12</v>
      </c>
    </row>
    <row r="2477" spans="1:14" x14ac:dyDescent="0.25">
      <c r="A2477" s="11" t="s">
        <v>207</v>
      </c>
      <c r="B2477" s="12">
        <v>45280</v>
      </c>
      <c r="C2477" s="11" t="s">
        <v>688</v>
      </c>
      <c r="D2477" s="11" t="s">
        <v>43</v>
      </c>
      <c r="E2477" s="13" t="s">
        <v>382</v>
      </c>
      <c r="F2477" s="14" t="s">
        <v>13</v>
      </c>
      <c r="G2477" s="14" t="s">
        <v>400</v>
      </c>
      <c r="I2477" s="11">
        <f t="shared" si="128"/>
        <v>2</v>
      </c>
      <c r="J2477" s="16">
        <v>310.3</v>
      </c>
      <c r="M2477" s="17">
        <f t="shared" si="121"/>
        <v>367939.02999999997</v>
      </c>
      <c r="N2477" s="11">
        <f t="shared" si="122"/>
        <v>12</v>
      </c>
    </row>
    <row r="2478" spans="1:14" x14ac:dyDescent="0.25">
      <c r="A2478" s="11" t="s">
        <v>0</v>
      </c>
      <c r="B2478" s="12">
        <v>45280</v>
      </c>
      <c r="C2478" s="11" t="s">
        <v>688</v>
      </c>
      <c r="D2478" s="11" t="s">
        <v>697</v>
      </c>
      <c r="E2478" s="62" t="s">
        <v>659</v>
      </c>
      <c r="F2478" s="14" t="s">
        <v>658</v>
      </c>
      <c r="G2478" s="14" t="s">
        <v>404</v>
      </c>
      <c r="H2478" s="15" t="s">
        <v>437</v>
      </c>
      <c r="I2478" s="11">
        <f t="shared" si="128"/>
        <v>5</v>
      </c>
      <c r="K2478" s="16">
        <v>1000</v>
      </c>
      <c r="M2478" s="17">
        <f t="shared" si="121"/>
        <v>366939.02999999997</v>
      </c>
      <c r="N2478" s="11">
        <f t="shared" si="122"/>
        <v>12</v>
      </c>
    </row>
    <row r="2479" spans="1:14" x14ac:dyDescent="0.25">
      <c r="A2479" s="11" t="s">
        <v>207</v>
      </c>
      <c r="B2479" s="12">
        <v>45280</v>
      </c>
      <c r="C2479" s="11" t="s">
        <v>688</v>
      </c>
      <c r="D2479" s="11" t="s">
        <v>43</v>
      </c>
      <c r="E2479" s="13" t="s">
        <v>80</v>
      </c>
      <c r="F2479" s="14" t="s">
        <v>79</v>
      </c>
      <c r="G2479" s="14" t="s">
        <v>400</v>
      </c>
      <c r="I2479" s="11">
        <f t="shared" si="128"/>
        <v>2</v>
      </c>
      <c r="J2479" s="16">
        <v>1760.62</v>
      </c>
      <c r="M2479" s="17">
        <f t="shared" si="121"/>
        <v>368699.64999999997</v>
      </c>
      <c r="N2479" s="11">
        <f t="shared" si="122"/>
        <v>12</v>
      </c>
    </row>
    <row r="2480" spans="1:14" x14ac:dyDescent="0.25">
      <c r="A2480" s="11" t="s">
        <v>207</v>
      </c>
      <c r="B2480" s="12">
        <v>45280</v>
      </c>
      <c r="C2480" s="11" t="s">
        <v>688</v>
      </c>
      <c r="D2480" s="11" t="s">
        <v>43</v>
      </c>
      <c r="E2480" s="13" t="s">
        <v>81</v>
      </c>
      <c r="F2480" s="14" t="s">
        <v>79</v>
      </c>
      <c r="G2480" s="14" t="s">
        <v>400</v>
      </c>
      <c r="I2480" s="11">
        <f t="shared" si="128"/>
        <v>2</v>
      </c>
      <c r="J2480" s="16">
        <v>887.75</v>
      </c>
      <c r="M2480" s="17">
        <f t="shared" si="121"/>
        <v>369587.39999999997</v>
      </c>
      <c r="N2480" s="11">
        <f t="shared" si="122"/>
        <v>12</v>
      </c>
    </row>
    <row r="2481" spans="1:14" x14ac:dyDescent="0.25">
      <c r="A2481" s="11" t="s">
        <v>207</v>
      </c>
      <c r="B2481" s="12">
        <v>45280</v>
      </c>
      <c r="C2481" s="11" t="s">
        <v>688</v>
      </c>
      <c r="D2481" s="11" t="s">
        <v>43</v>
      </c>
      <c r="E2481" s="13" t="s">
        <v>83</v>
      </c>
      <c r="F2481" s="14" t="s">
        <v>79</v>
      </c>
      <c r="G2481" s="14" t="s">
        <v>400</v>
      </c>
      <c r="I2481" s="11">
        <f t="shared" si="128"/>
        <v>2</v>
      </c>
      <c r="J2481" s="16">
        <v>187.91</v>
      </c>
      <c r="M2481" s="17">
        <f t="shared" si="121"/>
        <v>369775.30999999994</v>
      </c>
      <c r="N2481" s="11">
        <f t="shared" si="122"/>
        <v>12</v>
      </c>
    </row>
    <row r="2482" spans="1:14" x14ac:dyDescent="0.25">
      <c r="A2482" s="11" t="s">
        <v>0</v>
      </c>
      <c r="B2482" s="12">
        <v>45280</v>
      </c>
      <c r="C2482" s="11" t="s">
        <v>688</v>
      </c>
      <c r="D2482" s="11" t="s">
        <v>47</v>
      </c>
      <c r="E2482" s="13" t="s">
        <v>387</v>
      </c>
      <c r="F2482" s="14" t="s">
        <v>474</v>
      </c>
      <c r="G2482" s="14" t="s">
        <v>404</v>
      </c>
      <c r="H2482" s="15">
        <v>9</v>
      </c>
      <c r="I2482" s="11">
        <f t="shared" si="128"/>
        <v>5</v>
      </c>
      <c r="K2482" s="16">
        <v>300</v>
      </c>
      <c r="M2482" s="17">
        <f t="shared" si="121"/>
        <v>369475.30999999994</v>
      </c>
      <c r="N2482" s="11">
        <f t="shared" si="122"/>
        <v>12</v>
      </c>
    </row>
    <row r="2483" spans="1:14" x14ac:dyDescent="0.25">
      <c r="A2483" s="11" t="s">
        <v>0</v>
      </c>
      <c r="B2483" s="12">
        <v>45280</v>
      </c>
      <c r="C2483" s="11" t="s">
        <v>688</v>
      </c>
      <c r="D2483" s="11" t="s">
        <v>697</v>
      </c>
      <c r="E2483" s="13" t="s">
        <v>751</v>
      </c>
      <c r="F2483" s="14" t="s">
        <v>226</v>
      </c>
      <c r="G2483" s="14" t="s">
        <v>403</v>
      </c>
      <c r="H2483" s="15" t="s">
        <v>20</v>
      </c>
      <c r="I2483" s="11">
        <f t="shared" si="128"/>
        <v>5</v>
      </c>
      <c r="K2483" s="16">
        <v>10248.299999999999</v>
      </c>
      <c r="M2483" s="17">
        <f t="shared" si="121"/>
        <v>359227.00999999995</v>
      </c>
      <c r="N2483" s="11">
        <f t="shared" si="122"/>
        <v>12</v>
      </c>
    </row>
    <row r="2484" spans="1:14" x14ac:dyDescent="0.25">
      <c r="A2484" s="11" t="s">
        <v>207</v>
      </c>
      <c r="B2484" s="12">
        <v>45280</v>
      </c>
      <c r="C2484" s="11" t="s">
        <v>688</v>
      </c>
      <c r="D2484" s="11" t="s">
        <v>43</v>
      </c>
      <c r="E2484" s="13" t="s">
        <v>580</v>
      </c>
      <c r="F2484" s="14" t="s">
        <v>580</v>
      </c>
      <c r="G2484" s="14" t="s">
        <v>400</v>
      </c>
      <c r="I2484" s="11">
        <f t="shared" si="128"/>
        <v>2</v>
      </c>
      <c r="J2484" s="16">
        <v>288.93</v>
      </c>
      <c r="M2484" s="17">
        <f t="shared" si="121"/>
        <v>359515.93999999994</v>
      </c>
      <c r="N2484" s="11">
        <f t="shared" si="122"/>
        <v>12</v>
      </c>
    </row>
    <row r="2485" spans="1:14" x14ac:dyDescent="0.25">
      <c r="A2485" s="11" t="s">
        <v>207</v>
      </c>
      <c r="B2485" s="12">
        <v>45280</v>
      </c>
      <c r="C2485" s="11" t="s">
        <v>688</v>
      </c>
      <c r="D2485" s="11" t="s">
        <v>43</v>
      </c>
      <c r="E2485" s="13">
        <v>45280</v>
      </c>
      <c r="F2485" s="14" t="s">
        <v>472</v>
      </c>
      <c r="G2485" s="14" t="s">
        <v>400</v>
      </c>
      <c r="I2485" s="11">
        <f t="shared" si="128"/>
        <v>2</v>
      </c>
      <c r="J2485" s="16">
        <v>47.4</v>
      </c>
      <c r="M2485" s="17">
        <f t="shared" si="121"/>
        <v>359563.33999999997</v>
      </c>
      <c r="N2485" s="11">
        <f t="shared" si="122"/>
        <v>12</v>
      </c>
    </row>
    <row r="2486" spans="1:14" x14ac:dyDescent="0.25">
      <c r="A2486" s="11" t="s">
        <v>0</v>
      </c>
      <c r="B2486" s="12">
        <v>45280</v>
      </c>
      <c r="C2486" s="11" t="s">
        <v>688</v>
      </c>
      <c r="D2486" s="11" t="s">
        <v>694</v>
      </c>
      <c r="E2486" s="13" t="s">
        <v>182</v>
      </c>
      <c r="F2486" s="14" t="s">
        <v>365</v>
      </c>
      <c r="G2486" s="14" t="s">
        <v>402</v>
      </c>
      <c r="I2486" s="11">
        <f t="shared" si="128"/>
        <v>5</v>
      </c>
      <c r="K2486" s="16">
        <v>0.31</v>
      </c>
      <c r="M2486" s="17">
        <f t="shared" si="121"/>
        <v>359563.02999999997</v>
      </c>
      <c r="N2486" s="11">
        <f t="shared" si="122"/>
        <v>12</v>
      </c>
    </row>
    <row r="2487" spans="1:14" x14ac:dyDescent="0.25">
      <c r="A2487" s="11" t="s">
        <v>0</v>
      </c>
      <c r="B2487" s="12">
        <v>45280</v>
      </c>
      <c r="C2487" s="11" t="s">
        <v>688</v>
      </c>
      <c r="D2487" s="11" t="s">
        <v>694</v>
      </c>
      <c r="E2487" s="13" t="s">
        <v>182</v>
      </c>
      <c r="F2487" s="14" t="s">
        <v>23</v>
      </c>
      <c r="G2487" s="14" t="s">
        <v>402</v>
      </c>
      <c r="I2487" s="11">
        <f t="shared" si="128"/>
        <v>5</v>
      </c>
      <c r="K2487" s="16">
        <v>41.4</v>
      </c>
      <c r="M2487" s="17">
        <f t="shared" si="121"/>
        <v>359521.62999999995</v>
      </c>
      <c r="N2487" s="11">
        <f t="shared" si="122"/>
        <v>12</v>
      </c>
    </row>
    <row r="2488" spans="1:14" x14ac:dyDescent="0.25">
      <c r="A2488" s="11" t="s">
        <v>0</v>
      </c>
      <c r="B2488" s="12">
        <v>45280</v>
      </c>
      <c r="C2488" s="11" t="s">
        <v>688</v>
      </c>
      <c r="D2488" s="11" t="s">
        <v>692</v>
      </c>
      <c r="E2488" s="13" t="s">
        <v>169</v>
      </c>
      <c r="F2488" s="14" t="s">
        <v>50</v>
      </c>
      <c r="G2488" s="14" t="s">
        <v>404</v>
      </c>
      <c r="H2488" s="15" t="s">
        <v>437</v>
      </c>
      <c r="I2488" s="11">
        <f t="shared" si="128"/>
        <v>5</v>
      </c>
      <c r="K2488" s="16">
        <v>1500</v>
      </c>
      <c r="M2488" s="17">
        <f t="shared" si="121"/>
        <v>358021.62999999995</v>
      </c>
      <c r="N2488" s="11">
        <f t="shared" si="122"/>
        <v>12</v>
      </c>
    </row>
    <row r="2489" spans="1:14" ht="26.4" x14ac:dyDescent="0.25">
      <c r="A2489" s="11" t="s">
        <v>0</v>
      </c>
      <c r="B2489" s="12">
        <v>45280</v>
      </c>
      <c r="C2489" s="11" t="s">
        <v>688</v>
      </c>
      <c r="D2489" s="11" t="s">
        <v>692</v>
      </c>
      <c r="E2489" s="13" t="s">
        <v>724</v>
      </c>
      <c r="F2489" s="14" t="s">
        <v>119</v>
      </c>
      <c r="G2489" s="14" t="s">
        <v>404</v>
      </c>
      <c r="H2489" s="15" t="s">
        <v>660</v>
      </c>
      <c r="I2489" s="11">
        <f t="shared" si="128"/>
        <v>5</v>
      </c>
      <c r="K2489" s="16">
        <v>1810.35</v>
      </c>
      <c r="M2489" s="17">
        <f t="shared" si="121"/>
        <v>356211.27999999997</v>
      </c>
      <c r="N2489" s="11">
        <f t="shared" si="122"/>
        <v>12</v>
      </c>
    </row>
    <row r="2490" spans="1:14" x14ac:dyDescent="0.25">
      <c r="A2490" s="11" t="s">
        <v>0</v>
      </c>
      <c r="B2490" s="12">
        <v>45280</v>
      </c>
      <c r="C2490" s="11" t="s">
        <v>688</v>
      </c>
      <c r="D2490" s="11" t="s">
        <v>701</v>
      </c>
      <c r="E2490" s="13" t="s">
        <v>661</v>
      </c>
      <c r="F2490" s="14" t="s">
        <v>35</v>
      </c>
      <c r="G2490" s="14" t="s">
        <v>404</v>
      </c>
      <c r="H2490" s="15" t="s">
        <v>437</v>
      </c>
      <c r="I2490" s="11">
        <f t="shared" si="128"/>
        <v>5</v>
      </c>
      <c r="K2490" s="16">
        <v>124.98</v>
      </c>
      <c r="M2490" s="17">
        <f t="shared" si="121"/>
        <v>356086.3</v>
      </c>
      <c r="N2490" s="11">
        <f t="shared" si="122"/>
        <v>12</v>
      </c>
    </row>
    <row r="2491" spans="1:14" x14ac:dyDescent="0.25">
      <c r="A2491" s="11" t="s">
        <v>0</v>
      </c>
      <c r="B2491" s="12">
        <v>45280</v>
      </c>
      <c r="C2491" s="11" t="s">
        <v>688</v>
      </c>
      <c r="D2491" s="11" t="s">
        <v>696</v>
      </c>
      <c r="E2491" s="13" t="s">
        <v>608</v>
      </c>
      <c r="F2491" s="14" t="s">
        <v>822</v>
      </c>
      <c r="G2491" s="14" t="s">
        <v>407</v>
      </c>
      <c r="H2491" s="15" t="s">
        <v>426</v>
      </c>
      <c r="I2491" s="11">
        <f t="shared" si="128"/>
        <v>4</v>
      </c>
      <c r="J2491" s="233"/>
      <c r="K2491" s="233">
        <v>1250</v>
      </c>
      <c r="M2491" s="17">
        <f t="shared" si="121"/>
        <v>354836.3</v>
      </c>
      <c r="N2491" s="11">
        <f t="shared" si="122"/>
        <v>12</v>
      </c>
    </row>
    <row r="2492" spans="1:14" x14ac:dyDescent="0.25">
      <c r="A2492" s="11" t="s">
        <v>0</v>
      </c>
      <c r="B2492" s="12">
        <v>45281</v>
      </c>
      <c r="C2492" s="11" t="s">
        <v>688</v>
      </c>
      <c r="D2492" s="11" t="s">
        <v>700</v>
      </c>
      <c r="E2492" s="13" t="s">
        <v>824</v>
      </c>
      <c r="F2492" s="14" t="s">
        <v>825</v>
      </c>
      <c r="G2492" s="14" t="s">
        <v>407</v>
      </c>
      <c r="H2492" s="15" t="s">
        <v>426</v>
      </c>
      <c r="I2492" s="11">
        <f t="shared" si="128"/>
        <v>4</v>
      </c>
      <c r="J2492" s="233"/>
      <c r="K2492" s="233">
        <v>400</v>
      </c>
      <c r="M2492" s="17">
        <f t="shared" si="121"/>
        <v>354436.3</v>
      </c>
      <c r="N2492" s="11">
        <f t="shared" si="122"/>
        <v>12</v>
      </c>
    </row>
    <row r="2493" spans="1:14" x14ac:dyDescent="0.25">
      <c r="A2493" s="11" t="s">
        <v>207</v>
      </c>
      <c r="B2493" s="12">
        <v>45281</v>
      </c>
      <c r="C2493" s="11" t="s">
        <v>688</v>
      </c>
      <c r="D2493" s="11" t="s">
        <v>43</v>
      </c>
      <c r="E2493" s="13" t="s">
        <v>288</v>
      </c>
      <c r="F2493" s="14" t="s">
        <v>288</v>
      </c>
      <c r="G2493" s="14" t="s">
        <v>173</v>
      </c>
      <c r="I2493" s="11">
        <f t="shared" si="128"/>
        <v>3</v>
      </c>
      <c r="J2493" s="16">
        <v>369</v>
      </c>
      <c r="M2493" s="17">
        <f t="shared" si="121"/>
        <v>354805.3</v>
      </c>
      <c r="N2493" s="11">
        <f t="shared" si="122"/>
        <v>12</v>
      </c>
    </row>
    <row r="2494" spans="1:14" x14ac:dyDescent="0.25">
      <c r="A2494" s="11" t="s">
        <v>207</v>
      </c>
      <c r="B2494" s="12">
        <v>45281</v>
      </c>
      <c r="C2494" s="11" t="s">
        <v>688</v>
      </c>
      <c r="D2494" s="11" t="s">
        <v>43</v>
      </c>
      <c r="E2494" s="14" t="s">
        <v>429</v>
      </c>
      <c r="F2494" s="14" t="s">
        <v>429</v>
      </c>
      <c r="G2494" s="14" t="s">
        <v>428</v>
      </c>
      <c r="I2494" s="11">
        <f t="shared" si="128"/>
        <v>1</v>
      </c>
      <c r="J2494" s="16">
        <v>200</v>
      </c>
      <c r="M2494" s="17">
        <f t="shared" si="121"/>
        <v>355005.3</v>
      </c>
      <c r="N2494" s="11">
        <f t="shared" si="122"/>
        <v>12</v>
      </c>
    </row>
    <row r="2495" spans="1:14" x14ac:dyDescent="0.25">
      <c r="A2495" s="11" t="s">
        <v>207</v>
      </c>
      <c r="B2495" s="12">
        <v>45281</v>
      </c>
      <c r="C2495" s="11" t="s">
        <v>662</v>
      </c>
      <c r="D2495" s="11" t="s">
        <v>43</v>
      </c>
      <c r="E2495" s="13" t="s">
        <v>80</v>
      </c>
      <c r="F2495" s="14" t="s">
        <v>79</v>
      </c>
      <c r="G2495" s="14" t="s">
        <v>400</v>
      </c>
      <c r="I2495" s="11">
        <f t="shared" si="128"/>
        <v>2</v>
      </c>
      <c r="J2495" s="16">
        <v>200</v>
      </c>
      <c r="M2495" s="17">
        <f t="shared" si="121"/>
        <v>355205.3</v>
      </c>
      <c r="N2495" s="11">
        <f t="shared" si="122"/>
        <v>12</v>
      </c>
    </row>
    <row r="2496" spans="1:14" x14ac:dyDescent="0.25">
      <c r="A2496" s="11" t="s">
        <v>207</v>
      </c>
      <c r="B2496" s="12">
        <v>45281</v>
      </c>
      <c r="C2496" s="11" t="s">
        <v>688</v>
      </c>
      <c r="D2496" s="11" t="s">
        <v>43</v>
      </c>
      <c r="E2496" s="13" t="s">
        <v>80</v>
      </c>
      <c r="F2496" s="14" t="s">
        <v>79</v>
      </c>
      <c r="G2496" s="14" t="s">
        <v>400</v>
      </c>
      <c r="I2496" s="11">
        <f t="shared" si="128"/>
        <v>2</v>
      </c>
      <c r="J2496" s="16">
        <v>204.62</v>
      </c>
      <c r="M2496" s="17">
        <f t="shared" si="121"/>
        <v>355409.91999999998</v>
      </c>
      <c r="N2496" s="11">
        <f t="shared" si="122"/>
        <v>12</v>
      </c>
    </row>
    <row r="2497" spans="1:14" x14ac:dyDescent="0.25">
      <c r="A2497" s="11" t="s">
        <v>207</v>
      </c>
      <c r="B2497" s="12">
        <v>45281</v>
      </c>
      <c r="C2497" s="11" t="s">
        <v>688</v>
      </c>
      <c r="D2497" s="11" t="s">
        <v>43</v>
      </c>
      <c r="E2497" s="13" t="s">
        <v>81</v>
      </c>
      <c r="F2497" s="14" t="s">
        <v>79</v>
      </c>
      <c r="G2497" s="14" t="s">
        <v>400</v>
      </c>
      <c r="I2497" s="11">
        <f t="shared" si="128"/>
        <v>2</v>
      </c>
      <c r="J2497" s="16">
        <v>1706.85</v>
      </c>
      <c r="M2497" s="17">
        <f t="shared" si="121"/>
        <v>357116.76999999996</v>
      </c>
      <c r="N2497" s="11">
        <f t="shared" si="122"/>
        <v>12</v>
      </c>
    </row>
    <row r="2498" spans="1:14" x14ac:dyDescent="0.25">
      <c r="A2498" s="11" t="s">
        <v>207</v>
      </c>
      <c r="B2498" s="12">
        <v>45281</v>
      </c>
      <c r="C2498" s="11" t="s">
        <v>688</v>
      </c>
      <c r="D2498" s="11" t="s">
        <v>43</v>
      </c>
      <c r="E2498" s="13" t="s">
        <v>82</v>
      </c>
      <c r="F2498" s="14" t="s">
        <v>79</v>
      </c>
      <c r="G2498" s="14" t="s">
        <v>400</v>
      </c>
      <c r="I2498" s="11">
        <f t="shared" si="128"/>
        <v>2</v>
      </c>
      <c r="J2498" s="16">
        <v>212.89</v>
      </c>
      <c r="M2498" s="17">
        <f t="shared" si="121"/>
        <v>357329.66</v>
      </c>
      <c r="N2498" s="11">
        <f t="shared" si="122"/>
        <v>12</v>
      </c>
    </row>
    <row r="2499" spans="1:14" x14ac:dyDescent="0.25">
      <c r="A2499" s="11" t="s">
        <v>207</v>
      </c>
      <c r="B2499" s="12">
        <v>45281</v>
      </c>
      <c r="C2499" s="11" t="s">
        <v>688</v>
      </c>
      <c r="D2499" s="11" t="s">
        <v>43</v>
      </c>
      <c r="E2499" s="13" t="s">
        <v>83</v>
      </c>
      <c r="F2499" s="14" t="s">
        <v>79</v>
      </c>
      <c r="G2499" s="14" t="s">
        <v>400</v>
      </c>
      <c r="I2499" s="11">
        <f t="shared" si="128"/>
        <v>2</v>
      </c>
      <c r="J2499" s="16">
        <v>218.13</v>
      </c>
      <c r="M2499" s="17">
        <f t="shared" ref="M2499:M2562" si="129">IF(B2499=0, "",M2498+ J2499-K2499)</f>
        <v>357547.79</v>
      </c>
      <c r="N2499" s="11">
        <f t="shared" ref="N2499:N2562" si="130">IF(B2499=0, "", MONTH(B2499))</f>
        <v>12</v>
      </c>
    </row>
    <row r="2500" spans="1:14" x14ac:dyDescent="0.25">
      <c r="A2500" s="11" t="s">
        <v>207</v>
      </c>
      <c r="B2500" s="12">
        <v>45281</v>
      </c>
      <c r="C2500" s="11" t="s">
        <v>688</v>
      </c>
      <c r="D2500" s="11" t="s">
        <v>43</v>
      </c>
      <c r="E2500" s="13" t="s">
        <v>382</v>
      </c>
      <c r="F2500" s="14" t="s">
        <v>13</v>
      </c>
      <c r="G2500" s="14" t="s">
        <v>400</v>
      </c>
      <c r="I2500" s="11">
        <f t="shared" si="128"/>
        <v>2</v>
      </c>
      <c r="J2500" s="16">
        <v>271.60000000000002</v>
      </c>
      <c r="M2500" s="17">
        <f t="shared" si="129"/>
        <v>357819.38999999996</v>
      </c>
      <c r="N2500" s="11">
        <f t="shared" si="130"/>
        <v>12</v>
      </c>
    </row>
    <row r="2501" spans="1:14" x14ac:dyDescent="0.25">
      <c r="A2501" s="11" t="s">
        <v>207</v>
      </c>
      <c r="B2501" s="12">
        <v>45281</v>
      </c>
      <c r="C2501" s="11" t="s">
        <v>688</v>
      </c>
      <c r="D2501" s="11" t="s">
        <v>43</v>
      </c>
      <c r="E2501" s="13" t="s">
        <v>382</v>
      </c>
      <c r="F2501" s="14" t="s">
        <v>13</v>
      </c>
      <c r="G2501" s="14" t="s">
        <v>400</v>
      </c>
      <c r="I2501" s="11">
        <f t="shared" si="128"/>
        <v>2</v>
      </c>
      <c r="J2501" s="16">
        <v>334.65</v>
      </c>
      <c r="M2501" s="17">
        <f t="shared" si="129"/>
        <v>358154.04</v>
      </c>
      <c r="N2501" s="11">
        <f t="shared" si="130"/>
        <v>12</v>
      </c>
    </row>
    <row r="2502" spans="1:14" x14ac:dyDescent="0.25">
      <c r="A2502" s="11" t="s">
        <v>207</v>
      </c>
      <c r="B2502" s="12">
        <v>45281</v>
      </c>
      <c r="C2502" s="11" t="s">
        <v>688</v>
      </c>
      <c r="D2502" s="11" t="s">
        <v>43</v>
      </c>
      <c r="E2502" s="13" t="s">
        <v>382</v>
      </c>
      <c r="F2502" s="14" t="s">
        <v>13</v>
      </c>
      <c r="G2502" s="14" t="s">
        <v>400</v>
      </c>
      <c r="I2502" s="11">
        <f t="shared" si="128"/>
        <v>2</v>
      </c>
      <c r="J2502" s="16">
        <v>45.27</v>
      </c>
      <c r="M2502" s="17">
        <f t="shared" si="129"/>
        <v>358199.31</v>
      </c>
      <c r="N2502" s="11">
        <f t="shared" si="130"/>
        <v>12</v>
      </c>
    </row>
    <row r="2503" spans="1:14" x14ac:dyDescent="0.25">
      <c r="A2503" s="11" t="s">
        <v>207</v>
      </c>
      <c r="B2503" s="12">
        <v>45281</v>
      </c>
      <c r="C2503" s="11" t="s">
        <v>688</v>
      </c>
      <c r="D2503" s="11" t="s">
        <v>43</v>
      </c>
      <c r="E2503" s="13" t="s">
        <v>382</v>
      </c>
      <c r="F2503" s="14" t="s">
        <v>13</v>
      </c>
      <c r="G2503" s="14" t="s">
        <v>400</v>
      </c>
      <c r="I2503" s="11">
        <f t="shared" si="128"/>
        <v>2</v>
      </c>
      <c r="J2503" s="16">
        <v>154.61000000000001</v>
      </c>
      <c r="M2503" s="17">
        <f t="shared" si="129"/>
        <v>358353.91999999998</v>
      </c>
      <c r="N2503" s="11">
        <f t="shared" si="130"/>
        <v>12</v>
      </c>
    </row>
    <row r="2504" spans="1:14" x14ac:dyDescent="0.25">
      <c r="A2504" s="11" t="s">
        <v>0</v>
      </c>
      <c r="B2504" s="12">
        <v>45281</v>
      </c>
      <c r="C2504" s="11" t="s">
        <v>688</v>
      </c>
      <c r="D2504" s="11" t="s">
        <v>694</v>
      </c>
      <c r="E2504" s="13" t="s">
        <v>182</v>
      </c>
      <c r="F2504" s="14" t="s">
        <v>365</v>
      </c>
      <c r="G2504" s="14" t="s">
        <v>402</v>
      </c>
      <c r="I2504" s="11">
        <f t="shared" si="128"/>
        <v>5</v>
      </c>
      <c r="K2504" s="16">
        <v>3.56</v>
      </c>
      <c r="M2504" s="17">
        <f t="shared" si="129"/>
        <v>358350.36</v>
      </c>
      <c r="N2504" s="11">
        <f t="shared" si="130"/>
        <v>12</v>
      </c>
    </row>
    <row r="2505" spans="1:14" x14ac:dyDescent="0.25">
      <c r="A2505" s="11" t="s">
        <v>0</v>
      </c>
      <c r="B2505" s="12">
        <v>45281</v>
      </c>
      <c r="C2505" s="11" t="s">
        <v>688</v>
      </c>
      <c r="D2505" s="11" t="s">
        <v>694</v>
      </c>
      <c r="E2505" s="13" t="s">
        <v>182</v>
      </c>
      <c r="F2505" s="14" t="s">
        <v>23</v>
      </c>
      <c r="G2505" s="14" t="s">
        <v>402</v>
      </c>
      <c r="I2505" s="11">
        <f t="shared" si="128"/>
        <v>5</v>
      </c>
      <c r="K2505" s="16">
        <v>1.35</v>
      </c>
      <c r="M2505" s="17">
        <f t="shared" si="129"/>
        <v>358349.01</v>
      </c>
      <c r="N2505" s="11">
        <f t="shared" si="130"/>
        <v>12</v>
      </c>
    </row>
    <row r="2506" spans="1:14" x14ac:dyDescent="0.25">
      <c r="A2506" s="11" t="s">
        <v>0</v>
      </c>
      <c r="B2506" s="12">
        <v>45281</v>
      </c>
      <c r="C2506" s="11" t="s">
        <v>688</v>
      </c>
      <c r="D2506" s="11" t="s">
        <v>692</v>
      </c>
      <c r="E2506" s="13" t="s">
        <v>143</v>
      </c>
      <c r="F2506" s="14" t="s">
        <v>511</v>
      </c>
      <c r="G2506" s="14" t="s">
        <v>403</v>
      </c>
      <c r="H2506" s="15">
        <v>2924965</v>
      </c>
      <c r="I2506" s="11">
        <f t="shared" ref="I2506:I2539" si="131">IF(AND(G2506="MERCADO PAGO",A2506="FATURAMENTO"),1,IF(AND(OR(G2506="MERCADO PAGO",G2506="pix mercado pago",G2506= "débito automático mercado pago", G2506= "boleto mercado pago"),A2506="DESPESAS"),4,IF(AND(G2506="SAFRA",A2506="FATURAMENTO"),2,IF(AND(OR(G2506="SAFRA",G2506="PIX SAFRA", G2506="DÉBITO AUTOMÁTICO SAFRA", G2506= "BOLETO SAFRA", G2506= "transferência safra"), A2506="DESPESAS"),5,IF(AND(G2506="espécie",A2506="FATURAMENTO"),3,IF(AND(G2506="espécie",A2506="DESPESAS"),6))))))</f>
        <v>5</v>
      </c>
      <c r="K2506" s="16">
        <v>1191.5999999999999</v>
      </c>
      <c r="M2506" s="17">
        <f t="shared" si="129"/>
        <v>357157.41000000003</v>
      </c>
      <c r="N2506" s="11">
        <f t="shared" si="130"/>
        <v>12</v>
      </c>
    </row>
    <row r="2507" spans="1:14" x14ac:dyDescent="0.25">
      <c r="A2507" s="11" t="s">
        <v>207</v>
      </c>
      <c r="B2507" s="12">
        <v>45281</v>
      </c>
      <c r="C2507" s="11" t="s">
        <v>688</v>
      </c>
      <c r="D2507" s="11" t="s">
        <v>43</v>
      </c>
      <c r="E2507" s="13">
        <v>45281</v>
      </c>
      <c r="F2507" s="14" t="s">
        <v>472</v>
      </c>
      <c r="G2507" s="14" t="s">
        <v>400</v>
      </c>
      <c r="I2507" s="11">
        <f t="shared" si="131"/>
        <v>2</v>
      </c>
      <c r="J2507" s="16">
        <v>519.79999999999995</v>
      </c>
      <c r="M2507" s="17">
        <f t="shared" si="129"/>
        <v>357677.21</v>
      </c>
      <c r="N2507" s="11">
        <f t="shared" si="130"/>
        <v>12</v>
      </c>
    </row>
    <row r="2508" spans="1:14" x14ac:dyDescent="0.25">
      <c r="A2508" s="11" t="s">
        <v>0</v>
      </c>
      <c r="B2508" s="12">
        <v>45281</v>
      </c>
      <c r="C2508" s="11" t="s">
        <v>688</v>
      </c>
      <c r="D2508" s="11" t="s">
        <v>720</v>
      </c>
      <c r="E2508" s="13" t="s">
        <v>183</v>
      </c>
      <c r="F2508" s="14" t="s">
        <v>366</v>
      </c>
      <c r="G2508" s="14" t="s">
        <v>404</v>
      </c>
      <c r="H2508" s="15">
        <v>58</v>
      </c>
      <c r="I2508" s="11">
        <f t="shared" si="131"/>
        <v>5</v>
      </c>
      <c r="K2508" s="16">
        <v>150</v>
      </c>
      <c r="M2508" s="17">
        <f t="shared" si="129"/>
        <v>357527.21</v>
      </c>
      <c r="N2508" s="11">
        <f t="shared" si="130"/>
        <v>12</v>
      </c>
    </row>
    <row r="2509" spans="1:14" x14ac:dyDescent="0.25">
      <c r="A2509" s="11" t="s">
        <v>0</v>
      </c>
      <c r="B2509" s="12">
        <v>45281</v>
      </c>
      <c r="C2509" s="11" t="s">
        <v>688</v>
      </c>
      <c r="D2509" s="11" t="s">
        <v>47</v>
      </c>
      <c r="E2509" s="13" t="s">
        <v>664</v>
      </c>
      <c r="F2509" s="14" t="s">
        <v>35</v>
      </c>
      <c r="G2509" s="14" t="s">
        <v>404</v>
      </c>
      <c r="H2509" s="15" t="s">
        <v>437</v>
      </c>
      <c r="I2509" s="11">
        <f t="shared" si="131"/>
        <v>5</v>
      </c>
      <c r="K2509" s="16">
        <v>259.76</v>
      </c>
      <c r="M2509" s="17">
        <f t="shared" si="129"/>
        <v>357267.45</v>
      </c>
      <c r="N2509" s="11">
        <f t="shared" si="130"/>
        <v>12</v>
      </c>
    </row>
    <row r="2510" spans="1:14" x14ac:dyDescent="0.25">
      <c r="A2510" s="11" t="s">
        <v>0</v>
      </c>
      <c r="B2510" s="12">
        <v>45282</v>
      </c>
      <c r="C2510" s="11" t="s">
        <v>688</v>
      </c>
      <c r="D2510" s="11" t="s">
        <v>47</v>
      </c>
      <c r="E2510" s="13" t="s">
        <v>829</v>
      </c>
      <c r="F2510" s="14" t="s">
        <v>830</v>
      </c>
      <c r="G2510" s="14" t="s">
        <v>407</v>
      </c>
      <c r="H2510" s="15" t="s">
        <v>426</v>
      </c>
      <c r="I2510" s="11">
        <f t="shared" si="131"/>
        <v>4</v>
      </c>
      <c r="J2510" s="233"/>
      <c r="K2510" s="233">
        <v>120</v>
      </c>
      <c r="M2510" s="17">
        <f t="shared" si="129"/>
        <v>357147.45</v>
      </c>
      <c r="N2510" s="11">
        <f t="shared" si="130"/>
        <v>12</v>
      </c>
    </row>
    <row r="2511" spans="1:14" x14ac:dyDescent="0.25">
      <c r="A2511" s="11" t="s">
        <v>0</v>
      </c>
      <c r="B2511" s="12">
        <v>45282</v>
      </c>
      <c r="C2511" s="11" t="s">
        <v>688</v>
      </c>
      <c r="D2511" s="11" t="s">
        <v>698</v>
      </c>
      <c r="E2511" s="13" t="s">
        <v>827</v>
      </c>
      <c r="F2511" s="14" t="s">
        <v>828</v>
      </c>
      <c r="G2511" s="14" t="s">
        <v>407</v>
      </c>
      <c r="H2511" s="15" t="s">
        <v>426</v>
      </c>
      <c r="I2511" s="11">
        <f t="shared" ref="I2511" si="132">IF(AND(G2511="MERCADO PAGO",A2511="FATURAMENTO"),1,IF(AND(OR(G2511="MERCADO PAGO",G2511="pix mercado pago",G2511= "débito automático mercado pago", G2511= "boleto mercado pago"),A2511="DESPESAS"),4,IF(AND(G2511="SAFRA",A2511="FATURAMENTO"),2,IF(AND(OR(G2511="SAFRA",G2511="PIX SAFRA", G2511="DÉBITO AUTOMÁTICO SAFRA", G2511= "BOLETO SAFRA", G2511= "transferência safra"), A2511="DESPESAS"),5,IF(AND(G2511="espécie",A2511="FATURAMENTO"),3,IF(AND(G2511="espécie",A2511="DESPESAS"),6))))))</f>
        <v>4</v>
      </c>
      <c r="J2511" s="233"/>
      <c r="K2511" s="233">
        <v>200</v>
      </c>
      <c r="M2511" s="17">
        <f t="shared" si="129"/>
        <v>356947.45</v>
      </c>
      <c r="N2511" s="11">
        <f t="shared" si="130"/>
        <v>12</v>
      </c>
    </row>
    <row r="2512" spans="1:14" x14ac:dyDescent="0.25">
      <c r="A2512" s="11" t="s">
        <v>0</v>
      </c>
      <c r="B2512" s="12">
        <v>45282</v>
      </c>
      <c r="C2512" s="11" t="s">
        <v>688</v>
      </c>
      <c r="D2512" s="11" t="s">
        <v>698</v>
      </c>
      <c r="E2512" s="13" t="s">
        <v>827</v>
      </c>
      <c r="F2512" s="14" t="s">
        <v>828</v>
      </c>
      <c r="G2512" s="14" t="s">
        <v>407</v>
      </c>
      <c r="H2512" s="15" t="s">
        <v>426</v>
      </c>
      <c r="I2512" s="11">
        <f t="shared" si="131"/>
        <v>4</v>
      </c>
      <c r="J2512" s="233"/>
      <c r="K2512" s="233">
        <v>300</v>
      </c>
      <c r="M2512" s="17">
        <f t="shared" si="129"/>
        <v>356647.45</v>
      </c>
      <c r="N2512" s="11">
        <f t="shared" si="130"/>
        <v>12</v>
      </c>
    </row>
    <row r="2513" spans="1:14" x14ac:dyDescent="0.25">
      <c r="A2513" s="11" t="s">
        <v>0</v>
      </c>
      <c r="B2513" s="12">
        <v>45282</v>
      </c>
      <c r="C2513" s="11" t="s">
        <v>688</v>
      </c>
      <c r="D2513" s="11" t="s">
        <v>698</v>
      </c>
      <c r="E2513" s="13" t="s">
        <v>677</v>
      </c>
      <c r="F2513" s="14" t="s">
        <v>826</v>
      </c>
      <c r="G2513" s="14" t="s">
        <v>407</v>
      </c>
      <c r="H2513" s="15" t="s">
        <v>426</v>
      </c>
      <c r="I2513" s="11">
        <f t="shared" si="131"/>
        <v>4</v>
      </c>
      <c r="J2513" s="233"/>
      <c r="K2513" s="233">
        <v>12</v>
      </c>
      <c r="M2513" s="17">
        <f t="shared" si="129"/>
        <v>356635.45</v>
      </c>
      <c r="N2513" s="11">
        <f t="shared" si="130"/>
        <v>12</v>
      </c>
    </row>
    <row r="2514" spans="1:14" x14ac:dyDescent="0.25">
      <c r="A2514" s="11" t="s">
        <v>207</v>
      </c>
      <c r="B2514" s="12">
        <v>45282</v>
      </c>
      <c r="C2514" s="11" t="s">
        <v>688</v>
      </c>
      <c r="D2514" s="11" t="s">
        <v>43</v>
      </c>
      <c r="E2514" s="13" t="s">
        <v>288</v>
      </c>
      <c r="F2514" s="14" t="s">
        <v>288</v>
      </c>
      <c r="G2514" s="14" t="s">
        <v>173</v>
      </c>
      <c r="I2514" s="11">
        <f t="shared" si="131"/>
        <v>3</v>
      </c>
      <c r="J2514" s="16">
        <v>32</v>
      </c>
      <c r="M2514" s="17">
        <f t="shared" si="129"/>
        <v>356667.45</v>
      </c>
      <c r="N2514" s="11">
        <f t="shared" si="130"/>
        <v>12</v>
      </c>
    </row>
    <row r="2515" spans="1:14" x14ac:dyDescent="0.25">
      <c r="A2515" s="11" t="s">
        <v>207</v>
      </c>
      <c r="B2515" s="12">
        <v>45282</v>
      </c>
      <c r="C2515" s="11" t="s">
        <v>688</v>
      </c>
      <c r="D2515" s="11" t="s">
        <v>43</v>
      </c>
      <c r="E2515" s="13" t="s">
        <v>80</v>
      </c>
      <c r="F2515" s="14" t="s">
        <v>79</v>
      </c>
      <c r="G2515" s="14" t="s">
        <v>400</v>
      </c>
      <c r="I2515" s="11">
        <f t="shared" si="131"/>
        <v>2</v>
      </c>
      <c r="J2515" s="16">
        <v>746.73</v>
      </c>
      <c r="M2515" s="17">
        <f t="shared" si="129"/>
        <v>357414.18</v>
      </c>
      <c r="N2515" s="11">
        <f t="shared" si="130"/>
        <v>12</v>
      </c>
    </row>
    <row r="2516" spans="1:14" x14ac:dyDescent="0.25">
      <c r="A2516" s="11" t="s">
        <v>207</v>
      </c>
      <c r="B2516" s="12">
        <v>45282</v>
      </c>
      <c r="C2516" s="11" t="s">
        <v>688</v>
      </c>
      <c r="D2516" s="11" t="s">
        <v>43</v>
      </c>
      <c r="E2516" s="13" t="s">
        <v>81</v>
      </c>
      <c r="F2516" s="14" t="s">
        <v>79</v>
      </c>
      <c r="G2516" s="14" t="s">
        <v>400</v>
      </c>
      <c r="I2516" s="11">
        <f t="shared" si="131"/>
        <v>2</v>
      </c>
      <c r="J2516" s="16">
        <v>1370.93</v>
      </c>
      <c r="M2516" s="17">
        <f t="shared" si="129"/>
        <v>358785.11</v>
      </c>
      <c r="N2516" s="11">
        <f t="shared" si="130"/>
        <v>12</v>
      </c>
    </row>
    <row r="2517" spans="1:14" x14ac:dyDescent="0.25">
      <c r="A2517" s="11" t="s">
        <v>207</v>
      </c>
      <c r="B2517" s="12">
        <v>45282</v>
      </c>
      <c r="C2517" s="11" t="s">
        <v>688</v>
      </c>
      <c r="D2517" s="11" t="s">
        <v>43</v>
      </c>
      <c r="E2517" s="13" t="s">
        <v>82</v>
      </c>
      <c r="F2517" s="14" t="s">
        <v>79</v>
      </c>
      <c r="G2517" s="14" t="s">
        <v>400</v>
      </c>
      <c r="I2517" s="11">
        <f t="shared" si="131"/>
        <v>2</v>
      </c>
      <c r="J2517" s="16">
        <v>514.13</v>
      </c>
      <c r="M2517" s="17">
        <f t="shared" si="129"/>
        <v>359299.24</v>
      </c>
      <c r="N2517" s="11">
        <f t="shared" si="130"/>
        <v>12</v>
      </c>
    </row>
    <row r="2518" spans="1:14" x14ac:dyDescent="0.25">
      <c r="A2518" s="11" t="s">
        <v>207</v>
      </c>
      <c r="B2518" s="12">
        <v>45282</v>
      </c>
      <c r="C2518" s="11" t="s">
        <v>688</v>
      </c>
      <c r="D2518" s="11" t="s">
        <v>43</v>
      </c>
      <c r="E2518" s="13" t="s">
        <v>382</v>
      </c>
      <c r="F2518" s="14" t="s">
        <v>13</v>
      </c>
      <c r="G2518" s="14" t="s">
        <v>400</v>
      </c>
      <c r="I2518" s="11">
        <f t="shared" si="131"/>
        <v>2</v>
      </c>
      <c r="J2518" s="16">
        <v>372.76</v>
      </c>
      <c r="M2518" s="17">
        <f t="shared" si="129"/>
        <v>359672</v>
      </c>
      <c r="N2518" s="11">
        <f t="shared" si="130"/>
        <v>12</v>
      </c>
    </row>
    <row r="2519" spans="1:14" x14ac:dyDescent="0.25">
      <c r="A2519" s="11" t="s">
        <v>207</v>
      </c>
      <c r="B2519" s="12">
        <v>45282</v>
      </c>
      <c r="C2519" s="11" t="s">
        <v>688</v>
      </c>
      <c r="D2519" s="11" t="s">
        <v>43</v>
      </c>
      <c r="E2519" s="13" t="s">
        <v>382</v>
      </c>
      <c r="F2519" s="14" t="s">
        <v>13</v>
      </c>
      <c r="G2519" s="14" t="s">
        <v>400</v>
      </c>
      <c r="I2519" s="11">
        <f t="shared" si="131"/>
        <v>2</v>
      </c>
      <c r="J2519" s="16">
        <v>324.06</v>
      </c>
      <c r="M2519" s="17">
        <f t="shared" si="129"/>
        <v>359996.06</v>
      </c>
      <c r="N2519" s="11">
        <f t="shared" si="130"/>
        <v>12</v>
      </c>
    </row>
    <row r="2520" spans="1:14" x14ac:dyDescent="0.25">
      <c r="A2520" s="11" t="s">
        <v>207</v>
      </c>
      <c r="B2520" s="12">
        <v>45282</v>
      </c>
      <c r="C2520" s="11" t="s">
        <v>688</v>
      </c>
      <c r="D2520" s="11" t="s">
        <v>43</v>
      </c>
      <c r="E2520" s="13" t="s">
        <v>382</v>
      </c>
      <c r="F2520" s="14" t="s">
        <v>13</v>
      </c>
      <c r="G2520" s="14" t="s">
        <v>400</v>
      </c>
      <c r="I2520" s="11">
        <f t="shared" si="131"/>
        <v>2</v>
      </c>
      <c r="J2520" s="16">
        <v>538.95000000000005</v>
      </c>
      <c r="M2520" s="17">
        <f t="shared" si="129"/>
        <v>360535.01</v>
      </c>
      <c r="N2520" s="11">
        <f t="shared" si="130"/>
        <v>12</v>
      </c>
    </row>
    <row r="2521" spans="1:14" x14ac:dyDescent="0.25">
      <c r="A2521" s="11" t="s">
        <v>207</v>
      </c>
      <c r="B2521" s="12">
        <v>45282</v>
      </c>
      <c r="C2521" s="11" t="s">
        <v>688</v>
      </c>
      <c r="D2521" s="11" t="s">
        <v>43</v>
      </c>
      <c r="E2521" s="13" t="s">
        <v>382</v>
      </c>
      <c r="F2521" s="14" t="s">
        <v>13</v>
      </c>
      <c r="G2521" s="14" t="s">
        <v>400</v>
      </c>
      <c r="I2521" s="11">
        <f t="shared" si="131"/>
        <v>2</v>
      </c>
      <c r="J2521" s="16">
        <v>313.63</v>
      </c>
      <c r="M2521" s="17">
        <f t="shared" si="129"/>
        <v>360848.64000000001</v>
      </c>
      <c r="N2521" s="11">
        <f t="shared" si="130"/>
        <v>12</v>
      </c>
    </row>
    <row r="2522" spans="1:14" x14ac:dyDescent="0.25">
      <c r="A2522" s="11" t="s">
        <v>207</v>
      </c>
      <c r="B2522" s="12">
        <v>45282</v>
      </c>
      <c r="C2522" s="11" t="s">
        <v>688</v>
      </c>
      <c r="D2522" s="11" t="s">
        <v>43</v>
      </c>
      <c r="E2522" s="13" t="s">
        <v>382</v>
      </c>
      <c r="F2522" s="14" t="s">
        <v>13</v>
      </c>
      <c r="G2522" s="14" t="s">
        <v>400</v>
      </c>
      <c r="I2522" s="11">
        <f t="shared" si="131"/>
        <v>2</v>
      </c>
      <c r="J2522" s="16">
        <v>21.88</v>
      </c>
      <c r="M2522" s="17">
        <f t="shared" si="129"/>
        <v>360870.52</v>
      </c>
      <c r="N2522" s="11">
        <f t="shared" si="130"/>
        <v>12</v>
      </c>
    </row>
    <row r="2523" spans="1:14" x14ac:dyDescent="0.25">
      <c r="A2523" s="11" t="s">
        <v>0</v>
      </c>
      <c r="B2523" s="12">
        <v>45282</v>
      </c>
      <c r="C2523" s="11" t="s">
        <v>688</v>
      </c>
      <c r="D2523" s="11" t="s">
        <v>694</v>
      </c>
      <c r="E2523" s="13" t="s">
        <v>182</v>
      </c>
      <c r="F2523" s="14" t="s">
        <v>365</v>
      </c>
      <c r="G2523" s="14" t="s">
        <v>402</v>
      </c>
      <c r="I2523" s="11">
        <f t="shared" si="131"/>
        <v>5</v>
      </c>
      <c r="K2523" s="16">
        <v>3.8</v>
      </c>
      <c r="M2523" s="17">
        <f t="shared" si="129"/>
        <v>360866.72000000003</v>
      </c>
      <c r="N2523" s="11">
        <f t="shared" si="130"/>
        <v>12</v>
      </c>
    </row>
    <row r="2524" spans="1:14" x14ac:dyDescent="0.25">
      <c r="A2524" s="11" t="s">
        <v>0</v>
      </c>
      <c r="B2524" s="12">
        <v>45282</v>
      </c>
      <c r="C2524" s="11" t="s">
        <v>688</v>
      </c>
      <c r="D2524" s="11" t="s">
        <v>694</v>
      </c>
      <c r="E2524" s="13" t="s">
        <v>182</v>
      </c>
      <c r="F2524" s="14" t="s">
        <v>23</v>
      </c>
      <c r="G2524" s="14" t="s">
        <v>402</v>
      </c>
      <c r="I2524" s="11">
        <f t="shared" si="131"/>
        <v>5</v>
      </c>
      <c r="K2524" s="16">
        <v>37.07</v>
      </c>
      <c r="M2524" s="17">
        <f t="shared" si="129"/>
        <v>360829.65</v>
      </c>
      <c r="N2524" s="11">
        <f t="shared" si="130"/>
        <v>12</v>
      </c>
    </row>
    <row r="2525" spans="1:14" x14ac:dyDescent="0.25">
      <c r="A2525" s="11" t="s">
        <v>0</v>
      </c>
      <c r="B2525" s="12">
        <v>45282</v>
      </c>
      <c r="C2525" s="11" t="s">
        <v>688</v>
      </c>
      <c r="D2525" s="11" t="s">
        <v>692</v>
      </c>
      <c r="E2525" s="13" t="s">
        <v>726</v>
      </c>
      <c r="F2525" s="14" t="s">
        <v>91</v>
      </c>
      <c r="G2525" s="14" t="s">
        <v>403</v>
      </c>
      <c r="H2525" s="15">
        <v>404489</v>
      </c>
      <c r="I2525" s="11">
        <f t="shared" si="131"/>
        <v>5</v>
      </c>
      <c r="K2525" s="16">
        <v>2145.9899999999998</v>
      </c>
      <c r="M2525" s="17">
        <f t="shared" si="129"/>
        <v>358683.66000000003</v>
      </c>
      <c r="N2525" s="11">
        <f t="shared" si="130"/>
        <v>12</v>
      </c>
    </row>
    <row r="2526" spans="1:14" x14ac:dyDescent="0.25">
      <c r="A2526" s="11" t="s">
        <v>0</v>
      </c>
      <c r="B2526" s="12">
        <v>45282</v>
      </c>
      <c r="C2526" s="11" t="s">
        <v>688</v>
      </c>
      <c r="D2526" s="11" t="s">
        <v>697</v>
      </c>
      <c r="E2526" s="13" t="s">
        <v>751</v>
      </c>
      <c r="F2526" s="14" t="s">
        <v>231</v>
      </c>
      <c r="G2526" s="14" t="s">
        <v>403</v>
      </c>
      <c r="I2526" s="11">
        <f t="shared" si="131"/>
        <v>5</v>
      </c>
      <c r="K2526" s="16">
        <v>2909.05</v>
      </c>
      <c r="M2526" s="17">
        <f t="shared" si="129"/>
        <v>355774.61000000004</v>
      </c>
      <c r="N2526" s="11">
        <f t="shared" si="130"/>
        <v>12</v>
      </c>
    </row>
    <row r="2527" spans="1:14" x14ac:dyDescent="0.25">
      <c r="A2527" s="11" t="s">
        <v>207</v>
      </c>
      <c r="B2527" s="12">
        <v>45282</v>
      </c>
      <c r="C2527" s="11" t="s">
        <v>688</v>
      </c>
      <c r="D2527" s="11" t="s">
        <v>43</v>
      </c>
      <c r="E2527" s="13">
        <v>45282</v>
      </c>
      <c r="F2527" s="14" t="s">
        <v>472</v>
      </c>
      <c r="G2527" s="14" t="s">
        <v>400</v>
      </c>
      <c r="I2527" s="11">
        <f t="shared" si="131"/>
        <v>2</v>
      </c>
      <c r="J2527" s="16">
        <v>556.20000000000005</v>
      </c>
      <c r="M2527" s="17">
        <f t="shared" si="129"/>
        <v>356330.81000000006</v>
      </c>
      <c r="N2527" s="11">
        <f t="shared" si="130"/>
        <v>12</v>
      </c>
    </row>
    <row r="2528" spans="1:14" x14ac:dyDescent="0.25">
      <c r="A2528" s="11" t="s">
        <v>0</v>
      </c>
      <c r="B2528" s="12">
        <v>45282</v>
      </c>
      <c r="C2528" s="11" t="s">
        <v>688</v>
      </c>
      <c r="D2528" s="11" t="s">
        <v>701</v>
      </c>
      <c r="E2528" s="13" t="s">
        <v>180</v>
      </c>
      <c r="F2528" s="14" t="s">
        <v>37</v>
      </c>
      <c r="G2528" s="14" t="s">
        <v>404</v>
      </c>
      <c r="H2528" s="15" t="s">
        <v>102</v>
      </c>
      <c r="I2528" s="11">
        <f t="shared" si="131"/>
        <v>5</v>
      </c>
      <c r="K2528" s="16">
        <v>109.1</v>
      </c>
      <c r="M2528" s="17">
        <f t="shared" si="129"/>
        <v>356221.71000000008</v>
      </c>
      <c r="N2528" s="11">
        <f t="shared" si="130"/>
        <v>12</v>
      </c>
    </row>
    <row r="2529" spans="1:14" x14ac:dyDescent="0.25">
      <c r="A2529" s="11" t="s">
        <v>0</v>
      </c>
      <c r="B2529" s="12">
        <v>45282</v>
      </c>
      <c r="C2529" s="11" t="s">
        <v>688</v>
      </c>
      <c r="D2529" s="11" t="s">
        <v>47</v>
      </c>
      <c r="E2529" s="13" t="s">
        <v>666</v>
      </c>
      <c r="F2529" s="14" t="s">
        <v>667</v>
      </c>
      <c r="G2529" s="14" t="s">
        <v>404</v>
      </c>
      <c r="H2529" s="15">
        <v>129</v>
      </c>
      <c r="I2529" s="11">
        <f t="shared" si="131"/>
        <v>5</v>
      </c>
      <c r="K2529" s="16">
        <v>380</v>
      </c>
      <c r="M2529" s="17">
        <f t="shared" si="129"/>
        <v>355841.71000000008</v>
      </c>
      <c r="N2529" s="11">
        <f t="shared" si="130"/>
        <v>12</v>
      </c>
    </row>
    <row r="2530" spans="1:14" x14ac:dyDescent="0.25">
      <c r="A2530" s="11" t="s">
        <v>0</v>
      </c>
      <c r="B2530" s="12">
        <v>45282</v>
      </c>
      <c r="C2530" s="11" t="s">
        <v>688</v>
      </c>
      <c r="D2530" s="11" t="s">
        <v>47</v>
      </c>
      <c r="E2530" s="13" t="s">
        <v>665</v>
      </c>
      <c r="F2530" s="14" t="s">
        <v>667</v>
      </c>
      <c r="G2530" s="14" t="s">
        <v>404</v>
      </c>
      <c r="H2530" s="15">
        <v>129</v>
      </c>
      <c r="I2530" s="11">
        <f t="shared" si="131"/>
        <v>5</v>
      </c>
      <c r="K2530" s="16">
        <v>730</v>
      </c>
      <c r="M2530" s="17">
        <f t="shared" si="129"/>
        <v>355111.71000000008</v>
      </c>
      <c r="N2530" s="11">
        <f t="shared" si="130"/>
        <v>12</v>
      </c>
    </row>
    <row r="2531" spans="1:14" x14ac:dyDescent="0.25">
      <c r="A2531" s="11" t="s">
        <v>0</v>
      </c>
      <c r="B2531" s="12">
        <v>45282</v>
      </c>
      <c r="C2531" s="11" t="s">
        <v>688</v>
      </c>
      <c r="D2531" s="11" t="s">
        <v>692</v>
      </c>
      <c r="E2531" s="13" t="s">
        <v>267</v>
      </c>
      <c r="F2531" s="14" t="s">
        <v>301</v>
      </c>
      <c r="G2531" s="14" t="s">
        <v>404</v>
      </c>
      <c r="H2531" s="15">
        <v>8</v>
      </c>
      <c r="I2531" s="11">
        <f t="shared" si="131"/>
        <v>5</v>
      </c>
      <c r="K2531" s="16">
        <v>1476</v>
      </c>
      <c r="M2531" s="17">
        <f t="shared" si="129"/>
        <v>353635.71000000008</v>
      </c>
      <c r="N2531" s="11">
        <f t="shared" si="130"/>
        <v>12</v>
      </c>
    </row>
    <row r="2532" spans="1:14" x14ac:dyDescent="0.25">
      <c r="A2532" s="11" t="s">
        <v>0</v>
      </c>
      <c r="B2532" s="12">
        <v>45282</v>
      </c>
      <c r="C2532" s="11" t="s">
        <v>688</v>
      </c>
      <c r="D2532" s="11" t="s">
        <v>47</v>
      </c>
      <c r="E2532" s="13" t="s">
        <v>494</v>
      </c>
      <c r="F2532" s="14" t="s">
        <v>493</v>
      </c>
      <c r="G2532" s="14" t="s">
        <v>404</v>
      </c>
      <c r="H2532" s="15" t="s">
        <v>437</v>
      </c>
      <c r="I2532" s="11">
        <f t="shared" si="131"/>
        <v>5</v>
      </c>
      <c r="K2532" s="16">
        <v>700</v>
      </c>
      <c r="M2532" s="17">
        <f t="shared" si="129"/>
        <v>352935.71000000008</v>
      </c>
      <c r="N2532" s="11">
        <f t="shared" si="130"/>
        <v>12</v>
      </c>
    </row>
    <row r="2533" spans="1:14" x14ac:dyDescent="0.25">
      <c r="A2533" s="11" t="s">
        <v>0</v>
      </c>
      <c r="B2533" s="12">
        <v>45282</v>
      </c>
      <c r="C2533" s="11" t="s">
        <v>688</v>
      </c>
      <c r="D2533" s="11" t="s">
        <v>692</v>
      </c>
      <c r="E2533" s="13" t="s">
        <v>492</v>
      </c>
      <c r="F2533" s="14" t="s">
        <v>111</v>
      </c>
      <c r="G2533" s="14" t="s">
        <v>404</v>
      </c>
      <c r="H2533" s="15" t="s">
        <v>437</v>
      </c>
      <c r="I2533" s="11">
        <f t="shared" si="131"/>
        <v>5</v>
      </c>
      <c r="K2533" s="16">
        <v>2528</v>
      </c>
      <c r="M2533" s="17">
        <f t="shared" si="129"/>
        <v>350407.71000000008</v>
      </c>
      <c r="N2533" s="11">
        <f t="shared" si="130"/>
        <v>12</v>
      </c>
    </row>
    <row r="2534" spans="1:14" x14ac:dyDescent="0.25">
      <c r="A2534" s="11" t="s">
        <v>0</v>
      </c>
      <c r="B2534" s="12">
        <v>45282</v>
      </c>
      <c r="C2534" s="11" t="s">
        <v>688</v>
      </c>
      <c r="D2534" s="11" t="s">
        <v>700</v>
      </c>
      <c r="E2534" s="13" t="s">
        <v>668</v>
      </c>
      <c r="F2534" s="14" t="s">
        <v>35</v>
      </c>
      <c r="G2534" s="14" t="s">
        <v>404</v>
      </c>
      <c r="H2534" s="15" t="s">
        <v>437</v>
      </c>
      <c r="I2534" s="11">
        <f t="shared" si="131"/>
        <v>5</v>
      </c>
      <c r="K2534" s="16">
        <v>79.61</v>
      </c>
      <c r="M2534" s="17">
        <f t="shared" si="129"/>
        <v>350328.10000000009</v>
      </c>
      <c r="N2534" s="11">
        <f t="shared" si="130"/>
        <v>12</v>
      </c>
    </row>
    <row r="2535" spans="1:14" x14ac:dyDescent="0.25">
      <c r="A2535" s="11" t="s">
        <v>207</v>
      </c>
      <c r="B2535" s="12">
        <v>45283</v>
      </c>
      <c r="C2535" s="11" t="s">
        <v>688</v>
      </c>
      <c r="D2535" s="11" t="s">
        <v>43</v>
      </c>
      <c r="E2535" s="13" t="s">
        <v>288</v>
      </c>
      <c r="F2535" s="14" t="s">
        <v>288</v>
      </c>
      <c r="G2535" s="14" t="s">
        <v>173</v>
      </c>
      <c r="I2535" s="11">
        <f t="shared" si="131"/>
        <v>3</v>
      </c>
      <c r="J2535" s="16">
        <v>974</v>
      </c>
      <c r="M2535" s="17">
        <f t="shared" si="129"/>
        <v>351302.10000000009</v>
      </c>
      <c r="N2535" s="11">
        <f t="shared" si="130"/>
        <v>12</v>
      </c>
    </row>
    <row r="2536" spans="1:14" x14ac:dyDescent="0.25">
      <c r="A2536" s="11" t="s">
        <v>207</v>
      </c>
      <c r="B2536" s="12">
        <v>45283</v>
      </c>
      <c r="C2536" s="11" t="s">
        <v>688</v>
      </c>
      <c r="D2536" s="11" t="s">
        <v>43</v>
      </c>
      <c r="E2536" s="14" t="s">
        <v>429</v>
      </c>
      <c r="F2536" s="14" t="s">
        <v>429</v>
      </c>
      <c r="G2536" s="14" t="s">
        <v>428</v>
      </c>
      <c r="I2536" s="11">
        <f t="shared" si="131"/>
        <v>1</v>
      </c>
      <c r="J2536" s="16">
        <v>1300</v>
      </c>
      <c r="M2536" s="17">
        <f t="shared" si="129"/>
        <v>352602.10000000009</v>
      </c>
      <c r="N2536" s="11">
        <f t="shared" si="130"/>
        <v>12</v>
      </c>
    </row>
    <row r="2537" spans="1:14" x14ac:dyDescent="0.25">
      <c r="A2537" s="11" t="s">
        <v>0</v>
      </c>
      <c r="B2537" s="12">
        <v>45284</v>
      </c>
      <c r="C2537" s="11" t="s">
        <v>688</v>
      </c>
      <c r="D2537" s="11" t="s">
        <v>701</v>
      </c>
      <c r="E2537" s="14" t="s">
        <v>832</v>
      </c>
      <c r="F2537" s="14" t="s">
        <v>35</v>
      </c>
      <c r="G2537" s="14" t="s">
        <v>407</v>
      </c>
      <c r="H2537" s="15" t="s">
        <v>426</v>
      </c>
      <c r="I2537" s="11">
        <f t="shared" si="131"/>
        <v>4</v>
      </c>
      <c r="J2537" s="233"/>
      <c r="K2537" s="233">
        <v>131.02000000000001</v>
      </c>
      <c r="M2537" s="17">
        <f t="shared" si="129"/>
        <v>352471.08000000007</v>
      </c>
      <c r="N2537" s="11">
        <f t="shared" si="130"/>
        <v>12</v>
      </c>
    </row>
    <row r="2538" spans="1:14" x14ac:dyDescent="0.25">
      <c r="A2538" s="11" t="s">
        <v>0</v>
      </c>
      <c r="B2538" s="12">
        <v>45284</v>
      </c>
      <c r="C2538" s="11" t="s">
        <v>688</v>
      </c>
      <c r="D2538" s="11" t="s">
        <v>700</v>
      </c>
      <c r="E2538" s="14" t="s">
        <v>619</v>
      </c>
      <c r="F2538" s="14" t="s">
        <v>813</v>
      </c>
      <c r="G2538" s="14" t="s">
        <v>407</v>
      </c>
      <c r="H2538" s="15" t="s">
        <v>426</v>
      </c>
      <c r="I2538" s="11">
        <f t="shared" si="131"/>
        <v>4</v>
      </c>
      <c r="J2538" s="233"/>
      <c r="K2538" s="233">
        <v>600</v>
      </c>
      <c r="M2538" s="17">
        <f t="shared" si="129"/>
        <v>351871.08000000007</v>
      </c>
      <c r="N2538" s="11">
        <f t="shared" si="130"/>
        <v>12</v>
      </c>
    </row>
    <row r="2539" spans="1:14" x14ac:dyDescent="0.25">
      <c r="A2539" s="11" t="s">
        <v>0</v>
      </c>
      <c r="B2539" s="12">
        <v>45284</v>
      </c>
      <c r="C2539" s="11" t="s">
        <v>688</v>
      </c>
      <c r="D2539" s="11" t="s">
        <v>698</v>
      </c>
      <c r="E2539" s="14" t="s">
        <v>823</v>
      </c>
      <c r="F2539" s="14" t="s">
        <v>831</v>
      </c>
      <c r="G2539" s="14" t="s">
        <v>407</v>
      </c>
      <c r="H2539" s="15" t="s">
        <v>426</v>
      </c>
      <c r="I2539" s="11">
        <f t="shared" si="131"/>
        <v>4</v>
      </c>
      <c r="J2539" s="233"/>
      <c r="K2539" s="233">
        <v>80</v>
      </c>
      <c r="M2539" s="17">
        <f t="shared" si="129"/>
        <v>351791.08000000007</v>
      </c>
      <c r="N2539" s="11">
        <f t="shared" si="130"/>
        <v>12</v>
      </c>
    </row>
    <row r="2540" spans="1:14" x14ac:dyDescent="0.25">
      <c r="A2540" s="11" t="s">
        <v>207</v>
      </c>
      <c r="B2540" s="12">
        <v>45284</v>
      </c>
      <c r="C2540" s="11" t="s">
        <v>688</v>
      </c>
      <c r="D2540" s="11" t="s">
        <v>43</v>
      </c>
      <c r="E2540" s="13" t="s">
        <v>288</v>
      </c>
      <c r="F2540" s="14" t="s">
        <v>288</v>
      </c>
      <c r="G2540" s="14" t="s">
        <v>173</v>
      </c>
      <c r="J2540" s="16">
        <v>240</v>
      </c>
      <c r="M2540" s="17">
        <f t="shared" si="129"/>
        <v>352031.08000000007</v>
      </c>
      <c r="N2540" s="11">
        <f t="shared" si="130"/>
        <v>12</v>
      </c>
    </row>
    <row r="2541" spans="1:14" x14ac:dyDescent="0.25">
      <c r="A2541" s="11" t="s">
        <v>207</v>
      </c>
      <c r="B2541" s="12">
        <v>45285</v>
      </c>
      <c r="C2541" s="11" t="s">
        <v>688</v>
      </c>
      <c r="D2541" s="11" t="s">
        <v>43</v>
      </c>
      <c r="E2541" s="13" t="s">
        <v>288</v>
      </c>
      <c r="F2541" s="14" t="s">
        <v>288</v>
      </c>
      <c r="G2541" s="14" t="s">
        <v>173</v>
      </c>
      <c r="J2541" s="16">
        <v>1750</v>
      </c>
      <c r="M2541" s="17">
        <f t="shared" si="129"/>
        <v>353781.08000000007</v>
      </c>
      <c r="N2541" s="11">
        <f t="shared" si="130"/>
        <v>12</v>
      </c>
    </row>
    <row r="2542" spans="1:14" x14ac:dyDescent="0.25">
      <c r="A2542" s="11" t="s">
        <v>0</v>
      </c>
      <c r="B2542" s="12">
        <v>45286</v>
      </c>
      <c r="C2542" s="11" t="s">
        <v>688</v>
      </c>
      <c r="D2542" s="11" t="s">
        <v>696</v>
      </c>
      <c r="E2542" s="13" t="s">
        <v>614</v>
      </c>
      <c r="F2542" s="14" t="s">
        <v>62</v>
      </c>
      <c r="G2542" s="14" t="s">
        <v>407</v>
      </c>
      <c r="H2542" s="15" t="s">
        <v>426</v>
      </c>
      <c r="J2542" s="233"/>
      <c r="K2542" s="233">
        <v>400</v>
      </c>
      <c r="M2542" s="17">
        <f t="shared" si="129"/>
        <v>353381.08000000007</v>
      </c>
      <c r="N2542" s="11">
        <f t="shared" si="130"/>
        <v>12</v>
      </c>
    </row>
    <row r="2543" spans="1:14" x14ac:dyDescent="0.25">
      <c r="A2543" s="11" t="s">
        <v>207</v>
      </c>
      <c r="B2543" s="12">
        <v>45286</v>
      </c>
      <c r="C2543" s="11" t="s">
        <v>688</v>
      </c>
      <c r="D2543" s="11" t="s">
        <v>43</v>
      </c>
      <c r="E2543" s="13" t="s">
        <v>288</v>
      </c>
      <c r="F2543" s="14" t="s">
        <v>288</v>
      </c>
      <c r="G2543" s="14" t="s">
        <v>173</v>
      </c>
      <c r="J2543" s="16">
        <v>7.05</v>
      </c>
      <c r="M2543" s="17">
        <f t="shared" si="129"/>
        <v>353388.13000000006</v>
      </c>
      <c r="N2543" s="11">
        <f t="shared" si="130"/>
        <v>12</v>
      </c>
    </row>
    <row r="2544" spans="1:14" x14ac:dyDescent="0.25">
      <c r="A2544" s="11" t="s">
        <v>207</v>
      </c>
      <c r="B2544" s="12">
        <v>45286</v>
      </c>
      <c r="C2544" s="11" t="s">
        <v>662</v>
      </c>
      <c r="D2544" s="11" t="s">
        <v>43</v>
      </c>
      <c r="E2544" s="13" t="s">
        <v>80</v>
      </c>
      <c r="F2544" s="14" t="s">
        <v>79</v>
      </c>
      <c r="G2544" s="14" t="s">
        <v>400</v>
      </c>
      <c r="I2544" s="11">
        <f t="shared" ref="I2544:I2581" si="133">IF(AND(G2544="MERCADO PAGO",A2544="FATURAMENTO"),1,IF(AND(OR(G2544="MERCADO PAGO",G2544="pix mercado pago",G2544= "débito automático mercado pago", G2544= "boleto mercado pago"),A2544="DESPESAS"),4,IF(AND(G2544="SAFRA",A2544="FATURAMENTO"),2,IF(AND(OR(G2544="SAFRA",G2544="PIX SAFRA", G2544="DÉBITO AUTOMÁTICO SAFRA", G2544= "BOLETO SAFRA", G2544= "transferência safra"), A2544="DESPESAS"),5,IF(AND(G2544="espécie",A2544="FATURAMENTO"),3,IF(AND(G2544="espécie",A2544="DESPESAS"),6))))))</f>
        <v>2</v>
      </c>
      <c r="J2544" s="16">
        <v>1300</v>
      </c>
      <c r="M2544" s="17">
        <f t="shared" si="129"/>
        <v>354688.13000000006</v>
      </c>
      <c r="N2544" s="11">
        <f t="shared" si="130"/>
        <v>12</v>
      </c>
    </row>
    <row r="2545" spans="1:14" x14ac:dyDescent="0.25">
      <c r="A2545" s="11" t="s">
        <v>207</v>
      </c>
      <c r="B2545" s="12">
        <v>45286</v>
      </c>
      <c r="C2545" s="11" t="s">
        <v>688</v>
      </c>
      <c r="D2545" s="11" t="s">
        <v>43</v>
      </c>
      <c r="E2545" s="13" t="s">
        <v>80</v>
      </c>
      <c r="F2545" s="14" t="s">
        <v>79</v>
      </c>
      <c r="G2545" s="14" t="s">
        <v>400</v>
      </c>
      <c r="I2545" s="11">
        <f t="shared" si="133"/>
        <v>2</v>
      </c>
      <c r="J2545" s="16">
        <v>7047.58</v>
      </c>
      <c r="M2545" s="17">
        <f t="shared" si="129"/>
        <v>361735.71000000008</v>
      </c>
      <c r="N2545" s="11">
        <f t="shared" si="130"/>
        <v>12</v>
      </c>
    </row>
    <row r="2546" spans="1:14" x14ac:dyDescent="0.25">
      <c r="A2546" s="11" t="s">
        <v>207</v>
      </c>
      <c r="B2546" s="12">
        <v>45286</v>
      </c>
      <c r="C2546" s="11" t="s">
        <v>688</v>
      </c>
      <c r="D2546" s="11" t="s">
        <v>43</v>
      </c>
      <c r="E2546" s="13" t="s">
        <v>81</v>
      </c>
      <c r="F2546" s="14" t="s">
        <v>79</v>
      </c>
      <c r="G2546" s="14" t="s">
        <v>400</v>
      </c>
      <c r="I2546" s="11">
        <f t="shared" si="133"/>
        <v>2</v>
      </c>
      <c r="J2546" s="16">
        <v>10689.16</v>
      </c>
      <c r="M2546" s="17">
        <f t="shared" si="129"/>
        <v>372424.87000000005</v>
      </c>
      <c r="N2546" s="11">
        <f t="shared" si="130"/>
        <v>12</v>
      </c>
    </row>
    <row r="2547" spans="1:14" x14ac:dyDescent="0.25">
      <c r="A2547" s="11" t="s">
        <v>207</v>
      </c>
      <c r="B2547" s="12">
        <v>45286</v>
      </c>
      <c r="C2547" s="11" t="s">
        <v>688</v>
      </c>
      <c r="D2547" s="11" t="s">
        <v>43</v>
      </c>
      <c r="E2547" s="13" t="s">
        <v>82</v>
      </c>
      <c r="F2547" s="14" t="s">
        <v>79</v>
      </c>
      <c r="G2547" s="14" t="s">
        <v>400</v>
      </c>
      <c r="I2547" s="11">
        <f t="shared" si="133"/>
        <v>2</v>
      </c>
      <c r="J2547" s="16">
        <v>531.37</v>
      </c>
      <c r="M2547" s="17">
        <f t="shared" si="129"/>
        <v>372956.24000000005</v>
      </c>
      <c r="N2547" s="11">
        <f t="shared" si="130"/>
        <v>12</v>
      </c>
    </row>
    <row r="2548" spans="1:14" x14ac:dyDescent="0.25">
      <c r="A2548" s="11" t="s">
        <v>207</v>
      </c>
      <c r="B2548" s="12">
        <v>45286</v>
      </c>
      <c r="C2548" s="11" t="s">
        <v>688</v>
      </c>
      <c r="D2548" s="11" t="s">
        <v>43</v>
      </c>
      <c r="E2548" s="13" t="s">
        <v>83</v>
      </c>
      <c r="F2548" s="14" t="s">
        <v>79</v>
      </c>
      <c r="G2548" s="14" t="s">
        <v>400</v>
      </c>
      <c r="I2548" s="11">
        <f t="shared" si="133"/>
        <v>2</v>
      </c>
      <c r="J2548" s="16">
        <v>969.56</v>
      </c>
      <c r="M2548" s="17">
        <f t="shared" si="129"/>
        <v>373925.80000000005</v>
      </c>
      <c r="N2548" s="11">
        <f t="shared" si="130"/>
        <v>12</v>
      </c>
    </row>
    <row r="2549" spans="1:14" x14ac:dyDescent="0.25">
      <c r="A2549" s="11" t="s">
        <v>207</v>
      </c>
      <c r="B2549" s="12">
        <v>45286</v>
      </c>
      <c r="C2549" s="11" t="s">
        <v>688</v>
      </c>
      <c r="D2549" s="11" t="s">
        <v>43</v>
      </c>
      <c r="E2549" s="13" t="s">
        <v>382</v>
      </c>
      <c r="F2549" s="14" t="s">
        <v>13</v>
      </c>
      <c r="G2549" s="14" t="s">
        <v>400</v>
      </c>
      <c r="I2549" s="11">
        <f t="shared" si="133"/>
        <v>2</v>
      </c>
      <c r="J2549" s="16">
        <v>331.34</v>
      </c>
      <c r="M2549" s="17">
        <f t="shared" si="129"/>
        <v>374257.14000000007</v>
      </c>
      <c r="N2549" s="11">
        <f t="shared" si="130"/>
        <v>12</v>
      </c>
    </row>
    <row r="2550" spans="1:14" x14ac:dyDescent="0.25">
      <c r="A2550" s="11" t="s">
        <v>207</v>
      </c>
      <c r="B2550" s="12">
        <v>45286</v>
      </c>
      <c r="C2550" s="11" t="s">
        <v>688</v>
      </c>
      <c r="D2550" s="11" t="s">
        <v>43</v>
      </c>
      <c r="E2550" s="13" t="s">
        <v>382</v>
      </c>
      <c r="F2550" s="14" t="s">
        <v>13</v>
      </c>
      <c r="G2550" s="14" t="s">
        <v>400</v>
      </c>
      <c r="I2550" s="11">
        <f t="shared" si="133"/>
        <v>2</v>
      </c>
      <c r="J2550" s="16">
        <v>1137.08</v>
      </c>
      <c r="M2550" s="17">
        <f t="shared" si="129"/>
        <v>375394.22000000009</v>
      </c>
      <c r="N2550" s="11">
        <f t="shared" si="130"/>
        <v>12</v>
      </c>
    </row>
    <row r="2551" spans="1:14" x14ac:dyDescent="0.25">
      <c r="A2551" s="11" t="s">
        <v>207</v>
      </c>
      <c r="B2551" s="12">
        <v>45286</v>
      </c>
      <c r="C2551" s="11" t="s">
        <v>688</v>
      </c>
      <c r="D2551" s="11" t="s">
        <v>43</v>
      </c>
      <c r="E2551" s="13" t="s">
        <v>382</v>
      </c>
      <c r="F2551" s="14" t="s">
        <v>13</v>
      </c>
      <c r="G2551" s="14" t="s">
        <v>400</v>
      </c>
      <c r="I2551" s="11">
        <f t="shared" si="133"/>
        <v>2</v>
      </c>
      <c r="J2551" s="16">
        <v>946.84</v>
      </c>
      <c r="M2551" s="17">
        <f t="shared" si="129"/>
        <v>376341.06000000011</v>
      </c>
      <c r="N2551" s="11">
        <f t="shared" si="130"/>
        <v>12</v>
      </c>
    </row>
    <row r="2552" spans="1:14" x14ac:dyDescent="0.25">
      <c r="A2552" s="11" t="s">
        <v>207</v>
      </c>
      <c r="B2552" s="12">
        <v>45286</v>
      </c>
      <c r="C2552" s="11" t="s">
        <v>688</v>
      </c>
      <c r="D2552" s="11" t="s">
        <v>43</v>
      </c>
      <c r="E2552" s="13" t="s">
        <v>382</v>
      </c>
      <c r="F2552" s="14" t="s">
        <v>13</v>
      </c>
      <c r="G2552" s="14" t="s">
        <v>400</v>
      </c>
      <c r="I2552" s="11">
        <f t="shared" si="133"/>
        <v>2</v>
      </c>
      <c r="J2552" s="16">
        <v>1533.86</v>
      </c>
      <c r="M2552" s="17">
        <f t="shared" si="129"/>
        <v>377874.9200000001</v>
      </c>
      <c r="N2552" s="11">
        <f t="shared" si="130"/>
        <v>12</v>
      </c>
    </row>
    <row r="2553" spans="1:14" x14ac:dyDescent="0.25">
      <c r="A2553" s="11" t="s">
        <v>207</v>
      </c>
      <c r="B2553" s="12">
        <v>45286</v>
      </c>
      <c r="C2553" s="11" t="s">
        <v>688</v>
      </c>
      <c r="D2553" s="11" t="s">
        <v>43</v>
      </c>
      <c r="E2553" s="13" t="s">
        <v>382</v>
      </c>
      <c r="F2553" s="14" t="s">
        <v>13</v>
      </c>
      <c r="G2553" s="14" t="s">
        <v>400</v>
      </c>
      <c r="I2553" s="11">
        <f t="shared" si="133"/>
        <v>2</v>
      </c>
      <c r="J2553" s="16">
        <v>145.6</v>
      </c>
      <c r="M2553" s="17">
        <f t="shared" si="129"/>
        <v>378020.52000000008</v>
      </c>
      <c r="N2553" s="11">
        <f t="shared" si="130"/>
        <v>12</v>
      </c>
    </row>
    <row r="2554" spans="1:14" x14ac:dyDescent="0.25">
      <c r="A2554" s="11" t="s">
        <v>207</v>
      </c>
      <c r="B2554" s="12">
        <v>45286</v>
      </c>
      <c r="C2554" s="11" t="s">
        <v>688</v>
      </c>
      <c r="D2554" s="11" t="s">
        <v>43</v>
      </c>
      <c r="E2554" s="13" t="s">
        <v>382</v>
      </c>
      <c r="F2554" s="14" t="s">
        <v>13</v>
      </c>
      <c r="G2554" s="14" t="s">
        <v>400</v>
      </c>
      <c r="I2554" s="11">
        <f t="shared" si="133"/>
        <v>2</v>
      </c>
      <c r="J2554" s="16">
        <v>7.62</v>
      </c>
      <c r="M2554" s="17">
        <f t="shared" si="129"/>
        <v>378028.14000000007</v>
      </c>
      <c r="N2554" s="11">
        <f t="shared" si="130"/>
        <v>12</v>
      </c>
    </row>
    <row r="2555" spans="1:14" x14ac:dyDescent="0.25">
      <c r="A2555" s="11" t="s">
        <v>207</v>
      </c>
      <c r="B2555" s="12">
        <v>45286</v>
      </c>
      <c r="C2555" s="11" t="s">
        <v>688</v>
      </c>
      <c r="D2555" s="11" t="s">
        <v>43</v>
      </c>
      <c r="E2555" s="13" t="s">
        <v>382</v>
      </c>
      <c r="F2555" s="14" t="s">
        <v>13</v>
      </c>
      <c r="G2555" s="14" t="s">
        <v>400</v>
      </c>
      <c r="I2555" s="11">
        <f t="shared" si="133"/>
        <v>2</v>
      </c>
      <c r="J2555" s="16">
        <v>58.4</v>
      </c>
      <c r="M2555" s="17">
        <f t="shared" si="129"/>
        <v>378086.5400000001</v>
      </c>
      <c r="N2555" s="11">
        <f t="shared" si="130"/>
        <v>12</v>
      </c>
    </row>
    <row r="2556" spans="1:14" x14ac:dyDescent="0.25">
      <c r="A2556" s="11" t="s">
        <v>207</v>
      </c>
      <c r="B2556" s="12">
        <v>45286</v>
      </c>
      <c r="C2556" s="11" t="s">
        <v>688</v>
      </c>
      <c r="D2556" s="11" t="s">
        <v>43</v>
      </c>
      <c r="E2556" s="13" t="s">
        <v>382</v>
      </c>
      <c r="F2556" s="14" t="s">
        <v>13</v>
      </c>
      <c r="G2556" s="14" t="s">
        <v>400</v>
      </c>
      <c r="I2556" s="11">
        <f t="shared" si="133"/>
        <v>2</v>
      </c>
      <c r="J2556" s="16">
        <v>971.39</v>
      </c>
      <c r="M2556" s="17">
        <f t="shared" si="129"/>
        <v>379057.93000000011</v>
      </c>
      <c r="N2556" s="11">
        <f t="shared" si="130"/>
        <v>12</v>
      </c>
    </row>
    <row r="2557" spans="1:14" x14ac:dyDescent="0.25">
      <c r="A2557" s="11" t="s">
        <v>207</v>
      </c>
      <c r="B2557" s="12">
        <v>45286</v>
      </c>
      <c r="C2557" s="11" t="s">
        <v>688</v>
      </c>
      <c r="D2557" s="11" t="s">
        <v>43</v>
      </c>
      <c r="E2557" s="13" t="s">
        <v>382</v>
      </c>
      <c r="F2557" s="14" t="s">
        <v>13</v>
      </c>
      <c r="G2557" s="14" t="s">
        <v>400</v>
      </c>
      <c r="I2557" s="11">
        <f t="shared" si="133"/>
        <v>2</v>
      </c>
      <c r="J2557" s="16">
        <v>733.69</v>
      </c>
      <c r="M2557" s="17">
        <f t="shared" si="129"/>
        <v>379791.62000000011</v>
      </c>
      <c r="N2557" s="11">
        <f t="shared" si="130"/>
        <v>12</v>
      </c>
    </row>
    <row r="2558" spans="1:14" x14ac:dyDescent="0.25">
      <c r="A2558" s="11" t="s">
        <v>207</v>
      </c>
      <c r="B2558" s="12">
        <v>45286</v>
      </c>
      <c r="C2558" s="11" t="s">
        <v>688</v>
      </c>
      <c r="D2558" s="11" t="s">
        <v>43</v>
      </c>
      <c r="E2558" s="13" t="s">
        <v>382</v>
      </c>
      <c r="F2558" s="14" t="s">
        <v>13</v>
      </c>
      <c r="G2558" s="14" t="s">
        <v>400</v>
      </c>
      <c r="I2558" s="11">
        <f t="shared" si="133"/>
        <v>2</v>
      </c>
      <c r="J2558" s="16">
        <v>1020.78</v>
      </c>
      <c r="M2558" s="17">
        <f t="shared" si="129"/>
        <v>380812.40000000014</v>
      </c>
      <c r="N2558" s="11">
        <f t="shared" si="130"/>
        <v>12</v>
      </c>
    </row>
    <row r="2559" spans="1:14" x14ac:dyDescent="0.25">
      <c r="A2559" s="11" t="s">
        <v>207</v>
      </c>
      <c r="B2559" s="12">
        <v>45286</v>
      </c>
      <c r="C2559" s="11" t="s">
        <v>688</v>
      </c>
      <c r="D2559" s="11" t="s">
        <v>43</v>
      </c>
      <c r="E2559" s="13" t="s">
        <v>382</v>
      </c>
      <c r="F2559" s="14" t="s">
        <v>13</v>
      </c>
      <c r="G2559" s="14" t="s">
        <v>400</v>
      </c>
      <c r="I2559" s="11">
        <f t="shared" si="133"/>
        <v>2</v>
      </c>
      <c r="J2559" s="16">
        <v>391.17</v>
      </c>
      <c r="M2559" s="17">
        <f t="shared" si="129"/>
        <v>381203.57000000012</v>
      </c>
      <c r="N2559" s="11">
        <f t="shared" si="130"/>
        <v>12</v>
      </c>
    </row>
    <row r="2560" spans="1:14" x14ac:dyDescent="0.25">
      <c r="A2560" s="11" t="s">
        <v>207</v>
      </c>
      <c r="B2560" s="12">
        <v>45286</v>
      </c>
      <c r="C2560" s="11" t="s">
        <v>688</v>
      </c>
      <c r="D2560" s="11" t="s">
        <v>43</v>
      </c>
      <c r="E2560" s="13" t="s">
        <v>382</v>
      </c>
      <c r="F2560" s="14" t="s">
        <v>13</v>
      </c>
      <c r="G2560" s="14" t="s">
        <v>400</v>
      </c>
      <c r="I2560" s="11">
        <f t="shared" si="133"/>
        <v>2</v>
      </c>
      <c r="J2560" s="16">
        <v>71.13</v>
      </c>
      <c r="M2560" s="17">
        <f t="shared" si="129"/>
        <v>381274.70000000013</v>
      </c>
      <c r="N2560" s="11">
        <f t="shared" si="130"/>
        <v>12</v>
      </c>
    </row>
    <row r="2561" spans="1:14" x14ac:dyDescent="0.25">
      <c r="A2561" s="11" t="s">
        <v>207</v>
      </c>
      <c r="B2561" s="12">
        <v>45286</v>
      </c>
      <c r="C2561" s="11" t="s">
        <v>688</v>
      </c>
      <c r="D2561" s="11" t="s">
        <v>43</v>
      </c>
      <c r="E2561" s="13" t="s">
        <v>382</v>
      </c>
      <c r="F2561" s="14" t="s">
        <v>13</v>
      </c>
      <c r="G2561" s="14" t="s">
        <v>400</v>
      </c>
      <c r="I2561" s="11">
        <f t="shared" si="133"/>
        <v>2</v>
      </c>
      <c r="J2561" s="16">
        <v>478.49</v>
      </c>
      <c r="M2561" s="17">
        <f t="shared" si="129"/>
        <v>381753.19000000012</v>
      </c>
      <c r="N2561" s="11">
        <f t="shared" si="130"/>
        <v>12</v>
      </c>
    </row>
    <row r="2562" spans="1:14" x14ac:dyDescent="0.25">
      <c r="A2562" s="11" t="s">
        <v>207</v>
      </c>
      <c r="B2562" s="12">
        <v>45286</v>
      </c>
      <c r="C2562" s="11" t="s">
        <v>688</v>
      </c>
      <c r="D2562" s="11" t="s">
        <v>43</v>
      </c>
      <c r="E2562" s="13" t="s">
        <v>382</v>
      </c>
      <c r="F2562" s="14" t="s">
        <v>13</v>
      </c>
      <c r="G2562" s="14" t="s">
        <v>400</v>
      </c>
      <c r="I2562" s="11">
        <f t="shared" si="133"/>
        <v>2</v>
      </c>
      <c r="J2562" s="16">
        <v>49.77</v>
      </c>
      <c r="M2562" s="17">
        <f t="shared" si="129"/>
        <v>381802.96000000014</v>
      </c>
      <c r="N2562" s="11">
        <f t="shared" si="130"/>
        <v>12</v>
      </c>
    </row>
    <row r="2563" spans="1:14" x14ac:dyDescent="0.25">
      <c r="A2563" s="11" t="s">
        <v>207</v>
      </c>
      <c r="B2563" s="12">
        <v>45286</v>
      </c>
      <c r="C2563" s="11" t="s">
        <v>688</v>
      </c>
      <c r="D2563" s="11" t="s">
        <v>43</v>
      </c>
      <c r="E2563" s="13" t="s">
        <v>382</v>
      </c>
      <c r="F2563" s="14" t="s">
        <v>13</v>
      </c>
      <c r="G2563" s="14" t="s">
        <v>400</v>
      </c>
      <c r="I2563" s="11">
        <f t="shared" si="133"/>
        <v>2</v>
      </c>
      <c r="J2563" s="16">
        <v>297.86</v>
      </c>
      <c r="M2563" s="17">
        <f t="shared" ref="M2563:M2626" si="134">IF(B2563=0, "",M2562+ J2563-K2563)</f>
        <v>382100.82000000012</v>
      </c>
      <c r="N2563" s="11">
        <f t="shared" ref="N2563:N2626" si="135">IF(B2563=0, "", MONTH(B2563))</f>
        <v>12</v>
      </c>
    </row>
    <row r="2564" spans="1:14" x14ac:dyDescent="0.25">
      <c r="A2564" s="11" t="s">
        <v>207</v>
      </c>
      <c r="B2564" s="12">
        <v>45286</v>
      </c>
      <c r="C2564" s="11" t="s">
        <v>688</v>
      </c>
      <c r="D2564" s="11" t="s">
        <v>43</v>
      </c>
      <c r="E2564" s="13" t="s">
        <v>382</v>
      </c>
      <c r="F2564" s="14" t="s">
        <v>13</v>
      </c>
      <c r="G2564" s="14" t="s">
        <v>400</v>
      </c>
      <c r="I2564" s="11">
        <f t="shared" si="133"/>
        <v>2</v>
      </c>
      <c r="J2564" s="16">
        <v>121.65</v>
      </c>
      <c r="M2564" s="17">
        <f t="shared" si="134"/>
        <v>382222.47000000015</v>
      </c>
      <c r="N2564" s="11">
        <f t="shared" si="135"/>
        <v>12</v>
      </c>
    </row>
    <row r="2565" spans="1:14" x14ac:dyDescent="0.25">
      <c r="A2565" s="11" t="s">
        <v>207</v>
      </c>
      <c r="B2565" s="12">
        <v>45286</v>
      </c>
      <c r="C2565" s="11" t="s">
        <v>688</v>
      </c>
      <c r="D2565" s="11" t="s">
        <v>43</v>
      </c>
      <c r="E2565" s="13" t="s">
        <v>382</v>
      </c>
      <c r="F2565" s="14" t="s">
        <v>13</v>
      </c>
      <c r="G2565" s="14" t="s">
        <v>400</v>
      </c>
      <c r="I2565" s="11">
        <f t="shared" si="133"/>
        <v>2</v>
      </c>
      <c r="J2565" s="16">
        <v>406.87</v>
      </c>
      <c r="M2565" s="17">
        <f t="shared" si="134"/>
        <v>382629.34000000014</v>
      </c>
      <c r="N2565" s="11">
        <f t="shared" si="135"/>
        <v>12</v>
      </c>
    </row>
    <row r="2566" spans="1:14" x14ac:dyDescent="0.25">
      <c r="A2566" s="11" t="s">
        <v>207</v>
      </c>
      <c r="B2566" s="12">
        <v>45286</v>
      </c>
      <c r="C2566" s="11" t="s">
        <v>688</v>
      </c>
      <c r="D2566" s="11" t="s">
        <v>43</v>
      </c>
      <c r="E2566" s="13" t="s">
        <v>382</v>
      </c>
      <c r="F2566" s="14" t="s">
        <v>13</v>
      </c>
      <c r="G2566" s="14" t="s">
        <v>400</v>
      </c>
      <c r="I2566" s="11">
        <f t="shared" si="133"/>
        <v>2</v>
      </c>
      <c r="J2566" s="16">
        <v>1078.28</v>
      </c>
      <c r="M2566" s="17">
        <f t="shared" si="134"/>
        <v>383707.62000000017</v>
      </c>
      <c r="N2566" s="11">
        <f t="shared" si="135"/>
        <v>12</v>
      </c>
    </row>
    <row r="2567" spans="1:14" x14ac:dyDescent="0.25">
      <c r="A2567" s="11" t="s">
        <v>207</v>
      </c>
      <c r="B2567" s="12">
        <v>45286</v>
      </c>
      <c r="C2567" s="11" t="s">
        <v>688</v>
      </c>
      <c r="D2567" s="11" t="s">
        <v>43</v>
      </c>
      <c r="E2567" s="13" t="s">
        <v>382</v>
      </c>
      <c r="F2567" s="14" t="s">
        <v>13</v>
      </c>
      <c r="G2567" s="14" t="s">
        <v>400</v>
      </c>
      <c r="I2567" s="11">
        <f t="shared" si="133"/>
        <v>2</v>
      </c>
      <c r="J2567" s="16">
        <v>348.13</v>
      </c>
      <c r="M2567" s="17">
        <f t="shared" si="134"/>
        <v>384055.75000000017</v>
      </c>
      <c r="N2567" s="11">
        <f t="shared" si="135"/>
        <v>12</v>
      </c>
    </row>
    <row r="2568" spans="1:14" x14ac:dyDescent="0.25">
      <c r="A2568" s="11" t="s">
        <v>207</v>
      </c>
      <c r="B2568" s="12">
        <v>45286</v>
      </c>
      <c r="C2568" s="11" t="s">
        <v>688</v>
      </c>
      <c r="D2568" s="11" t="s">
        <v>47</v>
      </c>
      <c r="E2568" s="13" t="s">
        <v>670</v>
      </c>
      <c r="F2568" s="14" t="s">
        <v>669</v>
      </c>
      <c r="G2568" s="14" t="s">
        <v>400</v>
      </c>
      <c r="I2568" s="11">
        <f t="shared" si="133"/>
        <v>2</v>
      </c>
      <c r="J2568" s="16">
        <v>2225</v>
      </c>
      <c r="M2568" s="17">
        <f t="shared" si="134"/>
        <v>386280.75000000017</v>
      </c>
      <c r="N2568" s="11">
        <f t="shared" si="135"/>
        <v>12</v>
      </c>
    </row>
    <row r="2569" spans="1:14" x14ac:dyDescent="0.25">
      <c r="A2569" s="11" t="s">
        <v>0</v>
      </c>
      <c r="B2569" s="12">
        <v>45286</v>
      </c>
      <c r="C2569" s="11" t="s">
        <v>688</v>
      </c>
      <c r="D2569" s="11" t="s">
        <v>694</v>
      </c>
      <c r="E2569" s="13" t="s">
        <v>182</v>
      </c>
      <c r="F2569" s="14" t="s">
        <v>365</v>
      </c>
      <c r="G2569" s="14" t="s">
        <v>402</v>
      </c>
      <c r="I2569" s="11">
        <f t="shared" si="133"/>
        <v>5</v>
      </c>
      <c r="K2569" s="16">
        <v>42.82</v>
      </c>
      <c r="M2569" s="17">
        <f t="shared" si="134"/>
        <v>386237.93000000017</v>
      </c>
      <c r="N2569" s="11">
        <f t="shared" si="135"/>
        <v>12</v>
      </c>
    </row>
    <row r="2570" spans="1:14" x14ac:dyDescent="0.25">
      <c r="A2570" s="11" t="s">
        <v>0</v>
      </c>
      <c r="B2570" s="12">
        <v>45286</v>
      </c>
      <c r="C2570" s="11" t="s">
        <v>688</v>
      </c>
      <c r="D2570" s="11" t="s">
        <v>694</v>
      </c>
      <c r="E2570" s="13" t="s">
        <v>182</v>
      </c>
      <c r="F2570" s="14" t="s">
        <v>23</v>
      </c>
      <c r="G2570" s="14" t="s">
        <v>402</v>
      </c>
      <c r="I2570" s="11">
        <f t="shared" si="133"/>
        <v>5</v>
      </c>
      <c r="K2570" s="16">
        <v>37.47</v>
      </c>
      <c r="M2570" s="17">
        <f t="shared" si="134"/>
        <v>386200.4600000002</v>
      </c>
      <c r="N2570" s="11">
        <f t="shared" si="135"/>
        <v>12</v>
      </c>
    </row>
    <row r="2571" spans="1:14" x14ac:dyDescent="0.25">
      <c r="A2571" s="11" t="s">
        <v>0</v>
      </c>
      <c r="B2571" s="12">
        <v>45286</v>
      </c>
      <c r="C2571" s="11" t="s">
        <v>688</v>
      </c>
      <c r="D2571" s="11" t="s">
        <v>697</v>
      </c>
      <c r="E2571" s="13" t="s">
        <v>751</v>
      </c>
      <c r="F2571" s="14" t="s">
        <v>230</v>
      </c>
      <c r="G2571" s="14" t="s">
        <v>403</v>
      </c>
      <c r="I2571" s="11">
        <f t="shared" si="133"/>
        <v>5</v>
      </c>
      <c r="K2571" s="16">
        <v>13443.44</v>
      </c>
      <c r="M2571" s="17">
        <f t="shared" si="134"/>
        <v>372757.02000000019</v>
      </c>
      <c r="N2571" s="11">
        <f t="shared" si="135"/>
        <v>12</v>
      </c>
    </row>
    <row r="2572" spans="1:14" x14ac:dyDescent="0.25">
      <c r="A2572" s="11" t="s">
        <v>207</v>
      </c>
      <c r="B2572" s="12">
        <v>45286</v>
      </c>
      <c r="C2572" s="11" t="s">
        <v>688</v>
      </c>
      <c r="D2572" s="11" t="s">
        <v>43</v>
      </c>
      <c r="E2572" s="13">
        <v>45286</v>
      </c>
      <c r="F2572" s="14" t="s">
        <v>671</v>
      </c>
      <c r="G2572" s="14" t="s">
        <v>400</v>
      </c>
      <c r="I2572" s="11">
        <f t="shared" si="133"/>
        <v>2</v>
      </c>
      <c r="J2572" s="16">
        <v>6239.27</v>
      </c>
      <c r="M2572" s="17">
        <f t="shared" si="134"/>
        <v>378996.29000000021</v>
      </c>
      <c r="N2572" s="11">
        <f t="shared" si="135"/>
        <v>12</v>
      </c>
    </row>
    <row r="2573" spans="1:14" x14ac:dyDescent="0.25">
      <c r="A2573" s="11" t="s">
        <v>0</v>
      </c>
      <c r="B2573" s="12">
        <v>45286</v>
      </c>
      <c r="C2573" s="11" t="s">
        <v>688</v>
      </c>
      <c r="D2573" s="11" t="s">
        <v>701</v>
      </c>
      <c r="E2573" s="13" t="s">
        <v>180</v>
      </c>
      <c r="F2573" s="14" t="s">
        <v>37</v>
      </c>
      <c r="G2573" s="14" t="s">
        <v>404</v>
      </c>
      <c r="H2573" s="15" t="s">
        <v>102</v>
      </c>
      <c r="I2573" s="11">
        <f t="shared" si="133"/>
        <v>5</v>
      </c>
      <c r="K2573" s="16">
        <v>150</v>
      </c>
      <c r="M2573" s="17">
        <f t="shared" si="134"/>
        <v>378846.29000000021</v>
      </c>
      <c r="N2573" s="11">
        <f t="shared" si="135"/>
        <v>12</v>
      </c>
    </row>
    <row r="2574" spans="1:14" x14ac:dyDescent="0.25">
      <c r="A2574" s="11" t="s">
        <v>0</v>
      </c>
      <c r="B2574" s="12">
        <v>45286</v>
      </c>
      <c r="C2574" s="11" t="s">
        <v>688</v>
      </c>
      <c r="D2574" s="11" t="s">
        <v>692</v>
      </c>
      <c r="E2574" s="13" t="s">
        <v>725</v>
      </c>
      <c r="F2574" s="14" t="s">
        <v>33</v>
      </c>
      <c r="G2574" s="14" t="s">
        <v>404</v>
      </c>
      <c r="H2574" s="15">
        <v>25671</v>
      </c>
      <c r="I2574" s="11">
        <f t="shared" si="133"/>
        <v>5</v>
      </c>
      <c r="K2574" s="16">
        <v>425.13</v>
      </c>
      <c r="M2574" s="17">
        <f t="shared" si="134"/>
        <v>378421.16000000021</v>
      </c>
      <c r="N2574" s="11">
        <f t="shared" si="135"/>
        <v>12</v>
      </c>
    </row>
    <row r="2575" spans="1:14" x14ac:dyDescent="0.25">
      <c r="A2575" s="11" t="s">
        <v>0</v>
      </c>
      <c r="B2575" s="12">
        <v>45286</v>
      </c>
      <c r="C2575" s="11" t="s">
        <v>688</v>
      </c>
      <c r="D2575" s="11" t="s">
        <v>720</v>
      </c>
      <c r="E2575" s="242" t="s">
        <v>672</v>
      </c>
      <c r="F2575" s="14" t="s">
        <v>368</v>
      </c>
      <c r="G2575" s="14" t="s">
        <v>404</v>
      </c>
      <c r="H2575" s="15">
        <v>98</v>
      </c>
      <c r="I2575" s="11">
        <f t="shared" si="133"/>
        <v>5</v>
      </c>
      <c r="K2575" s="16">
        <v>239</v>
      </c>
      <c r="M2575" s="17">
        <f t="shared" si="134"/>
        <v>378182.16000000021</v>
      </c>
      <c r="N2575" s="11">
        <f t="shared" si="135"/>
        <v>12</v>
      </c>
    </row>
    <row r="2576" spans="1:14" x14ac:dyDescent="0.25">
      <c r="A2576" s="11" t="s">
        <v>0</v>
      </c>
      <c r="B2576" s="12">
        <v>45286</v>
      </c>
      <c r="C2576" s="11" t="s">
        <v>688</v>
      </c>
      <c r="D2576" s="11" t="s">
        <v>692</v>
      </c>
      <c r="E2576" s="13" t="s">
        <v>725</v>
      </c>
      <c r="F2576" s="14" t="s">
        <v>27</v>
      </c>
      <c r="G2576" s="14" t="s">
        <v>404</v>
      </c>
      <c r="H2576" s="15" t="s">
        <v>437</v>
      </c>
      <c r="I2576" s="11">
        <f t="shared" si="133"/>
        <v>5</v>
      </c>
      <c r="K2576" s="16">
        <v>1847.71</v>
      </c>
      <c r="M2576" s="17">
        <f t="shared" si="134"/>
        <v>376334.45000000019</v>
      </c>
      <c r="N2576" s="11">
        <f t="shared" si="135"/>
        <v>12</v>
      </c>
    </row>
    <row r="2577" spans="1:14" x14ac:dyDescent="0.25">
      <c r="A2577" s="11" t="s">
        <v>0</v>
      </c>
      <c r="B2577" s="12">
        <v>45286</v>
      </c>
      <c r="C2577" s="11" t="s">
        <v>688</v>
      </c>
      <c r="D2577" s="11" t="s">
        <v>694</v>
      </c>
      <c r="E2577" s="13" t="s">
        <v>181</v>
      </c>
      <c r="F2577" s="14" t="s">
        <v>516</v>
      </c>
      <c r="G2577" s="14" t="s">
        <v>404</v>
      </c>
      <c r="H2577" s="15">
        <v>6880</v>
      </c>
      <c r="I2577" s="11">
        <f t="shared" si="133"/>
        <v>5</v>
      </c>
      <c r="K2577" s="16">
        <v>400</v>
      </c>
      <c r="M2577" s="17">
        <f t="shared" si="134"/>
        <v>375934.45000000019</v>
      </c>
      <c r="N2577" s="11">
        <f t="shared" si="135"/>
        <v>12</v>
      </c>
    </row>
    <row r="2578" spans="1:14" x14ac:dyDescent="0.25">
      <c r="A2578" s="11" t="s">
        <v>0</v>
      </c>
      <c r="B2578" s="12">
        <v>45286</v>
      </c>
      <c r="C2578" s="11" t="s">
        <v>688</v>
      </c>
      <c r="D2578" s="11" t="s">
        <v>692</v>
      </c>
      <c r="E2578" s="13" t="s">
        <v>108</v>
      </c>
      <c r="F2578" s="14" t="s">
        <v>107</v>
      </c>
      <c r="G2578" s="14" t="s">
        <v>404</v>
      </c>
      <c r="H2578" s="15">
        <v>15</v>
      </c>
      <c r="I2578" s="11">
        <f t="shared" si="133"/>
        <v>5</v>
      </c>
      <c r="K2578" s="16">
        <v>600</v>
      </c>
      <c r="M2578" s="17">
        <f t="shared" si="134"/>
        <v>375334.45000000019</v>
      </c>
      <c r="N2578" s="11">
        <f t="shared" si="135"/>
        <v>12</v>
      </c>
    </row>
    <row r="2579" spans="1:14" x14ac:dyDescent="0.25">
      <c r="A2579" s="11" t="s">
        <v>0</v>
      </c>
      <c r="B2579" s="12">
        <v>45286</v>
      </c>
      <c r="C2579" s="11" t="s">
        <v>688</v>
      </c>
      <c r="D2579" s="11" t="s">
        <v>699</v>
      </c>
      <c r="E2579" s="13" t="s">
        <v>98</v>
      </c>
      <c r="F2579" s="14" t="s">
        <v>206</v>
      </c>
      <c r="G2579" s="14" t="s">
        <v>404</v>
      </c>
      <c r="H2579" s="15">
        <v>7575</v>
      </c>
      <c r="I2579" s="11">
        <f t="shared" si="133"/>
        <v>5</v>
      </c>
      <c r="K2579" s="16">
        <v>150</v>
      </c>
      <c r="M2579" s="17">
        <f t="shared" si="134"/>
        <v>375184.45000000019</v>
      </c>
      <c r="N2579" s="11">
        <f t="shared" si="135"/>
        <v>12</v>
      </c>
    </row>
    <row r="2580" spans="1:14" x14ac:dyDescent="0.25">
      <c r="A2580" s="11" t="s">
        <v>0</v>
      </c>
      <c r="B2580" s="12">
        <v>45286</v>
      </c>
      <c r="C2580" s="11" t="s">
        <v>688</v>
      </c>
      <c r="D2580" s="11" t="s">
        <v>692</v>
      </c>
      <c r="E2580" s="13" t="s">
        <v>179</v>
      </c>
      <c r="F2580" s="14" t="s">
        <v>28</v>
      </c>
      <c r="G2580" s="14" t="s">
        <v>404</v>
      </c>
      <c r="H2580" s="15">
        <v>53</v>
      </c>
      <c r="I2580" s="11">
        <f t="shared" si="133"/>
        <v>5</v>
      </c>
      <c r="K2580" s="16">
        <v>4595</v>
      </c>
      <c r="M2580" s="17">
        <f t="shared" si="134"/>
        <v>370589.45000000019</v>
      </c>
      <c r="N2580" s="11">
        <f t="shared" si="135"/>
        <v>12</v>
      </c>
    </row>
    <row r="2581" spans="1:14" x14ac:dyDescent="0.25">
      <c r="A2581" s="11" t="s">
        <v>0</v>
      </c>
      <c r="B2581" s="12">
        <v>45286</v>
      </c>
      <c r="C2581" s="11" t="s">
        <v>688</v>
      </c>
      <c r="D2581" s="11" t="s">
        <v>698</v>
      </c>
      <c r="E2581" s="13" t="s">
        <v>674</v>
      </c>
      <c r="F2581" s="14" t="s">
        <v>673</v>
      </c>
      <c r="G2581" s="14" t="s">
        <v>404</v>
      </c>
      <c r="H2581" s="15" t="s">
        <v>675</v>
      </c>
      <c r="I2581" s="11">
        <f t="shared" si="133"/>
        <v>5</v>
      </c>
      <c r="K2581" s="16">
        <v>200</v>
      </c>
      <c r="M2581" s="17">
        <f t="shared" si="134"/>
        <v>370389.45000000019</v>
      </c>
      <c r="N2581" s="11">
        <f t="shared" si="135"/>
        <v>12</v>
      </c>
    </row>
    <row r="2582" spans="1:14" x14ac:dyDescent="0.25">
      <c r="A2582" s="11" t="s">
        <v>207</v>
      </c>
      <c r="B2582" s="12">
        <v>45287</v>
      </c>
      <c r="C2582" s="11" t="s">
        <v>688</v>
      </c>
      <c r="D2582" s="11" t="s">
        <v>43</v>
      </c>
      <c r="E2582" s="13" t="s">
        <v>288</v>
      </c>
      <c r="F2582" s="14" t="s">
        <v>288</v>
      </c>
      <c r="G2582" s="14" t="s">
        <v>173</v>
      </c>
      <c r="J2582" s="16">
        <v>450</v>
      </c>
      <c r="M2582" s="17">
        <f t="shared" si="134"/>
        <v>370839.45000000019</v>
      </c>
      <c r="N2582" s="11">
        <f t="shared" si="135"/>
        <v>12</v>
      </c>
    </row>
    <row r="2583" spans="1:14" x14ac:dyDescent="0.25">
      <c r="A2583" s="11" t="s">
        <v>207</v>
      </c>
      <c r="B2583" s="12">
        <v>45287</v>
      </c>
      <c r="C2583" s="11" t="s">
        <v>688</v>
      </c>
      <c r="D2583" s="11" t="s">
        <v>43</v>
      </c>
      <c r="E2583" s="14" t="s">
        <v>429</v>
      </c>
      <c r="F2583" s="14" t="s">
        <v>429</v>
      </c>
      <c r="G2583" s="14" t="s">
        <v>428</v>
      </c>
      <c r="I2583" s="11">
        <f t="shared" ref="I2583:I2614" si="136">IF(AND(G2583="MERCADO PAGO",A2583="FATURAMENTO"),1,IF(AND(OR(G2583="MERCADO PAGO",G2583="pix mercado pago",G2583= "débito automático mercado pago", G2583= "boleto mercado pago"),A2583="DESPESAS"),4,IF(AND(G2583="SAFRA",A2583="FATURAMENTO"),2,IF(AND(OR(G2583="SAFRA",G2583="PIX SAFRA", G2583="DÉBITO AUTOMÁTICO SAFRA", G2583= "BOLETO SAFRA", G2583= "transferência safra"), A2583="DESPESAS"),5,IF(AND(G2583="espécie",A2583="FATURAMENTO"),3,IF(AND(G2583="espécie",A2583="DESPESAS"),6))))))</f>
        <v>1</v>
      </c>
      <c r="J2583" s="16">
        <v>613</v>
      </c>
      <c r="M2583" s="17">
        <f t="shared" si="134"/>
        <v>371452.45000000019</v>
      </c>
      <c r="N2583" s="11">
        <f t="shared" si="135"/>
        <v>12</v>
      </c>
    </row>
    <row r="2584" spans="1:14" x14ac:dyDescent="0.25">
      <c r="A2584" s="11" t="s">
        <v>207</v>
      </c>
      <c r="B2584" s="12">
        <v>45287</v>
      </c>
      <c r="C2584" s="11" t="s">
        <v>688</v>
      </c>
      <c r="D2584" s="11" t="s">
        <v>43</v>
      </c>
      <c r="E2584" s="13" t="s">
        <v>381</v>
      </c>
      <c r="F2584" s="14" t="s">
        <v>363</v>
      </c>
      <c r="G2584" s="14" t="s">
        <v>400</v>
      </c>
      <c r="I2584" s="11">
        <f t="shared" si="136"/>
        <v>2</v>
      </c>
      <c r="J2584" s="16">
        <v>97.98</v>
      </c>
      <c r="M2584" s="17">
        <f t="shared" si="134"/>
        <v>371550.43000000017</v>
      </c>
      <c r="N2584" s="11">
        <f t="shared" si="135"/>
        <v>12</v>
      </c>
    </row>
    <row r="2585" spans="1:14" x14ac:dyDescent="0.25">
      <c r="A2585" s="11" t="s">
        <v>207</v>
      </c>
      <c r="B2585" s="12">
        <v>45287</v>
      </c>
      <c r="C2585" s="11" t="s">
        <v>688</v>
      </c>
      <c r="D2585" s="11" t="s">
        <v>43</v>
      </c>
      <c r="E2585" s="13" t="s">
        <v>382</v>
      </c>
      <c r="F2585" s="14" t="s">
        <v>13</v>
      </c>
      <c r="G2585" s="14" t="s">
        <v>400</v>
      </c>
      <c r="I2585" s="11">
        <f t="shared" si="136"/>
        <v>2</v>
      </c>
      <c r="J2585" s="16">
        <v>321.57</v>
      </c>
      <c r="M2585" s="17">
        <f t="shared" si="134"/>
        <v>371872.00000000017</v>
      </c>
      <c r="N2585" s="11">
        <f t="shared" si="135"/>
        <v>12</v>
      </c>
    </row>
    <row r="2586" spans="1:14" x14ac:dyDescent="0.25">
      <c r="A2586" s="11" t="s">
        <v>207</v>
      </c>
      <c r="B2586" s="12">
        <v>45287</v>
      </c>
      <c r="C2586" s="11" t="s">
        <v>688</v>
      </c>
      <c r="D2586" s="11" t="s">
        <v>43</v>
      </c>
      <c r="E2586" s="13" t="s">
        <v>382</v>
      </c>
      <c r="F2586" s="14" t="s">
        <v>13</v>
      </c>
      <c r="G2586" s="14" t="s">
        <v>400</v>
      </c>
      <c r="I2586" s="11">
        <f t="shared" si="136"/>
        <v>2</v>
      </c>
      <c r="J2586" s="16">
        <v>516.08000000000004</v>
      </c>
      <c r="M2586" s="17">
        <f t="shared" si="134"/>
        <v>372388.08000000019</v>
      </c>
      <c r="N2586" s="11">
        <f t="shared" si="135"/>
        <v>12</v>
      </c>
    </row>
    <row r="2587" spans="1:14" x14ac:dyDescent="0.25">
      <c r="A2587" s="11" t="s">
        <v>207</v>
      </c>
      <c r="B2587" s="12">
        <v>45287</v>
      </c>
      <c r="C2587" s="11" t="s">
        <v>662</v>
      </c>
      <c r="D2587" s="11" t="s">
        <v>43</v>
      </c>
      <c r="E2587" s="13" t="s">
        <v>382</v>
      </c>
      <c r="F2587" s="14" t="s">
        <v>13</v>
      </c>
      <c r="G2587" s="14" t="s">
        <v>400</v>
      </c>
      <c r="I2587" s="11">
        <f t="shared" si="136"/>
        <v>2</v>
      </c>
      <c r="J2587" s="16">
        <v>1100</v>
      </c>
      <c r="M2587" s="17">
        <f t="shared" si="134"/>
        <v>373488.08000000019</v>
      </c>
      <c r="N2587" s="11">
        <f t="shared" si="135"/>
        <v>12</v>
      </c>
    </row>
    <row r="2588" spans="1:14" x14ac:dyDescent="0.25">
      <c r="A2588" s="11" t="s">
        <v>207</v>
      </c>
      <c r="B2588" s="12">
        <v>45287</v>
      </c>
      <c r="C2588" s="11" t="s">
        <v>688</v>
      </c>
      <c r="D2588" s="11" t="s">
        <v>43</v>
      </c>
      <c r="E2588" s="13" t="s">
        <v>382</v>
      </c>
      <c r="F2588" s="14" t="s">
        <v>13</v>
      </c>
      <c r="G2588" s="14" t="s">
        <v>400</v>
      </c>
      <c r="I2588" s="11">
        <f t="shared" si="136"/>
        <v>2</v>
      </c>
      <c r="J2588" s="16">
        <v>16.8</v>
      </c>
      <c r="M2588" s="17">
        <f t="shared" si="134"/>
        <v>373504.88000000018</v>
      </c>
      <c r="N2588" s="11">
        <f t="shared" si="135"/>
        <v>12</v>
      </c>
    </row>
    <row r="2589" spans="1:14" x14ac:dyDescent="0.25">
      <c r="A2589" s="11" t="s">
        <v>207</v>
      </c>
      <c r="B2589" s="12">
        <v>45287</v>
      </c>
      <c r="C2589" s="11" t="s">
        <v>688</v>
      </c>
      <c r="D2589" s="11" t="s">
        <v>43</v>
      </c>
      <c r="E2589" s="13" t="s">
        <v>80</v>
      </c>
      <c r="F2589" s="14" t="s">
        <v>79</v>
      </c>
      <c r="G2589" s="14" t="s">
        <v>400</v>
      </c>
      <c r="I2589" s="11">
        <f t="shared" si="136"/>
        <v>2</v>
      </c>
      <c r="J2589" s="16">
        <v>2238.54</v>
      </c>
      <c r="M2589" s="17">
        <f t="shared" si="134"/>
        <v>375743.42000000016</v>
      </c>
      <c r="N2589" s="11">
        <f t="shared" si="135"/>
        <v>12</v>
      </c>
    </row>
    <row r="2590" spans="1:14" x14ac:dyDescent="0.25">
      <c r="A2590" s="11" t="s">
        <v>207</v>
      </c>
      <c r="B2590" s="12">
        <v>45287</v>
      </c>
      <c r="C2590" s="11" t="s">
        <v>688</v>
      </c>
      <c r="D2590" s="11" t="s">
        <v>43</v>
      </c>
      <c r="E2590" s="13" t="s">
        <v>81</v>
      </c>
      <c r="F2590" s="14" t="s">
        <v>79</v>
      </c>
      <c r="G2590" s="14" t="s">
        <v>400</v>
      </c>
      <c r="I2590" s="11">
        <f t="shared" si="136"/>
        <v>2</v>
      </c>
      <c r="J2590" s="16">
        <v>4829.49</v>
      </c>
      <c r="M2590" s="17">
        <f t="shared" si="134"/>
        <v>380572.91000000015</v>
      </c>
      <c r="N2590" s="11">
        <f t="shared" si="135"/>
        <v>12</v>
      </c>
    </row>
    <row r="2591" spans="1:14" x14ac:dyDescent="0.25">
      <c r="A2591" s="11" t="s">
        <v>207</v>
      </c>
      <c r="B2591" s="12">
        <v>45287</v>
      </c>
      <c r="C2591" s="11" t="s">
        <v>688</v>
      </c>
      <c r="D2591" s="11" t="s">
        <v>43</v>
      </c>
      <c r="E2591" s="13" t="s">
        <v>82</v>
      </c>
      <c r="F2591" s="14" t="s">
        <v>79</v>
      </c>
      <c r="G2591" s="14" t="s">
        <v>400</v>
      </c>
      <c r="I2591" s="11">
        <f t="shared" si="136"/>
        <v>2</v>
      </c>
      <c r="J2591" s="16">
        <v>277.25</v>
      </c>
      <c r="M2591" s="17">
        <f t="shared" si="134"/>
        <v>380850.16000000015</v>
      </c>
      <c r="N2591" s="11">
        <f t="shared" si="135"/>
        <v>12</v>
      </c>
    </row>
    <row r="2592" spans="1:14" x14ac:dyDescent="0.25">
      <c r="A2592" s="11" t="s">
        <v>0</v>
      </c>
      <c r="B2592" s="12">
        <v>45287</v>
      </c>
      <c r="C2592" s="11" t="s">
        <v>688</v>
      </c>
      <c r="D2592" s="11" t="s">
        <v>692</v>
      </c>
      <c r="E2592" s="13" t="s">
        <v>169</v>
      </c>
      <c r="F2592" s="14" t="s">
        <v>50</v>
      </c>
      <c r="G2592" s="14" t="s">
        <v>404</v>
      </c>
      <c r="H2592" s="15">
        <v>1239675</v>
      </c>
      <c r="I2592" s="11">
        <f t="shared" si="136"/>
        <v>5</v>
      </c>
      <c r="K2592" s="16">
        <v>1645</v>
      </c>
      <c r="M2592" s="17">
        <f t="shared" si="134"/>
        <v>379205.16000000015</v>
      </c>
      <c r="N2592" s="11">
        <f t="shared" si="135"/>
        <v>12</v>
      </c>
    </row>
    <row r="2593" spans="1:14" x14ac:dyDescent="0.25">
      <c r="A2593" s="11" t="s">
        <v>0</v>
      </c>
      <c r="B2593" s="12">
        <v>45287</v>
      </c>
      <c r="C2593" s="11" t="s">
        <v>688</v>
      </c>
      <c r="D2593" s="11" t="s">
        <v>701</v>
      </c>
      <c r="E2593" s="13" t="s">
        <v>166</v>
      </c>
      <c r="F2593" s="14" t="s">
        <v>676</v>
      </c>
      <c r="G2593" s="14" t="s">
        <v>404</v>
      </c>
      <c r="H2593" s="15">
        <v>5</v>
      </c>
      <c r="I2593" s="11">
        <f t="shared" si="136"/>
        <v>5</v>
      </c>
      <c r="K2593" s="16">
        <v>120</v>
      </c>
      <c r="M2593" s="17">
        <f t="shared" si="134"/>
        <v>379085.16000000015</v>
      </c>
      <c r="N2593" s="11">
        <f t="shared" si="135"/>
        <v>12</v>
      </c>
    </row>
    <row r="2594" spans="1:14" x14ac:dyDescent="0.25">
      <c r="A2594" s="11" t="s">
        <v>0</v>
      </c>
      <c r="B2594" s="12">
        <v>45287</v>
      </c>
      <c r="C2594" s="11" t="s">
        <v>688</v>
      </c>
      <c r="D2594" s="11" t="s">
        <v>692</v>
      </c>
      <c r="E2594" s="13" t="s">
        <v>717</v>
      </c>
      <c r="F2594" s="14" t="s">
        <v>76</v>
      </c>
      <c r="G2594" s="14" t="s">
        <v>404</v>
      </c>
      <c r="H2594" s="15">
        <v>1248620</v>
      </c>
      <c r="I2594" s="11">
        <f t="shared" si="136"/>
        <v>5</v>
      </c>
      <c r="K2594" s="16">
        <v>444.77</v>
      </c>
      <c r="M2594" s="17">
        <f t="shared" si="134"/>
        <v>378640.39000000013</v>
      </c>
      <c r="N2594" s="11">
        <f t="shared" si="135"/>
        <v>12</v>
      </c>
    </row>
    <row r="2595" spans="1:14" x14ac:dyDescent="0.25">
      <c r="A2595" s="11" t="s">
        <v>0</v>
      </c>
      <c r="B2595" s="12">
        <v>45287</v>
      </c>
      <c r="C2595" s="11" t="s">
        <v>688</v>
      </c>
      <c r="D2595" s="11" t="s">
        <v>701</v>
      </c>
      <c r="E2595" s="13" t="s">
        <v>118</v>
      </c>
      <c r="F2595" s="14" t="s">
        <v>204</v>
      </c>
      <c r="G2595" s="14" t="s">
        <v>404</v>
      </c>
      <c r="H2595" s="15">
        <v>55</v>
      </c>
      <c r="I2595" s="11">
        <f t="shared" si="136"/>
        <v>5</v>
      </c>
      <c r="K2595" s="16">
        <v>139.97999999999999</v>
      </c>
      <c r="M2595" s="17">
        <f t="shared" si="134"/>
        <v>378500.41000000015</v>
      </c>
      <c r="N2595" s="11">
        <f t="shared" si="135"/>
        <v>12</v>
      </c>
    </row>
    <row r="2596" spans="1:14" x14ac:dyDescent="0.25">
      <c r="A2596" s="11" t="s">
        <v>0</v>
      </c>
      <c r="B2596" s="12">
        <v>45287</v>
      </c>
      <c r="C2596" s="11" t="s">
        <v>688</v>
      </c>
      <c r="D2596" s="11" t="s">
        <v>698</v>
      </c>
      <c r="E2596" s="13" t="s">
        <v>677</v>
      </c>
      <c r="F2596" s="14" t="s">
        <v>393</v>
      </c>
      <c r="G2596" s="14" t="s">
        <v>404</v>
      </c>
      <c r="H2596" s="15">
        <v>759</v>
      </c>
      <c r="I2596" s="11">
        <f t="shared" si="136"/>
        <v>5</v>
      </c>
      <c r="K2596" s="16">
        <v>22</v>
      </c>
      <c r="M2596" s="17">
        <f t="shared" si="134"/>
        <v>378478.41000000015</v>
      </c>
      <c r="N2596" s="11">
        <f t="shared" si="135"/>
        <v>12</v>
      </c>
    </row>
    <row r="2597" spans="1:14" x14ac:dyDescent="0.25">
      <c r="A2597" s="11" t="s">
        <v>0</v>
      </c>
      <c r="B2597" s="12">
        <v>45287</v>
      </c>
      <c r="C2597" s="11" t="s">
        <v>688</v>
      </c>
      <c r="D2597" s="11" t="s">
        <v>694</v>
      </c>
      <c r="E2597" s="13" t="s">
        <v>182</v>
      </c>
      <c r="F2597" s="14" t="s">
        <v>365</v>
      </c>
      <c r="G2597" s="14" t="s">
        <v>402</v>
      </c>
      <c r="I2597" s="11">
        <f t="shared" si="136"/>
        <v>5</v>
      </c>
      <c r="K2597" s="16">
        <v>6.28</v>
      </c>
      <c r="M2597" s="17">
        <f t="shared" si="134"/>
        <v>378472.13000000012</v>
      </c>
      <c r="N2597" s="11">
        <f t="shared" si="135"/>
        <v>12</v>
      </c>
    </row>
    <row r="2598" spans="1:14" x14ac:dyDescent="0.25">
      <c r="A2598" s="11" t="s">
        <v>0</v>
      </c>
      <c r="B2598" s="12">
        <v>45287</v>
      </c>
      <c r="C2598" s="11" t="s">
        <v>688</v>
      </c>
      <c r="D2598" s="11" t="s">
        <v>694</v>
      </c>
      <c r="E2598" s="13" t="s">
        <v>182</v>
      </c>
      <c r="F2598" s="14" t="s">
        <v>23</v>
      </c>
      <c r="G2598" s="14" t="s">
        <v>402</v>
      </c>
      <c r="I2598" s="11">
        <f t="shared" si="136"/>
        <v>5</v>
      </c>
      <c r="K2598" s="16">
        <v>15.48</v>
      </c>
      <c r="M2598" s="17">
        <f t="shared" si="134"/>
        <v>378456.65000000014</v>
      </c>
      <c r="N2598" s="11">
        <f t="shared" si="135"/>
        <v>12</v>
      </c>
    </row>
    <row r="2599" spans="1:14" x14ac:dyDescent="0.25">
      <c r="A2599" s="11" t="s">
        <v>207</v>
      </c>
      <c r="B2599" s="12">
        <v>45287</v>
      </c>
      <c r="C2599" s="11" t="s">
        <v>688</v>
      </c>
      <c r="D2599" s="11" t="s">
        <v>43</v>
      </c>
      <c r="E2599" s="13">
        <v>45287</v>
      </c>
      <c r="F2599" s="14" t="s">
        <v>671</v>
      </c>
      <c r="G2599" s="14" t="s">
        <v>400</v>
      </c>
      <c r="I2599" s="11">
        <f t="shared" si="136"/>
        <v>2</v>
      </c>
      <c r="J2599" s="16">
        <v>920.75</v>
      </c>
      <c r="M2599" s="17">
        <f t="shared" si="134"/>
        <v>379377.40000000014</v>
      </c>
      <c r="N2599" s="11">
        <f t="shared" si="135"/>
        <v>12</v>
      </c>
    </row>
    <row r="2600" spans="1:14" x14ac:dyDescent="0.25">
      <c r="A2600" s="11" t="s">
        <v>0</v>
      </c>
      <c r="B2600" s="12">
        <v>45287</v>
      </c>
      <c r="C2600" s="11" t="s">
        <v>688</v>
      </c>
      <c r="D2600" s="11" t="s">
        <v>692</v>
      </c>
      <c r="E2600" s="13" t="s">
        <v>143</v>
      </c>
      <c r="F2600" s="14" t="s">
        <v>59</v>
      </c>
      <c r="G2600" s="14" t="s">
        <v>403</v>
      </c>
      <c r="H2600" s="15">
        <v>555256</v>
      </c>
      <c r="I2600" s="11">
        <f t="shared" si="136"/>
        <v>5</v>
      </c>
      <c r="K2600" s="16">
        <v>60.15</v>
      </c>
      <c r="M2600" s="17">
        <f t="shared" si="134"/>
        <v>379317.25000000012</v>
      </c>
      <c r="N2600" s="11">
        <f t="shared" si="135"/>
        <v>12</v>
      </c>
    </row>
    <row r="2601" spans="1:14" x14ac:dyDescent="0.25">
      <c r="A2601" s="11" t="s">
        <v>0</v>
      </c>
      <c r="B2601" s="12">
        <v>45287</v>
      </c>
      <c r="C2601" s="11" t="s">
        <v>688</v>
      </c>
      <c r="D2601" s="11" t="s">
        <v>692</v>
      </c>
      <c r="E2601" s="13" t="s">
        <v>143</v>
      </c>
      <c r="F2601" s="14" t="s">
        <v>59</v>
      </c>
      <c r="G2601" s="14" t="s">
        <v>403</v>
      </c>
      <c r="H2601" s="15">
        <v>555257</v>
      </c>
      <c r="I2601" s="11">
        <f t="shared" si="136"/>
        <v>5</v>
      </c>
      <c r="K2601" s="16">
        <v>561.76</v>
      </c>
      <c r="M2601" s="17">
        <f t="shared" si="134"/>
        <v>378755.49000000011</v>
      </c>
      <c r="N2601" s="11">
        <f t="shared" si="135"/>
        <v>12</v>
      </c>
    </row>
    <row r="2602" spans="1:14" x14ac:dyDescent="0.25">
      <c r="A2602" s="11" t="s">
        <v>0</v>
      </c>
      <c r="B2602" s="12">
        <v>45287</v>
      </c>
      <c r="C2602" s="11" t="s">
        <v>688</v>
      </c>
      <c r="D2602" s="11" t="s">
        <v>692</v>
      </c>
      <c r="E2602" s="13" t="s">
        <v>143</v>
      </c>
      <c r="F2602" s="14" t="s">
        <v>59</v>
      </c>
      <c r="G2602" s="14" t="s">
        <v>403</v>
      </c>
      <c r="H2602" s="15">
        <v>555255</v>
      </c>
      <c r="I2602" s="11">
        <f t="shared" si="136"/>
        <v>5</v>
      </c>
      <c r="K2602" s="16">
        <v>3622.97</v>
      </c>
      <c r="M2602" s="17">
        <f t="shared" si="134"/>
        <v>375132.52000000014</v>
      </c>
      <c r="N2602" s="11">
        <f t="shared" si="135"/>
        <v>12</v>
      </c>
    </row>
    <row r="2603" spans="1:14" x14ac:dyDescent="0.25">
      <c r="A2603" s="11" t="s">
        <v>0</v>
      </c>
      <c r="B2603" s="12">
        <v>45287</v>
      </c>
      <c r="C2603" s="11" t="s">
        <v>688</v>
      </c>
      <c r="D2603" s="11" t="s">
        <v>692</v>
      </c>
      <c r="E2603" s="13" t="s">
        <v>143</v>
      </c>
      <c r="F2603" s="14" t="s">
        <v>511</v>
      </c>
      <c r="G2603" s="14" t="s">
        <v>403</v>
      </c>
      <c r="H2603" s="15">
        <v>2931075</v>
      </c>
      <c r="I2603" s="11">
        <f t="shared" si="136"/>
        <v>5</v>
      </c>
      <c r="K2603" s="16">
        <v>328.48</v>
      </c>
      <c r="M2603" s="17">
        <f t="shared" si="134"/>
        <v>374804.04000000015</v>
      </c>
      <c r="N2603" s="11">
        <f t="shared" si="135"/>
        <v>12</v>
      </c>
    </row>
    <row r="2604" spans="1:14" x14ac:dyDescent="0.25">
      <c r="A2604" s="11" t="s">
        <v>207</v>
      </c>
      <c r="B2604" s="12">
        <v>45288</v>
      </c>
      <c r="C2604" s="11" t="s">
        <v>688</v>
      </c>
      <c r="D2604" s="11" t="s">
        <v>43</v>
      </c>
      <c r="E2604" s="13" t="s">
        <v>288</v>
      </c>
      <c r="F2604" s="14" t="s">
        <v>288</v>
      </c>
      <c r="G2604" s="14" t="s">
        <v>173</v>
      </c>
      <c r="I2604" s="11">
        <f t="shared" si="136"/>
        <v>3</v>
      </c>
      <c r="J2604" s="16">
        <v>30</v>
      </c>
      <c r="M2604" s="17">
        <f t="shared" si="134"/>
        <v>374834.04000000015</v>
      </c>
      <c r="N2604" s="11">
        <f t="shared" si="135"/>
        <v>12</v>
      </c>
    </row>
    <row r="2605" spans="1:14" x14ac:dyDescent="0.25">
      <c r="A2605" s="11" t="s">
        <v>207</v>
      </c>
      <c r="B2605" s="12">
        <v>45288</v>
      </c>
      <c r="C2605" s="11" t="s">
        <v>688</v>
      </c>
      <c r="D2605" s="11" t="s">
        <v>43</v>
      </c>
      <c r="E2605" s="14" t="s">
        <v>429</v>
      </c>
      <c r="F2605" s="14" t="s">
        <v>429</v>
      </c>
      <c r="G2605" s="14" t="s">
        <v>428</v>
      </c>
      <c r="I2605" s="11">
        <f t="shared" si="136"/>
        <v>1</v>
      </c>
      <c r="J2605" s="16">
        <v>4612</v>
      </c>
      <c r="M2605" s="17">
        <f t="shared" si="134"/>
        <v>379446.04000000015</v>
      </c>
      <c r="N2605" s="11">
        <f t="shared" si="135"/>
        <v>12</v>
      </c>
    </row>
    <row r="2606" spans="1:14" x14ac:dyDescent="0.25">
      <c r="A2606" s="11" t="s">
        <v>207</v>
      </c>
      <c r="B2606" s="12">
        <v>45288</v>
      </c>
      <c r="C2606" s="11" t="s">
        <v>688</v>
      </c>
      <c r="D2606" s="11" t="s">
        <v>43</v>
      </c>
      <c r="E2606" s="13" t="s">
        <v>80</v>
      </c>
      <c r="F2606" s="14" t="s">
        <v>79</v>
      </c>
      <c r="G2606" s="14" t="s">
        <v>400</v>
      </c>
      <c r="I2606" s="11">
        <f t="shared" si="136"/>
        <v>2</v>
      </c>
      <c r="J2606" s="16">
        <v>3745.64</v>
      </c>
      <c r="M2606" s="17">
        <f t="shared" si="134"/>
        <v>383191.68000000017</v>
      </c>
      <c r="N2606" s="11">
        <f t="shared" si="135"/>
        <v>12</v>
      </c>
    </row>
    <row r="2607" spans="1:14" x14ac:dyDescent="0.25">
      <c r="A2607" s="11" t="s">
        <v>207</v>
      </c>
      <c r="B2607" s="12">
        <v>45288</v>
      </c>
      <c r="C2607" s="11" t="s">
        <v>688</v>
      </c>
      <c r="D2607" s="11" t="s">
        <v>43</v>
      </c>
      <c r="E2607" s="13" t="s">
        <v>81</v>
      </c>
      <c r="F2607" s="14" t="s">
        <v>79</v>
      </c>
      <c r="G2607" s="14" t="s">
        <v>400</v>
      </c>
      <c r="I2607" s="11">
        <f t="shared" si="136"/>
        <v>2</v>
      </c>
      <c r="J2607" s="16">
        <v>3106.54</v>
      </c>
      <c r="M2607" s="17">
        <f t="shared" si="134"/>
        <v>386298.22000000015</v>
      </c>
      <c r="N2607" s="11">
        <f t="shared" si="135"/>
        <v>12</v>
      </c>
    </row>
    <row r="2608" spans="1:14" x14ac:dyDescent="0.25">
      <c r="A2608" s="11" t="s">
        <v>207</v>
      </c>
      <c r="B2608" s="12">
        <v>45288</v>
      </c>
      <c r="C2608" s="11" t="s">
        <v>688</v>
      </c>
      <c r="D2608" s="11" t="s">
        <v>43</v>
      </c>
      <c r="E2608" s="13" t="s">
        <v>83</v>
      </c>
      <c r="F2608" s="14" t="s">
        <v>79</v>
      </c>
      <c r="G2608" s="14" t="s">
        <v>400</v>
      </c>
      <c r="I2608" s="11">
        <f t="shared" si="136"/>
        <v>2</v>
      </c>
      <c r="J2608" s="16">
        <v>929.14</v>
      </c>
      <c r="M2608" s="17">
        <f t="shared" si="134"/>
        <v>387227.36000000016</v>
      </c>
      <c r="N2608" s="11">
        <f t="shared" si="135"/>
        <v>12</v>
      </c>
    </row>
    <row r="2609" spans="1:14" x14ac:dyDescent="0.25">
      <c r="A2609" s="11" t="s">
        <v>207</v>
      </c>
      <c r="B2609" s="12">
        <v>45288</v>
      </c>
      <c r="C2609" s="11" t="s">
        <v>688</v>
      </c>
      <c r="D2609" s="11" t="s">
        <v>43</v>
      </c>
      <c r="E2609" s="13" t="s">
        <v>382</v>
      </c>
      <c r="F2609" s="14" t="s">
        <v>13</v>
      </c>
      <c r="G2609" s="14" t="s">
        <v>400</v>
      </c>
      <c r="I2609" s="11">
        <f t="shared" si="136"/>
        <v>2</v>
      </c>
      <c r="J2609" s="16">
        <v>2370.2399999999998</v>
      </c>
      <c r="M2609" s="17">
        <f t="shared" si="134"/>
        <v>389597.60000000015</v>
      </c>
      <c r="N2609" s="11">
        <f t="shared" si="135"/>
        <v>12</v>
      </c>
    </row>
    <row r="2610" spans="1:14" x14ac:dyDescent="0.25">
      <c r="A2610" s="11" t="s">
        <v>207</v>
      </c>
      <c r="B2610" s="12">
        <v>45288</v>
      </c>
      <c r="C2610" s="11" t="s">
        <v>688</v>
      </c>
      <c r="D2610" s="11" t="s">
        <v>47</v>
      </c>
      <c r="E2610" s="13" t="s">
        <v>678</v>
      </c>
      <c r="F2610" s="14" t="s">
        <v>472</v>
      </c>
      <c r="G2610" s="14" t="s">
        <v>400</v>
      </c>
      <c r="I2610" s="11">
        <f t="shared" si="136"/>
        <v>2</v>
      </c>
      <c r="J2610" s="16">
        <v>875</v>
      </c>
      <c r="M2610" s="17">
        <f t="shared" si="134"/>
        <v>390472.60000000015</v>
      </c>
      <c r="N2610" s="11">
        <f t="shared" si="135"/>
        <v>12</v>
      </c>
    </row>
    <row r="2611" spans="1:14" x14ac:dyDescent="0.25">
      <c r="A2611" s="11" t="s">
        <v>0</v>
      </c>
      <c r="B2611" s="12">
        <v>45288</v>
      </c>
      <c r="C2611" s="11" t="s">
        <v>688</v>
      </c>
      <c r="D2611" s="11" t="s">
        <v>694</v>
      </c>
      <c r="E2611" s="13" t="s">
        <v>182</v>
      </c>
      <c r="F2611" s="14" t="s">
        <v>365</v>
      </c>
      <c r="G2611" s="14" t="s">
        <v>402</v>
      </c>
      <c r="I2611" s="11">
        <f t="shared" si="136"/>
        <v>5</v>
      </c>
      <c r="K2611" s="16">
        <v>4.45</v>
      </c>
      <c r="M2611" s="17">
        <f t="shared" si="134"/>
        <v>390468.15000000014</v>
      </c>
      <c r="N2611" s="11">
        <f t="shared" si="135"/>
        <v>12</v>
      </c>
    </row>
    <row r="2612" spans="1:14" x14ac:dyDescent="0.25">
      <c r="A2612" s="11" t="s">
        <v>0</v>
      </c>
      <c r="B2612" s="12">
        <v>45288</v>
      </c>
      <c r="C2612" s="11" t="s">
        <v>688</v>
      </c>
      <c r="D2612" s="11" t="s">
        <v>694</v>
      </c>
      <c r="E2612" s="13" t="s">
        <v>182</v>
      </c>
      <c r="F2612" s="14" t="s">
        <v>23</v>
      </c>
      <c r="G2612" s="14" t="s">
        <v>402</v>
      </c>
      <c r="I2612" s="11">
        <f t="shared" si="136"/>
        <v>5</v>
      </c>
      <c r="K2612" s="16">
        <v>24.36</v>
      </c>
      <c r="M2612" s="17">
        <f t="shared" si="134"/>
        <v>390443.79000000015</v>
      </c>
      <c r="N2612" s="11">
        <f t="shared" si="135"/>
        <v>12</v>
      </c>
    </row>
    <row r="2613" spans="1:14" x14ac:dyDescent="0.25">
      <c r="A2613" s="11" t="s">
        <v>207</v>
      </c>
      <c r="B2613" s="12">
        <v>45288</v>
      </c>
      <c r="C2613" s="11" t="s">
        <v>688</v>
      </c>
      <c r="D2613" s="11" t="s">
        <v>43</v>
      </c>
      <c r="E2613" s="13">
        <v>45288</v>
      </c>
      <c r="F2613" s="14" t="s">
        <v>472</v>
      </c>
      <c r="G2613" s="14" t="s">
        <v>400</v>
      </c>
      <c r="I2613" s="11">
        <f t="shared" si="136"/>
        <v>2</v>
      </c>
      <c r="J2613" s="16">
        <v>650.1</v>
      </c>
      <c r="M2613" s="17">
        <f t="shared" si="134"/>
        <v>391093.89000000013</v>
      </c>
      <c r="N2613" s="11">
        <f t="shared" si="135"/>
        <v>12</v>
      </c>
    </row>
    <row r="2614" spans="1:14" x14ac:dyDescent="0.25">
      <c r="A2614" s="11" t="s">
        <v>0</v>
      </c>
      <c r="B2614" s="12">
        <v>45288</v>
      </c>
      <c r="C2614" s="11" t="s">
        <v>688</v>
      </c>
      <c r="D2614" s="11" t="s">
        <v>692</v>
      </c>
      <c r="E2614" s="13" t="s">
        <v>725</v>
      </c>
      <c r="F2614" s="14" t="s">
        <v>27</v>
      </c>
      <c r="G2614" s="14" t="s">
        <v>404</v>
      </c>
      <c r="H2614" s="15" t="s">
        <v>437</v>
      </c>
      <c r="I2614" s="11">
        <f t="shared" si="136"/>
        <v>5</v>
      </c>
      <c r="K2614" s="16">
        <v>5323.9</v>
      </c>
      <c r="M2614" s="17">
        <f t="shared" si="134"/>
        <v>385769.99000000011</v>
      </c>
      <c r="N2614" s="11">
        <f t="shared" si="135"/>
        <v>12</v>
      </c>
    </row>
    <row r="2615" spans="1:14" x14ac:dyDescent="0.25">
      <c r="A2615" s="11" t="s">
        <v>0</v>
      </c>
      <c r="B2615" s="12">
        <v>45288</v>
      </c>
      <c r="C2615" s="11" t="s">
        <v>688</v>
      </c>
      <c r="D2615" s="11" t="s">
        <v>699</v>
      </c>
      <c r="E2615" s="13" t="s">
        <v>98</v>
      </c>
      <c r="F2615" s="14" t="s">
        <v>576</v>
      </c>
      <c r="G2615" s="14" t="s">
        <v>404</v>
      </c>
      <c r="H2615" s="15" t="s">
        <v>437</v>
      </c>
      <c r="I2615" s="11">
        <f t="shared" ref="I2615:I2649" si="137">IF(AND(G2615="MERCADO PAGO",A2615="FATURAMENTO"),1,IF(AND(OR(G2615="MERCADO PAGO",G2615="pix mercado pago",G2615= "débito automático mercado pago", G2615= "boleto mercado pago"),A2615="DESPESAS"),4,IF(AND(G2615="SAFRA",A2615="FATURAMENTO"),2,IF(AND(OR(G2615="SAFRA",G2615="PIX SAFRA", G2615="DÉBITO AUTOMÁTICO SAFRA", G2615= "BOLETO SAFRA", G2615= "transferência safra"), A2615="DESPESAS"),5,IF(AND(G2615="espécie",A2615="FATURAMENTO"),3,IF(AND(G2615="espécie",A2615="DESPESAS"),6))))))</f>
        <v>5</v>
      </c>
      <c r="K2615" s="16">
        <v>107.02</v>
      </c>
      <c r="M2615" s="17">
        <f t="shared" si="134"/>
        <v>385662.97000000009</v>
      </c>
      <c r="N2615" s="11">
        <f t="shared" si="135"/>
        <v>12</v>
      </c>
    </row>
    <row r="2616" spans="1:14" x14ac:dyDescent="0.25">
      <c r="A2616" s="11" t="s">
        <v>0</v>
      </c>
      <c r="B2616" s="12">
        <v>45288</v>
      </c>
      <c r="C2616" s="11" t="s">
        <v>688</v>
      </c>
      <c r="D2616" s="11" t="s">
        <v>695</v>
      </c>
      <c r="E2616" s="13" t="s">
        <v>177</v>
      </c>
      <c r="F2616" s="14" t="s">
        <v>307</v>
      </c>
      <c r="G2616" s="14" t="s">
        <v>404</v>
      </c>
      <c r="H2616" s="15" t="s">
        <v>437</v>
      </c>
      <c r="I2616" s="11">
        <f t="shared" si="137"/>
        <v>5</v>
      </c>
      <c r="K2616" s="16">
        <v>1500</v>
      </c>
      <c r="M2616" s="17">
        <f t="shared" si="134"/>
        <v>384162.97000000009</v>
      </c>
      <c r="N2616" s="11">
        <f t="shared" si="135"/>
        <v>12</v>
      </c>
    </row>
    <row r="2617" spans="1:14" x14ac:dyDescent="0.25">
      <c r="A2617" s="11" t="s">
        <v>0</v>
      </c>
      <c r="B2617" s="12">
        <v>45288</v>
      </c>
      <c r="C2617" s="11" t="s">
        <v>688</v>
      </c>
      <c r="D2617" s="11" t="s">
        <v>694</v>
      </c>
      <c r="E2617" s="13" t="s">
        <v>181</v>
      </c>
      <c r="F2617" s="14" t="s">
        <v>516</v>
      </c>
      <c r="G2617" s="14" t="s">
        <v>404</v>
      </c>
      <c r="H2617" s="15">
        <v>6907</v>
      </c>
      <c r="I2617" s="11">
        <f t="shared" si="137"/>
        <v>5</v>
      </c>
      <c r="K2617" s="16">
        <v>400</v>
      </c>
      <c r="M2617" s="17">
        <f t="shared" si="134"/>
        <v>383762.97000000009</v>
      </c>
      <c r="N2617" s="11">
        <f t="shared" si="135"/>
        <v>12</v>
      </c>
    </row>
    <row r="2618" spans="1:14" x14ac:dyDescent="0.25">
      <c r="A2618" s="11" t="s">
        <v>0</v>
      </c>
      <c r="B2618" s="12">
        <v>45288</v>
      </c>
      <c r="C2618" s="11" t="s">
        <v>688</v>
      </c>
      <c r="D2618" s="11" t="s">
        <v>692</v>
      </c>
      <c r="E2618" s="13" t="s">
        <v>143</v>
      </c>
      <c r="F2618" s="14" t="s">
        <v>59</v>
      </c>
      <c r="G2618" s="14" t="s">
        <v>404</v>
      </c>
      <c r="H2618" s="15" t="s">
        <v>437</v>
      </c>
      <c r="I2618" s="11">
        <f t="shared" si="137"/>
        <v>5</v>
      </c>
      <c r="K2618" s="16">
        <v>8177.8</v>
      </c>
      <c r="M2618" s="17">
        <f t="shared" si="134"/>
        <v>375585.1700000001</v>
      </c>
      <c r="N2618" s="11">
        <f t="shared" si="135"/>
        <v>12</v>
      </c>
    </row>
    <row r="2619" spans="1:14" x14ac:dyDescent="0.25">
      <c r="A2619" s="11" t="s">
        <v>0</v>
      </c>
      <c r="B2619" s="12">
        <v>45288</v>
      </c>
      <c r="C2619" s="11" t="s">
        <v>688</v>
      </c>
      <c r="D2619" s="11" t="s">
        <v>699</v>
      </c>
      <c r="E2619" s="13" t="s">
        <v>98</v>
      </c>
      <c r="F2619" s="14" t="s">
        <v>206</v>
      </c>
      <c r="G2619" s="14" t="s">
        <v>404</v>
      </c>
      <c r="H2619" s="15" t="s">
        <v>437</v>
      </c>
      <c r="I2619" s="11">
        <f t="shared" si="137"/>
        <v>5</v>
      </c>
      <c r="K2619" s="16">
        <v>300</v>
      </c>
      <c r="M2619" s="17">
        <f t="shared" si="134"/>
        <v>375285.1700000001</v>
      </c>
      <c r="N2619" s="11">
        <f t="shared" si="135"/>
        <v>12</v>
      </c>
    </row>
    <row r="2620" spans="1:14" x14ac:dyDescent="0.25">
      <c r="A2620" s="11" t="s">
        <v>0</v>
      </c>
      <c r="B2620" s="12">
        <v>45289</v>
      </c>
      <c r="C2620" s="11" t="s">
        <v>688</v>
      </c>
      <c r="D2620" s="11" t="s">
        <v>692</v>
      </c>
      <c r="E2620" s="13" t="s">
        <v>726</v>
      </c>
      <c r="F2620" s="14" t="s">
        <v>833</v>
      </c>
      <c r="G2620" s="14" t="s">
        <v>407</v>
      </c>
      <c r="H2620" s="15" t="s">
        <v>426</v>
      </c>
      <c r="I2620" s="11">
        <f t="shared" ref="I2620" si="138">IF(AND(G2620="MERCADO PAGO",A2620="FATURAMENTO"),1,IF(AND(OR(G2620="MERCADO PAGO",G2620="pix mercado pago",G2620= "débito automático mercado pago", G2620= "boleto mercado pago"),A2620="DESPESAS"),4,IF(AND(G2620="SAFRA",A2620="FATURAMENTO"),2,IF(AND(OR(G2620="SAFRA",G2620="PIX SAFRA", G2620="DÉBITO AUTOMÁTICO SAFRA", G2620= "BOLETO SAFRA", G2620= "transferência safra"), A2620="DESPESAS"),5,IF(AND(G2620="espécie",A2620="FATURAMENTO"),3,IF(AND(G2620="espécie",A2620="DESPESAS"),6))))))</f>
        <v>4</v>
      </c>
      <c r="J2620" s="233"/>
      <c r="K2620" s="233">
        <v>20</v>
      </c>
      <c r="M2620" s="17">
        <f t="shared" si="134"/>
        <v>375265.1700000001</v>
      </c>
      <c r="N2620" s="11">
        <f t="shared" si="135"/>
        <v>12</v>
      </c>
    </row>
    <row r="2621" spans="1:14" x14ac:dyDescent="0.25">
      <c r="A2621" s="11" t="s">
        <v>0</v>
      </c>
      <c r="B2621" s="12">
        <v>45289</v>
      </c>
      <c r="C2621" s="11" t="s">
        <v>688</v>
      </c>
      <c r="D2621" s="11" t="s">
        <v>701</v>
      </c>
      <c r="E2621" s="13" t="s">
        <v>180</v>
      </c>
      <c r="F2621" s="14" t="s">
        <v>37</v>
      </c>
      <c r="G2621" s="14" t="s">
        <v>407</v>
      </c>
      <c r="H2621" s="15" t="s">
        <v>426</v>
      </c>
      <c r="I2621" s="11">
        <f t="shared" si="137"/>
        <v>4</v>
      </c>
      <c r="J2621" s="233"/>
      <c r="K2621" s="233">
        <v>57.4</v>
      </c>
      <c r="M2621" s="17">
        <f t="shared" si="134"/>
        <v>375207.77000000008</v>
      </c>
      <c r="N2621" s="11">
        <f t="shared" si="135"/>
        <v>12</v>
      </c>
    </row>
    <row r="2622" spans="1:14" x14ac:dyDescent="0.25">
      <c r="A2622" s="11" t="s">
        <v>207</v>
      </c>
      <c r="B2622" s="12">
        <v>45289</v>
      </c>
      <c r="C2622" s="11" t="s">
        <v>688</v>
      </c>
      <c r="D2622" s="11" t="s">
        <v>43</v>
      </c>
      <c r="E2622" s="13" t="s">
        <v>288</v>
      </c>
      <c r="F2622" s="14" t="s">
        <v>288</v>
      </c>
      <c r="G2622" s="14" t="s">
        <v>173</v>
      </c>
      <c r="I2622" s="11">
        <f t="shared" si="137"/>
        <v>3</v>
      </c>
      <c r="J2622" s="233">
        <v>585</v>
      </c>
      <c r="K2622" s="233"/>
      <c r="M2622" s="17">
        <f t="shared" si="134"/>
        <v>375792.77000000008</v>
      </c>
      <c r="N2622" s="11">
        <f t="shared" si="135"/>
        <v>12</v>
      </c>
    </row>
    <row r="2623" spans="1:14" x14ac:dyDescent="0.25">
      <c r="A2623" s="11" t="s">
        <v>207</v>
      </c>
      <c r="B2623" s="12">
        <v>45289</v>
      </c>
      <c r="C2623" s="11" t="s">
        <v>688</v>
      </c>
      <c r="D2623" s="11" t="s">
        <v>43</v>
      </c>
      <c r="E2623" s="14" t="s">
        <v>429</v>
      </c>
      <c r="F2623" s="14" t="s">
        <v>429</v>
      </c>
      <c r="G2623" s="14" t="s">
        <v>428</v>
      </c>
      <c r="I2623" s="11">
        <f t="shared" si="137"/>
        <v>1</v>
      </c>
      <c r="J2623" s="16">
        <v>1369.4</v>
      </c>
      <c r="M2623" s="17">
        <f t="shared" si="134"/>
        <v>377162.1700000001</v>
      </c>
      <c r="N2623" s="11">
        <f t="shared" si="135"/>
        <v>12</v>
      </c>
    </row>
    <row r="2624" spans="1:14" x14ac:dyDescent="0.25">
      <c r="A2624" s="11" t="s">
        <v>207</v>
      </c>
      <c r="B2624" s="12">
        <v>45289</v>
      </c>
      <c r="C2624" s="11" t="s">
        <v>662</v>
      </c>
      <c r="D2624" s="11" t="s">
        <v>43</v>
      </c>
      <c r="E2624" s="13" t="s">
        <v>80</v>
      </c>
      <c r="F2624" s="14" t="s">
        <v>79</v>
      </c>
      <c r="G2624" s="14" t="s">
        <v>400</v>
      </c>
      <c r="I2624" s="11">
        <f t="shared" si="137"/>
        <v>2</v>
      </c>
      <c r="J2624" s="16">
        <v>80</v>
      </c>
      <c r="M2624" s="17">
        <f t="shared" si="134"/>
        <v>377242.1700000001</v>
      </c>
      <c r="N2624" s="11">
        <f t="shared" si="135"/>
        <v>12</v>
      </c>
    </row>
    <row r="2625" spans="1:14" x14ac:dyDescent="0.25">
      <c r="A2625" s="11" t="s">
        <v>207</v>
      </c>
      <c r="B2625" s="12">
        <v>45289</v>
      </c>
      <c r="C2625" s="11" t="s">
        <v>689</v>
      </c>
      <c r="D2625" s="11" t="s">
        <v>43</v>
      </c>
      <c r="E2625" s="13" t="s">
        <v>80</v>
      </c>
      <c r="F2625" s="14" t="s">
        <v>79</v>
      </c>
      <c r="G2625" s="14" t="s">
        <v>400</v>
      </c>
      <c r="I2625" s="11">
        <f t="shared" si="137"/>
        <v>2</v>
      </c>
      <c r="J2625" s="16">
        <v>30</v>
      </c>
      <c r="M2625" s="17">
        <f t="shared" si="134"/>
        <v>377272.1700000001</v>
      </c>
      <c r="N2625" s="11">
        <f t="shared" si="135"/>
        <v>12</v>
      </c>
    </row>
    <row r="2626" spans="1:14" x14ac:dyDescent="0.25">
      <c r="A2626" s="11" t="s">
        <v>207</v>
      </c>
      <c r="B2626" s="12">
        <v>45289</v>
      </c>
      <c r="C2626" s="11" t="s">
        <v>688</v>
      </c>
      <c r="D2626" s="11" t="s">
        <v>43</v>
      </c>
      <c r="E2626" s="13" t="s">
        <v>80</v>
      </c>
      <c r="F2626" s="14" t="s">
        <v>79</v>
      </c>
      <c r="G2626" s="14" t="s">
        <v>400</v>
      </c>
      <c r="I2626" s="11">
        <f t="shared" si="137"/>
        <v>2</v>
      </c>
      <c r="J2626" s="16">
        <v>2593.88</v>
      </c>
      <c r="M2626" s="17">
        <f t="shared" si="134"/>
        <v>379866.0500000001</v>
      </c>
      <c r="N2626" s="11">
        <f t="shared" si="135"/>
        <v>12</v>
      </c>
    </row>
    <row r="2627" spans="1:14" x14ac:dyDescent="0.25">
      <c r="A2627" s="11" t="s">
        <v>207</v>
      </c>
      <c r="B2627" s="12">
        <v>45289</v>
      </c>
      <c r="C2627" s="11" t="s">
        <v>688</v>
      </c>
      <c r="D2627" s="11" t="s">
        <v>43</v>
      </c>
      <c r="E2627" s="13" t="s">
        <v>81</v>
      </c>
      <c r="F2627" s="14" t="s">
        <v>79</v>
      </c>
      <c r="G2627" s="14" t="s">
        <v>400</v>
      </c>
      <c r="I2627" s="11">
        <f t="shared" si="137"/>
        <v>2</v>
      </c>
      <c r="J2627" s="16">
        <v>5262.11</v>
      </c>
      <c r="M2627" s="17">
        <f t="shared" ref="M2627:M2688" si="139">IF(B2627=0, "",M2626+ J2627-K2627)</f>
        <v>385128.16000000009</v>
      </c>
      <c r="N2627" s="11">
        <f t="shared" ref="N2627:N2688" si="140">IF(B2627=0, "", MONTH(B2627))</f>
        <v>12</v>
      </c>
    </row>
    <row r="2628" spans="1:14" x14ac:dyDescent="0.25">
      <c r="A2628" s="11" t="s">
        <v>207</v>
      </c>
      <c r="B2628" s="12">
        <v>45289</v>
      </c>
      <c r="C2628" s="11" t="s">
        <v>688</v>
      </c>
      <c r="D2628" s="11" t="s">
        <v>43</v>
      </c>
      <c r="E2628" s="13" t="s">
        <v>82</v>
      </c>
      <c r="F2628" s="14" t="s">
        <v>79</v>
      </c>
      <c r="G2628" s="14" t="s">
        <v>400</v>
      </c>
      <c r="I2628" s="11">
        <f t="shared" si="137"/>
        <v>2</v>
      </c>
      <c r="J2628" s="16">
        <v>458.52</v>
      </c>
      <c r="M2628" s="17">
        <f t="shared" si="139"/>
        <v>385586.68000000011</v>
      </c>
      <c r="N2628" s="11">
        <f t="shared" si="140"/>
        <v>12</v>
      </c>
    </row>
    <row r="2629" spans="1:14" x14ac:dyDescent="0.25">
      <c r="A2629" s="11" t="s">
        <v>207</v>
      </c>
      <c r="B2629" s="12">
        <v>45289</v>
      </c>
      <c r="C2629" s="11" t="s">
        <v>688</v>
      </c>
      <c r="D2629" s="11" t="s">
        <v>43</v>
      </c>
      <c r="E2629" s="13" t="s">
        <v>83</v>
      </c>
      <c r="F2629" s="14" t="s">
        <v>79</v>
      </c>
      <c r="G2629" s="14" t="s">
        <v>400</v>
      </c>
      <c r="I2629" s="11">
        <f t="shared" si="137"/>
        <v>2</v>
      </c>
      <c r="J2629" s="16">
        <v>435.44</v>
      </c>
      <c r="M2629" s="17">
        <f t="shared" si="139"/>
        <v>386022.12000000011</v>
      </c>
      <c r="N2629" s="11">
        <f t="shared" si="140"/>
        <v>12</v>
      </c>
    </row>
    <row r="2630" spans="1:14" x14ac:dyDescent="0.25">
      <c r="A2630" s="11" t="s">
        <v>207</v>
      </c>
      <c r="B2630" s="12">
        <v>45289</v>
      </c>
      <c r="C2630" s="11" t="s">
        <v>688</v>
      </c>
      <c r="D2630" s="11" t="s">
        <v>43</v>
      </c>
      <c r="E2630" s="13" t="s">
        <v>382</v>
      </c>
      <c r="F2630" s="14" t="s">
        <v>13</v>
      </c>
      <c r="G2630" s="14" t="s">
        <v>400</v>
      </c>
      <c r="I2630" s="11">
        <f t="shared" si="137"/>
        <v>2</v>
      </c>
      <c r="J2630" s="16">
        <v>3009.68</v>
      </c>
      <c r="M2630" s="17">
        <f t="shared" si="139"/>
        <v>389031.8000000001</v>
      </c>
      <c r="N2630" s="11">
        <f t="shared" si="140"/>
        <v>12</v>
      </c>
    </row>
    <row r="2631" spans="1:14" x14ac:dyDescent="0.25">
      <c r="A2631" s="11" t="s">
        <v>207</v>
      </c>
      <c r="B2631" s="12">
        <v>45289</v>
      </c>
      <c r="C2631" s="11" t="s">
        <v>688</v>
      </c>
      <c r="D2631" s="11" t="s">
        <v>43</v>
      </c>
      <c r="E2631" s="13" t="s">
        <v>382</v>
      </c>
      <c r="F2631" s="14" t="s">
        <v>13</v>
      </c>
      <c r="G2631" s="14" t="s">
        <v>400</v>
      </c>
      <c r="I2631" s="11">
        <f t="shared" si="137"/>
        <v>2</v>
      </c>
      <c r="J2631" s="16">
        <v>1494.56</v>
      </c>
      <c r="M2631" s="17">
        <f t="shared" si="139"/>
        <v>390526.3600000001</v>
      </c>
      <c r="N2631" s="11">
        <f t="shared" si="140"/>
        <v>12</v>
      </c>
    </row>
    <row r="2632" spans="1:14" x14ac:dyDescent="0.25">
      <c r="A2632" s="11" t="s">
        <v>207</v>
      </c>
      <c r="B2632" s="12">
        <v>45289</v>
      </c>
      <c r="C2632" s="11" t="s">
        <v>688</v>
      </c>
      <c r="D2632" s="11" t="s">
        <v>43</v>
      </c>
      <c r="E2632" s="13" t="s">
        <v>382</v>
      </c>
      <c r="F2632" s="14" t="s">
        <v>13</v>
      </c>
      <c r="G2632" s="14" t="s">
        <v>400</v>
      </c>
      <c r="I2632" s="11">
        <f t="shared" si="137"/>
        <v>2</v>
      </c>
      <c r="J2632" s="16">
        <v>793.49</v>
      </c>
      <c r="M2632" s="17">
        <f t="shared" si="139"/>
        <v>391319.85000000009</v>
      </c>
      <c r="N2632" s="11">
        <f t="shared" si="140"/>
        <v>12</v>
      </c>
    </row>
    <row r="2633" spans="1:14" x14ac:dyDescent="0.25">
      <c r="A2633" s="11" t="s">
        <v>207</v>
      </c>
      <c r="B2633" s="12">
        <v>45289</v>
      </c>
      <c r="C2633" s="11" t="s">
        <v>688</v>
      </c>
      <c r="D2633" s="11" t="s">
        <v>43</v>
      </c>
      <c r="E2633" s="13" t="s">
        <v>382</v>
      </c>
      <c r="F2633" s="14" t="s">
        <v>13</v>
      </c>
      <c r="G2633" s="14" t="s">
        <v>400</v>
      </c>
      <c r="I2633" s="11">
        <f t="shared" si="137"/>
        <v>2</v>
      </c>
      <c r="J2633" s="16">
        <v>340.39</v>
      </c>
      <c r="M2633" s="17">
        <f t="shared" si="139"/>
        <v>391660.24000000011</v>
      </c>
      <c r="N2633" s="11">
        <f t="shared" si="140"/>
        <v>12</v>
      </c>
    </row>
    <row r="2634" spans="1:14" x14ac:dyDescent="0.25">
      <c r="A2634" s="11" t="s">
        <v>207</v>
      </c>
      <c r="B2634" s="12">
        <v>45289</v>
      </c>
      <c r="C2634" s="11" t="s">
        <v>688</v>
      </c>
      <c r="D2634" s="11" t="s">
        <v>47</v>
      </c>
      <c r="E2634" s="13" t="s">
        <v>678</v>
      </c>
      <c r="F2634" s="14" t="s">
        <v>679</v>
      </c>
      <c r="G2634" s="14" t="s">
        <v>400</v>
      </c>
      <c r="I2634" s="11">
        <f t="shared" si="137"/>
        <v>2</v>
      </c>
      <c r="J2634" s="16">
        <v>1450</v>
      </c>
      <c r="M2634" s="17">
        <f t="shared" si="139"/>
        <v>393110.24000000011</v>
      </c>
      <c r="N2634" s="11">
        <f t="shared" si="140"/>
        <v>12</v>
      </c>
    </row>
    <row r="2635" spans="1:14" x14ac:dyDescent="0.25">
      <c r="A2635" s="11" t="s">
        <v>0</v>
      </c>
      <c r="B2635" s="12">
        <v>45289</v>
      </c>
      <c r="C2635" s="11" t="s">
        <v>688</v>
      </c>
      <c r="D2635" s="11" t="s">
        <v>694</v>
      </c>
      <c r="E2635" s="13" t="s">
        <v>182</v>
      </c>
      <c r="F2635" s="14" t="s">
        <v>365</v>
      </c>
      <c r="G2635" s="14" t="s">
        <v>402</v>
      </c>
      <c r="I2635" s="11">
        <f t="shared" si="137"/>
        <v>5</v>
      </c>
      <c r="K2635" s="16">
        <v>7.83</v>
      </c>
      <c r="M2635" s="17">
        <f t="shared" si="139"/>
        <v>393102.41000000009</v>
      </c>
      <c r="N2635" s="11">
        <f t="shared" si="140"/>
        <v>12</v>
      </c>
    </row>
    <row r="2636" spans="1:14" x14ac:dyDescent="0.25">
      <c r="A2636" s="11" t="s">
        <v>207</v>
      </c>
      <c r="B2636" s="12">
        <v>45289</v>
      </c>
      <c r="C2636" s="11" t="s">
        <v>688</v>
      </c>
      <c r="D2636" s="11" t="s">
        <v>43</v>
      </c>
      <c r="E2636" s="13">
        <v>45289</v>
      </c>
      <c r="F2636" s="14" t="s">
        <v>671</v>
      </c>
      <c r="G2636" s="14" t="s">
        <v>400</v>
      </c>
      <c r="I2636" s="11">
        <f t="shared" si="137"/>
        <v>2</v>
      </c>
      <c r="J2636" s="16">
        <v>1142.3</v>
      </c>
      <c r="M2636" s="17">
        <f t="shared" si="139"/>
        <v>394244.71000000008</v>
      </c>
      <c r="N2636" s="11">
        <f t="shared" si="140"/>
        <v>12</v>
      </c>
    </row>
    <row r="2637" spans="1:14" x14ac:dyDescent="0.25">
      <c r="A2637" s="11" t="s">
        <v>207</v>
      </c>
      <c r="B2637" s="12">
        <v>45290</v>
      </c>
      <c r="C2637" s="11" t="s">
        <v>688</v>
      </c>
      <c r="D2637" s="11" t="s">
        <v>43</v>
      </c>
      <c r="E2637" s="14" t="s">
        <v>429</v>
      </c>
      <c r="F2637" s="14" t="s">
        <v>429</v>
      </c>
      <c r="G2637" s="14" t="s">
        <v>428</v>
      </c>
      <c r="I2637" s="11">
        <f t="shared" si="137"/>
        <v>1</v>
      </c>
      <c r="J2637" s="16">
        <v>903.2</v>
      </c>
      <c r="M2637" s="17">
        <f t="shared" si="139"/>
        <v>395147.91000000009</v>
      </c>
      <c r="N2637" s="11">
        <f t="shared" si="140"/>
        <v>12</v>
      </c>
    </row>
    <row r="2638" spans="1:14" x14ac:dyDescent="0.25">
      <c r="A2638" s="11" t="s">
        <v>207</v>
      </c>
      <c r="B2638" s="12">
        <v>45291</v>
      </c>
      <c r="C2638" s="11" t="s">
        <v>688</v>
      </c>
      <c r="D2638" s="11" t="s">
        <v>43</v>
      </c>
      <c r="E2638" s="14" t="s">
        <v>429</v>
      </c>
      <c r="F2638" s="14" t="s">
        <v>429</v>
      </c>
      <c r="G2638" s="14" t="s">
        <v>428</v>
      </c>
      <c r="I2638" s="11">
        <f t="shared" si="137"/>
        <v>1</v>
      </c>
      <c r="J2638" s="16">
        <v>1273.5</v>
      </c>
      <c r="M2638" s="17">
        <f t="shared" si="139"/>
        <v>396421.41000000009</v>
      </c>
      <c r="N2638" s="11">
        <f t="shared" si="140"/>
        <v>12</v>
      </c>
    </row>
    <row r="2639" spans="1:14" x14ac:dyDescent="0.25">
      <c r="A2639" s="11" t="s">
        <v>0</v>
      </c>
      <c r="B2639" s="12">
        <v>45289</v>
      </c>
      <c r="C2639" s="11" t="s">
        <v>688</v>
      </c>
      <c r="D2639" s="11" t="s">
        <v>692</v>
      </c>
      <c r="E2639" s="13" t="s">
        <v>724</v>
      </c>
      <c r="F2639" s="14" t="s">
        <v>119</v>
      </c>
      <c r="G2639" s="14" t="s">
        <v>404</v>
      </c>
      <c r="H2639" s="15">
        <v>1305384</v>
      </c>
      <c r="I2639" s="11">
        <f t="shared" si="137"/>
        <v>5</v>
      </c>
      <c r="K2639" s="16">
        <v>3178.63</v>
      </c>
      <c r="M2639" s="17">
        <f t="shared" si="139"/>
        <v>393242.78000000009</v>
      </c>
      <c r="N2639" s="11">
        <f t="shared" si="140"/>
        <v>12</v>
      </c>
    </row>
    <row r="2640" spans="1:14" x14ac:dyDescent="0.25">
      <c r="A2640" s="11" t="s">
        <v>0</v>
      </c>
      <c r="B2640" s="12">
        <v>45289</v>
      </c>
      <c r="C2640" s="11" t="s">
        <v>688</v>
      </c>
      <c r="D2640" s="11" t="s">
        <v>47</v>
      </c>
      <c r="E2640" s="13" t="s">
        <v>387</v>
      </c>
      <c r="F2640" s="14" t="s">
        <v>474</v>
      </c>
      <c r="G2640" s="14" t="s">
        <v>404</v>
      </c>
      <c r="H2640" s="15">
        <v>10</v>
      </c>
      <c r="I2640" s="11">
        <f t="shared" si="137"/>
        <v>5</v>
      </c>
      <c r="K2640" s="16">
        <v>300</v>
      </c>
      <c r="M2640" s="17">
        <f t="shared" si="139"/>
        <v>392942.78000000009</v>
      </c>
      <c r="N2640" s="11">
        <f t="shared" si="140"/>
        <v>12</v>
      </c>
    </row>
    <row r="2641" spans="1:14" x14ac:dyDescent="0.25">
      <c r="A2641" s="11" t="s">
        <v>0</v>
      </c>
      <c r="B2641" s="12">
        <v>45289</v>
      </c>
      <c r="C2641" s="11" t="s">
        <v>688</v>
      </c>
      <c r="D2641" s="11" t="s">
        <v>692</v>
      </c>
      <c r="E2641" s="13" t="s">
        <v>492</v>
      </c>
      <c r="F2641" s="14" t="s">
        <v>111</v>
      </c>
      <c r="G2641" s="14" t="s">
        <v>404</v>
      </c>
      <c r="H2641" s="15" t="s">
        <v>437</v>
      </c>
      <c r="I2641" s="11">
        <f t="shared" si="137"/>
        <v>5</v>
      </c>
      <c r="K2641" s="16">
        <v>3686</v>
      </c>
      <c r="M2641" s="17">
        <f t="shared" si="139"/>
        <v>389256.78000000009</v>
      </c>
      <c r="N2641" s="11">
        <f t="shared" si="140"/>
        <v>12</v>
      </c>
    </row>
    <row r="2642" spans="1:14" x14ac:dyDescent="0.25">
      <c r="A2642" s="11" t="s">
        <v>0</v>
      </c>
      <c r="B2642" s="12">
        <v>45289</v>
      </c>
      <c r="C2642" s="11" t="s">
        <v>688</v>
      </c>
      <c r="D2642" s="11" t="s">
        <v>692</v>
      </c>
      <c r="E2642" s="13" t="s">
        <v>108</v>
      </c>
      <c r="F2642" s="14" t="s">
        <v>107</v>
      </c>
      <c r="G2642" s="14" t="s">
        <v>404</v>
      </c>
      <c r="H2642" s="15" t="s">
        <v>102</v>
      </c>
      <c r="I2642" s="11">
        <f t="shared" si="137"/>
        <v>5</v>
      </c>
      <c r="K2642" s="16">
        <v>1800</v>
      </c>
      <c r="M2642" s="17">
        <f t="shared" si="139"/>
        <v>387456.78000000009</v>
      </c>
      <c r="N2642" s="11">
        <f t="shared" si="140"/>
        <v>12</v>
      </c>
    </row>
    <row r="2643" spans="1:14" x14ac:dyDescent="0.25">
      <c r="A2643" s="11" t="s">
        <v>0</v>
      </c>
      <c r="B2643" s="12">
        <v>45289</v>
      </c>
      <c r="C2643" s="11" t="s">
        <v>688</v>
      </c>
      <c r="D2643" s="11" t="s">
        <v>692</v>
      </c>
      <c r="E2643" s="13" t="s">
        <v>108</v>
      </c>
      <c r="F2643" s="14" t="s">
        <v>107</v>
      </c>
      <c r="G2643" s="14" t="s">
        <v>404</v>
      </c>
      <c r="H2643" s="15">
        <v>15</v>
      </c>
      <c r="I2643" s="11">
        <f t="shared" si="137"/>
        <v>5</v>
      </c>
      <c r="K2643" s="16">
        <v>150</v>
      </c>
      <c r="M2643" s="17">
        <f t="shared" si="139"/>
        <v>387306.78000000009</v>
      </c>
      <c r="N2643" s="11">
        <f t="shared" si="140"/>
        <v>12</v>
      </c>
    </row>
    <row r="2644" spans="1:14" x14ac:dyDescent="0.25">
      <c r="A2644" s="11" t="s">
        <v>0</v>
      </c>
      <c r="B2644" s="12">
        <v>45289</v>
      </c>
      <c r="C2644" s="11" t="s">
        <v>690</v>
      </c>
      <c r="D2644" s="11" t="s">
        <v>700</v>
      </c>
      <c r="E2644" s="13" t="s">
        <v>681</v>
      </c>
      <c r="F2644" s="14" t="s">
        <v>680</v>
      </c>
      <c r="G2644" s="14" t="s">
        <v>404</v>
      </c>
      <c r="H2644" s="15" t="s">
        <v>437</v>
      </c>
      <c r="I2644" s="11">
        <f t="shared" si="137"/>
        <v>5</v>
      </c>
      <c r="K2644" s="16">
        <v>3018.6</v>
      </c>
      <c r="M2644" s="17">
        <f t="shared" si="139"/>
        <v>384288.18000000011</v>
      </c>
      <c r="N2644" s="11">
        <f t="shared" si="140"/>
        <v>12</v>
      </c>
    </row>
    <row r="2645" spans="1:14" x14ac:dyDescent="0.25">
      <c r="A2645" s="11" t="s">
        <v>0</v>
      </c>
      <c r="B2645" s="12">
        <v>45289</v>
      </c>
      <c r="C2645" s="11" t="s">
        <v>688</v>
      </c>
      <c r="D2645" s="11" t="s">
        <v>692</v>
      </c>
      <c r="E2645" s="13" t="s">
        <v>267</v>
      </c>
      <c r="F2645" s="14" t="s">
        <v>301</v>
      </c>
      <c r="G2645" s="14" t="s">
        <v>404</v>
      </c>
      <c r="H2645" s="15" t="s">
        <v>437</v>
      </c>
      <c r="I2645" s="11">
        <f t="shared" si="137"/>
        <v>5</v>
      </c>
      <c r="K2645" s="16">
        <v>590.4</v>
      </c>
      <c r="M2645" s="17">
        <f t="shared" si="139"/>
        <v>383697.78000000009</v>
      </c>
      <c r="N2645" s="11">
        <f t="shared" si="140"/>
        <v>12</v>
      </c>
    </row>
    <row r="2646" spans="1:14" x14ac:dyDescent="0.25">
      <c r="A2646" s="11" t="s">
        <v>0</v>
      </c>
      <c r="B2646" s="12">
        <v>45289</v>
      </c>
      <c r="C2646" s="11" t="s">
        <v>688</v>
      </c>
      <c r="D2646" s="11" t="s">
        <v>692</v>
      </c>
      <c r="E2646" s="13" t="s">
        <v>143</v>
      </c>
      <c r="F2646" s="14" t="s">
        <v>90</v>
      </c>
      <c r="G2646" s="14" t="s">
        <v>404</v>
      </c>
      <c r="H2646" s="15">
        <v>28</v>
      </c>
      <c r="I2646" s="11">
        <f t="shared" si="137"/>
        <v>5</v>
      </c>
      <c r="K2646" s="16">
        <v>1350</v>
      </c>
      <c r="M2646" s="17">
        <f t="shared" si="139"/>
        <v>382347.78000000009</v>
      </c>
      <c r="N2646" s="11">
        <f t="shared" si="140"/>
        <v>12</v>
      </c>
    </row>
    <row r="2647" spans="1:14" x14ac:dyDescent="0.25">
      <c r="A2647" s="11" t="s">
        <v>0</v>
      </c>
      <c r="B2647" s="12">
        <v>45289</v>
      </c>
      <c r="C2647" s="11" t="s">
        <v>688</v>
      </c>
      <c r="D2647" s="11" t="s">
        <v>692</v>
      </c>
      <c r="E2647" s="13" t="s">
        <v>725</v>
      </c>
      <c r="F2647" s="14" t="s">
        <v>27</v>
      </c>
      <c r="G2647" s="14" t="s">
        <v>404</v>
      </c>
      <c r="H2647" s="15" t="s">
        <v>437</v>
      </c>
      <c r="I2647" s="11">
        <f t="shared" si="137"/>
        <v>5</v>
      </c>
      <c r="K2647" s="16">
        <v>4087.79</v>
      </c>
      <c r="M2647" s="17">
        <f t="shared" si="139"/>
        <v>378259.99000000011</v>
      </c>
      <c r="N2647" s="11">
        <f t="shared" si="140"/>
        <v>12</v>
      </c>
    </row>
    <row r="2648" spans="1:14" x14ac:dyDescent="0.25">
      <c r="A2648" s="11" t="s">
        <v>0</v>
      </c>
      <c r="B2648" s="12">
        <v>45289</v>
      </c>
      <c r="C2648" s="11" t="s">
        <v>688</v>
      </c>
      <c r="D2648" s="11" t="s">
        <v>692</v>
      </c>
      <c r="E2648" s="13" t="s">
        <v>143</v>
      </c>
      <c r="F2648" s="14" t="s">
        <v>35</v>
      </c>
      <c r="G2648" s="14" t="s">
        <v>404</v>
      </c>
      <c r="H2648" s="15" t="s">
        <v>437</v>
      </c>
      <c r="I2648" s="11">
        <f t="shared" si="137"/>
        <v>5</v>
      </c>
      <c r="K2648" s="16">
        <v>99.81</v>
      </c>
      <c r="M2648" s="17">
        <f t="shared" si="139"/>
        <v>378160.18000000011</v>
      </c>
      <c r="N2648" s="11">
        <f t="shared" si="140"/>
        <v>12</v>
      </c>
    </row>
    <row r="2649" spans="1:14" x14ac:dyDescent="0.25">
      <c r="A2649" s="11" t="s">
        <v>0</v>
      </c>
      <c r="B2649" s="12">
        <v>45290</v>
      </c>
      <c r="C2649" s="11" t="s">
        <v>688</v>
      </c>
      <c r="D2649" s="11" t="s">
        <v>701</v>
      </c>
      <c r="E2649" s="13" t="s">
        <v>180</v>
      </c>
      <c r="F2649" s="14" t="s">
        <v>37</v>
      </c>
      <c r="G2649" s="14" t="s">
        <v>407</v>
      </c>
      <c r="H2649" s="15" t="s">
        <v>426</v>
      </c>
      <c r="I2649" s="11">
        <f t="shared" si="137"/>
        <v>4</v>
      </c>
      <c r="J2649" s="233"/>
      <c r="K2649" s="233">
        <v>195.3</v>
      </c>
      <c r="M2649" s="17">
        <f t="shared" si="139"/>
        <v>377964.88000000012</v>
      </c>
      <c r="N2649" s="11">
        <f t="shared" si="140"/>
        <v>12</v>
      </c>
    </row>
    <row r="2650" spans="1:14" x14ac:dyDescent="0.25">
      <c r="A2650" s="11" t="s">
        <v>207</v>
      </c>
      <c r="B2650" s="12">
        <v>45290</v>
      </c>
      <c r="C2650" s="11" t="s">
        <v>688</v>
      </c>
      <c r="D2650" s="11" t="s">
        <v>43</v>
      </c>
      <c r="E2650" s="13" t="s">
        <v>766</v>
      </c>
      <c r="F2650" s="14" t="s">
        <v>766</v>
      </c>
      <c r="G2650" s="14" t="s">
        <v>428</v>
      </c>
      <c r="J2650" s="16">
        <v>503.2</v>
      </c>
      <c r="M2650" s="17" t="e">
        <f>IF(B2650=0, "",#REF!+ J2650-K2650)</f>
        <v>#REF!</v>
      </c>
      <c r="N2650" s="11">
        <f t="shared" si="140"/>
        <v>12</v>
      </c>
    </row>
    <row r="2651" spans="1:14" x14ac:dyDescent="0.25">
      <c r="A2651" s="11" t="s">
        <v>207</v>
      </c>
      <c r="B2651" s="12">
        <v>45290</v>
      </c>
      <c r="C2651" s="11" t="s">
        <v>662</v>
      </c>
      <c r="D2651" s="11" t="s">
        <v>43</v>
      </c>
      <c r="E2651" s="13" t="s">
        <v>766</v>
      </c>
      <c r="F2651" s="14" t="s">
        <v>766</v>
      </c>
      <c r="G2651" s="14" t="s">
        <v>428</v>
      </c>
      <c r="J2651" s="16">
        <v>400</v>
      </c>
      <c r="M2651" s="17" t="e">
        <f t="shared" si="139"/>
        <v>#REF!</v>
      </c>
      <c r="N2651" s="11">
        <f t="shared" si="140"/>
        <v>12</v>
      </c>
    </row>
    <row r="2652" spans="1:14" x14ac:dyDescent="0.25">
      <c r="A2652" s="11" t="s">
        <v>207</v>
      </c>
      <c r="B2652" s="12">
        <v>45290</v>
      </c>
      <c r="C2652" s="11" t="s">
        <v>688</v>
      </c>
      <c r="D2652" s="11" t="s">
        <v>43</v>
      </c>
      <c r="E2652" s="13" t="s">
        <v>288</v>
      </c>
      <c r="F2652" s="13" t="s">
        <v>288</v>
      </c>
      <c r="G2652" s="14" t="s">
        <v>173</v>
      </c>
      <c r="J2652" s="16">
        <v>4.4000000000000004</v>
      </c>
      <c r="M2652" s="17" t="e">
        <f t="shared" si="139"/>
        <v>#REF!</v>
      </c>
      <c r="N2652" s="11">
        <f t="shared" si="140"/>
        <v>12</v>
      </c>
    </row>
    <row r="2653" spans="1:14" x14ac:dyDescent="0.25">
      <c r="A2653" s="11" t="s">
        <v>0</v>
      </c>
      <c r="B2653" s="12">
        <v>45290</v>
      </c>
      <c r="C2653" s="11" t="s">
        <v>688</v>
      </c>
      <c r="D2653" s="11" t="s">
        <v>692</v>
      </c>
      <c r="E2653" s="13" t="s">
        <v>719</v>
      </c>
      <c r="F2653" s="14" t="s">
        <v>58</v>
      </c>
      <c r="G2653" s="14" t="s">
        <v>404</v>
      </c>
      <c r="H2653" s="15" t="s">
        <v>437</v>
      </c>
      <c r="I2653" s="11">
        <f t="shared" ref="I2653:I2716" si="141">IF(AND(G2653="MERCADO PAGO",A2653="FATURAMENTO"),1,IF(AND(OR(G2653="MERCADO PAGO",G2653="pix mercado pago",G2653= "débito automático mercado pago", G2653= "boleto mercado pago"),A2653="DESPESAS"),4,IF(AND(G2653="SAFRA",A2653="FATURAMENTO"),2,IF(AND(OR(G2653="SAFRA",G2653="PIX SAFRA", G2653="DÉBITO AUTOMÁTICO SAFRA", G2653= "BOLETO SAFRA", G2653= "transferência safra"), A2653="DESPESAS"),5,IF(AND(G2653="espécie",A2653="FATURAMENTO"),3,IF(AND(G2653="espécie",A2653="DESPESAS"),6))))))</f>
        <v>5</v>
      </c>
      <c r="K2653" s="16">
        <v>687</v>
      </c>
      <c r="M2653" s="17" t="e">
        <f t="shared" si="139"/>
        <v>#REF!</v>
      </c>
      <c r="N2653" s="11">
        <f t="shared" si="140"/>
        <v>12</v>
      </c>
    </row>
    <row r="2654" spans="1:14" x14ac:dyDescent="0.25">
      <c r="A2654" s="11" t="s">
        <v>0</v>
      </c>
      <c r="B2654" s="12">
        <v>45290</v>
      </c>
      <c r="C2654" s="11" t="s">
        <v>688</v>
      </c>
      <c r="D2654" s="11" t="s">
        <v>692</v>
      </c>
      <c r="E2654" s="13" t="s">
        <v>725</v>
      </c>
      <c r="F2654" s="14" t="s">
        <v>27</v>
      </c>
      <c r="G2654" s="14" t="s">
        <v>404</v>
      </c>
      <c r="H2654" s="15" t="s">
        <v>437</v>
      </c>
      <c r="I2654" s="11">
        <f t="shared" si="141"/>
        <v>5</v>
      </c>
      <c r="K2654" s="16">
        <v>799.22</v>
      </c>
      <c r="M2654" s="17" t="e">
        <f t="shared" si="139"/>
        <v>#REF!</v>
      </c>
      <c r="N2654" s="11">
        <f t="shared" si="140"/>
        <v>12</v>
      </c>
    </row>
    <row r="2655" spans="1:14" x14ac:dyDescent="0.25">
      <c r="A2655" s="11" t="s">
        <v>0</v>
      </c>
      <c r="B2655" s="12">
        <v>45291</v>
      </c>
      <c r="C2655" s="11" t="s">
        <v>688</v>
      </c>
      <c r="D2655" s="11" t="s">
        <v>47</v>
      </c>
      <c r="E2655" s="13" t="s">
        <v>834</v>
      </c>
      <c r="F2655" s="14" t="s">
        <v>835</v>
      </c>
      <c r="G2655" s="14" t="s">
        <v>407</v>
      </c>
      <c r="H2655" s="15" t="s">
        <v>426</v>
      </c>
      <c r="J2655" s="233"/>
      <c r="K2655" s="233">
        <v>900</v>
      </c>
      <c r="M2655" s="17" t="e">
        <f t="shared" si="139"/>
        <v>#REF!</v>
      </c>
      <c r="N2655" s="11">
        <f t="shared" si="140"/>
        <v>12</v>
      </c>
    </row>
    <row r="2656" spans="1:14" x14ac:dyDescent="0.25">
      <c r="A2656" s="11" t="s">
        <v>207</v>
      </c>
      <c r="B2656" s="12">
        <v>45291</v>
      </c>
      <c r="C2656" s="11" t="s">
        <v>688</v>
      </c>
      <c r="D2656" s="11" t="s">
        <v>43</v>
      </c>
      <c r="E2656" s="13" t="s">
        <v>766</v>
      </c>
      <c r="F2656" s="14" t="s">
        <v>766</v>
      </c>
      <c r="G2656" s="14" t="s">
        <v>428</v>
      </c>
      <c r="I2656" s="11">
        <f t="shared" si="141"/>
        <v>1</v>
      </c>
      <c r="J2656" s="16">
        <v>1273.5</v>
      </c>
      <c r="M2656" s="17" t="e">
        <f>IF(B2656=0, "",#REF!+ J2656-K2656)</f>
        <v>#REF!</v>
      </c>
      <c r="N2656" s="11">
        <f t="shared" si="140"/>
        <v>12</v>
      </c>
    </row>
    <row r="2657" spans="1:14" x14ac:dyDescent="0.25">
      <c r="A2657" s="11" t="s">
        <v>207</v>
      </c>
      <c r="B2657" s="12">
        <v>45291</v>
      </c>
      <c r="C2657" s="11" t="s">
        <v>688</v>
      </c>
      <c r="D2657" s="11" t="s">
        <v>43</v>
      </c>
      <c r="E2657" s="13" t="s">
        <v>288</v>
      </c>
      <c r="F2657" s="14" t="s">
        <v>288</v>
      </c>
      <c r="G2657" s="14" t="s">
        <v>173</v>
      </c>
      <c r="I2657" s="11">
        <f t="shared" si="141"/>
        <v>3</v>
      </c>
      <c r="J2657" s="16">
        <v>7</v>
      </c>
      <c r="M2657" s="17" t="e">
        <f t="shared" si="139"/>
        <v>#REF!</v>
      </c>
      <c r="N2657" s="11">
        <f t="shared" si="140"/>
        <v>12</v>
      </c>
    </row>
    <row r="2658" spans="1:14" x14ac:dyDescent="0.25">
      <c r="A2658" s="11" t="s">
        <v>0</v>
      </c>
      <c r="B2658" s="12">
        <v>45291</v>
      </c>
      <c r="C2658" s="11" t="s">
        <v>688</v>
      </c>
      <c r="D2658" s="11" t="s">
        <v>699</v>
      </c>
      <c r="E2658" s="13" t="s">
        <v>98</v>
      </c>
      <c r="F2658" s="14" t="s">
        <v>576</v>
      </c>
      <c r="G2658" s="14" t="s">
        <v>404</v>
      </c>
      <c r="H2658" s="15">
        <v>132</v>
      </c>
      <c r="I2658" s="11">
        <f t="shared" si="141"/>
        <v>5</v>
      </c>
      <c r="K2658" s="16">
        <v>280.72000000000003</v>
      </c>
      <c r="M2658" s="17" t="e">
        <f t="shared" si="139"/>
        <v>#REF!</v>
      </c>
      <c r="N2658" s="11">
        <f t="shared" si="140"/>
        <v>12</v>
      </c>
    </row>
    <row r="2659" spans="1:14" x14ac:dyDescent="0.25">
      <c r="A2659" s="11" t="s">
        <v>0</v>
      </c>
      <c r="B2659" s="12">
        <v>45291</v>
      </c>
      <c r="C2659" s="11" t="s">
        <v>688</v>
      </c>
      <c r="D2659" s="11" t="s">
        <v>692</v>
      </c>
      <c r="E2659" s="13" t="s">
        <v>730</v>
      </c>
      <c r="F2659" s="14" t="s">
        <v>767</v>
      </c>
      <c r="G2659" s="14" t="s">
        <v>404</v>
      </c>
      <c r="H2659" s="15" t="s">
        <v>437</v>
      </c>
      <c r="I2659" s="11">
        <f t="shared" si="141"/>
        <v>5</v>
      </c>
      <c r="K2659" s="16">
        <v>888.46</v>
      </c>
      <c r="M2659" s="17" t="e">
        <f t="shared" si="139"/>
        <v>#REF!</v>
      </c>
      <c r="N2659" s="11">
        <f t="shared" si="140"/>
        <v>12</v>
      </c>
    </row>
    <row r="2660" spans="1:14" x14ac:dyDescent="0.25">
      <c r="A2660" s="11" t="s">
        <v>0</v>
      </c>
      <c r="B2660" s="12">
        <v>45291</v>
      </c>
      <c r="C2660" s="11" t="s">
        <v>688</v>
      </c>
      <c r="D2660" s="11" t="s">
        <v>692</v>
      </c>
      <c r="E2660" s="13" t="s">
        <v>143</v>
      </c>
      <c r="F2660" s="14" t="s">
        <v>511</v>
      </c>
      <c r="G2660" s="14" t="s">
        <v>403</v>
      </c>
      <c r="H2660" s="15">
        <v>2935803</v>
      </c>
      <c r="I2660" s="11">
        <f t="shared" si="141"/>
        <v>5</v>
      </c>
      <c r="K2660" s="16">
        <v>1448.71</v>
      </c>
      <c r="M2660" s="17" t="e">
        <f t="shared" si="139"/>
        <v>#REF!</v>
      </c>
      <c r="N2660" s="11">
        <f t="shared" si="140"/>
        <v>12</v>
      </c>
    </row>
    <row r="2661" spans="1:14" x14ac:dyDescent="0.25">
      <c r="A2661" s="11" t="s">
        <v>0</v>
      </c>
      <c r="B2661" s="12">
        <v>45291</v>
      </c>
      <c r="C2661" s="11" t="s">
        <v>688</v>
      </c>
      <c r="D2661" s="11" t="s">
        <v>692</v>
      </c>
      <c r="E2661" s="13" t="s">
        <v>726</v>
      </c>
      <c r="F2661" s="14" t="s">
        <v>91</v>
      </c>
      <c r="G2661" s="14" t="s">
        <v>403</v>
      </c>
      <c r="H2661" s="15">
        <v>405760</v>
      </c>
      <c r="I2661" s="11">
        <f t="shared" si="141"/>
        <v>5</v>
      </c>
      <c r="K2661" s="16">
        <v>5951.47</v>
      </c>
      <c r="M2661" s="17" t="e">
        <f t="shared" si="139"/>
        <v>#REF!</v>
      </c>
      <c r="N2661" s="11">
        <f t="shared" si="140"/>
        <v>12</v>
      </c>
    </row>
    <row r="2662" spans="1:14" x14ac:dyDescent="0.25">
      <c r="A2662" s="11" t="s">
        <v>0</v>
      </c>
      <c r="B2662" s="12">
        <v>45291</v>
      </c>
      <c r="C2662" s="11" t="s">
        <v>688</v>
      </c>
      <c r="D2662" s="11" t="s">
        <v>692</v>
      </c>
      <c r="E2662" s="13" t="s">
        <v>467</v>
      </c>
      <c r="F2662" s="14" t="s">
        <v>768</v>
      </c>
      <c r="G2662" s="14" t="s">
        <v>403</v>
      </c>
      <c r="H2662" s="15">
        <v>26316</v>
      </c>
      <c r="I2662" s="11">
        <f t="shared" si="141"/>
        <v>5</v>
      </c>
      <c r="K2662" s="16">
        <v>723.77</v>
      </c>
      <c r="M2662" s="17" t="e">
        <f t="shared" si="139"/>
        <v>#REF!</v>
      </c>
      <c r="N2662" s="11">
        <f t="shared" si="140"/>
        <v>12</v>
      </c>
    </row>
    <row r="2663" spans="1:14" x14ac:dyDescent="0.25">
      <c r="A2663" s="11" t="s">
        <v>0</v>
      </c>
      <c r="B2663" s="12">
        <v>45291</v>
      </c>
      <c r="C2663" s="11" t="s">
        <v>688</v>
      </c>
      <c r="D2663" s="11" t="s">
        <v>692</v>
      </c>
      <c r="E2663" s="13" t="s">
        <v>467</v>
      </c>
      <c r="F2663" s="14" t="s">
        <v>769</v>
      </c>
      <c r="G2663" s="14" t="s">
        <v>403</v>
      </c>
      <c r="H2663" s="15">
        <v>27410</v>
      </c>
      <c r="I2663" s="11">
        <f t="shared" si="141"/>
        <v>5</v>
      </c>
      <c r="K2663" s="16">
        <v>612.05999999999995</v>
      </c>
      <c r="M2663" s="17" t="e">
        <f t="shared" si="139"/>
        <v>#REF!</v>
      </c>
      <c r="N2663" s="11">
        <f t="shared" si="140"/>
        <v>12</v>
      </c>
    </row>
    <row r="2664" spans="1:14" x14ac:dyDescent="0.25">
      <c r="A2664" s="11" t="s">
        <v>0</v>
      </c>
      <c r="B2664" s="12">
        <v>45291</v>
      </c>
      <c r="C2664" s="11" t="s">
        <v>688</v>
      </c>
      <c r="D2664" s="11" t="s">
        <v>699</v>
      </c>
      <c r="E2664" s="13" t="s">
        <v>98</v>
      </c>
      <c r="F2664" s="14" t="s">
        <v>576</v>
      </c>
      <c r="G2664" s="14" t="s">
        <v>404</v>
      </c>
      <c r="H2664" s="15">
        <v>132</v>
      </c>
      <c r="I2664" s="11">
        <f t="shared" si="141"/>
        <v>5</v>
      </c>
      <c r="K2664" s="16">
        <v>107.09</v>
      </c>
      <c r="M2664" s="17" t="e">
        <f t="shared" si="139"/>
        <v>#REF!</v>
      </c>
      <c r="N2664" s="11">
        <f t="shared" si="140"/>
        <v>12</v>
      </c>
    </row>
    <row r="2665" spans="1:14" x14ac:dyDescent="0.25">
      <c r="A2665" s="11" t="s">
        <v>0</v>
      </c>
      <c r="B2665" s="12">
        <v>45291</v>
      </c>
      <c r="C2665" s="11" t="s">
        <v>688</v>
      </c>
      <c r="D2665" s="11" t="s">
        <v>699</v>
      </c>
      <c r="E2665" s="13" t="s">
        <v>98</v>
      </c>
      <c r="F2665" s="14" t="s">
        <v>576</v>
      </c>
      <c r="G2665" s="14" t="s">
        <v>404</v>
      </c>
      <c r="H2665" s="15">
        <v>132</v>
      </c>
      <c r="I2665" s="11">
        <f t="shared" si="141"/>
        <v>5</v>
      </c>
      <c r="K2665" s="16">
        <v>108.01</v>
      </c>
      <c r="M2665" s="17" t="e">
        <f t="shared" si="139"/>
        <v>#REF!</v>
      </c>
      <c r="N2665" s="11">
        <f t="shared" si="140"/>
        <v>12</v>
      </c>
    </row>
    <row r="2666" spans="1:14" x14ac:dyDescent="0.25">
      <c r="A2666" s="11" t="s">
        <v>0</v>
      </c>
      <c r="B2666" s="12">
        <v>45291</v>
      </c>
      <c r="C2666" s="11" t="s">
        <v>688</v>
      </c>
      <c r="D2666" s="11" t="s">
        <v>692</v>
      </c>
      <c r="E2666" s="13" t="s">
        <v>725</v>
      </c>
      <c r="F2666" s="14" t="s">
        <v>27</v>
      </c>
      <c r="G2666" s="14" t="s">
        <v>404</v>
      </c>
      <c r="H2666" s="15" t="s">
        <v>437</v>
      </c>
      <c r="I2666" s="11">
        <f t="shared" si="141"/>
        <v>5</v>
      </c>
      <c r="K2666" s="16">
        <v>469.11</v>
      </c>
      <c r="M2666" s="17" t="e">
        <f t="shared" si="139"/>
        <v>#REF!</v>
      </c>
      <c r="N2666" s="11">
        <f t="shared" si="140"/>
        <v>12</v>
      </c>
    </row>
    <row r="2667" spans="1:14" x14ac:dyDescent="0.25">
      <c r="A2667" s="11" t="s">
        <v>0</v>
      </c>
      <c r="B2667" s="12">
        <v>45291</v>
      </c>
      <c r="C2667" s="11" t="s">
        <v>688</v>
      </c>
      <c r="D2667" s="11" t="s">
        <v>699</v>
      </c>
      <c r="E2667" s="13" t="s">
        <v>98</v>
      </c>
      <c r="F2667" s="14" t="s">
        <v>576</v>
      </c>
      <c r="G2667" s="14" t="s">
        <v>404</v>
      </c>
      <c r="H2667" s="15">
        <v>132</v>
      </c>
      <c r="I2667" s="11">
        <f t="shared" si="141"/>
        <v>5</v>
      </c>
      <c r="K2667" s="16">
        <v>109.46</v>
      </c>
      <c r="M2667" s="17" t="e">
        <f t="shared" si="139"/>
        <v>#REF!</v>
      </c>
      <c r="N2667" s="11">
        <f t="shared" si="140"/>
        <v>12</v>
      </c>
    </row>
    <row r="2668" spans="1:14" x14ac:dyDescent="0.25">
      <c r="A2668" s="11" t="s">
        <v>0</v>
      </c>
      <c r="B2668" s="12">
        <v>45291</v>
      </c>
      <c r="C2668" s="11" t="s">
        <v>688</v>
      </c>
      <c r="D2668" s="11" t="s">
        <v>692</v>
      </c>
      <c r="E2668" s="13" t="s">
        <v>725</v>
      </c>
      <c r="F2668" s="14" t="s">
        <v>27</v>
      </c>
      <c r="G2668" s="14" t="s">
        <v>404</v>
      </c>
      <c r="H2668" s="15" t="s">
        <v>437</v>
      </c>
      <c r="I2668" s="11">
        <f t="shared" si="141"/>
        <v>5</v>
      </c>
      <c r="K2668" s="16">
        <v>77.17</v>
      </c>
      <c r="M2668" s="17" t="e">
        <f t="shared" si="139"/>
        <v>#REF!</v>
      </c>
      <c r="N2668" s="11">
        <f t="shared" si="140"/>
        <v>12</v>
      </c>
    </row>
    <row r="2669" spans="1:14" x14ac:dyDescent="0.25">
      <c r="A2669" s="11" t="s">
        <v>0</v>
      </c>
      <c r="B2669" s="12">
        <v>45291</v>
      </c>
      <c r="C2669" s="11" t="s">
        <v>688</v>
      </c>
      <c r="D2669" s="11" t="s">
        <v>1</v>
      </c>
      <c r="E2669" s="13" t="s">
        <v>424</v>
      </c>
      <c r="F2669" s="14" t="s">
        <v>423</v>
      </c>
      <c r="G2669" s="14" t="s">
        <v>425</v>
      </c>
      <c r="H2669" s="15" t="s">
        <v>20</v>
      </c>
      <c r="I2669" s="11">
        <f t="shared" si="141"/>
        <v>5</v>
      </c>
      <c r="K2669" s="16">
        <v>30000</v>
      </c>
      <c r="M2669" s="17" t="e">
        <f t="shared" si="139"/>
        <v>#REF!</v>
      </c>
      <c r="N2669" s="11">
        <f t="shared" si="140"/>
        <v>12</v>
      </c>
    </row>
    <row r="2670" spans="1:14" x14ac:dyDescent="0.25">
      <c r="A2670" s="11" t="s">
        <v>0</v>
      </c>
      <c r="B2670" s="12">
        <v>45291</v>
      </c>
      <c r="C2670" s="11" t="s">
        <v>688</v>
      </c>
      <c r="D2670" s="11" t="s">
        <v>694</v>
      </c>
      <c r="E2670" s="13" t="s">
        <v>718</v>
      </c>
      <c r="F2670" s="14" t="s">
        <v>263</v>
      </c>
      <c r="G2670" s="14" t="s">
        <v>404</v>
      </c>
      <c r="H2670" s="15" t="s">
        <v>437</v>
      </c>
      <c r="I2670" s="11">
        <f t="shared" si="141"/>
        <v>5</v>
      </c>
      <c r="K2670" s="16">
        <v>4041.83</v>
      </c>
      <c r="M2670" s="17" t="e">
        <f t="shared" si="139"/>
        <v>#REF!</v>
      </c>
      <c r="N2670" s="11">
        <f t="shared" si="140"/>
        <v>12</v>
      </c>
    </row>
    <row r="2671" spans="1:14" x14ac:dyDescent="0.25">
      <c r="A2671" s="11" t="s">
        <v>0</v>
      </c>
      <c r="B2671" s="12">
        <v>45291</v>
      </c>
      <c r="C2671" s="11" t="s">
        <v>688</v>
      </c>
      <c r="D2671" s="11" t="s">
        <v>696</v>
      </c>
      <c r="E2671" s="13" t="s">
        <v>625</v>
      </c>
      <c r="F2671" s="14" t="s">
        <v>62</v>
      </c>
      <c r="G2671" s="14" t="s">
        <v>407</v>
      </c>
      <c r="H2671" s="15" t="s">
        <v>426</v>
      </c>
      <c r="I2671" s="11">
        <f t="shared" si="141"/>
        <v>4</v>
      </c>
      <c r="J2671" s="233"/>
      <c r="K2671" s="233">
        <v>1300</v>
      </c>
      <c r="M2671" s="17" t="e">
        <f t="shared" si="139"/>
        <v>#REF!</v>
      </c>
      <c r="N2671" s="11">
        <f t="shared" si="140"/>
        <v>12</v>
      </c>
    </row>
    <row r="2672" spans="1:14" x14ac:dyDescent="0.25">
      <c r="A2672" s="11" t="s">
        <v>0</v>
      </c>
      <c r="B2672" s="12">
        <v>45291</v>
      </c>
      <c r="C2672" s="11" t="s">
        <v>688</v>
      </c>
      <c r="D2672" s="11" t="s">
        <v>696</v>
      </c>
      <c r="E2672" s="13" t="s">
        <v>149</v>
      </c>
      <c r="F2672" s="14" t="s">
        <v>62</v>
      </c>
      <c r="G2672" s="14" t="s">
        <v>407</v>
      </c>
      <c r="H2672" s="15" t="s">
        <v>426</v>
      </c>
      <c r="I2672" s="11">
        <f t="shared" ref="I2672:I2685" si="142">IF(AND(G2672="MERCADO PAGO",A2672="FATURAMENTO"),1,IF(AND(OR(G2672="MERCADO PAGO",G2672="pix mercado pago",G2672= "débito automático mercado pago", G2672= "boleto mercado pago"),A2672="DESPESAS"),4,IF(AND(G2672="SAFRA",A2672="FATURAMENTO"),2,IF(AND(OR(G2672="SAFRA",G2672="PIX SAFRA", G2672="DÉBITO AUTOMÁTICO SAFRA", G2672= "BOLETO SAFRA", G2672= "transferência safra"), A2672="DESPESAS"),5,IF(AND(G2672="espécie",A2672="FATURAMENTO"),3,IF(AND(G2672="espécie",A2672="DESPESAS"),6))))))</f>
        <v>4</v>
      </c>
      <c r="J2672" s="233"/>
      <c r="K2672" s="233">
        <v>1150</v>
      </c>
      <c r="M2672" s="17" t="e">
        <f t="shared" si="139"/>
        <v>#REF!</v>
      </c>
      <c r="N2672" s="11">
        <f t="shared" si="140"/>
        <v>12</v>
      </c>
    </row>
    <row r="2673" spans="1:14" x14ac:dyDescent="0.25">
      <c r="A2673" s="11" t="s">
        <v>0</v>
      </c>
      <c r="B2673" s="12">
        <v>45291</v>
      </c>
      <c r="C2673" s="11" t="s">
        <v>688</v>
      </c>
      <c r="D2673" s="11" t="s">
        <v>696</v>
      </c>
      <c r="E2673" s="13" t="s">
        <v>421</v>
      </c>
      <c r="F2673" s="14" t="s">
        <v>62</v>
      </c>
      <c r="G2673" s="14" t="s">
        <v>407</v>
      </c>
      <c r="H2673" s="15" t="s">
        <v>426</v>
      </c>
      <c r="I2673" s="11">
        <f t="shared" si="142"/>
        <v>4</v>
      </c>
      <c r="J2673" s="233"/>
      <c r="K2673" s="233">
        <v>1500</v>
      </c>
      <c r="M2673" s="17" t="e">
        <f t="shared" si="139"/>
        <v>#REF!</v>
      </c>
      <c r="N2673" s="11">
        <f t="shared" si="140"/>
        <v>12</v>
      </c>
    </row>
    <row r="2674" spans="1:14" x14ac:dyDescent="0.25">
      <c r="A2674" s="11" t="s">
        <v>0</v>
      </c>
      <c r="B2674" s="12">
        <v>45291</v>
      </c>
      <c r="C2674" s="11" t="s">
        <v>688</v>
      </c>
      <c r="D2674" s="11" t="s">
        <v>696</v>
      </c>
      <c r="E2674" s="13" t="s">
        <v>165</v>
      </c>
      <c r="F2674" s="14" t="s">
        <v>62</v>
      </c>
      <c r="G2674" s="14" t="s">
        <v>407</v>
      </c>
      <c r="H2674" s="15" t="s">
        <v>426</v>
      </c>
      <c r="I2674" s="11">
        <f t="shared" si="142"/>
        <v>4</v>
      </c>
      <c r="J2674" s="233"/>
      <c r="K2674" s="233">
        <v>1200</v>
      </c>
      <c r="M2674" s="17" t="e">
        <f t="shared" si="139"/>
        <v>#REF!</v>
      </c>
      <c r="N2674" s="11">
        <f t="shared" si="140"/>
        <v>12</v>
      </c>
    </row>
    <row r="2675" spans="1:14" x14ac:dyDescent="0.25">
      <c r="A2675" s="11" t="s">
        <v>0</v>
      </c>
      <c r="B2675" s="12">
        <v>45291</v>
      </c>
      <c r="C2675" s="11" t="s">
        <v>688</v>
      </c>
      <c r="D2675" s="11" t="s">
        <v>696</v>
      </c>
      <c r="E2675" s="13" t="s">
        <v>151</v>
      </c>
      <c r="F2675" s="14" t="s">
        <v>62</v>
      </c>
      <c r="G2675" s="14" t="s">
        <v>407</v>
      </c>
      <c r="H2675" s="15" t="s">
        <v>426</v>
      </c>
      <c r="I2675" s="11">
        <f t="shared" si="142"/>
        <v>4</v>
      </c>
      <c r="J2675" s="233"/>
      <c r="K2675" s="233">
        <v>1000</v>
      </c>
      <c r="M2675" s="17" t="e">
        <f t="shared" si="139"/>
        <v>#REF!</v>
      </c>
      <c r="N2675" s="11">
        <f t="shared" si="140"/>
        <v>12</v>
      </c>
    </row>
    <row r="2676" spans="1:14" x14ac:dyDescent="0.25">
      <c r="A2676" s="11" t="s">
        <v>0</v>
      </c>
      <c r="B2676" s="12">
        <v>45291</v>
      </c>
      <c r="C2676" s="11" t="s">
        <v>688</v>
      </c>
      <c r="D2676" s="11" t="s">
        <v>696</v>
      </c>
      <c r="E2676" s="13" t="s">
        <v>408</v>
      </c>
      <c r="F2676" s="14" t="s">
        <v>62</v>
      </c>
      <c r="G2676" s="14" t="s">
        <v>407</v>
      </c>
      <c r="H2676" s="15" t="s">
        <v>426</v>
      </c>
      <c r="I2676" s="11">
        <f t="shared" si="142"/>
        <v>4</v>
      </c>
      <c r="J2676" s="233"/>
      <c r="K2676" s="233">
        <v>2000</v>
      </c>
      <c r="M2676" s="17" t="e">
        <f t="shared" si="139"/>
        <v>#REF!</v>
      </c>
      <c r="N2676" s="11">
        <f t="shared" si="140"/>
        <v>12</v>
      </c>
    </row>
    <row r="2677" spans="1:14" x14ac:dyDescent="0.25">
      <c r="A2677" s="11" t="s">
        <v>0</v>
      </c>
      <c r="B2677" s="12">
        <v>45291</v>
      </c>
      <c r="C2677" s="11" t="s">
        <v>688</v>
      </c>
      <c r="D2677" s="11" t="s">
        <v>696</v>
      </c>
      <c r="E2677" s="13" t="s">
        <v>607</v>
      </c>
      <c r="F2677" s="14" t="s">
        <v>62</v>
      </c>
      <c r="G2677" s="14" t="s">
        <v>407</v>
      </c>
      <c r="H2677" s="15" t="s">
        <v>426</v>
      </c>
      <c r="I2677" s="11">
        <f t="shared" si="142"/>
        <v>4</v>
      </c>
      <c r="J2677" s="233"/>
      <c r="K2677" s="233">
        <v>750</v>
      </c>
      <c r="M2677" s="17" t="e">
        <f t="shared" si="139"/>
        <v>#REF!</v>
      </c>
      <c r="N2677" s="11">
        <f t="shared" si="140"/>
        <v>12</v>
      </c>
    </row>
    <row r="2678" spans="1:14" x14ac:dyDescent="0.25">
      <c r="A2678" s="11" t="s">
        <v>0</v>
      </c>
      <c r="B2678" s="12">
        <v>45291</v>
      </c>
      <c r="C2678" s="11" t="s">
        <v>688</v>
      </c>
      <c r="D2678" s="11" t="s">
        <v>696</v>
      </c>
      <c r="E2678" s="13" t="s">
        <v>608</v>
      </c>
      <c r="F2678" s="14" t="s">
        <v>62</v>
      </c>
      <c r="G2678" s="14" t="s">
        <v>407</v>
      </c>
      <c r="H2678" s="15" t="s">
        <v>426</v>
      </c>
      <c r="I2678" s="11">
        <f t="shared" si="142"/>
        <v>4</v>
      </c>
      <c r="J2678" s="233"/>
      <c r="K2678" s="233">
        <v>1250</v>
      </c>
      <c r="M2678" s="17" t="e">
        <f t="shared" si="139"/>
        <v>#REF!</v>
      </c>
      <c r="N2678" s="11">
        <f t="shared" si="140"/>
        <v>12</v>
      </c>
    </row>
    <row r="2679" spans="1:14" x14ac:dyDescent="0.25">
      <c r="A2679" s="11" t="s">
        <v>0</v>
      </c>
      <c r="B2679" s="12">
        <v>45291</v>
      </c>
      <c r="C2679" s="11" t="s">
        <v>688</v>
      </c>
      <c r="D2679" s="11" t="s">
        <v>696</v>
      </c>
      <c r="E2679" s="13" t="s">
        <v>158</v>
      </c>
      <c r="F2679" s="14" t="s">
        <v>62</v>
      </c>
      <c r="G2679" s="14" t="s">
        <v>407</v>
      </c>
      <c r="H2679" s="15" t="s">
        <v>426</v>
      </c>
      <c r="I2679" s="11">
        <f t="shared" si="142"/>
        <v>4</v>
      </c>
      <c r="J2679" s="233"/>
      <c r="K2679" s="233">
        <v>800</v>
      </c>
      <c r="M2679" s="17" t="e">
        <f t="shared" si="139"/>
        <v>#REF!</v>
      </c>
      <c r="N2679" s="11">
        <f t="shared" si="140"/>
        <v>12</v>
      </c>
    </row>
    <row r="2680" spans="1:14" x14ac:dyDescent="0.25">
      <c r="A2680" s="11" t="s">
        <v>0</v>
      </c>
      <c r="B2680" s="12">
        <v>45291</v>
      </c>
      <c r="C2680" s="11" t="s">
        <v>688</v>
      </c>
      <c r="D2680" s="11" t="s">
        <v>696</v>
      </c>
      <c r="E2680" s="13" t="s">
        <v>609</v>
      </c>
      <c r="F2680" s="14" t="s">
        <v>62</v>
      </c>
      <c r="G2680" s="14" t="s">
        <v>407</v>
      </c>
      <c r="H2680" s="15" t="s">
        <v>426</v>
      </c>
      <c r="I2680" s="11">
        <f t="shared" si="142"/>
        <v>4</v>
      </c>
      <c r="J2680" s="233"/>
      <c r="K2680" s="233">
        <v>750</v>
      </c>
      <c r="M2680" s="17" t="e">
        <f t="shared" si="139"/>
        <v>#REF!</v>
      </c>
      <c r="N2680" s="11">
        <f t="shared" si="140"/>
        <v>12</v>
      </c>
    </row>
    <row r="2681" spans="1:14" x14ac:dyDescent="0.25">
      <c r="A2681" s="11" t="s">
        <v>0</v>
      </c>
      <c r="B2681" s="12">
        <v>45291</v>
      </c>
      <c r="C2681" s="11" t="s">
        <v>688</v>
      </c>
      <c r="D2681" s="11" t="s">
        <v>696</v>
      </c>
      <c r="E2681" s="13" t="s">
        <v>626</v>
      </c>
      <c r="F2681" s="14" t="s">
        <v>62</v>
      </c>
      <c r="G2681" s="14" t="s">
        <v>407</v>
      </c>
      <c r="H2681" s="15" t="s">
        <v>426</v>
      </c>
      <c r="I2681" s="11">
        <f t="shared" si="142"/>
        <v>4</v>
      </c>
      <c r="J2681" s="233"/>
      <c r="K2681" s="233">
        <v>1320</v>
      </c>
      <c r="M2681" s="17" t="e">
        <f t="shared" si="139"/>
        <v>#REF!</v>
      </c>
      <c r="N2681" s="11">
        <f t="shared" si="140"/>
        <v>12</v>
      </c>
    </row>
    <row r="2682" spans="1:14" x14ac:dyDescent="0.25">
      <c r="A2682" s="11" t="s">
        <v>0</v>
      </c>
      <c r="B2682" s="12">
        <v>45291</v>
      </c>
      <c r="C2682" s="11" t="s">
        <v>688</v>
      </c>
      <c r="D2682" s="11" t="s">
        <v>696</v>
      </c>
      <c r="E2682" s="13" t="s">
        <v>723</v>
      </c>
      <c r="F2682" s="14" t="s">
        <v>62</v>
      </c>
      <c r="G2682" s="14" t="s">
        <v>407</v>
      </c>
      <c r="H2682" s="15" t="s">
        <v>426</v>
      </c>
      <c r="I2682" s="11">
        <f t="shared" si="142"/>
        <v>4</v>
      </c>
      <c r="J2682" s="233"/>
      <c r="K2682" s="233">
        <v>1320</v>
      </c>
      <c r="M2682" s="17" t="e">
        <f t="shared" si="139"/>
        <v>#REF!</v>
      </c>
      <c r="N2682" s="11">
        <f t="shared" si="140"/>
        <v>12</v>
      </c>
    </row>
    <row r="2683" spans="1:14" x14ac:dyDescent="0.25">
      <c r="A2683" s="11" t="s">
        <v>0</v>
      </c>
      <c r="B2683" s="12">
        <v>45291</v>
      </c>
      <c r="C2683" s="11" t="s">
        <v>688</v>
      </c>
      <c r="D2683" s="11" t="s">
        <v>696</v>
      </c>
      <c r="E2683" s="13" t="s">
        <v>614</v>
      </c>
      <c r="F2683" s="14" t="s">
        <v>62</v>
      </c>
      <c r="G2683" s="14" t="s">
        <v>407</v>
      </c>
      <c r="H2683" s="15" t="s">
        <v>426</v>
      </c>
      <c r="I2683" s="11">
        <f t="shared" si="142"/>
        <v>4</v>
      </c>
      <c r="J2683" s="233"/>
      <c r="K2683" s="233">
        <v>400</v>
      </c>
      <c r="M2683" s="17" t="e">
        <f t="shared" si="139"/>
        <v>#REF!</v>
      </c>
      <c r="N2683" s="11">
        <f t="shared" si="140"/>
        <v>12</v>
      </c>
    </row>
    <row r="2684" spans="1:14" x14ac:dyDescent="0.25">
      <c r="A2684" s="11" t="s">
        <v>0</v>
      </c>
      <c r="B2684" s="12">
        <v>45291</v>
      </c>
      <c r="C2684" s="11" t="s">
        <v>688</v>
      </c>
      <c r="D2684" s="11" t="s">
        <v>696</v>
      </c>
      <c r="E2684" s="13" t="s">
        <v>613</v>
      </c>
      <c r="F2684" s="14" t="s">
        <v>62</v>
      </c>
      <c r="G2684" s="14" t="s">
        <v>407</v>
      </c>
      <c r="H2684" s="15" t="s">
        <v>426</v>
      </c>
      <c r="I2684" s="11">
        <f t="shared" si="142"/>
        <v>4</v>
      </c>
      <c r="J2684" s="233"/>
      <c r="K2684" s="233">
        <v>140</v>
      </c>
      <c r="M2684" s="17" t="e">
        <f t="shared" si="139"/>
        <v>#REF!</v>
      </c>
      <c r="N2684" s="11">
        <f t="shared" si="140"/>
        <v>12</v>
      </c>
    </row>
    <row r="2685" spans="1:14" x14ac:dyDescent="0.25">
      <c r="A2685" s="11" t="s">
        <v>0</v>
      </c>
      <c r="B2685" s="12">
        <v>45291</v>
      </c>
      <c r="C2685" s="11" t="s">
        <v>688</v>
      </c>
      <c r="D2685" s="11" t="s">
        <v>696</v>
      </c>
      <c r="E2685" s="13" t="s">
        <v>624</v>
      </c>
      <c r="F2685" s="14" t="s">
        <v>62</v>
      </c>
      <c r="G2685" s="14" t="s">
        <v>407</v>
      </c>
      <c r="H2685" s="15" t="s">
        <v>426</v>
      </c>
      <c r="I2685" s="11">
        <f t="shared" si="142"/>
        <v>4</v>
      </c>
      <c r="J2685" s="233"/>
      <c r="K2685" s="233">
        <v>210</v>
      </c>
      <c r="M2685" s="17" t="e">
        <f t="shared" si="139"/>
        <v>#REF!</v>
      </c>
      <c r="N2685" s="11">
        <f t="shared" si="140"/>
        <v>12</v>
      </c>
    </row>
    <row r="2686" spans="1:14" x14ac:dyDescent="0.25">
      <c r="A2686" s="11" t="s">
        <v>207</v>
      </c>
      <c r="B2686" s="12">
        <v>45291</v>
      </c>
      <c r="C2686" s="11" t="s">
        <v>688</v>
      </c>
      <c r="D2686" s="11" t="s">
        <v>43</v>
      </c>
      <c r="E2686" s="13" t="s">
        <v>429</v>
      </c>
      <c r="F2686" s="14" t="s">
        <v>429</v>
      </c>
      <c r="G2686" s="14" t="s">
        <v>428</v>
      </c>
      <c r="I2686" s="11">
        <f t="shared" si="141"/>
        <v>1</v>
      </c>
      <c r="J2686" s="16">
        <v>73500.990000000005</v>
      </c>
      <c r="M2686" s="17" t="e">
        <f t="shared" si="139"/>
        <v>#REF!</v>
      </c>
      <c r="N2686" s="11">
        <f t="shared" si="140"/>
        <v>12</v>
      </c>
    </row>
    <row r="2687" spans="1:14" x14ac:dyDescent="0.25">
      <c r="I2687" s="11" t="b">
        <f t="shared" si="141"/>
        <v>0</v>
      </c>
      <c r="M2687" s="17" t="str">
        <f t="shared" si="139"/>
        <v/>
      </c>
      <c r="N2687" s="11" t="str">
        <f t="shared" si="140"/>
        <v/>
      </c>
    </row>
    <row r="2688" spans="1:14" x14ac:dyDescent="0.25">
      <c r="I2688" s="11" t="b">
        <f t="shared" si="141"/>
        <v>0</v>
      </c>
      <c r="M2688" s="17" t="str">
        <f t="shared" si="139"/>
        <v/>
      </c>
      <c r="N2688" s="11" t="str">
        <f t="shared" si="140"/>
        <v/>
      </c>
    </row>
    <row r="2689" spans="9:14" x14ac:dyDescent="0.25">
      <c r="I2689" s="11" t="b">
        <f t="shared" si="141"/>
        <v>0</v>
      </c>
      <c r="M2689" s="17" t="str">
        <f t="shared" ref="M2689:M2752" si="143">IF(B2689=0, "",M2688+ J2689-K2689)</f>
        <v/>
      </c>
      <c r="N2689" s="11" t="str">
        <f t="shared" ref="N2689:N2752" si="144">IF(B2689=0, "", MONTH(B2689))</f>
        <v/>
      </c>
    </row>
    <row r="2690" spans="9:14" x14ac:dyDescent="0.25">
      <c r="I2690" s="11" t="b">
        <f t="shared" si="141"/>
        <v>0</v>
      </c>
      <c r="M2690" s="17" t="str">
        <f t="shared" si="143"/>
        <v/>
      </c>
      <c r="N2690" s="11" t="str">
        <f t="shared" si="144"/>
        <v/>
      </c>
    </row>
    <row r="2691" spans="9:14" x14ac:dyDescent="0.25">
      <c r="I2691" s="11" t="b">
        <f t="shared" si="141"/>
        <v>0</v>
      </c>
      <c r="M2691" s="17" t="str">
        <f t="shared" si="143"/>
        <v/>
      </c>
      <c r="N2691" s="11" t="str">
        <f t="shared" si="144"/>
        <v/>
      </c>
    </row>
    <row r="2692" spans="9:14" x14ac:dyDescent="0.25">
      <c r="I2692" s="11" t="b">
        <f t="shared" si="141"/>
        <v>0</v>
      </c>
      <c r="M2692" s="17" t="str">
        <f t="shared" si="143"/>
        <v/>
      </c>
      <c r="N2692" s="11" t="str">
        <f t="shared" si="144"/>
        <v/>
      </c>
    </row>
    <row r="2693" spans="9:14" x14ac:dyDescent="0.25">
      <c r="I2693" s="11" t="b">
        <f t="shared" si="141"/>
        <v>0</v>
      </c>
      <c r="M2693" s="17" t="str">
        <f t="shared" si="143"/>
        <v/>
      </c>
      <c r="N2693" s="11" t="str">
        <f t="shared" si="144"/>
        <v/>
      </c>
    </row>
    <row r="2694" spans="9:14" x14ac:dyDescent="0.25">
      <c r="I2694" s="11" t="b">
        <f t="shared" si="141"/>
        <v>0</v>
      </c>
      <c r="M2694" s="17" t="str">
        <f t="shared" si="143"/>
        <v/>
      </c>
      <c r="N2694" s="11" t="str">
        <f t="shared" si="144"/>
        <v/>
      </c>
    </row>
    <row r="2695" spans="9:14" x14ac:dyDescent="0.25">
      <c r="I2695" s="11" t="b">
        <f t="shared" si="141"/>
        <v>0</v>
      </c>
      <c r="M2695" s="17" t="str">
        <f t="shared" si="143"/>
        <v/>
      </c>
      <c r="N2695" s="11" t="str">
        <f t="shared" si="144"/>
        <v/>
      </c>
    </row>
    <row r="2696" spans="9:14" x14ac:dyDescent="0.25">
      <c r="I2696" s="11" t="b">
        <f t="shared" si="141"/>
        <v>0</v>
      </c>
      <c r="M2696" s="17" t="str">
        <f t="shared" si="143"/>
        <v/>
      </c>
      <c r="N2696" s="11" t="str">
        <f t="shared" si="144"/>
        <v/>
      </c>
    </row>
    <row r="2697" spans="9:14" x14ac:dyDescent="0.25">
      <c r="I2697" s="11" t="b">
        <f t="shared" si="141"/>
        <v>0</v>
      </c>
      <c r="M2697" s="17" t="str">
        <f t="shared" si="143"/>
        <v/>
      </c>
      <c r="N2697" s="11" t="str">
        <f t="shared" si="144"/>
        <v/>
      </c>
    </row>
    <row r="2698" spans="9:14" x14ac:dyDescent="0.25">
      <c r="I2698" s="11" t="b">
        <f t="shared" si="141"/>
        <v>0</v>
      </c>
      <c r="M2698" s="17" t="str">
        <f t="shared" si="143"/>
        <v/>
      </c>
      <c r="N2698" s="11" t="str">
        <f t="shared" si="144"/>
        <v/>
      </c>
    </row>
    <row r="2699" spans="9:14" x14ac:dyDescent="0.25">
      <c r="I2699" s="11" t="b">
        <f t="shared" si="141"/>
        <v>0</v>
      </c>
      <c r="M2699" s="17" t="str">
        <f t="shared" si="143"/>
        <v/>
      </c>
      <c r="N2699" s="11" t="str">
        <f t="shared" si="144"/>
        <v/>
      </c>
    </row>
    <row r="2700" spans="9:14" x14ac:dyDescent="0.25">
      <c r="I2700" s="11" t="b">
        <f t="shared" si="141"/>
        <v>0</v>
      </c>
      <c r="M2700" s="17" t="str">
        <f t="shared" si="143"/>
        <v/>
      </c>
      <c r="N2700" s="11" t="str">
        <f t="shared" si="144"/>
        <v/>
      </c>
    </row>
    <row r="2701" spans="9:14" x14ac:dyDescent="0.25">
      <c r="I2701" s="11" t="b">
        <f t="shared" si="141"/>
        <v>0</v>
      </c>
      <c r="M2701" s="17" t="str">
        <f t="shared" si="143"/>
        <v/>
      </c>
      <c r="N2701" s="11" t="str">
        <f t="shared" si="144"/>
        <v/>
      </c>
    </row>
    <row r="2702" spans="9:14" x14ac:dyDescent="0.25">
      <c r="I2702" s="11" t="b">
        <f t="shared" si="141"/>
        <v>0</v>
      </c>
      <c r="M2702" s="17" t="str">
        <f t="shared" si="143"/>
        <v/>
      </c>
      <c r="N2702" s="11" t="str">
        <f t="shared" si="144"/>
        <v/>
      </c>
    </row>
    <row r="2703" spans="9:14" x14ac:dyDescent="0.25">
      <c r="I2703" s="11" t="b">
        <f t="shared" si="141"/>
        <v>0</v>
      </c>
      <c r="M2703" s="17" t="str">
        <f t="shared" si="143"/>
        <v/>
      </c>
      <c r="N2703" s="11" t="str">
        <f t="shared" si="144"/>
        <v/>
      </c>
    </row>
    <row r="2704" spans="9:14" x14ac:dyDescent="0.25">
      <c r="I2704" s="11" t="b">
        <f t="shared" si="141"/>
        <v>0</v>
      </c>
      <c r="M2704" s="17" t="str">
        <f t="shared" si="143"/>
        <v/>
      </c>
      <c r="N2704" s="11" t="str">
        <f t="shared" si="144"/>
        <v/>
      </c>
    </row>
    <row r="2705" spans="9:14" x14ac:dyDescent="0.25">
      <c r="I2705" s="11" t="b">
        <f t="shared" si="141"/>
        <v>0</v>
      </c>
      <c r="M2705" s="17" t="str">
        <f t="shared" si="143"/>
        <v/>
      </c>
      <c r="N2705" s="11" t="str">
        <f t="shared" si="144"/>
        <v/>
      </c>
    </row>
    <row r="2706" spans="9:14" x14ac:dyDescent="0.25">
      <c r="I2706" s="11" t="b">
        <f t="shared" si="141"/>
        <v>0</v>
      </c>
      <c r="M2706" s="17" t="str">
        <f t="shared" si="143"/>
        <v/>
      </c>
      <c r="N2706" s="11" t="str">
        <f t="shared" si="144"/>
        <v/>
      </c>
    </row>
    <row r="2707" spans="9:14" x14ac:dyDescent="0.25">
      <c r="I2707" s="11" t="b">
        <f t="shared" si="141"/>
        <v>0</v>
      </c>
      <c r="M2707" s="17" t="str">
        <f t="shared" si="143"/>
        <v/>
      </c>
      <c r="N2707" s="11" t="str">
        <f t="shared" si="144"/>
        <v/>
      </c>
    </row>
    <row r="2708" spans="9:14" x14ac:dyDescent="0.25">
      <c r="I2708" s="11" t="b">
        <f t="shared" si="141"/>
        <v>0</v>
      </c>
      <c r="M2708" s="17" t="str">
        <f t="shared" si="143"/>
        <v/>
      </c>
      <c r="N2708" s="11" t="str">
        <f t="shared" si="144"/>
        <v/>
      </c>
    </row>
    <row r="2709" spans="9:14" x14ac:dyDescent="0.25">
      <c r="I2709" s="11" t="b">
        <f t="shared" si="141"/>
        <v>0</v>
      </c>
      <c r="M2709" s="17" t="str">
        <f t="shared" si="143"/>
        <v/>
      </c>
      <c r="N2709" s="11" t="str">
        <f t="shared" si="144"/>
        <v/>
      </c>
    </row>
    <row r="2710" spans="9:14" x14ac:dyDescent="0.25">
      <c r="I2710" s="11" t="b">
        <f t="shared" si="141"/>
        <v>0</v>
      </c>
      <c r="M2710" s="17" t="str">
        <f t="shared" si="143"/>
        <v/>
      </c>
      <c r="N2710" s="11" t="str">
        <f t="shared" si="144"/>
        <v/>
      </c>
    </row>
    <row r="2711" spans="9:14" x14ac:dyDescent="0.25">
      <c r="I2711" s="11" t="b">
        <f t="shared" si="141"/>
        <v>0</v>
      </c>
      <c r="M2711" s="17" t="str">
        <f t="shared" si="143"/>
        <v/>
      </c>
      <c r="N2711" s="11" t="str">
        <f t="shared" si="144"/>
        <v/>
      </c>
    </row>
    <row r="2712" spans="9:14" x14ac:dyDescent="0.25">
      <c r="I2712" s="11" t="b">
        <f t="shared" si="141"/>
        <v>0</v>
      </c>
      <c r="M2712" s="17" t="str">
        <f t="shared" si="143"/>
        <v/>
      </c>
      <c r="N2712" s="11" t="str">
        <f t="shared" si="144"/>
        <v/>
      </c>
    </row>
    <row r="2713" spans="9:14" x14ac:dyDescent="0.25">
      <c r="I2713" s="11" t="b">
        <f t="shared" si="141"/>
        <v>0</v>
      </c>
      <c r="M2713" s="17" t="str">
        <f t="shared" si="143"/>
        <v/>
      </c>
      <c r="N2713" s="11" t="str">
        <f t="shared" si="144"/>
        <v/>
      </c>
    </row>
    <row r="2714" spans="9:14" x14ac:dyDescent="0.25">
      <c r="I2714" s="11" t="b">
        <f t="shared" si="141"/>
        <v>0</v>
      </c>
      <c r="M2714" s="17" t="str">
        <f t="shared" si="143"/>
        <v/>
      </c>
      <c r="N2714" s="11" t="str">
        <f t="shared" si="144"/>
        <v/>
      </c>
    </row>
    <row r="2715" spans="9:14" x14ac:dyDescent="0.25">
      <c r="I2715" s="11" t="b">
        <f t="shared" si="141"/>
        <v>0</v>
      </c>
      <c r="M2715" s="17" t="str">
        <f t="shared" si="143"/>
        <v/>
      </c>
      <c r="N2715" s="11" t="str">
        <f t="shared" si="144"/>
        <v/>
      </c>
    </row>
    <row r="2716" spans="9:14" x14ac:dyDescent="0.25">
      <c r="I2716" s="11" t="b">
        <f t="shared" si="141"/>
        <v>0</v>
      </c>
      <c r="M2716" s="17" t="str">
        <f t="shared" si="143"/>
        <v/>
      </c>
      <c r="N2716" s="11" t="str">
        <f t="shared" si="144"/>
        <v/>
      </c>
    </row>
    <row r="2717" spans="9:14" x14ac:dyDescent="0.25">
      <c r="I2717" s="11" t="b">
        <f t="shared" ref="I2717:I2780" si="145">IF(AND(G2717="MERCADO PAGO",A2717="FATURAMENTO"),1,IF(AND(OR(G2717="MERCADO PAGO",G2717="pix mercado pago",G2717= "débito automático mercado pago", G2717= "boleto mercado pago"),A2717="DESPESAS"),4,IF(AND(G2717="SAFRA",A2717="FATURAMENTO"),2,IF(AND(OR(G2717="SAFRA",G2717="PIX SAFRA", G2717="DÉBITO AUTOMÁTICO SAFRA", G2717= "BOLETO SAFRA", G2717= "transferência safra"), A2717="DESPESAS"),5,IF(AND(G2717="espécie",A2717="FATURAMENTO"),3,IF(AND(G2717="espécie",A2717="DESPESAS"),6))))))</f>
        <v>0</v>
      </c>
      <c r="M2717" s="17" t="str">
        <f t="shared" si="143"/>
        <v/>
      </c>
      <c r="N2717" s="11" t="str">
        <f t="shared" si="144"/>
        <v/>
      </c>
    </row>
    <row r="2718" spans="9:14" x14ac:dyDescent="0.25">
      <c r="I2718" s="11" t="b">
        <f t="shared" si="145"/>
        <v>0</v>
      </c>
      <c r="M2718" s="17" t="str">
        <f t="shared" si="143"/>
        <v/>
      </c>
      <c r="N2718" s="11" t="str">
        <f t="shared" si="144"/>
        <v/>
      </c>
    </row>
    <row r="2719" spans="9:14" x14ac:dyDescent="0.25">
      <c r="I2719" s="11" t="b">
        <f t="shared" si="145"/>
        <v>0</v>
      </c>
      <c r="M2719" s="17" t="str">
        <f t="shared" si="143"/>
        <v/>
      </c>
      <c r="N2719" s="11" t="str">
        <f t="shared" si="144"/>
        <v/>
      </c>
    </row>
    <row r="2720" spans="9:14" x14ac:dyDescent="0.25">
      <c r="I2720" s="11" t="b">
        <f t="shared" si="145"/>
        <v>0</v>
      </c>
      <c r="M2720" s="17" t="str">
        <f t="shared" si="143"/>
        <v/>
      </c>
      <c r="N2720" s="11" t="str">
        <f t="shared" si="144"/>
        <v/>
      </c>
    </row>
    <row r="2721" spans="9:14" x14ac:dyDescent="0.25">
      <c r="I2721" s="11" t="b">
        <f t="shared" si="145"/>
        <v>0</v>
      </c>
      <c r="M2721" s="17" t="str">
        <f t="shared" si="143"/>
        <v/>
      </c>
      <c r="N2721" s="11" t="str">
        <f t="shared" si="144"/>
        <v/>
      </c>
    </row>
    <row r="2722" spans="9:14" x14ac:dyDescent="0.25">
      <c r="I2722" s="11" t="b">
        <f t="shared" si="145"/>
        <v>0</v>
      </c>
      <c r="M2722" s="17" t="str">
        <f t="shared" si="143"/>
        <v/>
      </c>
      <c r="N2722" s="11" t="str">
        <f t="shared" si="144"/>
        <v/>
      </c>
    </row>
    <row r="2723" spans="9:14" x14ac:dyDescent="0.25">
      <c r="I2723" s="11" t="b">
        <f t="shared" si="145"/>
        <v>0</v>
      </c>
      <c r="M2723" s="17" t="str">
        <f t="shared" si="143"/>
        <v/>
      </c>
      <c r="N2723" s="11" t="str">
        <f t="shared" si="144"/>
        <v/>
      </c>
    </row>
    <row r="2724" spans="9:14" x14ac:dyDescent="0.25">
      <c r="I2724" s="11" t="b">
        <f t="shared" si="145"/>
        <v>0</v>
      </c>
      <c r="M2724" s="17" t="str">
        <f t="shared" si="143"/>
        <v/>
      </c>
      <c r="N2724" s="11" t="str">
        <f t="shared" si="144"/>
        <v/>
      </c>
    </row>
    <row r="2725" spans="9:14" x14ac:dyDescent="0.25">
      <c r="I2725" s="11" t="b">
        <f t="shared" si="145"/>
        <v>0</v>
      </c>
      <c r="M2725" s="17" t="str">
        <f t="shared" si="143"/>
        <v/>
      </c>
      <c r="N2725" s="11" t="str">
        <f t="shared" si="144"/>
        <v/>
      </c>
    </row>
    <row r="2726" spans="9:14" x14ac:dyDescent="0.25">
      <c r="I2726" s="11" t="b">
        <f t="shared" si="145"/>
        <v>0</v>
      </c>
      <c r="M2726" s="17" t="str">
        <f t="shared" si="143"/>
        <v/>
      </c>
      <c r="N2726" s="11" t="str">
        <f t="shared" si="144"/>
        <v/>
      </c>
    </row>
    <row r="2727" spans="9:14" x14ac:dyDescent="0.25">
      <c r="I2727" s="11" t="b">
        <f t="shared" si="145"/>
        <v>0</v>
      </c>
      <c r="M2727" s="17" t="str">
        <f t="shared" si="143"/>
        <v/>
      </c>
      <c r="N2727" s="11" t="str">
        <f t="shared" si="144"/>
        <v/>
      </c>
    </row>
    <row r="2728" spans="9:14" x14ac:dyDescent="0.25">
      <c r="I2728" s="11" t="b">
        <f t="shared" si="145"/>
        <v>0</v>
      </c>
      <c r="M2728" s="17" t="str">
        <f t="shared" si="143"/>
        <v/>
      </c>
      <c r="N2728" s="11" t="str">
        <f t="shared" si="144"/>
        <v/>
      </c>
    </row>
    <row r="2729" spans="9:14" x14ac:dyDescent="0.25">
      <c r="I2729" s="11" t="b">
        <f t="shared" si="145"/>
        <v>0</v>
      </c>
      <c r="M2729" s="17" t="str">
        <f t="shared" si="143"/>
        <v/>
      </c>
      <c r="N2729" s="11" t="str">
        <f t="shared" si="144"/>
        <v/>
      </c>
    </row>
    <row r="2730" spans="9:14" x14ac:dyDescent="0.25">
      <c r="I2730" s="11" t="b">
        <f t="shared" si="145"/>
        <v>0</v>
      </c>
      <c r="M2730" s="17" t="str">
        <f t="shared" si="143"/>
        <v/>
      </c>
      <c r="N2730" s="11" t="str">
        <f t="shared" si="144"/>
        <v/>
      </c>
    </row>
    <row r="2731" spans="9:14" x14ac:dyDescent="0.25">
      <c r="I2731" s="11" t="b">
        <f t="shared" si="145"/>
        <v>0</v>
      </c>
      <c r="M2731" s="17" t="str">
        <f t="shared" si="143"/>
        <v/>
      </c>
      <c r="N2731" s="11" t="str">
        <f t="shared" si="144"/>
        <v/>
      </c>
    </row>
    <row r="2732" spans="9:14" x14ac:dyDescent="0.25">
      <c r="I2732" s="11" t="b">
        <f t="shared" si="145"/>
        <v>0</v>
      </c>
      <c r="M2732" s="17" t="str">
        <f t="shared" si="143"/>
        <v/>
      </c>
      <c r="N2732" s="11" t="str">
        <f t="shared" si="144"/>
        <v/>
      </c>
    </row>
    <row r="2733" spans="9:14" x14ac:dyDescent="0.25">
      <c r="I2733" s="11" t="b">
        <f t="shared" si="145"/>
        <v>0</v>
      </c>
      <c r="M2733" s="17" t="str">
        <f t="shared" si="143"/>
        <v/>
      </c>
      <c r="N2733" s="11" t="str">
        <f t="shared" si="144"/>
        <v/>
      </c>
    </row>
    <row r="2734" spans="9:14" x14ac:dyDescent="0.25">
      <c r="I2734" s="11" t="b">
        <f t="shared" si="145"/>
        <v>0</v>
      </c>
      <c r="M2734" s="17" t="str">
        <f t="shared" si="143"/>
        <v/>
      </c>
      <c r="N2734" s="11" t="str">
        <f t="shared" si="144"/>
        <v/>
      </c>
    </row>
    <row r="2735" spans="9:14" x14ac:dyDescent="0.25">
      <c r="I2735" s="11" t="b">
        <f t="shared" si="145"/>
        <v>0</v>
      </c>
      <c r="M2735" s="17" t="str">
        <f t="shared" si="143"/>
        <v/>
      </c>
      <c r="N2735" s="11" t="str">
        <f t="shared" si="144"/>
        <v/>
      </c>
    </row>
    <row r="2736" spans="9:14" x14ac:dyDescent="0.25">
      <c r="I2736" s="11" t="b">
        <f t="shared" si="145"/>
        <v>0</v>
      </c>
      <c r="M2736" s="17" t="str">
        <f t="shared" si="143"/>
        <v/>
      </c>
      <c r="N2736" s="11" t="str">
        <f t="shared" si="144"/>
        <v/>
      </c>
    </row>
    <row r="2737" spans="9:14" x14ac:dyDescent="0.25">
      <c r="I2737" s="11" t="b">
        <f t="shared" si="145"/>
        <v>0</v>
      </c>
      <c r="M2737" s="17" t="str">
        <f t="shared" si="143"/>
        <v/>
      </c>
      <c r="N2737" s="11" t="str">
        <f t="shared" si="144"/>
        <v/>
      </c>
    </row>
    <row r="2738" spans="9:14" x14ac:dyDescent="0.25">
      <c r="I2738" s="11" t="b">
        <f t="shared" si="145"/>
        <v>0</v>
      </c>
      <c r="M2738" s="17" t="str">
        <f t="shared" si="143"/>
        <v/>
      </c>
      <c r="N2738" s="11" t="str">
        <f t="shared" si="144"/>
        <v/>
      </c>
    </row>
    <row r="2739" spans="9:14" x14ac:dyDescent="0.25">
      <c r="I2739" s="11" t="b">
        <f t="shared" si="145"/>
        <v>0</v>
      </c>
      <c r="M2739" s="17" t="str">
        <f t="shared" si="143"/>
        <v/>
      </c>
      <c r="N2739" s="11" t="str">
        <f t="shared" si="144"/>
        <v/>
      </c>
    </row>
    <row r="2740" spans="9:14" x14ac:dyDescent="0.25">
      <c r="I2740" s="11" t="b">
        <f t="shared" si="145"/>
        <v>0</v>
      </c>
      <c r="M2740" s="17" t="str">
        <f t="shared" si="143"/>
        <v/>
      </c>
      <c r="N2740" s="11" t="str">
        <f t="shared" si="144"/>
        <v/>
      </c>
    </row>
    <row r="2741" spans="9:14" x14ac:dyDescent="0.25">
      <c r="I2741" s="11" t="b">
        <f t="shared" si="145"/>
        <v>0</v>
      </c>
      <c r="M2741" s="17" t="str">
        <f t="shared" si="143"/>
        <v/>
      </c>
      <c r="N2741" s="11" t="str">
        <f t="shared" si="144"/>
        <v/>
      </c>
    </row>
    <row r="2742" spans="9:14" x14ac:dyDescent="0.25">
      <c r="I2742" s="11" t="b">
        <f t="shared" si="145"/>
        <v>0</v>
      </c>
      <c r="M2742" s="17" t="str">
        <f t="shared" si="143"/>
        <v/>
      </c>
      <c r="N2742" s="11" t="str">
        <f t="shared" si="144"/>
        <v/>
      </c>
    </row>
    <row r="2743" spans="9:14" x14ac:dyDescent="0.25">
      <c r="I2743" s="11" t="b">
        <f t="shared" si="145"/>
        <v>0</v>
      </c>
      <c r="M2743" s="17" t="str">
        <f t="shared" si="143"/>
        <v/>
      </c>
      <c r="N2743" s="11" t="str">
        <f t="shared" si="144"/>
        <v/>
      </c>
    </row>
    <row r="2744" spans="9:14" x14ac:dyDescent="0.25">
      <c r="I2744" s="11" t="b">
        <f t="shared" si="145"/>
        <v>0</v>
      </c>
      <c r="M2744" s="17" t="str">
        <f t="shared" si="143"/>
        <v/>
      </c>
      <c r="N2744" s="11" t="str">
        <f t="shared" si="144"/>
        <v/>
      </c>
    </row>
    <row r="2745" spans="9:14" x14ac:dyDescent="0.25">
      <c r="I2745" s="11" t="b">
        <f t="shared" si="145"/>
        <v>0</v>
      </c>
      <c r="M2745" s="17" t="str">
        <f t="shared" si="143"/>
        <v/>
      </c>
      <c r="N2745" s="11" t="str">
        <f t="shared" si="144"/>
        <v/>
      </c>
    </row>
    <row r="2746" spans="9:14" x14ac:dyDescent="0.25">
      <c r="I2746" s="11" t="b">
        <f t="shared" si="145"/>
        <v>0</v>
      </c>
      <c r="M2746" s="17" t="str">
        <f t="shared" si="143"/>
        <v/>
      </c>
      <c r="N2746" s="11" t="str">
        <f t="shared" si="144"/>
        <v/>
      </c>
    </row>
    <row r="2747" spans="9:14" x14ac:dyDescent="0.25">
      <c r="I2747" s="11" t="b">
        <f t="shared" si="145"/>
        <v>0</v>
      </c>
      <c r="M2747" s="17" t="str">
        <f t="shared" si="143"/>
        <v/>
      </c>
      <c r="N2747" s="11" t="str">
        <f t="shared" si="144"/>
        <v/>
      </c>
    </row>
    <row r="2748" spans="9:14" x14ac:dyDescent="0.25">
      <c r="I2748" s="11" t="b">
        <f t="shared" si="145"/>
        <v>0</v>
      </c>
      <c r="M2748" s="17" t="str">
        <f t="shared" si="143"/>
        <v/>
      </c>
      <c r="N2748" s="11" t="str">
        <f t="shared" si="144"/>
        <v/>
      </c>
    </row>
    <row r="2749" spans="9:14" x14ac:dyDescent="0.25">
      <c r="I2749" s="11" t="b">
        <f t="shared" si="145"/>
        <v>0</v>
      </c>
      <c r="M2749" s="17" t="str">
        <f t="shared" si="143"/>
        <v/>
      </c>
      <c r="N2749" s="11" t="str">
        <f t="shared" si="144"/>
        <v/>
      </c>
    </row>
    <row r="2750" spans="9:14" x14ac:dyDescent="0.25">
      <c r="I2750" s="11" t="b">
        <f t="shared" si="145"/>
        <v>0</v>
      </c>
      <c r="M2750" s="17" t="str">
        <f t="shared" si="143"/>
        <v/>
      </c>
      <c r="N2750" s="11" t="str">
        <f t="shared" si="144"/>
        <v/>
      </c>
    </row>
    <row r="2751" spans="9:14" x14ac:dyDescent="0.25">
      <c r="I2751" s="11" t="b">
        <f t="shared" si="145"/>
        <v>0</v>
      </c>
      <c r="M2751" s="17" t="str">
        <f t="shared" si="143"/>
        <v/>
      </c>
      <c r="N2751" s="11" t="str">
        <f t="shared" si="144"/>
        <v/>
      </c>
    </row>
    <row r="2752" spans="9:14" x14ac:dyDescent="0.25">
      <c r="I2752" s="11" t="b">
        <f t="shared" si="145"/>
        <v>0</v>
      </c>
      <c r="M2752" s="17" t="str">
        <f t="shared" si="143"/>
        <v/>
      </c>
      <c r="N2752" s="11" t="str">
        <f t="shared" si="144"/>
        <v/>
      </c>
    </row>
    <row r="2753" spans="9:14" x14ac:dyDescent="0.25">
      <c r="I2753" s="11" t="b">
        <f t="shared" si="145"/>
        <v>0</v>
      </c>
      <c r="M2753" s="17" t="str">
        <f t="shared" ref="M2753:M2816" si="146">IF(B2753=0, "",M2752+ J2753-K2753)</f>
        <v/>
      </c>
      <c r="N2753" s="11" t="str">
        <f t="shared" ref="N2753:N2816" si="147">IF(B2753=0, "", MONTH(B2753))</f>
        <v/>
      </c>
    </row>
    <row r="2754" spans="9:14" x14ac:dyDescent="0.25">
      <c r="I2754" s="11" t="b">
        <f t="shared" si="145"/>
        <v>0</v>
      </c>
      <c r="M2754" s="17" t="str">
        <f t="shared" si="146"/>
        <v/>
      </c>
      <c r="N2754" s="11" t="str">
        <f t="shared" si="147"/>
        <v/>
      </c>
    </row>
    <row r="2755" spans="9:14" x14ac:dyDescent="0.25">
      <c r="I2755" s="11" t="b">
        <f t="shared" si="145"/>
        <v>0</v>
      </c>
      <c r="M2755" s="17" t="str">
        <f t="shared" si="146"/>
        <v/>
      </c>
      <c r="N2755" s="11" t="str">
        <f t="shared" si="147"/>
        <v/>
      </c>
    </row>
    <row r="2756" spans="9:14" x14ac:dyDescent="0.25">
      <c r="I2756" s="11" t="b">
        <f t="shared" si="145"/>
        <v>0</v>
      </c>
      <c r="M2756" s="17" t="str">
        <f t="shared" si="146"/>
        <v/>
      </c>
      <c r="N2756" s="11" t="str">
        <f t="shared" si="147"/>
        <v/>
      </c>
    </row>
    <row r="2757" spans="9:14" x14ac:dyDescent="0.25">
      <c r="I2757" s="11" t="b">
        <f t="shared" si="145"/>
        <v>0</v>
      </c>
      <c r="M2757" s="17" t="str">
        <f t="shared" si="146"/>
        <v/>
      </c>
      <c r="N2757" s="11" t="str">
        <f t="shared" si="147"/>
        <v/>
      </c>
    </row>
    <row r="2758" spans="9:14" x14ac:dyDescent="0.25">
      <c r="I2758" s="11" t="b">
        <f t="shared" si="145"/>
        <v>0</v>
      </c>
      <c r="M2758" s="17" t="str">
        <f t="shared" si="146"/>
        <v/>
      </c>
      <c r="N2758" s="11" t="str">
        <f t="shared" si="147"/>
        <v/>
      </c>
    </row>
    <row r="2759" spans="9:14" x14ac:dyDescent="0.25">
      <c r="I2759" s="11" t="b">
        <f t="shared" si="145"/>
        <v>0</v>
      </c>
      <c r="M2759" s="17" t="str">
        <f t="shared" si="146"/>
        <v/>
      </c>
      <c r="N2759" s="11" t="str">
        <f t="shared" si="147"/>
        <v/>
      </c>
    </row>
    <row r="2760" spans="9:14" x14ac:dyDescent="0.25">
      <c r="I2760" s="11" t="b">
        <f t="shared" si="145"/>
        <v>0</v>
      </c>
      <c r="M2760" s="17" t="str">
        <f t="shared" si="146"/>
        <v/>
      </c>
      <c r="N2760" s="11" t="str">
        <f t="shared" si="147"/>
        <v/>
      </c>
    </row>
    <row r="2761" spans="9:14" x14ac:dyDescent="0.25">
      <c r="I2761" s="11" t="b">
        <f t="shared" si="145"/>
        <v>0</v>
      </c>
      <c r="M2761" s="17" t="str">
        <f t="shared" si="146"/>
        <v/>
      </c>
      <c r="N2761" s="11" t="str">
        <f t="shared" si="147"/>
        <v/>
      </c>
    </row>
    <row r="2762" spans="9:14" x14ac:dyDescent="0.25">
      <c r="I2762" s="11" t="b">
        <f t="shared" si="145"/>
        <v>0</v>
      </c>
      <c r="M2762" s="17" t="str">
        <f t="shared" si="146"/>
        <v/>
      </c>
      <c r="N2762" s="11" t="str">
        <f t="shared" si="147"/>
        <v/>
      </c>
    </row>
    <row r="2763" spans="9:14" x14ac:dyDescent="0.25">
      <c r="I2763" s="11" t="b">
        <f t="shared" si="145"/>
        <v>0</v>
      </c>
      <c r="M2763" s="17" t="str">
        <f t="shared" si="146"/>
        <v/>
      </c>
      <c r="N2763" s="11" t="str">
        <f t="shared" si="147"/>
        <v/>
      </c>
    </row>
    <row r="2764" spans="9:14" x14ac:dyDescent="0.25">
      <c r="I2764" s="11" t="b">
        <f t="shared" si="145"/>
        <v>0</v>
      </c>
      <c r="M2764" s="17" t="str">
        <f t="shared" si="146"/>
        <v/>
      </c>
      <c r="N2764" s="11" t="str">
        <f t="shared" si="147"/>
        <v/>
      </c>
    </row>
    <row r="2765" spans="9:14" x14ac:dyDescent="0.25">
      <c r="I2765" s="11" t="b">
        <f t="shared" si="145"/>
        <v>0</v>
      </c>
      <c r="M2765" s="17" t="str">
        <f t="shared" si="146"/>
        <v/>
      </c>
      <c r="N2765" s="11" t="str">
        <f t="shared" si="147"/>
        <v/>
      </c>
    </row>
    <row r="2766" spans="9:14" x14ac:dyDescent="0.25">
      <c r="I2766" s="11" t="b">
        <f t="shared" si="145"/>
        <v>0</v>
      </c>
      <c r="M2766" s="17" t="str">
        <f t="shared" si="146"/>
        <v/>
      </c>
      <c r="N2766" s="11" t="str">
        <f t="shared" si="147"/>
        <v/>
      </c>
    </row>
    <row r="2767" spans="9:14" x14ac:dyDescent="0.25">
      <c r="I2767" s="11" t="b">
        <f t="shared" si="145"/>
        <v>0</v>
      </c>
      <c r="M2767" s="17" t="str">
        <f t="shared" si="146"/>
        <v/>
      </c>
      <c r="N2767" s="11" t="str">
        <f t="shared" si="147"/>
        <v/>
      </c>
    </row>
    <row r="2768" spans="9:14" x14ac:dyDescent="0.25">
      <c r="I2768" s="11" t="b">
        <f t="shared" si="145"/>
        <v>0</v>
      </c>
      <c r="M2768" s="17" t="str">
        <f t="shared" si="146"/>
        <v/>
      </c>
      <c r="N2768" s="11" t="str">
        <f t="shared" si="147"/>
        <v/>
      </c>
    </row>
    <row r="2769" spans="9:14" x14ac:dyDescent="0.25">
      <c r="I2769" s="11" t="b">
        <f t="shared" si="145"/>
        <v>0</v>
      </c>
      <c r="M2769" s="17" t="str">
        <f t="shared" si="146"/>
        <v/>
      </c>
      <c r="N2769" s="11" t="str">
        <f t="shared" si="147"/>
        <v/>
      </c>
    </row>
    <row r="2770" spans="9:14" x14ac:dyDescent="0.25">
      <c r="I2770" s="11" t="b">
        <f t="shared" si="145"/>
        <v>0</v>
      </c>
      <c r="M2770" s="17" t="str">
        <f t="shared" si="146"/>
        <v/>
      </c>
      <c r="N2770" s="11" t="str">
        <f t="shared" si="147"/>
        <v/>
      </c>
    </row>
    <row r="2771" spans="9:14" x14ac:dyDescent="0.25">
      <c r="I2771" s="11" t="b">
        <f t="shared" si="145"/>
        <v>0</v>
      </c>
      <c r="M2771" s="17" t="str">
        <f t="shared" si="146"/>
        <v/>
      </c>
      <c r="N2771" s="11" t="str">
        <f t="shared" si="147"/>
        <v/>
      </c>
    </row>
    <row r="2772" spans="9:14" x14ac:dyDescent="0.25">
      <c r="I2772" s="11" t="b">
        <f t="shared" si="145"/>
        <v>0</v>
      </c>
      <c r="M2772" s="17" t="str">
        <f t="shared" si="146"/>
        <v/>
      </c>
      <c r="N2772" s="11" t="str">
        <f t="shared" si="147"/>
        <v/>
      </c>
    </row>
    <row r="2773" spans="9:14" x14ac:dyDescent="0.25">
      <c r="I2773" s="11" t="b">
        <f t="shared" si="145"/>
        <v>0</v>
      </c>
      <c r="M2773" s="17" t="str">
        <f t="shared" si="146"/>
        <v/>
      </c>
      <c r="N2773" s="11" t="str">
        <f t="shared" si="147"/>
        <v/>
      </c>
    </row>
    <row r="2774" spans="9:14" x14ac:dyDescent="0.25">
      <c r="I2774" s="11" t="b">
        <f t="shared" si="145"/>
        <v>0</v>
      </c>
      <c r="M2774" s="17" t="str">
        <f t="shared" si="146"/>
        <v/>
      </c>
      <c r="N2774" s="11" t="str">
        <f t="shared" si="147"/>
        <v/>
      </c>
    </row>
    <row r="2775" spans="9:14" x14ac:dyDescent="0.25">
      <c r="I2775" s="11" t="b">
        <f t="shared" si="145"/>
        <v>0</v>
      </c>
      <c r="M2775" s="17" t="str">
        <f t="shared" si="146"/>
        <v/>
      </c>
      <c r="N2775" s="11" t="str">
        <f t="shared" si="147"/>
        <v/>
      </c>
    </row>
    <row r="2776" spans="9:14" x14ac:dyDescent="0.25">
      <c r="I2776" s="11" t="b">
        <f t="shared" si="145"/>
        <v>0</v>
      </c>
      <c r="M2776" s="17" t="str">
        <f t="shared" si="146"/>
        <v/>
      </c>
      <c r="N2776" s="11" t="str">
        <f t="shared" si="147"/>
        <v/>
      </c>
    </row>
    <row r="2777" spans="9:14" x14ac:dyDescent="0.25">
      <c r="I2777" s="11" t="b">
        <f t="shared" si="145"/>
        <v>0</v>
      </c>
      <c r="M2777" s="17" t="str">
        <f t="shared" si="146"/>
        <v/>
      </c>
      <c r="N2777" s="11" t="str">
        <f t="shared" si="147"/>
        <v/>
      </c>
    </row>
    <row r="2778" spans="9:14" x14ac:dyDescent="0.25">
      <c r="I2778" s="11" t="b">
        <f t="shared" si="145"/>
        <v>0</v>
      </c>
      <c r="M2778" s="17" t="str">
        <f t="shared" si="146"/>
        <v/>
      </c>
      <c r="N2778" s="11" t="str">
        <f t="shared" si="147"/>
        <v/>
      </c>
    </row>
    <row r="2779" spans="9:14" x14ac:dyDescent="0.25">
      <c r="I2779" s="11" t="b">
        <f t="shared" si="145"/>
        <v>0</v>
      </c>
      <c r="M2779" s="17" t="str">
        <f t="shared" si="146"/>
        <v/>
      </c>
      <c r="N2779" s="11" t="str">
        <f t="shared" si="147"/>
        <v/>
      </c>
    </row>
    <row r="2780" spans="9:14" x14ac:dyDescent="0.25">
      <c r="I2780" s="11" t="b">
        <f t="shared" si="145"/>
        <v>0</v>
      </c>
      <c r="M2780" s="17" t="str">
        <f t="shared" si="146"/>
        <v/>
      </c>
      <c r="N2780" s="11" t="str">
        <f t="shared" si="147"/>
        <v/>
      </c>
    </row>
    <row r="2781" spans="9:14" x14ac:dyDescent="0.25">
      <c r="I2781" s="11" t="b">
        <f t="shared" ref="I2781:I2844" si="148">IF(AND(G2781="MERCADO PAGO",A2781="FATURAMENTO"),1,IF(AND(OR(G2781="MERCADO PAGO",G2781="pix mercado pago",G2781= "débito automático mercado pago", G2781= "boleto mercado pago"),A2781="DESPESAS"),4,IF(AND(G2781="SAFRA",A2781="FATURAMENTO"),2,IF(AND(OR(G2781="SAFRA",G2781="PIX SAFRA", G2781="DÉBITO AUTOMÁTICO SAFRA", G2781= "BOLETO SAFRA", G2781= "transferência safra"), A2781="DESPESAS"),5,IF(AND(G2781="espécie",A2781="FATURAMENTO"),3,IF(AND(G2781="espécie",A2781="DESPESAS"),6))))))</f>
        <v>0</v>
      </c>
      <c r="M2781" s="17" t="str">
        <f t="shared" si="146"/>
        <v/>
      </c>
      <c r="N2781" s="11" t="str">
        <f t="shared" si="147"/>
        <v/>
      </c>
    </row>
    <row r="2782" spans="9:14" x14ac:dyDescent="0.25">
      <c r="I2782" s="11" t="b">
        <f t="shared" si="148"/>
        <v>0</v>
      </c>
      <c r="M2782" s="17" t="str">
        <f t="shared" si="146"/>
        <v/>
      </c>
      <c r="N2782" s="11" t="str">
        <f t="shared" si="147"/>
        <v/>
      </c>
    </row>
    <row r="2783" spans="9:14" x14ac:dyDescent="0.25">
      <c r="I2783" s="11" t="b">
        <f t="shared" si="148"/>
        <v>0</v>
      </c>
      <c r="M2783" s="17" t="str">
        <f t="shared" si="146"/>
        <v/>
      </c>
      <c r="N2783" s="11" t="str">
        <f t="shared" si="147"/>
        <v/>
      </c>
    </row>
    <row r="2784" spans="9:14" x14ac:dyDescent="0.25">
      <c r="I2784" s="11" t="b">
        <f t="shared" si="148"/>
        <v>0</v>
      </c>
      <c r="M2784" s="17" t="str">
        <f t="shared" si="146"/>
        <v/>
      </c>
      <c r="N2784" s="11" t="str">
        <f t="shared" si="147"/>
        <v/>
      </c>
    </row>
    <row r="2785" spans="9:14" x14ac:dyDescent="0.25">
      <c r="I2785" s="11" t="b">
        <f t="shared" si="148"/>
        <v>0</v>
      </c>
      <c r="M2785" s="17" t="str">
        <f t="shared" si="146"/>
        <v/>
      </c>
      <c r="N2785" s="11" t="str">
        <f t="shared" si="147"/>
        <v/>
      </c>
    </row>
    <row r="2786" spans="9:14" x14ac:dyDescent="0.25">
      <c r="I2786" s="11" t="b">
        <f t="shared" si="148"/>
        <v>0</v>
      </c>
      <c r="M2786" s="17" t="str">
        <f t="shared" si="146"/>
        <v/>
      </c>
      <c r="N2786" s="11" t="str">
        <f t="shared" si="147"/>
        <v/>
      </c>
    </row>
    <row r="2787" spans="9:14" x14ac:dyDescent="0.25">
      <c r="I2787" s="11" t="b">
        <f t="shared" si="148"/>
        <v>0</v>
      </c>
      <c r="M2787" s="17" t="str">
        <f t="shared" si="146"/>
        <v/>
      </c>
      <c r="N2787" s="11" t="str">
        <f t="shared" si="147"/>
        <v/>
      </c>
    </row>
    <row r="2788" spans="9:14" x14ac:dyDescent="0.25">
      <c r="I2788" s="11" t="b">
        <f t="shared" si="148"/>
        <v>0</v>
      </c>
      <c r="M2788" s="17" t="str">
        <f t="shared" si="146"/>
        <v/>
      </c>
      <c r="N2788" s="11" t="str">
        <f t="shared" si="147"/>
        <v/>
      </c>
    </row>
    <row r="2789" spans="9:14" x14ac:dyDescent="0.25">
      <c r="I2789" s="11" t="b">
        <f t="shared" si="148"/>
        <v>0</v>
      </c>
      <c r="M2789" s="17" t="str">
        <f t="shared" si="146"/>
        <v/>
      </c>
      <c r="N2789" s="11" t="str">
        <f t="shared" si="147"/>
        <v/>
      </c>
    </row>
    <row r="2790" spans="9:14" x14ac:dyDescent="0.25">
      <c r="I2790" s="11" t="b">
        <f t="shared" si="148"/>
        <v>0</v>
      </c>
      <c r="M2790" s="17" t="str">
        <f t="shared" si="146"/>
        <v/>
      </c>
      <c r="N2790" s="11" t="str">
        <f t="shared" si="147"/>
        <v/>
      </c>
    </row>
    <row r="2791" spans="9:14" x14ac:dyDescent="0.25">
      <c r="I2791" s="11" t="b">
        <f t="shared" si="148"/>
        <v>0</v>
      </c>
      <c r="M2791" s="17" t="str">
        <f t="shared" si="146"/>
        <v/>
      </c>
      <c r="N2791" s="11" t="str">
        <f t="shared" si="147"/>
        <v/>
      </c>
    </row>
    <row r="2792" spans="9:14" x14ac:dyDescent="0.25">
      <c r="I2792" s="11" t="b">
        <f t="shared" si="148"/>
        <v>0</v>
      </c>
      <c r="M2792" s="17" t="str">
        <f t="shared" si="146"/>
        <v/>
      </c>
      <c r="N2792" s="11" t="str">
        <f t="shared" si="147"/>
        <v/>
      </c>
    </row>
    <row r="2793" spans="9:14" x14ac:dyDescent="0.25">
      <c r="I2793" s="11" t="b">
        <f t="shared" si="148"/>
        <v>0</v>
      </c>
      <c r="M2793" s="17" t="str">
        <f t="shared" si="146"/>
        <v/>
      </c>
      <c r="N2793" s="11" t="str">
        <f t="shared" si="147"/>
        <v/>
      </c>
    </row>
    <row r="2794" spans="9:14" x14ac:dyDescent="0.25">
      <c r="I2794" s="11" t="b">
        <f t="shared" si="148"/>
        <v>0</v>
      </c>
      <c r="M2794" s="17" t="str">
        <f t="shared" si="146"/>
        <v/>
      </c>
      <c r="N2794" s="11" t="str">
        <f t="shared" si="147"/>
        <v/>
      </c>
    </row>
    <row r="2795" spans="9:14" x14ac:dyDescent="0.25">
      <c r="I2795" s="11" t="b">
        <f t="shared" si="148"/>
        <v>0</v>
      </c>
      <c r="M2795" s="17" t="str">
        <f t="shared" si="146"/>
        <v/>
      </c>
      <c r="N2795" s="11" t="str">
        <f t="shared" si="147"/>
        <v/>
      </c>
    </row>
    <row r="2796" spans="9:14" x14ac:dyDescent="0.25">
      <c r="I2796" s="11" t="b">
        <f t="shared" si="148"/>
        <v>0</v>
      </c>
      <c r="M2796" s="17" t="str">
        <f t="shared" si="146"/>
        <v/>
      </c>
      <c r="N2796" s="11" t="str">
        <f t="shared" si="147"/>
        <v/>
      </c>
    </row>
    <row r="2797" spans="9:14" x14ac:dyDescent="0.25">
      <c r="I2797" s="11" t="b">
        <f t="shared" si="148"/>
        <v>0</v>
      </c>
      <c r="M2797" s="17" t="str">
        <f t="shared" si="146"/>
        <v/>
      </c>
      <c r="N2797" s="11" t="str">
        <f t="shared" si="147"/>
        <v/>
      </c>
    </row>
    <row r="2798" spans="9:14" x14ac:dyDescent="0.25">
      <c r="I2798" s="11" t="b">
        <f t="shared" si="148"/>
        <v>0</v>
      </c>
      <c r="M2798" s="17" t="str">
        <f t="shared" si="146"/>
        <v/>
      </c>
      <c r="N2798" s="11" t="str">
        <f t="shared" si="147"/>
        <v/>
      </c>
    </row>
    <row r="2799" spans="9:14" x14ac:dyDescent="0.25">
      <c r="I2799" s="11" t="b">
        <f t="shared" si="148"/>
        <v>0</v>
      </c>
      <c r="M2799" s="17" t="str">
        <f t="shared" si="146"/>
        <v/>
      </c>
      <c r="N2799" s="11" t="str">
        <f t="shared" si="147"/>
        <v/>
      </c>
    </row>
    <row r="2800" spans="9:14" x14ac:dyDescent="0.25">
      <c r="I2800" s="11" t="b">
        <f t="shared" si="148"/>
        <v>0</v>
      </c>
      <c r="M2800" s="17" t="str">
        <f t="shared" si="146"/>
        <v/>
      </c>
      <c r="N2800" s="11" t="str">
        <f t="shared" si="147"/>
        <v/>
      </c>
    </row>
    <row r="2801" spans="9:14" x14ac:dyDescent="0.25">
      <c r="I2801" s="11" t="b">
        <f t="shared" si="148"/>
        <v>0</v>
      </c>
      <c r="M2801" s="17" t="str">
        <f t="shared" si="146"/>
        <v/>
      </c>
      <c r="N2801" s="11" t="str">
        <f t="shared" si="147"/>
        <v/>
      </c>
    </row>
    <row r="2802" spans="9:14" x14ac:dyDescent="0.25">
      <c r="I2802" s="11" t="b">
        <f t="shared" si="148"/>
        <v>0</v>
      </c>
      <c r="M2802" s="17" t="str">
        <f t="shared" si="146"/>
        <v/>
      </c>
      <c r="N2802" s="11" t="str">
        <f t="shared" si="147"/>
        <v/>
      </c>
    </row>
    <row r="2803" spans="9:14" x14ac:dyDescent="0.25">
      <c r="I2803" s="11" t="b">
        <f t="shared" si="148"/>
        <v>0</v>
      </c>
      <c r="M2803" s="17" t="str">
        <f t="shared" si="146"/>
        <v/>
      </c>
      <c r="N2803" s="11" t="str">
        <f t="shared" si="147"/>
        <v/>
      </c>
    </row>
    <row r="2804" spans="9:14" x14ac:dyDescent="0.25">
      <c r="I2804" s="11" t="b">
        <f t="shared" si="148"/>
        <v>0</v>
      </c>
      <c r="M2804" s="17" t="str">
        <f t="shared" si="146"/>
        <v/>
      </c>
      <c r="N2804" s="11" t="str">
        <f t="shared" si="147"/>
        <v/>
      </c>
    </row>
    <row r="2805" spans="9:14" x14ac:dyDescent="0.25">
      <c r="I2805" s="11" t="b">
        <f t="shared" si="148"/>
        <v>0</v>
      </c>
      <c r="M2805" s="17" t="str">
        <f t="shared" si="146"/>
        <v/>
      </c>
      <c r="N2805" s="11" t="str">
        <f t="shared" si="147"/>
        <v/>
      </c>
    </row>
    <row r="2806" spans="9:14" x14ac:dyDescent="0.25">
      <c r="I2806" s="11" t="b">
        <f t="shared" si="148"/>
        <v>0</v>
      </c>
      <c r="M2806" s="17" t="str">
        <f t="shared" si="146"/>
        <v/>
      </c>
      <c r="N2806" s="11" t="str">
        <f t="shared" si="147"/>
        <v/>
      </c>
    </row>
    <row r="2807" spans="9:14" x14ac:dyDescent="0.25">
      <c r="I2807" s="11" t="b">
        <f t="shared" si="148"/>
        <v>0</v>
      </c>
      <c r="M2807" s="17" t="str">
        <f t="shared" si="146"/>
        <v/>
      </c>
      <c r="N2807" s="11" t="str">
        <f t="shared" si="147"/>
        <v/>
      </c>
    </row>
    <row r="2808" spans="9:14" x14ac:dyDescent="0.25">
      <c r="I2808" s="11" t="b">
        <f t="shared" si="148"/>
        <v>0</v>
      </c>
      <c r="M2808" s="17" t="str">
        <f t="shared" si="146"/>
        <v/>
      </c>
      <c r="N2808" s="11" t="str">
        <f t="shared" si="147"/>
        <v/>
      </c>
    </row>
    <row r="2809" spans="9:14" x14ac:dyDescent="0.25">
      <c r="I2809" s="11" t="b">
        <f t="shared" si="148"/>
        <v>0</v>
      </c>
      <c r="M2809" s="17" t="str">
        <f t="shared" si="146"/>
        <v/>
      </c>
      <c r="N2809" s="11" t="str">
        <f t="shared" si="147"/>
        <v/>
      </c>
    </row>
    <row r="2810" spans="9:14" x14ac:dyDescent="0.25">
      <c r="I2810" s="11" t="b">
        <f t="shared" si="148"/>
        <v>0</v>
      </c>
      <c r="M2810" s="17" t="str">
        <f t="shared" si="146"/>
        <v/>
      </c>
      <c r="N2810" s="11" t="str">
        <f t="shared" si="147"/>
        <v/>
      </c>
    </row>
    <row r="2811" spans="9:14" x14ac:dyDescent="0.25">
      <c r="I2811" s="11" t="b">
        <f t="shared" si="148"/>
        <v>0</v>
      </c>
      <c r="M2811" s="17" t="str">
        <f t="shared" si="146"/>
        <v/>
      </c>
      <c r="N2811" s="11" t="str">
        <f t="shared" si="147"/>
        <v/>
      </c>
    </row>
    <row r="2812" spans="9:14" x14ac:dyDescent="0.25">
      <c r="I2812" s="11" t="b">
        <f t="shared" si="148"/>
        <v>0</v>
      </c>
      <c r="M2812" s="17" t="str">
        <f t="shared" si="146"/>
        <v/>
      </c>
      <c r="N2812" s="11" t="str">
        <f t="shared" si="147"/>
        <v/>
      </c>
    </row>
    <row r="2813" spans="9:14" x14ac:dyDescent="0.25">
      <c r="I2813" s="11" t="b">
        <f t="shared" si="148"/>
        <v>0</v>
      </c>
      <c r="M2813" s="17" t="str">
        <f t="shared" si="146"/>
        <v/>
      </c>
      <c r="N2813" s="11" t="str">
        <f t="shared" si="147"/>
        <v/>
      </c>
    </row>
    <row r="2814" spans="9:14" x14ac:dyDescent="0.25">
      <c r="I2814" s="11" t="b">
        <f t="shared" si="148"/>
        <v>0</v>
      </c>
      <c r="M2814" s="17" t="str">
        <f t="shared" si="146"/>
        <v/>
      </c>
      <c r="N2814" s="11" t="str">
        <f t="shared" si="147"/>
        <v/>
      </c>
    </row>
    <row r="2815" spans="9:14" x14ac:dyDescent="0.25">
      <c r="I2815" s="11" t="b">
        <f t="shared" si="148"/>
        <v>0</v>
      </c>
      <c r="M2815" s="17" t="str">
        <f t="shared" si="146"/>
        <v/>
      </c>
      <c r="N2815" s="11" t="str">
        <f t="shared" si="147"/>
        <v/>
      </c>
    </row>
    <row r="2816" spans="9:14" x14ac:dyDescent="0.25">
      <c r="I2816" s="11" t="b">
        <f t="shared" si="148"/>
        <v>0</v>
      </c>
      <c r="M2816" s="17" t="str">
        <f t="shared" si="146"/>
        <v/>
      </c>
      <c r="N2816" s="11" t="str">
        <f t="shared" si="147"/>
        <v/>
      </c>
    </row>
    <row r="2817" spans="9:14" x14ac:dyDescent="0.25">
      <c r="I2817" s="11" t="b">
        <f t="shared" si="148"/>
        <v>0</v>
      </c>
      <c r="M2817" s="17" t="str">
        <f t="shared" ref="M2817:M2880" si="149">IF(B2817=0, "",M2816+ J2817-K2817)</f>
        <v/>
      </c>
      <c r="N2817" s="11" t="str">
        <f t="shared" ref="N2817:N2880" si="150">IF(B2817=0, "", MONTH(B2817))</f>
        <v/>
      </c>
    </row>
    <row r="2818" spans="9:14" x14ac:dyDescent="0.25">
      <c r="I2818" s="11" t="b">
        <f t="shared" si="148"/>
        <v>0</v>
      </c>
      <c r="M2818" s="17" t="str">
        <f t="shared" si="149"/>
        <v/>
      </c>
      <c r="N2818" s="11" t="str">
        <f t="shared" si="150"/>
        <v/>
      </c>
    </row>
    <row r="2819" spans="9:14" x14ac:dyDescent="0.25">
      <c r="I2819" s="11" t="b">
        <f t="shared" si="148"/>
        <v>0</v>
      </c>
      <c r="M2819" s="17" t="str">
        <f t="shared" si="149"/>
        <v/>
      </c>
      <c r="N2819" s="11" t="str">
        <f t="shared" si="150"/>
        <v/>
      </c>
    </row>
    <row r="2820" spans="9:14" x14ac:dyDescent="0.25">
      <c r="I2820" s="11" t="b">
        <f t="shared" si="148"/>
        <v>0</v>
      </c>
      <c r="M2820" s="17" t="str">
        <f t="shared" si="149"/>
        <v/>
      </c>
      <c r="N2820" s="11" t="str">
        <f t="shared" si="150"/>
        <v/>
      </c>
    </row>
    <row r="2821" spans="9:14" x14ac:dyDescent="0.25">
      <c r="I2821" s="11" t="b">
        <f t="shared" si="148"/>
        <v>0</v>
      </c>
      <c r="M2821" s="17" t="str">
        <f t="shared" si="149"/>
        <v/>
      </c>
      <c r="N2821" s="11" t="str">
        <f t="shared" si="150"/>
        <v/>
      </c>
    </row>
    <row r="2822" spans="9:14" x14ac:dyDescent="0.25">
      <c r="I2822" s="11" t="b">
        <f t="shared" si="148"/>
        <v>0</v>
      </c>
      <c r="M2822" s="17" t="str">
        <f t="shared" si="149"/>
        <v/>
      </c>
      <c r="N2822" s="11" t="str">
        <f t="shared" si="150"/>
        <v/>
      </c>
    </row>
    <row r="2823" spans="9:14" x14ac:dyDescent="0.25">
      <c r="I2823" s="11" t="b">
        <f t="shared" si="148"/>
        <v>0</v>
      </c>
      <c r="M2823" s="17" t="str">
        <f t="shared" si="149"/>
        <v/>
      </c>
      <c r="N2823" s="11" t="str">
        <f t="shared" si="150"/>
        <v/>
      </c>
    </row>
    <row r="2824" spans="9:14" x14ac:dyDescent="0.25">
      <c r="I2824" s="11" t="b">
        <f t="shared" si="148"/>
        <v>0</v>
      </c>
      <c r="M2824" s="17" t="str">
        <f t="shared" si="149"/>
        <v/>
      </c>
      <c r="N2824" s="11" t="str">
        <f t="shared" si="150"/>
        <v/>
      </c>
    </row>
    <row r="2825" spans="9:14" x14ac:dyDescent="0.25">
      <c r="I2825" s="11" t="b">
        <f t="shared" si="148"/>
        <v>0</v>
      </c>
      <c r="M2825" s="17" t="str">
        <f t="shared" si="149"/>
        <v/>
      </c>
      <c r="N2825" s="11" t="str">
        <f t="shared" si="150"/>
        <v/>
      </c>
    </row>
    <row r="2826" spans="9:14" x14ac:dyDescent="0.25">
      <c r="I2826" s="11" t="b">
        <f t="shared" si="148"/>
        <v>0</v>
      </c>
      <c r="M2826" s="17" t="str">
        <f t="shared" si="149"/>
        <v/>
      </c>
      <c r="N2826" s="11" t="str">
        <f t="shared" si="150"/>
        <v/>
      </c>
    </row>
    <row r="2827" spans="9:14" x14ac:dyDescent="0.25">
      <c r="I2827" s="11" t="b">
        <f t="shared" si="148"/>
        <v>0</v>
      </c>
      <c r="M2827" s="17" t="str">
        <f t="shared" si="149"/>
        <v/>
      </c>
      <c r="N2827" s="11" t="str">
        <f t="shared" si="150"/>
        <v/>
      </c>
    </row>
    <row r="2828" spans="9:14" x14ac:dyDescent="0.25">
      <c r="I2828" s="11" t="b">
        <f t="shared" si="148"/>
        <v>0</v>
      </c>
      <c r="M2828" s="17" t="str">
        <f t="shared" si="149"/>
        <v/>
      </c>
      <c r="N2828" s="11" t="str">
        <f t="shared" si="150"/>
        <v/>
      </c>
    </row>
    <row r="2829" spans="9:14" x14ac:dyDescent="0.25">
      <c r="I2829" s="11" t="b">
        <f t="shared" si="148"/>
        <v>0</v>
      </c>
      <c r="M2829" s="17" t="str">
        <f t="shared" si="149"/>
        <v/>
      </c>
      <c r="N2829" s="11" t="str">
        <f t="shared" si="150"/>
        <v/>
      </c>
    </row>
    <row r="2830" spans="9:14" x14ac:dyDescent="0.25">
      <c r="I2830" s="11" t="b">
        <f t="shared" si="148"/>
        <v>0</v>
      </c>
      <c r="M2830" s="17" t="str">
        <f t="shared" si="149"/>
        <v/>
      </c>
      <c r="N2830" s="11" t="str">
        <f t="shared" si="150"/>
        <v/>
      </c>
    </row>
    <row r="2831" spans="9:14" x14ac:dyDescent="0.25">
      <c r="I2831" s="11" t="b">
        <f t="shared" si="148"/>
        <v>0</v>
      </c>
      <c r="M2831" s="17" t="str">
        <f t="shared" si="149"/>
        <v/>
      </c>
      <c r="N2831" s="11" t="str">
        <f t="shared" si="150"/>
        <v/>
      </c>
    </row>
    <row r="2832" spans="9:14" x14ac:dyDescent="0.25">
      <c r="I2832" s="11" t="b">
        <f t="shared" si="148"/>
        <v>0</v>
      </c>
      <c r="M2832" s="17" t="str">
        <f t="shared" si="149"/>
        <v/>
      </c>
      <c r="N2832" s="11" t="str">
        <f t="shared" si="150"/>
        <v/>
      </c>
    </row>
    <row r="2833" spans="9:14" x14ac:dyDescent="0.25">
      <c r="I2833" s="11" t="b">
        <f t="shared" si="148"/>
        <v>0</v>
      </c>
      <c r="M2833" s="17" t="str">
        <f t="shared" si="149"/>
        <v/>
      </c>
      <c r="N2833" s="11" t="str">
        <f t="shared" si="150"/>
        <v/>
      </c>
    </row>
    <row r="2834" spans="9:14" x14ac:dyDescent="0.25">
      <c r="I2834" s="11" t="b">
        <f t="shared" si="148"/>
        <v>0</v>
      </c>
      <c r="M2834" s="17" t="str">
        <f t="shared" si="149"/>
        <v/>
      </c>
      <c r="N2834" s="11" t="str">
        <f t="shared" si="150"/>
        <v/>
      </c>
    </row>
    <row r="2835" spans="9:14" x14ac:dyDescent="0.25">
      <c r="I2835" s="11" t="b">
        <f t="shared" si="148"/>
        <v>0</v>
      </c>
      <c r="M2835" s="17" t="str">
        <f t="shared" si="149"/>
        <v/>
      </c>
      <c r="N2835" s="11" t="str">
        <f t="shared" si="150"/>
        <v/>
      </c>
    </row>
    <row r="2836" spans="9:14" x14ac:dyDescent="0.25">
      <c r="I2836" s="11" t="b">
        <f t="shared" si="148"/>
        <v>0</v>
      </c>
      <c r="M2836" s="17" t="str">
        <f t="shared" si="149"/>
        <v/>
      </c>
      <c r="N2836" s="11" t="str">
        <f t="shared" si="150"/>
        <v/>
      </c>
    </row>
    <row r="2837" spans="9:14" x14ac:dyDescent="0.25">
      <c r="I2837" s="11" t="b">
        <f t="shared" si="148"/>
        <v>0</v>
      </c>
      <c r="M2837" s="17" t="str">
        <f t="shared" si="149"/>
        <v/>
      </c>
      <c r="N2837" s="11" t="str">
        <f t="shared" si="150"/>
        <v/>
      </c>
    </row>
    <row r="2838" spans="9:14" x14ac:dyDescent="0.25">
      <c r="I2838" s="11" t="b">
        <f t="shared" si="148"/>
        <v>0</v>
      </c>
      <c r="M2838" s="17" t="str">
        <f t="shared" si="149"/>
        <v/>
      </c>
      <c r="N2838" s="11" t="str">
        <f t="shared" si="150"/>
        <v/>
      </c>
    </row>
    <row r="2839" spans="9:14" x14ac:dyDescent="0.25">
      <c r="I2839" s="11" t="b">
        <f t="shared" si="148"/>
        <v>0</v>
      </c>
      <c r="M2839" s="17" t="str">
        <f t="shared" si="149"/>
        <v/>
      </c>
      <c r="N2839" s="11" t="str">
        <f t="shared" si="150"/>
        <v/>
      </c>
    </row>
    <row r="2840" spans="9:14" x14ac:dyDescent="0.25">
      <c r="I2840" s="11" t="b">
        <f t="shared" si="148"/>
        <v>0</v>
      </c>
      <c r="M2840" s="17" t="str">
        <f t="shared" si="149"/>
        <v/>
      </c>
      <c r="N2840" s="11" t="str">
        <f t="shared" si="150"/>
        <v/>
      </c>
    </row>
    <row r="2841" spans="9:14" x14ac:dyDescent="0.25">
      <c r="I2841" s="11" t="b">
        <f t="shared" si="148"/>
        <v>0</v>
      </c>
      <c r="M2841" s="17" t="str">
        <f t="shared" si="149"/>
        <v/>
      </c>
      <c r="N2841" s="11" t="str">
        <f t="shared" si="150"/>
        <v/>
      </c>
    </row>
    <row r="2842" spans="9:14" x14ac:dyDescent="0.25">
      <c r="I2842" s="11" t="b">
        <f t="shared" si="148"/>
        <v>0</v>
      </c>
      <c r="M2842" s="17" t="str">
        <f t="shared" si="149"/>
        <v/>
      </c>
      <c r="N2842" s="11" t="str">
        <f t="shared" si="150"/>
        <v/>
      </c>
    </row>
    <row r="2843" spans="9:14" x14ac:dyDescent="0.25">
      <c r="I2843" s="11" t="b">
        <f t="shared" si="148"/>
        <v>0</v>
      </c>
      <c r="M2843" s="17" t="str">
        <f t="shared" si="149"/>
        <v/>
      </c>
      <c r="N2843" s="11" t="str">
        <f t="shared" si="150"/>
        <v/>
      </c>
    </row>
    <row r="2844" spans="9:14" x14ac:dyDescent="0.25">
      <c r="I2844" s="11" t="b">
        <f t="shared" si="148"/>
        <v>0</v>
      </c>
      <c r="M2844" s="17" t="str">
        <f t="shared" si="149"/>
        <v/>
      </c>
      <c r="N2844" s="11" t="str">
        <f t="shared" si="150"/>
        <v/>
      </c>
    </row>
    <row r="2845" spans="9:14" x14ac:dyDescent="0.25">
      <c r="I2845" s="11" t="b">
        <f t="shared" ref="I2845:I2908" si="151">IF(AND(G2845="MERCADO PAGO",A2845="FATURAMENTO"),1,IF(AND(OR(G2845="MERCADO PAGO",G2845="pix mercado pago",G2845= "débito automático mercado pago", G2845= "boleto mercado pago"),A2845="DESPESAS"),4,IF(AND(G2845="SAFRA",A2845="FATURAMENTO"),2,IF(AND(OR(G2845="SAFRA",G2845="PIX SAFRA", G2845="DÉBITO AUTOMÁTICO SAFRA", G2845= "BOLETO SAFRA", G2845= "transferência safra"), A2845="DESPESAS"),5,IF(AND(G2845="espécie",A2845="FATURAMENTO"),3,IF(AND(G2845="espécie",A2845="DESPESAS"),6))))))</f>
        <v>0</v>
      </c>
      <c r="M2845" s="17" t="str">
        <f t="shared" si="149"/>
        <v/>
      </c>
      <c r="N2845" s="11" t="str">
        <f t="shared" si="150"/>
        <v/>
      </c>
    </row>
    <row r="2846" spans="9:14" x14ac:dyDescent="0.25">
      <c r="I2846" s="11" t="b">
        <f t="shared" si="151"/>
        <v>0</v>
      </c>
      <c r="M2846" s="17" t="str">
        <f t="shared" si="149"/>
        <v/>
      </c>
      <c r="N2846" s="11" t="str">
        <f t="shared" si="150"/>
        <v/>
      </c>
    </row>
    <row r="2847" spans="9:14" x14ac:dyDescent="0.25">
      <c r="I2847" s="11" t="b">
        <f t="shared" si="151"/>
        <v>0</v>
      </c>
      <c r="M2847" s="17" t="str">
        <f t="shared" si="149"/>
        <v/>
      </c>
      <c r="N2847" s="11" t="str">
        <f t="shared" si="150"/>
        <v/>
      </c>
    </row>
    <row r="2848" spans="9:14" x14ac:dyDescent="0.25">
      <c r="I2848" s="11" t="b">
        <f t="shared" si="151"/>
        <v>0</v>
      </c>
      <c r="M2848" s="17" t="str">
        <f t="shared" si="149"/>
        <v/>
      </c>
      <c r="N2848" s="11" t="str">
        <f t="shared" si="150"/>
        <v/>
      </c>
    </row>
    <row r="2849" spans="9:14" x14ac:dyDescent="0.25">
      <c r="I2849" s="11" t="b">
        <f t="shared" si="151"/>
        <v>0</v>
      </c>
      <c r="M2849" s="17" t="str">
        <f t="shared" si="149"/>
        <v/>
      </c>
      <c r="N2849" s="11" t="str">
        <f t="shared" si="150"/>
        <v/>
      </c>
    </row>
    <row r="2850" spans="9:14" x14ac:dyDescent="0.25">
      <c r="I2850" s="11" t="b">
        <f t="shared" si="151"/>
        <v>0</v>
      </c>
      <c r="M2850" s="17" t="str">
        <f t="shared" si="149"/>
        <v/>
      </c>
      <c r="N2850" s="11" t="str">
        <f t="shared" si="150"/>
        <v/>
      </c>
    </row>
    <row r="2851" spans="9:14" x14ac:dyDescent="0.25">
      <c r="I2851" s="11" t="b">
        <f t="shared" si="151"/>
        <v>0</v>
      </c>
      <c r="M2851" s="17" t="str">
        <f t="shared" si="149"/>
        <v/>
      </c>
      <c r="N2851" s="11" t="str">
        <f t="shared" si="150"/>
        <v/>
      </c>
    </row>
    <row r="2852" spans="9:14" x14ac:dyDescent="0.25">
      <c r="I2852" s="11" t="b">
        <f t="shared" si="151"/>
        <v>0</v>
      </c>
      <c r="M2852" s="17" t="str">
        <f t="shared" si="149"/>
        <v/>
      </c>
      <c r="N2852" s="11" t="str">
        <f t="shared" si="150"/>
        <v/>
      </c>
    </row>
    <row r="2853" spans="9:14" x14ac:dyDescent="0.25">
      <c r="I2853" s="11" t="b">
        <f t="shared" si="151"/>
        <v>0</v>
      </c>
      <c r="M2853" s="17" t="str">
        <f t="shared" si="149"/>
        <v/>
      </c>
      <c r="N2853" s="11" t="str">
        <f t="shared" si="150"/>
        <v/>
      </c>
    </row>
    <row r="2854" spans="9:14" x14ac:dyDescent="0.25">
      <c r="I2854" s="11" t="b">
        <f t="shared" si="151"/>
        <v>0</v>
      </c>
      <c r="M2854" s="17" t="str">
        <f t="shared" si="149"/>
        <v/>
      </c>
      <c r="N2854" s="11" t="str">
        <f t="shared" si="150"/>
        <v/>
      </c>
    </row>
    <row r="2855" spans="9:14" x14ac:dyDescent="0.25">
      <c r="I2855" s="11" t="b">
        <f t="shared" si="151"/>
        <v>0</v>
      </c>
      <c r="M2855" s="17" t="str">
        <f t="shared" si="149"/>
        <v/>
      </c>
      <c r="N2855" s="11" t="str">
        <f t="shared" si="150"/>
        <v/>
      </c>
    </row>
    <row r="2856" spans="9:14" x14ac:dyDescent="0.25">
      <c r="I2856" s="11" t="b">
        <f t="shared" si="151"/>
        <v>0</v>
      </c>
      <c r="M2856" s="17" t="str">
        <f t="shared" si="149"/>
        <v/>
      </c>
      <c r="N2856" s="11" t="str">
        <f t="shared" si="150"/>
        <v/>
      </c>
    </row>
    <row r="2857" spans="9:14" x14ac:dyDescent="0.25">
      <c r="I2857" s="11" t="b">
        <f t="shared" si="151"/>
        <v>0</v>
      </c>
      <c r="M2857" s="17" t="str">
        <f t="shared" si="149"/>
        <v/>
      </c>
      <c r="N2857" s="11" t="str">
        <f t="shared" si="150"/>
        <v/>
      </c>
    </row>
    <row r="2858" spans="9:14" x14ac:dyDescent="0.25">
      <c r="I2858" s="11" t="b">
        <f t="shared" si="151"/>
        <v>0</v>
      </c>
      <c r="M2858" s="17" t="str">
        <f t="shared" si="149"/>
        <v/>
      </c>
      <c r="N2858" s="11" t="str">
        <f t="shared" si="150"/>
        <v/>
      </c>
    </row>
    <row r="2859" spans="9:14" x14ac:dyDescent="0.25">
      <c r="I2859" s="11" t="b">
        <f t="shared" si="151"/>
        <v>0</v>
      </c>
      <c r="M2859" s="17" t="str">
        <f t="shared" si="149"/>
        <v/>
      </c>
      <c r="N2859" s="11" t="str">
        <f t="shared" si="150"/>
        <v/>
      </c>
    </row>
    <row r="2860" spans="9:14" x14ac:dyDescent="0.25">
      <c r="I2860" s="11" t="b">
        <f t="shared" si="151"/>
        <v>0</v>
      </c>
      <c r="M2860" s="17" t="str">
        <f t="shared" si="149"/>
        <v/>
      </c>
      <c r="N2860" s="11" t="str">
        <f t="shared" si="150"/>
        <v/>
      </c>
    </row>
    <row r="2861" spans="9:14" x14ac:dyDescent="0.25">
      <c r="I2861" s="11" t="b">
        <f t="shared" si="151"/>
        <v>0</v>
      </c>
      <c r="M2861" s="17" t="str">
        <f t="shared" si="149"/>
        <v/>
      </c>
      <c r="N2861" s="11" t="str">
        <f t="shared" si="150"/>
        <v/>
      </c>
    </row>
    <row r="2862" spans="9:14" x14ac:dyDescent="0.25">
      <c r="I2862" s="11" t="b">
        <f t="shared" si="151"/>
        <v>0</v>
      </c>
      <c r="M2862" s="17" t="str">
        <f t="shared" si="149"/>
        <v/>
      </c>
      <c r="N2862" s="11" t="str">
        <f t="shared" si="150"/>
        <v/>
      </c>
    </row>
    <row r="2863" spans="9:14" x14ac:dyDescent="0.25">
      <c r="I2863" s="11" t="b">
        <f t="shared" si="151"/>
        <v>0</v>
      </c>
      <c r="M2863" s="17" t="str">
        <f t="shared" si="149"/>
        <v/>
      </c>
      <c r="N2863" s="11" t="str">
        <f t="shared" si="150"/>
        <v/>
      </c>
    </row>
    <row r="2864" spans="9:14" x14ac:dyDescent="0.25">
      <c r="I2864" s="11" t="b">
        <f t="shared" si="151"/>
        <v>0</v>
      </c>
      <c r="M2864" s="17" t="str">
        <f t="shared" si="149"/>
        <v/>
      </c>
      <c r="N2864" s="11" t="str">
        <f t="shared" si="150"/>
        <v/>
      </c>
    </row>
    <row r="2865" spans="9:14" x14ac:dyDescent="0.25">
      <c r="I2865" s="11" t="b">
        <f t="shared" si="151"/>
        <v>0</v>
      </c>
      <c r="M2865" s="17" t="str">
        <f t="shared" si="149"/>
        <v/>
      </c>
      <c r="N2865" s="11" t="str">
        <f t="shared" si="150"/>
        <v/>
      </c>
    </row>
    <row r="2866" spans="9:14" x14ac:dyDescent="0.25">
      <c r="I2866" s="11" t="b">
        <f t="shared" si="151"/>
        <v>0</v>
      </c>
      <c r="M2866" s="17" t="str">
        <f t="shared" si="149"/>
        <v/>
      </c>
      <c r="N2866" s="11" t="str">
        <f t="shared" si="150"/>
        <v/>
      </c>
    </row>
    <row r="2867" spans="9:14" x14ac:dyDescent="0.25">
      <c r="I2867" s="11" t="b">
        <f t="shared" si="151"/>
        <v>0</v>
      </c>
      <c r="M2867" s="17" t="str">
        <f t="shared" si="149"/>
        <v/>
      </c>
      <c r="N2867" s="11" t="str">
        <f t="shared" si="150"/>
        <v/>
      </c>
    </row>
    <row r="2868" spans="9:14" x14ac:dyDescent="0.25">
      <c r="I2868" s="11" t="b">
        <f t="shared" si="151"/>
        <v>0</v>
      </c>
      <c r="M2868" s="17" t="str">
        <f t="shared" si="149"/>
        <v/>
      </c>
      <c r="N2868" s="11" t="str">
        <f t="shared" si="150"/>
        <v/>
      </c>
    </row>
    <row r="2869" spans="9:14" x14ac:dyDescent="0.25">
      <c r="I2869" s="11" t="b">
        <f t="shared" si="151"/>
        <v>0</v>
      </c>
      <c r="M2869" s="17" t="str">
        <f t="shared" si="149"/>
        <v/>
      </c>
      <c r="N2869" s="11" t="str">
        <f t="shared" si="150"/>
        <v/>
      </c>
    </row>
    <row r="2870" spans="9:14" x14ac:dyDescent="0.25">
      <c r="I2870" s="11" t="b">
        <f t="shared" si="151"/>
        <v>0</v>
      </c>
      <c r="M2870" s="17" t="str">
        <f t="shared" si="149"/>
        <v/>
      </c>
      <c r="N2870" s="11" t="str">
        <f t="shared" si="150"/>
        <v/>
      </c>
    </row>
    <row r="2871" spans="9:14" x14ac:dyDescent="0.25">
      <c r="I2871" s="11" t="b">
        <f t="shared" si="151"/>
        <v>0</v>
      </c>
      <c r="M2871" s="17" t="str">
        <f t="shared" si="149"/>
        <v/>
      </c>
      <c r="N2871" s="11" t="str">
        <f t="shared" si="150"/>
        <v/>
      </c>
    </row>
    <row r="2872" spans="9:14" x14ac:dyDescent="0.25">
      <c r="I2872" s="11" t="b">
        <f t="shared" si="151"/>
        <v>0</v>
      </c>
      <c r="M2872" s="17" t="str">
        <f t="shared" si="149"/>
        <v/>
      </c>
      <c r="N2872" s="11" t="str">
        <f t="shared" si="150"/>
        <v/>
      </c>
    </row>
    <row r="2873" spans="9:14" x14ac:dyDescent="0.25">
      <c r="I2873" s="11" t="b">
        <f t="shared" si="151"/>
        <v>0</v>
      </c>
      <c r="M2873" s="17" t="str">
        <f t="shared" si="149"/>
        <v/>
      </c>
      <c r="N2873" s="11" t="str">
        <f t="shared" si="150"/>
        <v/>
      </c>
    </row>
    <row r="2874" spans="9:14" x14ac:dyDescent="0.25">
      <c r="I2874" s="11" t="b">
        <f t="shared" si="151"/>
        <v>0</v>
      </c>
      <c r="M2874" s="17" t="str">
        <f t="shared" si="149"/>
        <v/>
      </c>
      <c r="N2874" s="11" t="str">
        <f t="shared" si="150"/>
        <v/>
      </c>
    </row>
    <row r="2875" spans="9:14" x14ac:dyDescent="0.25">
      <c r="I2875" s="11" t="b">
        <f t="shared" si="151"/>
        <v>0</v>
      </c>
      <c r="M2875" s="17" t="str">
        <f t="shared" si="149"/>
        <v/>
      </c>
      <c r="N2875" s="11" t="str">
        <f t="shared" si="150"/>
        <v/>
      </c>
    </row>
    <row r="2876" spans="9:14" x14ac:dyDescent="0.25">
      <c r="I2876" s="11" t="b">
        <f t="shared" si="151"/>
        <v>0</v>
      </c>
      <c r="M2876" s="17" t="str">
        <f t="shared" si="149"/>
        <v/>
      </c>
      <c r="N2876" s="11" t="str">
        <f t="shared" si="150"/>
        <v/>
      </c>
    </row>
    <row r="2877" spans="9:14" x14ac:dyDescent="0.25">
      <c r="I2877" s="11" t="b">
        <f t="shared" si="151"/>
        <v>0</v>
      </c>
      <c r="M2877" s="17" t="str">
        <f t="shared" si="149"/>
        <v/>
      </c>
      <c r="N2877" s="11" t="str">
        <f t="shared" si="150"/>
        <v/>
      </c>
    </row>
    <row r="2878" spans="9:14" x14ac:dyDescent="0.25">
      <c r="I2878" s="11" t="b">
        <f t="shared" si="151"/>
        <v>0</v>
      </c>
      <c r="M2878" s="17" t="str">
        <f t="shared" si="149"/>
        <v/>
      </c>
      <c r="N2878" s="11" t="str">
        <f t="shared" si="150"/>
        <v/>
      </c>
    </row>
    <row r="2879" spans="9:14" x14ac:dyDescent="0.25">
      <c r="I2879" s="11" t="b">
        <f t="shared" si="151"/>
        <v>0</v>
      </c>
      <c r="M2879" s="17" t="str">
        <f t="shared" si="149"/>
        <v/>
      </c>
      <c r="N2879" s="11" t="str">
        <f t="shared" si="150"/>
        <v/>
      </c>
    </row>
    <row r="2880" spans="9:14" x14ac:dyDescent="0.25">
      <c r="I2880" s="11" t="b">
        <f t="shared" si="151"/>
        <v>0</v>
      </c>
      <c r="M2880" s="17" t="str">
        <f t="shared" si="149"/>
        <v/>
      </c>
      <c r="N2880" s="11" t="str">
        <f t="shared" si="150"/>
        <v/>
      </c>
    </row>
    <row r="2881" spans="9:14" x14ac:dyDescent="0.25">
      <c r="I2881" s="11" t="b">
        <f t="shared" si="151"/>
        <v>0</v>
      </c>
      <c r="M2881" s="17" t="str">
        <f t="shared" ref="M2881:M2944" si="152">IF(B2881=0, "",M2880+ J2881-K2881)</f>
        <v/>
      </c>
      <c r="N2881" s="11" t="str">
        <f t="shared" ref="N2881:N2944" si="153">IF(B2881=0, "", MONTH(B2881))</f>
        <v/>
      </c>
    </row>
    <row r="2882" spans="9:14" x14ac:dyDescent="0.25">
      <c r="I2882" s="11" t="b">
        <f t="shared" si="151"/>
        <v>0</v>
      </c>
      <c r="M2882" s="17" t="str">
        <f t="shared" si="152"/>
        <v/>
      </c>
      <c r="N2882" s="11" t="str">
        <f t="shared" si="153"/>
        <v/>
      </c>
    </row>
    <row r="2883" spans="9:14" x14ac:dyDescent="0.25">
      <c r="I2883" s="11" t="b">
        <f t="shared" si="151"/>
        <v>0</v>
      </c>
      <c r="M2883" s="17" t="str">
        <f t="shared" si="152"/>
        <v/>
      </c>
      <c r="N2883" s="11" t="str">
        <f t="shared" si="153"/>
        <v/>
      </c>
    </row>
    <row r="2884" spans="9:14" x14ac:dyDescent="0.25">
      <c r="I2884" s="11" t="b">
        <f t="shared" si="151"/>
        <v>0</v>
      </c>
      <c r="M2884" s="17" t="str">
        <f t="shared" si="152"/>
        <v/>
      </c>
      <c r="N2884" s="11" t="str">
        <f t="shared" si="153"/>
        <v/>
      </c>
    </row>
    <row r="2885" spans="9:14" x14ac:dyDescent="0.25">
      <c r="I2885" s="11" t="b">
        <f t="shared" si="151"/>
        <v>0</v>
      </c>
      <c r="M2885" s="17" t="str">
        <f t="shared" si="152"/>
        <v/>
      </c>
      <c r="N2885" s="11" t="str">
        <f t="shared" si="153"/>
        <v/>
      </c>
    </row>
    <row r="2886" spans="9:14" x14ac:dyDescent="0.25">
      <c r="I2886" s="11" t="b">
        <f t="shared" si="151"/>
        <v>0</v>
      </c>
      <c r="M2886" s="17" t="str">
        <f t="shared" si="152"/>
        <v/>
      </c>
      <c r="N2886" s="11" t="str">
        <f t="shared" si="153"/>
        <v/>
      </c>
    </row>
    <row r="2887" spans="9:14" x14ac:dyDescent="0.25">
      <c r="I2887" s="11" t="b">
        <f t="shared" si="151"/>
        <v>0</v>
      </c>
      <c r="M2887" s="17" t="str">
        <f t="shared" si="152"/>
        <v/>
      </c>
      <c r="N2887" s="11" t="str">
        <f t="shared" si="153"/>
        <v/>
      </c>
    </row>
    <row r="2888" spans="9:14" x14ac:dyDescent="0.25">
      <c r="I2888" s="11" t="b">
        <f t="shared" si="151"/>
        <v>0</v>
      </c>
      <c r="M2888" s="17" t="str">
        <f t="shared" si="152"/>
        <v/>
      </c>
      <c r="N2888" s="11" t="str">
        <f t="shared" si="153"/>
        <v/>
      </c>
    </row>
    <row r="2889" spans="9:14" x14ac:dyDescent="0.25">
      <c r="I2889" s="11" t="b">
        <f t="shared" si="151"/>
        <v>0</v>
      </c>
      <c r="M2889" s="17" t="str">
        <f t="shared" si="152"/>
        <v/>
      </c>
      <c r="N2889" s="11" t="str">
        <f t="shared" si="153"/>
        <v/>
      </c>
    </row>
    <row r="2890" spans="9:14" x14ac:dyDescent="0.25">
      <c r="I2890" s="11" t="b">
        <f t="shared" si="151"/>
        <v>0</v>
      </c>
      <c r="M2890" s="17" t="str">
        <f t="shared" si="152"/>
        <v/>
      </c>
      <c r="N2890" s="11" t="str">
        <f t="shared" si="153"/>
        <v/>
      </c>
    </row>
    <row r="2891" spans="9:14" x14ac:dyDescent="0.25">
      <c r="I2891" s="11" t="b">
        <f t="shared" si="151"/>
        <v>0</v>
      </c>
      <c r="M2891" s="17" t="str">
        <f t="shared" si="152"/>
        <v/>
      </c>
      <c r="N2891" s="11" t="str">
        <f t="shared" si="153"/>
        <v/>
      </c>
    </row>
    <row r="2892" spans="9:14" x14ac:dyDescent="0.25">
      <c r="I2892" s="11" t="b">
        <f t="shared" si="151"/>
        <v>0</v>
      </c>
      <c r="M2892" s="17" t="str">
        <f t="shared" si="152"/>
        <v/>
      </c>
      <c r="N2892" s="11" t="str">
        <f t="shared" si="153"/>
        <v/>
      </c>
    </row>
    <row r="2893" spans="9:14" x14ac:dyDescent="0.25">
      <c r="I2893" s="11" t="b">
        <f t="shared" si="151"/>
        <v>0</v>
      </c>
      <c r="M2893" s="17" t="str">
        <f t="shared" si="152"/>
        <v/>
      </c>
      <c r="N2893" s="11" t="str">
        <f t="shared" si="153"/>
        <v/>
      </c>
    </row>
    <row r="2894" spans="9:14" x14ac:dyDescent="0.25">
      <c r="I2894" s="11" t="b">
        <f t="shared" si="151"/>
        <v>0</v>
      </c>
      <c r="M2894" s="17" t="str">
        <f t="shared" si="152"/>
        <v/>
      </c>
      <c r="N2894" s="11" t="str">
        <f t="shared" si="153"/>
        <v/>
      </c>
    </row>
    <row r="2895" spans="9:14" x14ac:dyDescent="0.25">
      <c r="I2895" s="11" t="b">
        <f t="shared" si="151"/>
        <v>0</v>
      </c>
      <c r="M2895" s="17" t="str">
        <f t="shared" si="152"/>
        <v/>
      </c>
      <c r="N2895" s="11" t="str">
        <f t="shared" si="153"/>
        <v/>
      </c>
    </row>
    <row r="2896" spans="9:14" x14ac:dyDescent="0.25">
      <c r="I2896" s="11" t="b">
        <f t="shared" si="151"/>
        <v>0</v>
      </c>
      <c r="M2896" s="17" t="str">
        <f t="shared" si="152"/>
        <v/>
      </c>
      <c r="N2896" s="11" t="str">
        <f t="shared" si="153"/>
        <v/>
      </c>
    </row>
    <row r="2897" spans="9:14" x14ac:dyDescent="0.25">
      <c r="I2897" s="11" t="b">
        <f t="shared" si="151"/>
        <v>0</v>
      </c>
      <c r="M2897" s="17" t="str">
        <f t="shared" si="152"/>
        <v/>
      </c>
      <c r="N2897" s="11" t="str">
        <f t="shared" si="153"/>
        <v/>
      </c>
    </row>
    <row r="2898" spans="9:14" x14ac:dyDescent="0.25">
      <c r="I2898" s="11" t="b">
        <f t="shared" si="151"/>
        <v>0</v>
      </c>
      <c r="M2898" s="17" t="str">
        <f t="shared" si="152"/>
        <v/>
      </c>
      <c r="N2898" s="11" t="str">
        <f t="shared" si="153"/>
        <v/>
      </c>
    </row>
    <row r="2899" spans="9:14" x14ac:dyDescent="0.25">
      <c r="I2899" s="11" t="b">
        <f t="shared" si="151"/>
        <v>0</v>
      </c>
      <c r="M2899" s="17" t="str">
        <f t="shared" si="152"/>
        <v/>
      </c>
      <c r="N2899" s="11" t="str">
        <f t="shared" si="153"/>
        <v/>
      </c>
    </row>
    <row r="2900" spans="9:14" x14ac:dyDescent="0.25">
      <c r="I2900" s="11" t="b">
        <f t="shared" si="151"/>
        <v>0</v>
      </c>
      <c r="M2900" s="17" t="str">
        <f t="shared" si="152"/>
        <v/>
      </c>
      <c r="N2900" s="11" t="str">
        <f t="shared" si="153"/>
        <v/>
      </c>
    </row>
    <row r="2901" spans="9:14" x14ac:dyDescent="0.25">
      <c r="I2901" s="11" t="b">
        <f t="shared" si="151"/>
        <v>0</v>
      </c>
      <c r="M2901" s="17" t="str">
        <f t="shared" si="152"/>
        <v/>
      </c>
      <c r="N2901" s="11" t="str">
        <f t="shared" si="153"/>
        <v/>
      </c>
    </row>
    <row r="2902" spans="9:14" x14ac:dyDescent="0.25">
      <c r="I2902" s="11" t="b">
        <f t="shared" si="151"/>
        <v>0</v>
      </c>
      <c r="M2902" s="17" t="str">
        <f t="shared" si="152"/>
        <v/>
      </c>
      <c r="N2902" s="11" t="str">
        <f t="shared" si="153"/>
        <v/>
      </c>
    </row>
    <row r="2903" spans="9:14" x14ac:dyDescent="0.25">
      <c r="I2903" s="11" t="b">
        <f t="shared" si="151"/>
        <v>0</v>
      </c>
      <c r="M2903" s="17" t="str">
        <f t="shared" si="152"/>
        <v/>
      </c>
      <c r="N2903" s="11" t="str">
        <f t="shared" si="153"/>
        <v/>
      </c>
    </row>
    <row r="2904" spans="9:14" x14ac:dyDescent="0.25">
      <c r="I2904" s="11" t="b">
        <f t="shared" si="151"/>
        <v>0</v>
      </c>
      <c r="M2904" s="17" t="str">
        <f t="shared" si="152"/>
        <v/>
      </c>
      <c r="N2904" s="11" t="str">
        <f t="shared" si="153"/>
        <v/>
      </c>
    </row>
    <row r="2905" spans="9:14" x14ac:dyDescent="0.25">
      <c r="I2905" s="11" t="b">
        <f t="shared" si="151"/>
        <v>0</v>
      </c>
      <c r="M2905" s="17" t="str">
        <f t="shared" si="152"/>
        <v/>
      </c>
      <c r="N2905" s="11" t="str">
        <f t="shared" si="153"/>
        <v/>
      </c>
    </row>
    <row r="2906" spans="9:14" x14ac:dyDescent="0.25">
      <c r="I2906" s="11" t="b">
        <f t="shared" si="151"/>
        <v>0</v>
      </c>
      <c r="M2906" s="17" t="str">
        <f t="shared" si="152"/>
        <v/>
      </c>
      <c r="N2906" s="11" t="str">
        <f t="shared" si="153"/>
        <v/>
      </c>
    </row>
    <row r="2907" spans="9:14" x14ac:dyDescent="0.25">
      <c r="I2907" s="11" t="b">
        <f t="shared" si="151"/>
        <v>0</v>
      </c>
      <c r="M2907" s="17" t="str">
        <f t="shared" si="152"/>
        <v/>
      </c>
      <c r="N2907" s="11" t="str">
        <f t="shared" si="153"/>
        <v/>
      </c>
    </row>
    <row r="2908" spans="9:14" x14ac:dyDescent="0.25">
      <c r="I2908" s="11" t="b">
        <f t="shared" si="151"/>
        <v>0</v>
      </c>
      <c r="M2908" s="17" t="str">
        <f t="shared" si="152"/>
        <v/>
      </c>
      <c r="N2908" s="11" t="str">
        <f t="shared" si="153"/>
        <v/>
      </c>
    </row>
    <row r="2909" spans="9:14" x14ac:dyDescent="0.25">
      <c r="I2909" s="11" t="b">
        <f t="shared" ref="I2909:I2972" si="154">IF(AND(G2909="MERCADO PAGO",A2909="FATURAMENTO"),1,IF(AND(OR(G2909="MERCADO PAGO",G2909="pix mercado pago",G2909= "débito automático mercado pago", G2909= "boleto mercado pago"),A2909="DESPESAS"),4,IF(AND(G2909="SAFRA",A2909="FATURAMENTO"),2,IF(AND(OR(G2909="SAFRA",G2909="PIX SAFRA", G2909="DÉBITO AUTOMÁTICO SAFRA", G2909= "BOLETO SAFRA", G2909= "transferência safra"), A2909="DESPESAS"),5,IF(AND(G2909="espécie",A2909="FATURAMENTO"),3,IF(AND(G2909="espécie",A2909="DESPESAS"),6))))))</f>
        <v>0</v>
      </c>
      <c r="M2909" s="17" t="str">
        <f t="shared" si="152"/>
        <v/>
      </c>
      <c r="N2909" s="11" t="str">
        <f t="shared" si="153"/>
        <v/>
      </c>
    </row>
    <row r="2910" spans="9:14" x14ac:dyDescent="0.25">
      <c r="I2910" s="11" t="b">
        <f t="shared" si="154"/>
        <v>0</v>
      </c>
      <c r="M2910" s="17" t="str">
        <f t="shared" si="152"/>
        <v/>
      </c>
      <c r="N2910" s="11" t="str">
        <f t="shared" si="153"/>
        <v/>
      </c>
    </row>
    <row r="2911" spans="9:14" x14ac:dyDescent="0.25">
      <c r="I2911" s="11" t="b">
        <f t="shared" si="154"/>
        <v>0</v>
      </c>
      <c r="M2911" s="17" t="str">
        <f t="shared" si="152"/>
        <v/>
      </c>
      <c r="N2911" s="11" t="str">
        <f t="shared" si="153"/>
        <v/>
      </c>
    </row>
    <row r="2912" spans="9:14" x14ac:dyDescent="0.25">
      <c r="I2912" s="11" t="b">
        <f t="shared" si="154"/>
        <v>0</v>
      </c>
      <c r="M2912" s="17" t="str">
        <f t="shared" si="152"/>
        <v/>
      </c>
      <c r="N2912" s="11" t="str">
        <f t="shared" si="153"/>
        <v/>
      </c>
    </row>
    <row r="2913" spans="9:14" x14ac:dyDescent="0.25">
      <c r="I2913" s="11" t="b">
        <f t="shared" si="154"/>
        <v>0</v>
      </c>
      <c r="M2913" s="17" t="str">
        <f t="shared" si="152"/>
        <v/>
      </c>
      <c r="N2913" s="11" t="str">
        <f t="shared" si="153"/>
        <v/>
      </c>
    </row>
    <row r="2914" spans="9:14" x14ac:dyDescent="0.25">
      <c r="I2914" s="11" t="b">
        <f t="shared" si="154"/>
        <v>0</v>
      </c>
      <c r="M2914" s="17" t="str">
        <f t="shared" si="152"/>
        <v/>
      </c>
      <c r="N2914" s="11" t="str">
        <f t="shared" si="153"/>
        <v/>
      </c>
    </row>
    <row r="2915" spans="9:14" x14ac:dyDescent="0.25">
      <c r="I2915" s="11" t="b">
        <f t="shared" si="154"/>
        <v>0</v>
      </c>
      <c r="M2915" s="17" t="str">
        <f t="shared" si="152"/>
        <v/>
      </c>
      <c r="N2915" s="11" t="str">
        <f t="shared" si="153"/>
        <v/>
      </c>
    </row>
    <row r="2916" spans="9:14" x14ac:dyDescent="0.25">
      <c r="I2916" s="11" t="b">
        <f t="shared" si="154"/>
        <v>0</v>
      </c>
      <c r="M2916" s="17" t="str">
        <f t="shared" si="152"/>
        <v/>
      </c>
      <c r="N2916" s="11" t="str">
        <f t="shared" si="153"/>
        <v/>
      </c>
    </row>
    <row r="2917" spans="9:14" x14ac:dyDescent="0.25">
      <c r="I2917" s="11" t="b">
        <f t="shared" si="154"/>
        <v>0</v>
      </c>
      <c r="M2917" s="17" t="str">
        <f t="shared" si="152"/>
        <v/>
      </c>
      <c r="N2917" s="11" t="str">
        <f t="shared" si="153"/>
        <v/>
      </c>
    </row>
    <row r="2918" spans="9:14" x14ac:dyDescent="0.25">
      <c r="I2918" s="11" t="b">
        <f t="shared" si="154"/>
        <v>0</v>
      </c>
      <c r="M2918" s="17" t="str">
        <f t="shared" si="152"/>
        <v/>
      </c>
      <c r="N2918" s="11" t="str">
        <f t="shared" si="153"/>
        <v/>
      </c>
    </row>
    <row r="2919" spans="9:14" x14ac:dyDescent="0.25">
      <c r="I2919" s="11" t="b">
        <f t="shared" si="154"/>
        <v>0</v>
      </c>
      <c r="M2919" s="17" t="str">
        <f t="shared" si="152"/>
        <v/>
      </c>
      <c r="N2919" s="11" t="str">
        <f t="shared" si="153"/>
        <v/>
      </c>
    </row>
    <row r="2920" spans="9:14" x14ac:dyDescent="0.25">
      <c r="I2920" s="11" t="b">
        <f t="shared" si="154"/>
        <v>0</v>
      </c>
      <c r="M2920" s="17" t="str">
        <f t="shared" si="152"/>
        <v/>
      </c>
      <c r="N2920" s="11" t="str">
        <f t="shared" si="153"/>
        <v/>
      </c>
    </row>
    <row r="2921" spans="9:14" x14ac:dyDescent="0.25">
      <c r="I2921" s="11" t="b">
        <f t="shared" si="154"/>
        <v>0</v>
      </c>
      <c r="M2921" s="17" t="str">
        <f t="shared" si="152"/>
        <v/>
      </c>
      <c r="N2921" s="11" t="str">
        <f t="shared" si="153"/>
        <v/>
      </c>
    </row>
    <row r="2922" spans="9:14" x14ac:dyDescent="0.25">
      <c r="I2922" s="11" t="b">
        <f t="shared" si="154"/>
        <v>0</v>
      </c>
      <c r="M2922" s="17" t="str">
        <f t="shared" si="152"/>
        <v/>
      </c>
      <c r="N2922" s="11" t="str">
        <f t="shared" si="153"/>
        <v/>
      </c>
    </row>
    <row r="2923" spans="9:14" x14ac:dyDescent="0.25">
      <c r="I2923" s="11" t="b">
        <f t="shared" si="154"/>
        <v>0</v>
      </c>
      <c r="M2923" s="17" t="str">
        <f t="shared" si="152"/>
        <v/>
      </c>
      <c r="N2923" s="11" t="str">
        <f t="shared" si="153"/>
        <v/>
      </c>
    </row>
    <row r="2924" spans="9:14" x14ac:dyDescent="0.25">
      <c r="I2924" s="11" t="b">
        <f t="shared" si="154"/>
        <v>0</v>
      </c>
      <c r="M2924" s="17" t="str">
        <f t="shared" si="152"/>
        <v/>
      </c>
      <c r="N2924" s="11" t="str">
        <f t="shared" si="153"/>
        <v/>
      </c>
    </row>
    <row r="2925" spans="9:14" x14ac:dyDescent="0.25">
      <c r="I2925" s="11" t="b">
        <f t="shared" si="154"/>
        <v>0</v>
      </c>
      <c r="M2925" s="17" t="str">
        <f t="shared" si="152"/>
        <v/>
      </c>
      <c r="N2925" s="11" t="str">
        <f t="shared" si="153"/>
        <v/>
      </c>
    </row>
    <row r="2926" spans="9:14" x14ac:dyDescent="0.25">
      <c r="I2926" s="11" t="b">
        <f t="shared" si="154"/>
        <v>0</v>
      </c>
      <c r="M2926" s="17" t="str">
        <f t="shared" si="152"/>
        <v/>
      </c>
      <c r="N2926" s="11" t="str">
        <f t="shared" si="153"/>
        <v/>
      </c>
    </row>
    <row r="2927" spans="9:14" x14ac:dyDescent="0.25">
      <c r="I2927" s="11" t="b">
        <f t="shared" si="154"/>
        <v>0</v>
      </c>
      <c r="M2927" s="17" t="str">
        <f t="shared" si="152"/>
        <v/>
      </c>
      <c r="N2927" s="11" t="str">
        <f t="shared" si="153"/>
        <v/>
      </c>
    </row>
    <row r="2928" spans="9:14" x14ac:dyDescent="0.25">
      <c r="I2928" s="11" t="b">
        <f t="shared" si="154"/>
        <v>0</v>
      </c>
      <c r="M2928" s="17" t="str">
        <f t="shared" si="152"/>
        <v/>
      </c>
      <c r="N2928" s="11" t="str">
        <f t="shared" si="153"/>
        <v/>
      </c>
    </row>
    <row r="2929" spans="9:14" x14ac:dyDescent="0.25">
      <c r="I2929" s="11" t="b">
        <f t="shared" si="154"/>
        <v>0</v>
      </c>
      <c r="M2929" s="17" t="str">
        <f t="shared" si="152"/>
        <v/>
      </c>
      <c r="N2929" s="11" t="str">
        <f t="shared" si="153"/>
        <v/>
      </c>
    </row>
    <row r="2930" spans="9:14" x14ac:dyDescent="0.25">
      <c r="I2930" s="11" t="b">
        <f t="shared" si="154"/>
        <v>0</v>
      </c>
      <c r="M2930" s="17" t="str">
        <f t="shared" si="152"/>
        <v/>
      </c>
      <c r="N2930" s="11" t="str">
        <f t="shared" si="153"/>
        <v/>
      </c>
    </row>
    <row r="2931" spans="9:14" x14ac:dyDescent="0.25">
      <c r="I2931" s="11" t="b">
        <f t="shared" si="154"/>
        <v>0</v>
      </c>
      <c r="M2931" s="17" t="str">
        <f t="shared" si="152"/>
        <v/>
      </c>
      <c r="N2931" s="11" t="str">
        <f t="shared" si="153"/>
        <v/>
      </c>
    </row>
    <row r="2932" spans="9:14" x14ac:dyDescent="0.25">
      <c r="I2932" s="11" t="b">
        <f t="shared" si="154"/>
        <v>0</v>
      </c>
      <c r="M2932" s="17" t="str">
        <f t="shared" si="152"/>
        <v/>
      </c>
      <c r="N2932" s="11" t="str">
        <f t="shared" si="153"/>
        <v/>
      </c>
    </row>
    <row r="2933" spans="9:14" x14ac:dyDescent="0.25">
      <c r="I2933" s="11" t="b">
        <f t="shared" si="154"/>
        <v>0</v>
      </c>
      <c r="M2933" s="17" t="str">
        <f t="shared" si="152"/>
        <v/>
      </c>
      <c r="N2933" s="11" t="str">
        <f t="shared" si="153"/>
        <v/>
      </c>
    </row>
    <row r="2934" spans="9:14" x14ac:dyDescent="0.25">
      <c r="I2934" s="11" t="b">
        <f t="shared" si="154"/>
        <v>0</v>
      </c>
      <c r="M2934" s="17" t="str">
        <f t="shared" si="152"/>
        <v/>
      </c>
      <c r="N2934" s="11" t="str">
        <f t="shared" si="153"/>
        <v/>
      </c>
    </row>
    <row r="2935" spans="9:14" x14ac:dyDescent="0.25">
      <c r="I2935" s="11" t="b">
        <f t="shared" si="154"/>
        <v>0</v>
      </c>
      <c r="M2935" s="17" t="str">
        <f t="shared" si="152"/>
        <v/>
      </c>
      <c r="N2935" s="11" t="str">
        <f t="shared" si="153"/>
        <v/>
      </c>
    </row>
    <row r="2936" spans="9:14" x14ac:dyDescent="0.25">
      <c r="I2936" s="11" t="b">
        <f t="shared" si="154"/>
        <v>0</v>
      </c>
      <c r="M2936" s="17" t="str">
        <f t="shared" si="152"/>
        <v/>
      </c>
      <c r="N2936" s="11" t="str">
        <f t="shared" si="153"/>
        <v/>
      </c>
    </row>
    <row r="2937" spans="9:14" x14ac:dyDescent="0.25">
      <c r="I2937" s="11" t="b">
        <f t="shared" si="154"/>
        <v>0</v>
      </c>
      <c r="M2937" s="17" t="str">
        <f t="shared" si="152"/>
        <v/>
      </c>
      <c r="N2937" s="11" t="str">
        <f t="shared" si="153"/>
        <v/>
      </c>
    </row>
    <row r="2938" spans="9:14" x14ac:dyDescent="0.25">
      <c r="I2938" s="11" t="b">
        <f t="shared" si="154"/>
        <v>0</v>
      </c>
      <c r="M2938" s="17" t="str">
        <f t="shared" si="152"/>
        <v/>
      </c>
      <c r="N2938" s="11" t="str">
        <f t="shared" si="153"/>
        <v/>
      </c>
    </row>
    <row r="2939" spans="9:14" x14ac:dyDescent="0.25">
      <c r="I2939" s="11" t="b">
        <f t="shared" si="154"/>
        <v>0</v>
      </c>
      <c r="M2939" s="17" t="str">
        <f t="shared" si="152"/>
        <v/>
      </c>
      <c r="N2939" s="11" t="str">
        <f t="shared" si="153"/>
        <v/>
      </c>
    </row>
    <row r="2940" spans="9:14" x14ac:dyDescent="0.25">
      <c r="I2940" s="11" t="b">
        <f t="shared" si="154"/>
        <v>0</v>
      </c>
      <c r="M2940" s="17" t="str">
        <f t="shared" si="152"/>
        <v/>
      </c>
      <c r="N2940" s="11" t="str">
        <f t="shared" si="153"/>
        <v/>
      </c>
    </row>
    <row r="2941" spans="9:14" x14ac:dyDescent="0.25">
      <c r="I2941" s="11" t="b">
        <f t="shared" si="154"/>
        <v>0</v>
      </c>
      <c r="M2941" s="17" t="str">
        <f t="shared" si="152"/>
        <v/>
      </c>
      <c r="N2941" s="11" t="str">
        <f t="shared" si="153"/>
        <v/>
      </c>
    </row>
    <row r="2942" spans="9:14" x14ac:dyDescent="0.25">
      <c r="I2942" s="11" t="b">
        <f t="shared" si="154"/>
        <v>0</v>
      </c>
      <c r="M2942" s="17" t="str">
        <f t="shared" si="152"/>
        <v/>
      </c>
      <c r="N2942" s="11" t="str">
        <f t="shared" si="153"/>
        <v/>
      </c>
    </row>
    <row r="2943" spans="9:14" x14ac:dyDescent="0.25">
      <c r="I2943" s="11" t="b">
        <f t="shared" si="154"/>
        <v>0</v>
      </c>
      <c r="M2943" s="17" t="str">
        <f t="shared" si="152"/>
        <v/>
      </c>
      <c r="N2943" s="11" t="str">
        <f t="shared" si="153"/>
        <v/>
      </c>
    </row>
    <row r="2944" spans="9:14" x14ac:dyDescent="0.25">
      <c r="I2944" s="11" t="b">
        <f t="shared" si="154"/>
        <v>0</v>
      </c>
      <c r="M2944" s="17" t="str">
        <f t="shared" si="152"/>
        <v/>
      </c>
      <c r="N2944" s="11" t="str">
        <f t="shared" si="153"/>
        <v/>
      </c>
    </row>
    <row r="2945" spans="9:14" x14ac:dyDescent="0.25">
      <c r="I2945" s="11" t="b">
        <f t="shared" si="154"/>
        <v>0</v>
      </c>
      <c r="M2945" s="17" t="str">
        <f t="shared" ref="M2945:M3008" si="155">IF(B2945=0, "",M2944+ J2945-K2945)</f>
        <v/>
      </c>
      <c r="N2945" s="11" t="str">
        <f t="shared" ref="N2945:N3008" si="156">IF(B2945=0, "", MONTH(B2945))</f>
        <v/>
      </c>
    </row>
    <row r="2946" spans="9:14" x14ac:dyDescent="0.25">
      <c r="I2946" s="11" t="b">
        <f t="shared" si="154"/>
        <v>0</v>
      </c>
      <c r="M2946" s="17" t="str">
        <f t="shared" si="155"/>
        <v/>
      </c>
      <c r="N2946" s="11" t="str">
        <f t="shared" si="156"/>
        <v/>
      </c>
    </row>
    <row r="2947" spans="9:14" x14ac:dyDescent="0.25">
      <c r="I2947" s="11" t="b">
        <f t="shared" si="154"/>
        <v>0</v>
      </c>
      <c r="M2947" s="17" t="str">
        <f t="shared" si="155"/>
        <v/>
      </c>
      <c r="N2947" s="11" t="str">
        <f t="shared" si="156"/>
        <v/>
      </c>
    </row>
    <row r="2948" spans="9:14" x14ac:dyDescent="0.25">
      <c r="I2948" s="11" t="b">
        <f t="shared" si="154"/>
        <v>0</v>
      </c>
      <c r="M2948" s="17" t="str">
        <f t="shared" si="155"/>
        <v/>
      </c>
      <c r="N2948" s="11" t="str">
        <f t="shared" si="156"/>
        <v/>
      </c>
    </row>
    <row r="2949" spans="9:14" x14ac:dyDescent="0.25">
      <c r="I2949" s="11" t="b">
        <f t="shared" si="154"/>
        <v>0</v>
      </c>
      <c r="M2949" s="17" t="str">
        <f t="shared" si="155"/>
        <v/>
      </c>
      <c r="N2949" s="11" t="str">
        <f t="shared" si="156"/>
        <v/>
      </c>
    </row>
    <row r="2950" spans="9:14" x14ac:dyDescent="0.25">
      <c r="I2950" s="11" t="b">
        <f t="shared" si="154"/>
        <v>0</v>
      </c>
      <c r="M2950" s="17" t="str">
        <f t="shared" si="155"/>
        <v/>
      </c>
      <c r="N2950" s="11" t="str">
        <f t="shared" si="156"/>
        <v/>
      </c>
    </row>
    <row r="2951" spans="9:14" x14ac:dyDescent="0.25">
      <c r="I2951" s="11" t="b">
        <f t="shared" si="154"/>
        <v>0</v>
      </c>
      <c r="M2951" s="17" t="str">
        <f t="shared" si="155"/>
        <v/>
      </c>
      <c r="N2951" s="11" t="str">
        <f t="shared" si="156"/>
        <v/>
      </c>
    </row>
    <row r="2952" spans="9:14" x14ac:dyDescent="0.25">
      <c r="I2952" s="11" t="b">
        <f t="shared" si="154"/>
        <v>0</v>
      </c>
      <c r="M2952" s="17" t="str">
        <f t="shared" si="155"/>
        <v/>
      </c>
      <c r="N2952" s="11" t="str">
        <f t="shared" si="156"/>
        <v/>
      </c>
    </row>
    <row r="2953" spans="9:14" x14ac:dyDescent="0.25">
      <c r="I2953" s="11" t="b">
        <f t="shared" si="154"/>
        <v>0</v>
      </c>
      <c r="M2953" s="17" t="str">
        <f t="shared" si="155"/>
        <v/>
      </c>
      <c r="N2953" s="11" t="str">
        <f t="shared" si="156"/>
        <v/>
      </c>
    </row>
    <row r="2954" spans="9:14" x14ac:dyDescent="0.25">
      <c r="I2954" s="11" t="b">
        <f t="shared" si="154"/>
        <v>0</v>
      </c>
      <c r="M2954" s="17" t="str">
        <f t="shared" si="155"/>
        <v/>
      </c>
      <c r="N2954" s="11" t="str">
        <f t="shared" si="156"/>
        <v/>
      </c>
    </row>
    <row r="2955" spans="9:14" x14ac:dyDescent="0.25">
      <c r="I2955" s="11" t="b">
        <f t="shared" si="154"/>
        <v>0</v>
      </c>
      <c r="M2955" s="17" t="str">
        <f t="shared" si="155"/>
        <v/>
      </c>
      <c r="N2955" s="11" t="str">
        <f t="shared" si="156"/>
        <v/>
      </c>
    </row>
    <row r="2956" spans="9:14" x14ac:dyDescent="0.25">
      <c r="I2956" s="11" t="b">
        <f t="shared" si="154"/>
        <v>0</v>
      </c>
      <c r="M2956" s="17" t="str">
        <f t="shared" si="155"/>
        <v/>
      </c>
      <c r="N2956" s="11" t="str">
        <f t="shared" si="156"/>
        <v/>
      </c>
    </row>
    <row r="2957" spans="9:14" x14ac:dyDescent="0.25">
      <c r="I2957" s="11" t="b">
        <f t="shared" si="154"/>
        <v>0</v>
      </c>
      <c r="M2957" s="17" t="str">
        <f t="shared" si="155"/>
        <v/>
      </c>
      <c r="N2957" s="11" t="str">
        <f t="shared" si="156"/>
        <v/>
      </c>
    </row>
    <row r="2958" spans="9:14" x14ac:dyDescent="0.25">
      <c r="I2958" s="11" t="b">
        <f t="shared" si="154"/>
        <v>0</v>
      </c>
      <c r="M2958" s="17" t="str">
        <f t="shared" si="155"/>
        <v/>
      </c>
      <c r="N2958" s="11" t="str">
        <f t="shared" si="156"/>
        <v/>
      </c>
    </row>
    <row r="2959" spans="9:14" x14ac:dyDescent="0.25">
      <c r="I2959" s="11" t="b">
        <f t="shared" si="154"/>
        <v>0</v>
      </c>
      <c r="M2959" s="17" t="str">
        <f t="shared" si="155"/>
        <v/>
      </c>
      <c r="N2959" s="11" t="str">
        <f t="shared" si="156"/>
        <v/>
      </c>
    </row>
    <row r="2960" spans="9:14" x14ac:dyDescent="0.25">
      <c r="I2960" s="11" t="b">
        <f t="shared" si="154"/>
        <v>0</v>
      </c>
      <c r="M2960" s="17" t="str">
        <f t="shared" si="155"/>
        <v/>
      </c>
      <c r="N2960" s="11" t="str">
        <f t="shared" si="156"/>
        <v/>
      </c>
    </row>
    <row r="2961" spans="9:14" x14ac:dyDescent="0.25">
      <c r="I2961" s="11" t="b">
        <f t="shared" si="154"/>
        <v>0</v>
      </c>
      <c r="M2961" s="17" t="str">
        <f t="shared" si="155"/>
        <v/>
      </c>
      <c r="N2961" s="11" t="str">
        <f t="shared" si="156"/>
        <v/>
      </c>
    </row>
    <row r="2962" spans="9:14" x14ac:dyDescent="0.25">
      <c r="I2962" s="11" t="b">
        <f t="shared" si="154"/>
        <v>0</v>
      </c>
      <c r="M2962" s="17" t="str">
        <f t="shared" si="155"/>
        <v/>
      </c>
      <c r="N2962" s="11" t="str">
        <f t="shared" si="156"/>
        <v/>
      </c>
    </row>
    <row r="2963" spans="9:14" x14ac:dyDescent="0.25">
      <c r="I2963" s="11" t="b">
        <f t="shared" si="154"/>
        <v>0</v>
      </c>
      <c r="M2963" s="17" t="str">
        <f t="shared" si="155"/>
        <v/>
      </c>
      <c r="N2963" s="11" t="str">
        <f t="shared" si="156"/>
        <v/>
      </c>
    </row>
    <row r="2964" spans="9:14" x14ac:dyDescent="0.25">
      <c r="I2964" s="11" t="b">
        <f t="shared" si="154"/>
        <v>0</v>
      </c>
      <c r="M2964" s="17" t="str">
        <f t="shared" si="155"/>
        <v/>
      </c>
      <c r="N2964" s="11" t="str">
        <f t="shared" si="156"/>
        <v/>
      </c>
    </row>
    <row r="2965" spans="9:14" x14ac:dyDescent="0.25">
      <c r="I2965" s="11" t="b">
        <f t="shared" si="154"/>
        <v>0</v>
      </c>
      <c r="M2965" s="17" t="str">
        <f t="shared" si="155"/>
        <v/>
      </c>
      <c r="N2965" s="11" t="str">
        <f t="shared" si="156"/>
        <v/>
      </c>
    </row>
    <row r="2966" spans="9:14" x14ac:dyDescent="0.25">
      <c r="I2966" s="11" t="b">
        <f t="shared" si="154"/>
        <v>0</v>
      </c>
      <c r="M2966" s="17" t="str">
        <f t="shared" si="155"/>
        <v/>
      </c>
      <c r="N2966" s="11" t="str">
        <f t="shared" si="156"/>
        <v/>
      </c>
    </row>
    <row r="2967" spans="9:14" x14ac:dyDescent="0.25">
      <c r="I2967" s="11" t="b">
        <f t="shared" si="154"/>
        <v>0</v>
      </c>
      <c r="M2967" s="17" t="str">
        <f t="shared" si="155"/>
        <v/>
      </c>
      <c r="N2967" s="11" t="str">
        <f t="shared" si="156"/>
        <v/>
      </c>
    </row>
    <row r="2968" spans="9:14" x14ac:dyDescent="0.25">
      <c r="I2968" s="11" t="b">
        <f t="shared" si="154"/>
        <v>0</v>
      </c>
      <c r="M2968" s="17" t="str">
        <f t="shared" si="155"/>
        <v/>
      </c>
      <c r="N2968" s="11" t="str">
        <f t="shared" si="156"/>
        <v/>
      </c>
    </row>
    <row r="2969" spans="9:14" x14ac:dyDescent="0.25">
      <c r="I2969" s="11" t="b">
        <f t="shared" si="154"/>
        <v>0</v>
      </c>
      <c r="M2969" s="17" t="str">
        <f t="shared" si="155"/>
        <v/>
      </c>
      <c r="N2969" s="11" t="str">
        <f t="shared" si="156"/>
        <v/>
      </c>
    </row>
    <row r="2970" spans="9:14" x14ac:dyDescent="0.25">
      <c r="I2970" s="11" t="b">
        <f t="shared" si="154"/>
        <v>0</v>
      </c>
      <c r="M2970" s="17" t="str">
        <f t="shared" si="155"/>
        <v/>
      </c>
      <c r="N2970" s="11" t="str">
        <f t="shared" si="156"/>
        <v/>
      </c>
    </row>
    <row r="2971" spans="9:14" x14ac:dyDescent="0.25">
      <c r="I2971" s="11" t="b">
        <f t="shared" si="154"/>
        <v>0</v>
      </c>
      <c r="M2971" s="17" t="str">
        <f t="shared" si="155"/>
        <v/>
      </c>
      <c r="N2971" s="11" t="str">
        <f t="shared" si="156"/>
        <v/>
      </c>
    </row>
    <row r="2972" spans="9:14" x14ac:dyDescent="0.25">
      <c r="I2972" s="11" t="b">
        <f t="shared" si="154"/>
        <v>0</v>
      </c>
      <c r="M2972" s="17" t="str">
        <f t="shared" si="155"/>
        <v/>
      </c>
      <c r="N2972" s="11" t="str">
        <f t="shared" si="156"/>
        <v/>
      </c>
    </row>
    <row r="2973" spans="9:14" x14ac:dyDescent="0.25">
      <c r="I2973" s="11" t="b">
        <f t="shared" ref="I2973:I3036" si="157">IF(AND(G2973="MERCADO PAGO",A2973="FATURAMENTO"),1,IF(AND(OR(G2973="MERCADO PAGO",G2973="pix mercado pago",G2973= "débito automático mercado pago", G2973= "boleto mercado pago"),A2973="DESPESAS"),4,IF(AND(G2973="SAFRA",A2973="FATURAMENTO"),2,IF(AND(OR(G2973="SAFRA",G2973="PIX SAFRA", G2973="DÉBITO AUTOMÁTICO SAFRA", G2973= "BOLETO SAFRA", G2973= "transferência safra"), A2973="DESPESAS"),5,IF(AND(G2973="espécie",A2973="FATURAMENTO"),3,IF(AND(G2973="espécie",A2973="DESPESAS"),6))))))</f>
        <v>0</v>
      </c>
      <c r="M2973" s="17" t="str">
        <f t="shared" si="155"/>
        <v/>
      </c>
      <c r="N2973" s="11" t="str">
        <f t="shared" si="156"/>
        <v/>
      </c>
    </row>
    <row r="2974" spans="9:14" x14ac:dyDescent="0.25">
      <c r="I2974" s="11" t="b">
        <f t="shared" si="157"/>
        <v>0</v>
      </c>
      <c r="M2974" s="17" t="str">
        <f t="shared" si="155"/>
        <v/>
      </c>
      <c r="N2974" s="11" t="str">
        <f t="shared" si="156"/>
        <v/>
      </c>
    </row>
    <row r="2975" spans="9:14" x14ac:dyDescent="0.25">
      <c r="I2975" s="11" t="b">
        <f t="shared" si="157"/>
        <v>0</v>
      </c>
      <c r="M2975" s="17" t="str">
        <f t="shared" si="155"/>
        <v/>
      </c>
      <c r="N2975" s="11" t="str">
        <f t="shared" si="156"/>
        <v/>
      </c>
    </row>
    <row r="2976" spans="9:14" x14ac:dyDescent="0.25">
      <c r="I2976" s="11" t="b">
        <f t="shared" si="157"/>
        <v>0</v>
      </c>
      <c r="M2976" s="17" t="str">
        <f t="shared" si="155"/>
        <v/>
      </c>
      <c r="N2976" s="11" t="str">
        <f t="shared" si="156"/>
        <v/>
      </c>
    </row>
    <row r="2977" spans="9:14" x14ac:dyDescent="0.25">
      <c r="I2977" s="11" t="b">
        <f t="shared" si="157"/>
        <v>0</v>
      </c>
      <c r="M2977" s="17" t="str">
        <f t="shared" si="155"/>
        <v/>
      </c>
      <c r="N2977" s="11" t="str">
        <f t="shared" si="156"/>
        <v/>
      </c>
    </row>
    <row r="2978" spans="9:14" x14ac:dyDescent="0.25">
      <c r="I2978" s="11" t="b">
        <f t="shared" si="157"/>
        <v>0</v>
      </c>
      <c r="M2978" s="17" t="str">
        <f t="shared" si="155"/>
        <v/>
      </c>
      <c r="N2978" s="11" t="str">
        <f t="shared" si="156"/>
        <v/>
      </c>
    </row>
    <row r="2979" spans="9:14" x14ac:dyDescent="0.25">
      <c r="I2979" s="11" t="b">
        <f t="shared" si="157"/>
        <v>0</v>
      </c>
      <c r="M2979" s="17" t="str">
        <f t="shared" si="155"/>
        <v/>
      </c>
      <c r="N2979" s="11" t="str">
        <f t="shared" si="156"/>
        <v/>
      </c>
    </row>
    <row r="2980" spans="9:14" x14ac:dyDescent="0.25">
      <c r="I2980" s="11" t="b">
        <f t="shared" si="157"/>
        <v>0</v>
      </c>
      <c r="M2980" s="17" t="str">
        <f t="shared" si="155"/>
        <v/>
      </c>
      <c r="N2980" s="11" t="str">
        <f t="shared" si="156"/>
        <v/>
      </c>
    </row>
    <row r="2981" spans="9:14" x14ac:dyDescent="0.25">
      <c r="I2981" s="11" t="b">
        <f t="shared" si="157"/>
        <v>0</v>
      </c>
      <c r="M2981" s="17" t="str">
        <f t="shared" si="155"/>
        <v/>
      </c>
      <c r="N2981" s="11" t="str">
        <f t="shared" si="156"/>
        <v/>
      </c>
    </row>
    <row r="2982" spans="9:14" x14ac:dyDescent="0.25">
      <c r="I2982" s="11" t="b">
        <f t="shared" si="157"/>
        <v>0</v>
      </c>
      <c r="M2982" s="17" t="str">
        <f t="shared" si="155"/>
        <v/>
      </c>
      <c r="N2982" s="11" t="str">
        <f t="shared" si="156"/>
        <v/>
      </c>
    </row>
    <row r="2983" spans="9:14" x14ac:dyDescent="0.25">
      <c r="I2983" s="11" t="b">
        <f t="shared" si="157"/>
        <v>0</v>
      </c>
      <c r="M2983" s="17" t="str">
        <f t="shared" si="155"/>
        <v/>
      </c>
      <c r="N2983" s="11" t="str">
        <f t="shared" si="156"/>
        <v/>
      </c>
    </row>
    <row r="2984" spans="9:14" x14ac:dyDescent="0.25">
      <c r="I2984" s="11" t="b">
        <f t="shared" si="157"/>
        <v>0</v>
      </c>
      <c r="M2984" s="17" t="str">
        <f t="shared" si="155"/>
        <v/>
      </c>
      <c r="N2984" s="11" t="str">
        <f t="shared" si="156"/>
        <v/>
      </c>
    </row>
    <row r="2985" spans="9:14" x14ac:dyDescent="0.25">
      <c r="I2985" s="11" t="b">
        <f t="shared" si="157"/>
        <v>0</v>
      </c>
      <c r="M2985" s="17" t="str">
        <f t="shared" si="155"/>
        <v/>
      </c>
      <c r="N2985" s="11" t="str">
        <f t="shared" si="156"/>
        <v/>
      </c>
    </row>
    <row r="2986" spans="9:14" x14ac:dyDescent="0.25">
      <c r="I2986" s="11" t="b">
        <f t="shared" si="157"/>
        <v>0</v>
      </c>
      <c r="M2986" s="17" t="str">
        <f t="shared" si="155"/>
        <v/>
      </c>
      <c r="N2986" s="11" t="str">
        <f t="shared" si="156"/>
        <v/>
      </c>
    </row>
    <row r="2987" spans="9:14" x14ac:dyDescent="0.25">
      <c r="I2987" s="11" t="b">
        <f t="shared" si="157"/>
        <v>0</v>
      </c>
      <c r="M2987" s="17" t="str">
        <f t="shared" si="155"/>
        <v/>
      </c>
      <c r="N2987" s="11" t="str">
        <f t="shared" si="156"/>
        <v/>
      </c>
    </row>
    <row r="2988" spans="9:14" x14ac:dyDescent="0.25">
      <c r="I2988" s="11" t="b">
        <f t="shared" si="157"/>
        <v>0</v>
      </c>
      <c r="M2988" s="17" t="str">
        <f t="shared" si="155"/>
        <v/>
      </c>
      <c r="N2988" s="11" t="str">
        <f t="shared" si="156"/>
        <v/>
      </c>
    </row>
    <row r="2989" spans="9:14" x14ac:dyDescent="0.25">
      <c r="I2989" s="11" t="b">
        <f t="shared" si="157"/>
        <v>0</v>
      </c>
      <c r="M2989" s="17" t="str">
        <f t="shared" si="155"/>
        <v/>
      </c>
      <c r="N2989" s="11" t="str">
        <f t="shared" si="156"/>
        <v/>
      </c>
    </row>
    <row r="2990" spans="9:14" x14ac:dyDescent="0.25">
      <c r="I2990" s="11" t="b">
        <f t="shared" si="157"/>
        <v>0</v>
      </c>
      <c r="M2990" s="17" t="str">
        <f t="shared" si="155"/>
        <v/>
      </c>
      <c r="N2990" s="11" t="str">
        <f t="shared" si="156"/>
        <v/>
      </c>
    </row>
    <row r="2991" spans="9:14" x14ac:dyDescent="0.25">
      <c r="I2991" s="11" t="b">
        <f t="shared" si="157"/>
        <v>0</v>
      </c>
      <c r="M2991" s="17" t="str">
        <f t="shared" si="155"/>
        <v/>
      </c>
      <c r="N2991" s="11" t="str">
        <f t="shared" si="156"/>
        <v/>
      </c>
    </row>
    <row r="2992" spans="9:14" x14ac:dyDescent="0.25">
      <c r="I2992" s="11" t="b">
        <f t="shared" si="157"/>
        <v>0</v>
      </c>
      <c r="M2992" s="17" t="str">
        <f t="shared" si="155"/>
        <v/>
      </c>
      <c r="N2992" s="11" t="str">
        <f t="shared" si="156"/>
        <v/>
      </c>
    </row>
    <row r="2993" spans="9:14" x14ac:dyDescent="0.25">
      <c r="I2993" s="11" t="b">
        <f t="shared" si="157"/>
        <v>0</v>
      </c>
      <c r="M2993" s="17" t="str">
        <f t="shared" si="155"/>
        <v/>
      </c>
      <c r="N2993" s="11" t="str">
        <f t="shared" si="156"/>
        <v/>
      </c>
    </row>
    <row r="2994" spans="9:14" x14ac:dyDescent="0.25">
      <c r="I2994" s="11" t="b">
        <f t="shared" si="157"/>
        <v>0</v>
      </c>
      <c r="M2994" s="17" t="str">
        <f t="shared" si="155"/>
        <v/>
      </c>
      <c r="N2994" s="11" t="str">
        <f t="shared" si="156"/>
        <v/>
      </c>
    </row>
    <row r="2995" spans="9:14" x14ac:dyDescent="0.25">
      <c r="I2995" s="11" t="b">
        <f t="shared" si="157"/>
        <v>0</v>
      </c>
      <c r="M2995" s="17" t="str">
        <f t="shared" si="155"/>
        <v/>
      </c>
      <c r="N2995" s="11" t="str">
        <f t="shared" si="156"/>
        <v/>
      </c>
    </row>
    <row r="2996" spans="9:14" x14ac:dyDescent="0.25">
      <c r="I2996" s="11" t="b">
        <f t="shared" si="157"/>
        <v>0</v>
      </c>
      <c r="M2996" s="17" t="str">
        <f t="shared" si="155"/>
        <v/>
      </c>
      <c r="N2996" s="11" t="str">
        <f t="shared" si="156"/>
        <v/>
      </c>
    </row>
    <row r="2997" spans="9:14" x14ac:dyDescent="0.25">
      <c r="I2997" s="11" t="b">
        <f t="shared" si="157"/>
        <v>0</v>
      </c>
      <c r="M2997" s="17" t="str">
        <f t="shared" si="155"/>
        <v/>
      </c>
      <c r="N2997" s="11" t="str">
        <f t="shared" si="156"/>
        <v/>
      </c>
    </row>
    <row r="2998" spans="9:14" x14ac:dyDescent="0.25">
      <c r="I2998" s="11" t="b">
        <f t="shared" si="157"/>
        <v>0</v>
      </c>
      <c r="M2998" s="17" t="str">
        <f t="shared" si="155"/>
        <v/>
      </c>
      <c r="N2998" s="11" t="str">
        <f t="shared" si="156"/>
        <v/>
      </c>
    </row>
    <row r="2999" spans="9:14" x14ac:dyDescent="0.25">
      <c r="I2999" s="11" t="b">
        <f t="shared" si="157"/>
        <v>0</v>
      </c>
      <c r="M2999" s="17" t="str">
        <f t="shared" si="155"/>
        <v/>
      </c>
      <c r="N2999" s="11" t="str">
        <f t="shared" si="156"/>
        <v/>
      </c>
    </row>
    <row r="3000" spans="9:14" x14ac:dyDescent="0.25">
      <c r="I3000" s="11" t="b">
        <f t="shared" si="157"/>
        <v>0</v>
      </c>
      <c r="M3000" s="17" t="str">
        <f t="shared" si="155"/>
        <v/>
      </c>
      <c r="N3000" s="11" t="str">
        <f t="shared" si="156"/>
        <v/>
      </c>
    </row>
    <row r="3001" spans="9:14" x14ac:dyDescent="0.25">
      <c r="I3001" s="11" t="b">
        <f t="shared" si="157"/>
        <v>0</v>
      </c>
      <c r="M3001" s="17" t="str">
        <f t="shared" si="155"/>
        <v/>
      </c>
      <c r="N3001" s="11" t="str">
        <f t="shared" si="156"/>
        <v/>
      </c>
    </row>
    <row r="3002" spans="9:14" x14ac:dyDescent="0.25">
      <c r="I3002" s="11" t="b">
        <f t="shared" si="157"/>
        <v>0</v>
      </c>
      <c r="M3002" s="17" t="str">
        <f t="shared" si="155"/>
        <v/>
      </c>
      <c r="N3002" s="11" t="str">
        <f t="shared" si="156"/>
        <v/>
      </c>
    </row>
    <row r="3003" spans="9:14" x14ac:dyDescent="0.25">
      <c r="I3003" s="11" t="b">
        <f t="shared" si="157"/>
        <v>0</v>
      </c>
      <c r="M3003" s="17" t="str">
        <f t="shared" si="155"/>
        <v/>
      </c>
      <c r="N3003" s="11" t="str">
        <f t="shared" si="156"/>
        <v/>
      </c>
    </row>
    <row r="3004" spans="9:14" x14ac:dyDescent="0.25">
      <c r="I3004" s="11" t="b">
        <f t="shared" si="157"/>
        <v>0</v>
      </c>
      <c r="M3004" s="17" t="str">
        <f t="shared" si="155"/>
        <v/>
      </c>
      <c r="N3004" s="11" t="str">
        <f t="shared" si="156"/>
        <v/>
      </c>
    </row>
    <row r="3005" spans="9:14" x14ac:dyDescent="0.25">
      <c r="I3005" s="11" t="b">
        <f t="shared" si="157"/>
        <v>0</v>
      </c>
      <c r="M3005" s="17" t="str">
        <f t="shared" si="155"/>
        <v/>
      </c>
      <c r="N3005" s="11" t="str">
        <f t="shared" si="156"/>
        <v/>
      </c>
    </row>
    <row r="3006" spans="9:14" x14ac:dyDescent="0.25">
      <c r="I3006" s="11" t="b">
        <f t="shared" si="157"/>
        <v>0</v>
      </c>
      <c r="M3006" s="17" t="str">
        <f t="shared" si="155"/>
        <v/>
      </c>
      <c r="N3006" s="11" t="str">
        <f t="shared" si="156"/>
        <v/>
      </c>
    </row>
    <row r="3007" spans="9:14" x14ac:dyDescent="0.25">
      <c r="I3007" s="11" t="b">
        <f t="shared" si="157"/>
        <v>0</v>
      </c>
      <c r="M3007" s="17" t="str">
        <f t="shared" si="155"/>
        <v/>
      </c>
      <c r="N3007" s="11" t="str">
        <f t="shared" si="156"/>
        <v/>
      </c>
    </row>
    <row r="3008" spans="9:14" x14ac:dyDescent="0.25">
      <c r="I3008" s="11" t="b">
        <f t="shared" si="157"/>
        <v>0</v>
      </c>
      <c r="M3008" s="17" t="str">
        <f t="shared" si="155"/>
        <v/>
      </c>
      <c r="N3008" s="11" t="str">
        <f t="shared" si="156"/>
        <v/>
      </c>
    </row>
    <row r="3009" spans="9:14" x14ac:dyDescent="0.25">
      <c r="I3009" s="11" t="b">
        <f t="shared" si="157"/>
        <v>0</v>
      </c>
      <c r="M3009" s="17" t="str">
        <f t="shared" ref="M3009:M3072" si="158">IF(B3009=0, "",M3008+ J3009-K3009)</f>
        <v/>
      </c>
      <c r="N3009" s="11" t="str">
        <f t="shared" ref="N3009:N3072" si="159">IF(B3009=0, "", MONTH(B3009))</f>
        <v/>
      </c>
    </row>
    <row r="3010" spans="9:14" x14ac:dyDescent="0.25">
      <c r="I3010" s="11" t="b">
        <f t="shared" si="157"/>
        <v>0</v>
      </c>
      <c r="M3010" s="17" t="str">
        <f t="shared" si="158"/>
        <v/>
      </c>
      <c r="N3010" s="11" t="str">
        <f t="shared" si="159"/>
        <v/>
      </c>
    </row>
    <row r="3011" spans="9:14" x14ac:dyDescent="0.25">
      <c r="I3011" s="11" t="b">
        <f t="shared" si="157"/>
        <v>0</v>
      </c>
      <c r="M3011" s="17" t="str">
        <f t="shared" si="158"/>
        <v/>
      </c>
      <c r="N3011" s="11" t="str">
        <f t="shared" si="159"/>
        <v/>
      </c>
    </row>
    <row r="3012" spans="9:14" x14ac:dyDescent="0.25">
      <c r="I3012" s="11" t="b">
        <f t="shared" si="157"/>
        <v>0</v>
      </c>
      <c r="M3012" s="17" t="str">
        <f t="shared" si="158"/>
        <v/>
      </c>
      <c r="N3012" s="11" t="str">
        <f t="shared" si="159"/>
        <v/>
      </c>
    </row>
    <row r="3013" spans="9:14" x14ac:dyDescent="0.25">
      <c r="I3013" s="11" t="b">
        <f t="shared" si="157"/>
        <v>0</v>
      </c>
      <c r="M3013" s="17" t="str">
        <f t="shared" si="158"/>
        <v/>
      </c>
      <c r="N3013" s="11" t="str">
        <f t="shared" si="159"/>
        <v/>
      </c>
    </row>
    <row r="3014" spans="9:14" x14ac:dyDescent="0.25">
      <c r="I3014" s="11" t="b">
        <f t="shared" si="157"/>
        <v>0</v>
      </c>
      <c r="M3014" s="17" t="str">
        <f t="shared" si="158"/>
        <v/>
      </c>
      <c r="N3014" s="11" t="str">
        <f t="shared" si="159"/>
        <v/>
      </c>
    </row>
    <row r="3015" spans="9:14" x14ac:dyDescent="0.25">
      <c r="I3015" s="11" t="b">
        <f t="shared" si="157"/>
        <v>0</v>
      </c>
      <c r="M3015" s="17" t="str">
        <f t="shared" si="158"/>
        <v/>
      </c>
      <c r="N3015" s="11" t="str">
        <f t="shared" si="159"/>
        <v/>
      </c>
    </row>
    <row r="3016" spans="9:14" x14ac:dyDescent="0.25">
      <c r="I3016" s="11" t="b">
        <f t="shared" si="157"/>
        <v>0</v>
      </c>
      <c r="M3016" s="17" t="str">
        <f t="shared" si="158"/>
        <v/>
      </c>
      <c r="N3016" s="11" t="str">
        <f t="shared" si="159"/>
        <v/>
      </c>
    </row>
    <row r="3017" spans="9:14" x14ac:dyDescent="0.25">
      <c r="I3017" s="11" t="b">
        <f t="shared" si="157"/>
        <v>0</v>
      </c>
      <c r="M3017" s="17" t="str">
        <f t="shared" si="158"/>
        <v/>
      </c>
      <c r="N3017" s="11" t="str">
        <f t="shared" si="159"/>
        <v/>
      </c>
    </row>
    <row r="3018" spans="9:14" x14ac:dyDescent="0.25">
      <c r="I3018" s="11" t="b">
        <f t="shared" si="157"/>
        <v>0</v>
      </c>
      <c r="M3018" s="17" t="str">
        <f t="shared" si="158"/>
        <v/>
      </c>
      <c r="N3018" s="11" t="str">
        <f t="shared" si="159"/>
        <v/>
      </c>
    </row>
    <row r="3019" spans="9:14" x14ac:dyDescent="0.25">
      <c r="I3019" s="11" t="b">
        <f t="shared" si="157"/>
        <v>0</v>
      </c>
      <c r="M3019" s="17" t="str">
        <f t="shared" si="158"/>
        <v/>
      </c>
      <c r="N3019" s="11" t="str">
        <f t="shared" si="159"/>
        <v/>
      </c>
    </row>
    <row r="3020" spans="9:14" x14ac:dyDescent="0.25">
      <c r="I3020" s="11" t="b">
        <f t="shared" si="157"/>
        <v>0</v>
      </c>
      <c r="M3020" s="17" t="str">
        <f t="shared" si="158"/>
        <v/>
      </c>
      <c r="N3020" s="11" t="str">
        <f t="shared" si="159"/>
        <v/>
      </c>
    </row>
    <row r="3021" spans="9:14" x14ac:dyDescent="0.25">
      <c r="I3021" s="11" t="b">
        <f t="shared" si="157"/>
        <v>0</v>
      </c>
      <c r="M3021" s="17" t="str">
        <f t="shared" si="158"/>
        <v/>
      </c>
      <c r="N3021" s="11" t="str">
        <f t="shared" si="159"/>
        <v/>
      </c>
    </row>
    <row r="3022" spans="9:14" x14ac:dyDescent="0.25">
      <c r="I3022" s="11" t="b">
        <f t="shared" si="157"/>
        <v>0</v>
      </c>
      <c r="M3022" s="17" t="str">
        <f t="shared" si="158"/>
        <v/>
      </c>
      <c r="N3022" s="11" t="str">
        <f t="shared" si="159"/>
        <v/>
      </c>
    </row>
    <row r="3023" spans="9:14" x14ac:dyDescent="0.25">
      <c r="I3023" s="11" t="b">
        <f t="shared" si="157"/>
        <v>0</v>
      </c>
      <c r="M3023" s="17" t="str">
        <f t="shared" si="158"/>
        <v/>
      </c>
      <c r="N3023" s="11" t="str">
        <f t="shared" si="159"/>
        <v/>
      </c>
    </row>
    <row r="3024" spans="9:14" x14ac:dyDescent="0.25">
      <c r="I3024" s="11" t="b">
        <f t="shared" si="157"/>
        <v>0</v>
      </c>
      <c r="M3024" s="17" t="str">
        <f t="shared" si="158"/>
        <v/>
      </c>
      <c r="N3024" s="11" t="str">
        <f t="shared" si="159"/>
        <v/>
      </c>
    </row>
    <row r="3025" spans="9:14" x14ac:dyDescent="0.25">
      <c r="I3025" s="11" t="b">
        <f t="shared" si="157"/>
        <v>0</v>
      </c>
      <c r="M3025" s="17" t="str">
        <f t="shared" si="158"/>
        <v/>
      </c>
      <c r="N3025" s="11" t="str">
        <f t="shared" si="159"/>
        <v/>
      </c>
    </row>
    <row r="3026" spans="9:14" x14ac:dyDescent="0.25">
      <c r="I3026" s="11" t="b">
        <f t="shared" si="157"/>
        <v>0</v>
      </c>
      <c r="M3026" s="17" t="str">
        <f t="shared" si="158"/>
        <v/>
      </c>
      <c r="N3026" s="11" t="str">
        <f t="shared" si="159"/>
        <v/>
      </c>
    </row>
    <row r="3027" spans="9:14" x14ac:dyDescent="0.25">
      <c r="I3027" s="11" t="b">
        <f t="shared" si="157"/>
        <v>0</v>
      </c>
      <c r="M3027" s="17" t="str">
        <f t="shared" si="158"/>
        <v/>
      </c>
      <c r="N3027" s="11" t="str">
        <f t="shared" si="159"/>
        <v/>
      </c>
    </row>
    <row r="3028" spans="9:14" x14ac:dyDescent="0.25">
      <c r="I3028" s="11" t="b">
        <f t="shared" si="157"/>
        <v>0</v>
      </c>
      <c r="M3028" s="17" t="str">
        <f t="shared" si="158"/>
        <v/>
      </c>
      <c r="N3028" s="11" t="str">
        <f t="shared" si="159"/>
        <v/>
      </c>
    </row>
    <row r="3029" spans="9:14" x14ac:dyDescent="0.25">
      <c r="I3029" s="11" t="b">
        <f t="shared" si="157"/>
        <v>0</v>
      </c>
      <c r="M3029" s="17" t="str">
        <f t="shared" si="158"/>
        <v/>
      </c>
      <c r="N3029" s="11" t="str">
        <f t="shared" si="159"/>
        <v/>
      </c>
    </row>
    <row r="3030" spans="9:14" x14ac:dyDescent="0.25">
      <c r="I3030" s="11" t="b">
        <f t="shared" si="157"/>
        <v>0</v>
      </c>
      <c r="M3030" s="17" t="str">
        <f t="shared" si="158"/>
        <v/>
      </c>
      <c r="N3030" s="11" t="str">
        <f t="shared" si="159"/>
        <v/>
      </c>
    </row>
    <row r="3031" spans="9:14" x14ac:dyDescent="0.25">
      <c r="I3031" s="11" t="b">
        <f t="shared" si="157"/>
        <v>0</v>
      </c>
      <c r="M3031" s="17" t="str">
        <f t="shared" si="158"/>
        <v/>
      </c>
      <c r="N3031" s="11" t="str">
        <f t="shared" si="159"/>
        <v/>
      </c>
    </row>
    <row r="3032" spans="9:14" x14ac:dyDescent="0.25">
      <c r="I3032" s="11" t="b">
        <f t="shared" si="157"/>
        <v>0</v>
      </c>
      <c r="M3032" s="17" t="str">
        <f t="shared" si="158"/>
        <v/>
      </c>
      <c r="N3032" s="11" t="str">
        <f t="shared" si="159"/>
        <v/>
      </c>
    </row>
    <row r="3033" spans="9:14" x14ac:dyDescent="0.25">
      <c r="I3033" s="11" t="b">
        <f t="shared" si="157"/>
        <v>0</v>
      </c>
      <c r="M3033" s="17" t="str">
        <f t="shared" si="158"/>
        <v/>
      </c>
      <c r="N3033" s="11" t="str">
        <f t="shared" si="159"/>
        <v/>
      </c>
    </row>
    <row r="3034" spans="9:14" x14ac:dyDescent="0.25">
      <c r="I3034" s="11" t="b">
        <f t="shared" si="157"/>
        <v>0</v>
      </c>
      <c r="M3034" s="17" t="str">
        <f t="shared" si="158"/>
        <v/>
      </c>
      <c r="N3034" s="11" t="str">
        <f t="shared" si="159"/>
        <v/>
      </c>
    </row>
    <row r="3035" spans="9:14" x14ac:dyDescent="0.25">
      <c r="I3035" s="11" t="b">
        <f t="shared" si="157"/>
        <v>0</v>
      </c>
      <c r="M3035" s="17" t="str">
        <f t="shared" si="158"/>
        <v/>
      </c>
      <c r="N3035" s="11" t="str">
        <f t="shared" si="159"/>
        <v/>
      </c>
    </row>
    <row r="3036" spans="9:14" x14ac:dyDescent="0.25">
      <c r="I3036" s="11" t="b">
        <f t="shared" si="157"/>
        <v>0</v>
      </c>
      <c r="M3036" s="17" t="str">
        <f t="shared" si="158"/>
        <v/>
      </c>
      <c r="N3036" s="11" t="str">
        <f t="shared" si="159"/>
        <v/>
      </c>
    </row>
    <row r="3037" spans="9:14" x14ac:dyDescent="0.25">
      <c r="I3037" s="11" t="b">
        <f t="shared" ref="I3037:I3100" si="160">IF(AND(G3037="MERCADO PAGO",A3037="FATURAMENTO"),1,IF(AND(OR(G3037="MERCADO PAGO",G3037="pix mercado pago",G3037= "débito automático mercado pago", G3037= "boleto mercado pago"),A3037="DESPESAS"),4,IF(AND(G3037="SAFRA",A3037="FATURAMENTO"),2,IF(AND(OR(G3037="SAFRA",G3037="PIX SAFRA", G3037="DÉBITO AUTOMÁTICO SAFRA", G3037= "BOLETO SAFRA", G3037= "transferência safra"), A3037="DESPESAS"),5,IF(AND(G3037="espécie",A3037="FATURAMENTO"),3,IF(AND(G3037="espécie",A3037="DESPESAS"),6))))))</f>
        <v>0</v>
      </c>
      <c r="M3037" s="17" t="str">
        <f t="shared" si="158"/>
        <v/>
      </c>
      <c r="N3037" s="11" t="str">
        <f t="shared" si="159"/>
        <v/>
      </c>
    </row>
    <row r="3038" spans="9:14" x14ac:dyDescent="0.25">
      <c r="I3038" s="11" t="b">
        <f t="shared" si="160"/>
        <v>0</v>
      </c>
      <c r="M3038" s="17" t="str">
        <f t="shared" si="158"/>
        <v/>
      </c>
      <c r="N3038" s="11" t="str">
        <f t="shared" si="159"/>
        <v/>
      </c>
    </row>
    <row r="3039" spans="9:14" x14ac:dyDescent="0.25">
      <c r="I3039" s="11" t="b">
        <f t="shared" si="160"/>
        <v>0</v>
      </c>
      <c r="M3039" s="17" t="str">
        <f t="shared" si="158"/>
        <v/>
      </c>
      <c r="N3039" s="11" t="str">
        <f t="shared" si="159"/>
        <v/>
      </c>
    </row>
    <row r="3040" spans="9:14" x14ac:dyDescent="0.25">
      <c r="I3040" s="11" t="b">
        <f t="shared" si="160"/>
        <v>0</v>
      </c>
      <c r="M3040" s="17" t="str">
        <f t="shared" si="158"/>
        <v/>
      </c>
      <c r="N3040" s="11" t="str">
        <f t="shared" si="159"/>
        <v/>
      </c>
    </row>
    <row r="3041" spans="9:14" x14ac:dyDescent="0.25">
      <c r="I3041" s="11" t="b">
        <f t="shared" si="160"/>
        <v>0</v>
      </c>
      <c r="M3041" s="17" t="str">
        <f t="shared" si="158"/>
        <v/>
      </c>
      <c r="N3041" s="11" t="str">
        <f t="shared" si="159"/>
        <v/>
      </c>
    </row>
    <row r="3042" spans="9:14" x14ac:dyDescent="0.25">
      <c r="I3042" s="11" t="b">
        <f t="shared" si="160"/>
        <v>0</v>
      </c>
      <c r="M3042" s="17" t="str">
        <f t="shared" si="158"/>
        <v/>
      </c>
      <c r="N3042" s="11" t="str">
        <f t="shared" si="159"/>
        <v/>
      </c>
    </row>
    <row r="3043" spans="9:14" x14ac:dyDescent="0.25">
      <c r="I3043" s="11" t="b">
        <f t="shared" si="160"/>
        <v>0</v>
      </c>
      <c r="M3043" s="17" t="str">
        <f t="shared" si="158"/>
        <v/>
      </c>
      <c r="N3043" s="11" t="str">
        <f t="shared" si="159"/>
        <v/>
      </c>
    </row>
    <row r="3044" spans="9:14" x14ac:dyDescent="0.25">
      <c r="I3044" s="11" t="b">
        <f t="shared" si="160"/>
        <v>0</v>
      </c>
      <c r="M3044" s="17" t="str">
        <f t="shared" si="158"/>
        <v/>
      </c>
      <c r="N3044" s="11" t="str">
        <f t="shared" si="159"/>
        <v/>
      </c>
    </row>
    <row r="3045" spans="9:14" x14ac:dyDescent="0.25">
      <c r="I3045" s="11" t="b">
        <f t="shared" si="160"/>
        <v>0</v>
      </c>
      <c r="M3045" s="17" t="str">
        <f t="shared" si="158"/>
        <v/>
      </c>
      <c r="N3045" s="11" t="str">
        <f t="shared" si="159"/>
        <v/>
      </c>
    </row>
    <row r="3046" spans="9:14" x14ac:dyDescent="0.25">
      <c r="I3046" s="11" t="b">
        <f t="shared" si="160"/>
        <v>0</v>
      </c>
      <c r="M3046" s="17" t="str">
        <f t="shared" si="158"/>
        <v/>
      </c>
      <c r="N3046" s="11" t="str">
        <f t="shared" si="159"/>
        <v/>
      </c>
    </row>
    <row r="3047" spans="9:14" x14ac:dyDescent="0.25">
      <c r="I3047" s="11" t="b">
        <f t="shared" si="160"/>
        <v>0</v>
      </c>
      <c r="M3047" s="17" t="str">
        <f t="shared" si="158"/>
        <v/>
      </c>
      <c r="N3047" s="11" t="str">
        <f t="shared" si="159"/>
        <v/>
      </c>
    </row>
    <row r="3048" spans="9:14" x14ac:dyDescent="0.25">
      <c r="I3048" s="11" t="b">
        <f t="shared" si="160"/>
        <v>0</v>
      </c>
      <c r="M3048" s="17" t="str">
        <f t="shared" si="158"/>
        <v/>
      </c>
      <c r="N3048" s="11" t="str">
        <f t="shared" si="159"/>
        <v/>
      </c>
    </row>
    <row r="3049" spans="9:14" x14ac:dyDescent="0.25">
      <c r="I3049" s="11" t="b">
        <f t="shared" si="160"/>
        <v>0</v>
      </c>
      <c r="M3049" s="17" t="str">
        <f t="shared" si="158"/>
        <v/>
      </c>
      <c r="N3049" s="11" t="str">
        <f t="shared" si="159"/>
        <v/>
      </c>
    </row>
    <row r="3050" spans="9:14" x14ac:dyDescent="0.25">
      <c r="I3050" s="11" t="b">
        <f t="shared" si="160"/>
        <v>0</v>
      </c>
      <c r="M3050" s="17" t="str">
        <f t="shared" si="158"/>
        <v/>
      </c>
      <c r="N3050" s="11" t="str">
        <f t="shared" si="159"/>
        <v/>
      </c>
    </row>
    <row r="3051" spans="9:14" x14ac:dyDescent="0.25">
      <c r="I3051" s="11" t="b">
        <f t="shared" si="160"/>
        <v>0</v>
      </c>
      <c r="M3051" s="17" t="str">
        <f t="shared" si="158"/>
        <v/>
      </c>
      <c r="N3051" s="11" t="str">
        <f t="shared" si="159"/>
        <v/>
      </c>
    </row>
    <row r="3052" spans="9:14" x14ac:dyDescent="0.25">
      <c r="I3052" s="11" t="b">
        <f t="shared" si="160"/>
        <v>0</v>
      </c>
      <c r="M3052" s="17" t="str">
        <f t="shared" si="158"/>
        <v/>
      </c>
      <c r="N3052" s="11" t="str">
        <f t="shared" si="159"/>
        <v/>
      </c>
    </row>
    <row r="3053" spans="9:14" x14ac:dyDescent="0.25">
      <c r="I3053" s="11" t="b">
        <f t="shared" si="160"/>
        <v>0</v>
      </c>
      <c r="M3053" s="17" t="str">
        <f t="shared" si="158"/>
        <v/>
      </c>
      <c r="N3053" s="11" t="str">
        <f t="shared" si="159"/>
        <v/>
      </c>
    </row>
    <row r="3054" spans="9:14" x14ac:dyDescent="0.25">
      <c r="I3054" s="11" t="b">
        <f t="shared" si="160"/>
        <v>0</v>
      </c>
      <c r="M3054" s="17" t="str">
        <f t="shared" si="158"/>
        <v/>
      </c>
      <c r="N3054" s="11" t="str">
        <f t="shared" si="159"/>
        <v/>
      </c>
    </row>
    <row r="3055" spans="9:14" x14ac:dyDescent="0.25">
      <c r="I3055" s="11" t="b">
        <f t="shared" si="160"/>
        <v>0</v>
      </c>
      <c r="M3055" s="17" t="str">
        <f t="shared" si="158"/>
        <v/>
      </c>
      <c r="N3055" s="11" t="str">
        <f t="shared" si="159"/>
        <v/>
      </c>
    </row>
    <row r="3056" spans="9:14" x14ac:dyDescent="0.25">
      <c r="I3056" s="11" t="b">
        <f t="shared" si="160"/>
        <v>0</v>
      </c>
      <c r="M3056" s="17" t="str">
        <f t="shared" si="158"/>
        <v/>
      </c>
      <c r="N3056" s="11" t="str">
        <f t="shared" si="159"/>
        <v/>
      </c>
    </row>
    <row r="3057" spans="9:14" x14ac:dyDescent="0.25">
      <c r="I3057" s="11" t="b">
        <f t="shared" si="160"/>
        <v>0</v>
      </c>
      <c r="M3057" s="17" t="str">
        <f t="shared" si="158"/>
        <v/>
      </c>
      <c r="N3057" s="11" t="str">
        <f t="shared" si="159"/>
        <v/>
      </c>
    </row>
    <row r="3058" spans="9:14" x14ac:dyDescent="0.25">
      <c r="I3058" s="11" t="b">
        <f t="shared" si="160"/>
        <v>0</v>
      </c>
      <c r="M3058" s="17" t="str">
        <f t="shared" si="158"/>
        <v/>
      </c>
      <c r="N3058" s="11" t="str">
        <f t="shared" si="159"/>
        <v/>
      </c>
    </row>
    <row r="3059" spans="9:14" x14ac:dyDescent="0.25">
      <c r="I3059" s="11" t="b">
        <f t="shared" si="160"/>
        <v>0</v>
      </c>
      <c r="M3059" s="17" t="str">
        <f t="shared" si="158"/>
        <v/>
      </c>
      <c r="N3059" s="11" t="str">
        <f t="shared" si="159"/>
        <v/>
      </c>
    </row>
    <row r="3060" spans="9:14" x14ac:dyDescent="0.25">
      <c r="I3060" s="11" t="b">
        <f t="shared" si="160"/>
        <v>0</v>
      </c>
      <c r="M3060" s="17" t="str">
        <f t="shared" si="158"/>
        <v/>
      </c>
      <c r="N3060" s="11" t="str">
        <f t="shared" si="159"/>
        <v/>
      </c>
    </row>
    <row r="3061" spans="9:14" x14ac:dyDescent="0.25">
      <c r="I3061" s="11" t="b">
        <f t="shared" si="160"/>
        <v>0</v>
      </c>
      <c r="M3061" s="17" t="str">
        <f t="shared" si="158"/>
        <v/>
      </c>
      <c r="N3061" s="11" t="str">
        <f t="shared" si="159"/>
        <v/>
      </c>
    </row>
    <row r="3062" spans="9:14" x14ac:dyDescent="0.25">
      <c r="I3062" s="11" t="b">
        <f t="shared" si="160"/>
        <v>0</v>
      </c>
      <c r="M3062" s="17" t="str">
        <f t="shared" si="158"/>
        <v/>
      </c>
      <c r="N3062" s="11" t="str">
        <f t="shared" si="159"/>
        <v/>
      </c>
    </row>
    <row r="3063" spans="9:14" x14ac:dyDescent="0.25">
      <c r="I3063" s="11" t="b">
        <f t="shared" si="160"/>
        <v>0</v>
      </c>
      <c r="M3063" s="17" t="str">
        <f t="shared" si="158"/>
        <v/>
      </c>
      <c r="N3063" s="11" t="str">
        <f t="shared" si="159"/>
        <v/>
      </c>
    </row>
    <row r="3064" spans="9:14" x14ac:dyDescent="0.25">
      <c r="I3064" s="11" t="b">
        <f t="shared" si="160"/>
        <v>0</v>
      </c>
      <c r="M3064" s="17" t="str">
        <f t="shared" si="158"/>
        <v/>
      </c>
      <c r="N3064" s="11" t="str">
        <f t="shared" si="159"/>
        <v/>
      </c>
    </row>
    <row r="3065" spans="9:14" x14ac:dyDescent="0.25">
      <c r="I3065" s="11" t="b">
        <f t="shared" si="160"/>
        <v>0</v>
      </c>
      <c r="M3065" s="17" t="str">
        <f t="shared" si="158"/>
        <v/>
      </c>
      <c r="N3065" s="11" t="str">
        <f t="shared" si="159"/>
        <v/>
      </c>
    </row>
    <row r="3066" spans="9:14" x14ac:dyDescent="0.25">
      <c r="I3066" s="11" t="b">
        <f t="shared" si="160"/>
        <v>0</v>
      </c>
      <c r="M3066" s="17" t="str">
        <f t="shared" si="158"/>
        <v/>
      </c>
      <c r="N3066" s="11" t="str">
        <f t="shared" si="159"/>
        <v/>
      </c>
    </row>
    <row r="3067" spans="9:14" x14ac:dyDescent="0.25">
      <c r="I3067" s="11" t="b">
        <f t="shared" si="160"/>
        <v>0</v>
      </c>
      <c r="M3067" s="17" t="str">
        <f t="shared" si="158"/>
        <v/>
      </c>
      <c r="N3067" s="11" t="str">
        <f t="shared" si="159"/>
        <v/>
      </c>
    </row>
    <row r="3068" spans="9:14" x14ac:dyDescent="0.25">
      <c r="I3068" s="11" t="b">
        <f t="shared" si="160"/>
        <v>0</v>
      </c>
      <c r="M3068" s="17" t="str">
        <f t="shared" si="158"/>
        <v/>
      </c>
      <c r="N3068" s="11" t="str">
        <f t="shared" si="159"/>
        <v/>
      </c>
    </row>
    <row r="3069" spans="9:14" x14ac:dyDescent="0.25">
      <c r="I3069" s="11" t="b">
        <f t="shared" si="160"/>
        <v>0</v>
      </c>
      <c r="M3069" s="17" t="str">
        <f t="shared" si="158"/>
        <v/>
      </c>
      <c r="N3069" s="11" t="str">
        <f t="shared" si="159"/>
        <v/>
      </c>
    </row>
    <row r="3070" spans="9:14" x14ac:dyDescent="0.25">
      <c r="I3070" s="11" t="b">
        <f t="shared" si="160"/>
        <v>0</v>
      </c>
      <c r="M3070" s="17" t="str">
        <f t="shared" si="158"/>
        <v/>
      </c>
      <c r="N3070" s="11" t="str">
        <f t="shared" si="159"/>
        <v/>
      </c>
    </row>
    <row r="3071" spans="9:14" x14ac:dyDescent="0.25">
      <c r="I3071" s="11" t="b">
        <f t="shared" si="160"/>
        <v>0</v>
      </c>
      <c r="M3071" s="17" t="str">
        <f t="shared" si="158"/>
        <v/>
      </c>
      <c r="N3071" s="11" t="str">
        <f t="shared" si="159"/>
        <v/>
      </c>
    </row>
    <row r="3072" spans="9:14" x14ac:dyDescent="0.25">
      <c r="I3072" s="11" t="b">
        <f t="shared" si="160"/>
        <v>0</v>
      </c>
      <c r="M3072" s="17" t="str">
        <f t="shared" si="158"/>
        <v/>
      </c>
      <c r="N3072" s="11" t="str">
        <f t="shared" si="159"/>
        <v/>
      </c>
    </row>
    <row r="3073" spans="9:14" x14ac:dyDescent="0.25">
      <c r="I3073" s="11" t="b">
        <f t="shared" si="160"/>
        <v>0</v>
      </c>
      <c r="M3073" s="17" t="str">
        <f t="shared" ref="M3073:M3136" si="161">IF(B3073=0, "",M3072+ J3073-K3073)</f>
        <v/>
      </c>
      <c r="N3073" s="11" t="str">
        <f t="shared" ref="N3073:N3136" si="162">IF(B3073=0, "", MONTH(B3073))</f>
        <v/>
      </c>
    </row>
    <row r="3074" spans="9:14" x14ac:dyDescent="0.25">
      <c r="I3074" s="11" t="b">
        <f t="shared" si="160"/>
        <v>0</v>
      </c>
      <c r="M3074" s="17" t="str">
        <f t="shared" si="161"/>
        <v/>
      </c>
      <c r="N3074" s="11" t="str">
        <f t="shared" si="162"/>
        <v/>
      </c>
    </row>
    <row r="3075" spans="9:14" x14ac:dyDescent="0.25">
      <c r="I3075" s="11" t="b">
        <f t="shared" si="160"/>
        <v>0</v>
      </c>
      <c r="M3075" s="17" t="str">
        <f t="shared" si="161"/>
        <v/>
      </c>
      <c r="N3075" s="11" t="str">
        <f t="shared" si="162"/>
        <v/>
      </c>
    </row>
    <row r="3076" spans="9:14" x14ac:dyDescent="0.25">
      <c r="I3076" s="11" t="b">
        <f t="shared" si="160"/>
        <v>0</v>
      </c>
      <c r="M3076" s="17" t="str">
        <f t="shared" si="161"/>
        <v/>
      </c>
      <c r="N3076" s="11" t="str">
        <f t="shared" si="162"/>
        <v/>
      </c>
    </row>
    <row r="3077" spans="9:14" x14ac:dyDescent="0.25">
      <c r="I3077" s="11" t="b">
        <f t="shared" si="160"/>
        <v>0</v>
      </c>
      <c r="M3077" s="17" t="str">
        <f t="shared" si="161"/>
        <v/>
      </c>
      <c r="N3077" s="11" t="str">
        <f t="shared" si="162"/>
        <v/>
      </c>
    </row>
    <row r="3078" spans="9:14" x14ac:dyDescent="0.25">
      <c r="I3078" s="11" t="b">
        <f t="shared" si="160"/>
        <v>0</v>
      </c>
      <c r="M3078" s="17" t="str">
        <f t="shared" si="161"/>
        <v/>
      </c>
      <c r="N3078" s="11" t="str">
        <f t="shared" si="162"/>
        <v/>
      </c>
    </row>
    <row r="3079" spans="9:14" x14ac:dyDescent="0.25">
      <c r="I3079" s="11" t="b">
        <f t="shared" si="160"/>
        <v>0</v>
      </c>
      <c r="M3079" s="17" t="str">
        <f t="shared" si="161"/>
        <v/>
      </c>
      <c r="N3079" s="11" t="str">
        <f t="shared" si="162"/>
        <v/>
      </c>
    </row>
    <row r="3080" spans="9:14" x14ac:dyDescent="0.25">
      <c r="I3080" s="11" t="b">
        <f t="shared" si="160"/>
        <v>0</v>
      </c>
      <c r="M3080" s="17" t="str">
        <f t="shared" si="161"/>
        <v/>
      </c>
      <c r="N3080" s="11" t="str">
        <f t="shared" si="162"/>
        <v/>
      </c>
    </row>
    <row r="3081" spans="9:14" x14ac:dyDescent="0.25">
      <c r="I3081" s="11" t="b">
        <f t="shared" si="160"/>
        <v>0</v>
      </c>
      <c r="M3081" s="17" t="str">
        <f t="shared" si="161"/>
        <v/>
      </c>
      <c r="N3081" s="11" t="str">
        <f t="shared" si="162"/>
        <v/>
      </c>
    </row>
    <row r="3082" spans="9:14" x14ac:dyDescent="0.25">
      <c r="I3082" s="11" t="b">
        <f t="shared" si="160"/>
        <v>0</v>
      </c>
      <c r="M3082" s="17" t="str">
        <f t="shared" si="161"/>
        <v/>
      </c>
      <c r="N3082" s="11" t="str">
        <f t="shared" si="162"/>
        <v/>
      </c>
    </row>
    <row r="3083" spans="9:14" x14ac:dyDescent="0.25">
      <c r="I3083" s="11" t="b">
        <f t="shared" si="160"/>
        <v>0</v>
      </c>
      <c r="M3083" s="17" t="str">
        <f t="shared" si="161"/>
        <v/>
      </c>
      <c r="N3083" s="11" t="str">
        <f t="shared" si="162"/>
        <v/>
      </c>
    </row>
    <row r="3084" spans="9:14" x14ac:dyDescent="0.25">
      <c r="I3084" s="11" t="b">
        <f t="shared" si="160"/>
        <v>0</v>
      </c>
      <c r="M3084" s="17" t="str">
        <f t="shared" si="161"/>
        <v/>
      </c>
      <c r="N3084" s="11" t="str">
        <f t="shared" si="162"/>
        <v/>
      </c>
    </row>
    <row r="3085" spans="9:14" x14ac:dyDescent="0.25">
      <c r="I3085" s="11" t="b">
        <f t="shared" si="160"/>
        <v>0</v>
      </c>
      <c r="M3085" s="17" t="str">
        <f t="shared" si="161"/>
        <v/>
      </c>
      <c r="N3085" s="11" t="str">
        <f t="shared" si="162"/>
        <v/>
      </c>
    </row>
    <row r="3086" spans="9:14" x14ac:dyDescent="0.25">
      <c r="I3086" s="11" t="b">
        <f t="shared" si="160"/>
        <v>0</v>
      </c>
      <c r="M3086" s="17" t="str">
        <f t="shared" si="161"/>
        <v/>
      </c>
      <c r="N3086" s="11" t="str">
        <f t="shared" si="162"/>
        <v/>
      </c>
    </row>
    <row r="3087" spans="9:14" x14ac:dyDescent="0.25">
      <c r="I3087" s="11" t="b">
        <f t="shared" si="160"/>
        <v>0</v>
      </c>
      <c r="M3087" s="17" t="str">
        <f t="shared" si="161"/>
        <v/>
      </c>
      <c r="N3087" s="11" t="str">
        <f t="shared" si="162"/>
        <v/>
      </c>
    </row>
    <row r="3088" spans="9:14" x14ac:dyDescent="0.25">
      <c r="I3088" s="11" t="b">
        <f t="shared" si="160"/>
        <v>0</v>
      </c>
      <c r="M3088" s="17" t="str">
        <f t="shared" si="161"/>
        <v/>
      </c>
      <c r="N3088" s="11" t="str">
        <f t="shared" si="162"/>
        <v/>
      </c>
    </row>
    <row r="3089" spans="9:14" x14ac:dyDescent="0.25">
      <c r="I3089" s="11" t="b">
        <f t="shared" si="160"/>
        <v>0</v>
      </c>
      <c r="M3089" s="17" t="str">
        <f t="shared" si="161"/>
        <v/>
      </c>
      <c r="N3089" s="11" t="str">
        <f t="shared" si="162"/>
        <v/>
      </c>
    </row>
    <row r="3090" spans="9:14" x14ac:dyDescent="0.25">
      <c r="I3090" s="11" t="b">
        <f t="shared" si="160"/>
        <v>0</v>
      </c>
      <c r="M3090" s="17" t="str">
        <f t="shared" si="161"/>
        <v/>
      </c>
      <c r="N3090" s="11" t="str">
        <f t="shared" si="162"/>
        <v/>
      </c>
    </row>
    <row r="3091" spans="9:14" x14ac:dyDescent="0.25">
      <c r="I3091" s="11" t="b">
        <f t="shared" si="160"/>
        <v>0</v>
      </c>
      <c r="M3091" s="17" t="str">
        <f t="shared" si="161"/>
        <v/>
      </c>
      <c r="N3091" s="11" t="str">
        <f t="shared" si="162"/>
        <v/>
      </c>
    </row>
    <row r="3092" spans="9:14" x14ac:dyDescent="0.25">
      <c r="I3092" s="11" t="b">
        <f t="shared" si="160"/>
        <v>0</v>
      </c>
      <c r="M3092" s="17" t="str">
        <f t="shared" si="161"/>
        <v/>
      </c>
      <c r="N3092" s="11" t="str">
        <f t="shared" si="162"/>
        <v/>
      </c>
    </row>
    <row r="3093" spans="9:14" x14ac:dyDescent="0.25">
      <c r="I3093" s="11" t="b">
        <f t="shared" si="160"/>
        <v>0</v>
      </c>
      <c r="M3093" s="17" t="str">
        <f t="shared" si="161"/>
        <v/>
      </c>
      <c r="N3093" s="11" t="str">
        <f t="shared" si="162"/>
        <v/>
      </c>
    </row>
    <row r="3094" spans="9:14" x14ac:dyDescent="0.25">
      <c r="I3094" s="11" t="b">
        <f t="shared" si="160"/>
        <v>0</v>
      </c>
      <c r="M3094" s="17" t="str">
        <f t="shared" si="161"/>
        <v/>
      </c>
      <c r="N3094" s="11" t="str">
        <f t="shared" si="162"/>
        <v/>
      </c>
    </row>
    <row r="3095" spans="9:14" x14ac:dyDescent="0.25">
      <c r="I3095" s="11" t="b">
        <f t="shared" si="160"/>
        <v>0</v>
      </c>
      <c r="M3095" s="17" t="str">
        <f t="shared" si="161"/>
        <v/>
      </c>
      <c r="N3095" s="11" t="str">
        <f t="shared" si="162"/>
        <v/>
      </c>
    </row>
    <row r="3096" spans="9:14" x14ac:dyDescent="0.25">
      <c r="I3096" s="11" t="b">
        <f t="shared" si="160"/>
        <v>0</v>
      </c>
      <c r="M3096" s="17" t="str">
        <f t="shared" si="161"/>
        <v/>
      </c>
      <c r="N3096" s="11" t="str">
        <f t="shared" si="162"/>
        <v/>
      </c>
    </row>
    <row r="3097" spans="9:14" x14ac:dyDescent="0.25">
      <c r="I3097" s="11" t="b">
        <f t="shared" si="160"/>
        <v>0</v>
      </c>
      <c r="M3097" s="17" t="str">
        <f t="shared" si="161"/>
        <v/>
      </c>
      <c r="N3097" s="11" t="str">
        <f t="shared" si="162"/>
        <v/>
      </c>
    </row>
    <row r="3098" spans="9:14" x14ac:dyDescent="0.25">
      <c r="I3098" s="11" t="b">
        <f t="shared" si="160"/>
        <v>0</v>
      </c>
      <c r="M3098" s="17" t="str">
        <f t="shared" si="161"/>
        <v/>
      </c>
      <c r="N3098" s="11" t="str">
        <f t="shared" si="162"/>
        <v/>
      </c>
    </row>
    <row r="3099" spans="9:14" x14ac:dyDescent="0.25">
      <c r="I3099" s="11" t="b">
        <f t="shared" si="160"/>
        <v>0</v>
      </c>
      <c r="M3099" s="17" t="str">
        <f t="shared" si="161"/>
        <v/>
      </c>
      <c r="N3099" s="11" t="str">
        <f t="shared" si="162"/>
        <v/>
      </c>
    </row>
    <row r="3100" spans="9:14" x14ac:dyDescent="0.25">
      <c r="I3100" s="11" t="b">
        <f t="shared" si="160"/>
        <v>0</v>
      </c>
      <c r="M3100" s="17" t="str">
        <f t="shared" si="161"/>
        <v/>
      </c>
      <c r="N3100" s="11" t="str">
        <f t="shared" si="162"/>
        <v/>
      </c>
    </row>
    <row r="3101" spans="9:14" x14ac:dyDescent="0.25">
      <c r="I3101" s="11" t="b">
        <f t="shared" ref="I3101:I3164" si="163">IF(AND(G3101="MERCADO PAGO",A3101="FATURAMENTO"),1,IF(AND(OR(G3101="MERCADO PAGO",G3101="pix mercado pago",G3101= "débito automático mercado pago", G3101= "boleto mercado pago"),A3101="DESPESAS"),4,IF(AND(G3101="SAFRA",A3101="FATURAMENTO"),2,IF(AND(OR(G3101="SAFRA",G3101="PIX SAFRA", G3101="DÉBITO AUTOMÁTICO SAFRA", G3101= "BOLETO SAFRA", G3101= "transferência safra"), A3101="DESPESAS"),5,IF(AND(G3101="espécie",A3101="FATURAMENTO"),3,IF(AND(G3101="espécie",A3101="DESPESAS"),6))))))</f>
        <v>0</v>
      </c>
      <c r="M3101" s="17" t="str">
        <f t="shared" si="161"/>
        <v/>
      </c>
      <c r="N3101" s="11" t="str">
        <f t="shared" si="162"/>
        <v/>
      </c>
    </row>
    <row r="3102" spans="9:14" x14ac:dyDescent="0.25">
      <c r="I3102" s="11" t="b">
        <f t="shared" si="163"/>
        <v>0</v>
      </c>
      <c r="M3102" s="17" t="str">
        <f t="shared" si="161"/>
        <v/>
      </c>
      <c r="N3102" s="11" t="str">
        <f t="shared" si="162"/>
        <v/>
      </c>
    </row>
    <row r="3103" spans="9:14" x14ac:dyDescent="0.25">
      <c r="I3103" s="11" t="b">
        <f t="shared" si="163"/>
        <v>0</v>
      </c>
      <c r="M3103" s="17" t="str">
        <f t="shared" si="161"/>
        <v/>
      </c>
      <c r="N3103" s="11" t="str">
        <f t="shared" si="162"/>
        <v/>
      </c>
    </row>
    <row r="3104" spans="9:14" x14ac:dyDescent="0.25">
      <c r="I3104" s="11" t="b">
        <f t="shared" si="163"/>
        <v>0</v>
      </c>
      <c r="M3104" s="17" t="str">
        <f t="shared" si="161"/>
        <v/>
      </c>
      <c r="N3104" s="11" t="str">
        <f t="shared" si="162"/>
        <v/>
      </c>
    </row>
    <row r="3105" spans="9:14" x14ac:dyDescent="0.25">
      <c r="I3105" s="11" t="b">
        <f t="shared" si="163"/>
        <v>0</v>
      </c>
      <c r="M3105" s="17" t="str">
        <f t="shared" si="161"/>
        <v/>
      </c>
      <c r="N3105" s="11" t="str">
        <f t="shared" si="162"/>
        <v/>
      </c>
    </row>
    <row r="3106" spans="9:14" x14ac:dyDescent="0.25">
      <c r="I3106" s="11" t="b">
        <f t="shared" si="163"/>
        <v>0</v>
      </c>
      <c r="M3106" s="17" t="str">
        <f t="shared" si="161"/>
        <v/>
      </c>
      <c r="N3106" s="11" t="str">
        <f t="shared" si="162"/>
        <v/>
      </c>
    </row>
    <row r="3107" spans="9:14" x14ac:dyDescent="0.25">
      <c r="I3107" s="11" t="b">
        <f t="shared" si="163"/>
        <v>0</v>
      </c>
      <c r="M3107" s="17" t="str">
        <f t="shared" si="161"/>
        <v/>
      </c>
      <c r="N3107" s="11" t="str">
        <f t="shared" si="162"/>
        <v/>
      </c>
    </row>
    <row r="3108" spans="9:14" x14ac:dyDescent="0.25">
      <c r="I3108" s="11" t="b">
        <f t="shared" si="163"/>
        <v>0</v>
      </c>
      <c r="M3108" s="17" t="str">
        <f t="shared" si="161"/>
        <v/>
      </c>
      <c r="N3108" s="11" t="str">
        <f t="shared" si="162"/>
        <v/>
      </c>
    </row>
    <row r="3109" spans="9:14" x14ac:dyDescent="0.25">
      <c r="I3109" s="11" t="b">
        <f t="shared" si="163"/>
        <v>0</v>
      </c>
      <c r="M3109" s="17" t="str">
        <f t="shared" si="161"/>
        <v/>
      </c>
      <c r="N3109" s="11" t="str">
        <f t="shared" si="162"/>
        <v/>
      </c>
    </row>
    <row r="3110" spans="9:14" x14ac:dyDescent="0.25">
      <c r="I3110" s="11" t="b">
        <f t="shared" si="163"/>
        <v>0</v>
      </c>
      <c r="M3110" s="17" t="str">
        <f t="shared" si="161"/>
        <v/>
      </c>
      <c r="N3110" s="11" t="str">
        <f t="shared" si="162"/>
        <v/>
      </c>
    </row>
    <row r="3111" spans="9:14" x14ac:dyDescent="0.25">
      <c r="I3111" s="11" t="b">
        <f t="shared" si="163"/>
        <v>0</v>
      </c>
      <c r="M3111" s="17" t="str">
        <f t="shared" si="161"/>
        <v/>
      </c>
      <c r="N3111" s="11" t="str">
        <f t="shared" si="162"/>
        <v/>
      </c>
    </row>
    <row r="3112" spans="9:14" x14ac:dyDescent="0.25">
      <c r="I3112" s="11" t="b">
        <f t="shared" si="163"/>
        <v>0</v>
      </c>
      <c r="M3112" s="17" t="str">
        <f t="shared" si="161"/>
        <v/>
      </c>
      <c r="N3112" s="11" t="str">
        <f t="shared" si="162"/>
        <v/>
      </c>
    </row>
    <row r="3113" spans="9:14" x14ac:dyDescent="0.25">
      <c r="I3113" s="11" t="b">
        <f t="shared" si="163"/>
        <v>0</v>
      </c>
      <c r="M3113" s="17" t="str">
        <f t="shared" si="161"/>
        <v/>
      </c>
      <c r="N3113" s="11" t="str">
        <f t="shared" si="162"/>
        <v/>
      </c>
    </row>
    <row r="3114" spans="9:14" x14ac:dyDescent="0.25">
      <c r="I3114" s="11" t="b">
        <f t="shared" si="163"/>
        <v>0</v>
      </c>
      <c r="M3114" s="17" t="str">
        <f t="shared" si="161"/>
        <v/>
      </c>
      <c r="N3114" s="11" t="str">
        <f t="shared" si="162"/>
        <v/>
      </c>
    </row>
    <row r="3115" spans="9:14" x14ac:dyDescent="0.25">
      <c r="I3115" s="11" t="b">
        <f t="shared" si="163"/>
        <v>0</v>
      </c>
      <c r="M3115" s="17" t="str">
        <f t="shared" si="161"/>
        <v/>
      </c>
      <c r="N3115" s="11" t="str">
        <f t="shared" si="162"/>
        <v/>
      </c>
    </row>
    <row r="3116" spans="9:14" x14ac:dyDescent="0.25">
      <c r="I3116" s="11" t="b">
        <f t="shared" si="163"/>
        <v>0</v>
      </c>
      <c r="M3116" s="17" t="str">
        <f t="shared" si="161"/>
        <v/>
      </c>
      <c r="N3116" s="11" t="str">
        <f t="shared" si="162"/>
        <v/>
      </c>
    </row>
    <row r="3117" spans="9:14" x14ac:dyDescent="0.25">
      <c r="I3117" s="11" t="b">
        <f t="shared" si="163"/>
        <v>0</v>
      </c>
      <c r="M3117" s="17" t="str">
        <f t="shared" si="161"/>
        <v/>
      </c>
      <c r="N3117" s="11" t="str">
        <f t="shared" si="162"/>
        <v/>
      </c>
    </row>
    <row r="3118" spans="9:14" x14ac:dyDescent="0.25">
      <c r="I3118" s="11" t="b">
        <f t="shared" si="163"/>
        <v>0</v>
      </c>
      <c r="M3118" s="17" t="str">
        <f t="shared" si="161"/>
        <v/>
      </c>
      <c r="N3118" s="11" t="str">
        <f t="shared" si="162"/>
        <v/>
      </c>
    </row>
    <row r="3119" spans="9:14" x14ac:dyDescent="0.25">
      <c r="I3119" s="11" t="b">
        <f t="shared" si="163"/>
        <v>0</v>
      </c>
      <c r="M3119" s="17" t="str">
        <f t="shared" si="161"/>
        <v/>
      </c>
      <c r="N3119" s="11" t="str">
        <f t="shared" si="162"/>
        <v/>
      </c>
    </row>
    <row r="3120" spans="9:14" x14ac:dyDescent="0.25">
      <c r="I3120" s="11" t="b">
        <f t="shared" si="163"/>
        <v>0</v>
      </c>
      <c r="M3120" s="17" t="str">
        <f t="shared" si="161"/>
        <v/>
      </c>
      <c r="N3120" s="11" t="str">
        <f t="shared" si="162"/>
        <v/>
      </c>
    </row>
    <row r="3121" spans="9:14" x14ac:dyDescent="0.25">
      <c r="I3121" s="11" t="b">
        <f t="shared" si="163"/>
        <v>0</v>
      </c>
      <c r="M3121" s="17" t="str">
        <f t="shared" si="161"/>
        <v/>
      </c>
      <c r="N3121" s="11" t="str">
        <f t="shared" si="162"/>
        <v/>
      </c>
    </row>
    <row r="3122" spans="9:14" x14ac:dyDescent="0.25">
      <c r="I3122" s="11" t="b">
        <f t="shared" si="163"/>
        <v>0</v>
      </c>
      <c r="M3122" s="17" t="str">
        <f t="shared" si="161"/>
        <v/>
      </c>
      <c r="N3122" s="11" t="str">
        <f t="shared" si="162"/>
        <v/>
      </c>
    </row>
    <row r="3123" spans="9:14" x14ac:dyDescent="0.25">
      <c r="I3123" s="11" t="b">
        <f t="shared" si="163"/>
        <v>0</v>
      </c>
      <c r="M3123" s="17" t="str">
        <f t="shared" si="161"/>
        <v/>
      </c>
      <c r="N3123" s="11" t="str">
        <f t="shared" si="162"/>
        <v/>
      </c>
    </row>
    <row r="3124" spans="9:14" x14ac:dyDescent="0.25">
      <c r="I3124" s="11" t="b">
        <f t="shared" si="163"/>
        <v>0</v>
      </c>
      <c r="M3124" s="17" t="str">
        <f t="shared" si="161"/>
        <v/>
      </c>
      <c r="N3124" s="11" t="str">
        <f t="shared" si="162"/>
        <v/>
      </c>
    </row>
    <row r="3125" spans="9:14" x14ac:dyDescent="0.25">
      <c r="I3125" s="11" t="b">
        <f t="shared" si="163"/>
        <v>0</v>
      </c>
      <c r="M3125" s="17" t="str">
        <f t="shared" si="161"/>
        <v/>
      </c>
      <c r="N3125" s="11" t="str">
        <f t="shared" si="162"/>
        <v/>
      </c>
    </row>
    <row r="3126" spans="9:14" x14ac:dyDescent="0.25">
      <c r="I3126" s="11" t="b">
        <f t="shared" si="163"/>
        <v>0</v>
      </c>
      <c r="M3126" s="17" t="str">
        <f t="shared" si="161"/>
        <v/>
      </c>
      <c r="N3126" s="11" t="str">
        <f t="shared" si="162"/>
        <v/>
      </c>
    </row>
    <row r="3127" spans="9:14" x14ac:dyDescent="0.25">
      <c r="I3127" s="11" t="b">
        <f t="shared" si="163"/>
        <v>0</v>
      </c>
      <c r="M3127" s="17" t="str">
        <f t="shared" si="161"/>
        <v/>
      </c>
      <c r="N3127" s="11" t="str">
        <f t="shared" si="162"/>
        <v/>
      </c>
    </row>
    <row r="3128" spans="9:14" x14ac:dyDescent="0.25">
      <c r="I3128" s="11" t="b">
        <f t="shared" si="163"/>
        <v>0</v>
      </c>
      <c r="M3128" s="17" t="str">
        <f t="shared" si="161"/>
        <v/>
      </c>
      <c r="N3128" s="11" t="str">
        <f t="shared" si="162"/>
        <v/>
      </c>
    </row>
    <row r="3129" spans="9:14" x14ac:dyDescent="0.25">
      <c r="I3129" s="11" t="b">
        <f t="shared" si="163"/>
        <v>0</v>
      </c>
      <c r="M3129" s="17" t="str">
        <f t="shared" si="161"/>
        <v/>
      </c>
      <c r="N3129" s="11" t="str">
        <f t="shared" si="162"/>
        <v/>
      </c>
    </row>
    <row r="3130" spans="9:14" x14ac:dyDescent="0.25">
      <c r="I3130" s="11" t="b">
        <f t="shared" si="163"/>
        <v>0</v>
      </c>
      <c r="M3130" s="17" t="str">
        <f t="shared" si="161"/>
        <v/>
      </c>
      <c r="N3130" s="11" t="str">
        <f t="shared" si="162"/>
        <v/>
      </c>
    </row>
    <row r="3131" spans="9:14" x14ac:dyDescent="0.25">
      <c r="I3131" s="11" t="b">
        <f t="shared" si="163"/>
        <v>0</v>
      </c>
      <c r="M3131" s="17" t="str">
        <f t="shared" si="161"/>
        <v/>
      </c>
      <c r="N3131" s="11" t="str">
        <f t="shared" si="162"/>
        <v/>
      </c>
    </row>
    <row r="3132" spans="9:14" x14ac:dyDescent="0.25">
      <c r="I3132" s="11" t="b">
        <f t="shared" si="163"/>
        <v>0</v>
      </c>
      <c r="M3132" s="17" t="str">
        <f t="shared" si="161"/>
        <v/>
      </c>
      <c r="N3132" s="11" t="str">
        <f t="shared" si="162"/>
        <v/>
      </c>
    </row>
    <row r="3133" spans="9:14" x14ac:dyDescent="0.25">
      <c r="I3133" s="11" t="b">
        <f t="shared" si="163"/>
        <v>0</v>
      </c>
      <c r="M3133" s="17" t="str">
        <f t="shared" si="161"/>
        <v/>
      </c>
      <c r="N3133" s="11" t="str">
        <f t="shared" si="162"/>
        <v/>
      </c>
    </row>
    <row r="3134" spans="9:14" x14ac:dyDescent="0.25">
      <c r="I3134" s="11" t="b">
        <f t="shared" si="163"/>
        <v>0</v>
      </c>
      <c r="M3134" s="17" t="str">
        <f t="shared" si="161"/>
        <v/>
      </c>
      <c r="N3134" s="11" t="str">
        <f t="shared" si="162"/>
        <v/>
      </c>
    </row>
    <row r="3135" spans="9:14" x14ac:dyDescent="0.25">
      <c r="I3135" s="11" t="b">
        <f t="shared" si="163"/>
        <v>0</v>
      </c>
      <c r="M3135" s="17" t="str">
        <f t="shared" si="161"/>
        <v/>
      </c>
      <c r="N3135" s="11" t="str">
        <f t="shared" si="162"/>
        <v/>
      </c>
    </row>
    <row r="3136" spans="9:14" x14ac:dyDescent="0.25">
      <c r="I3136" s="11" t="b">
        <f t="shared" si="163"/>
        <v>0</v>
      </c>
      <c r="M3136" s="17" t="str">
        <f t="shared" si="161"/>
        <v/>
      </c>
      <c r="N3136" s="11" t="str">
        <f t="shared" si="162"/>
        <v/>
      </c>
    </row>
    <row r="3137" spans="9:14" x14ac:dyDescent="0.25">
      <c r="I3137" s="11" t="b">
        <f t="shared" si="163"/>
        <v>0</v>
      </c>
      <c r="M3137" s="17" t="str">
        <f t="shared" ref="M3137:M3200" si="164">IF(B3137=0, "",M3136+ J3137-K3137)</f>
        <v/>
      </c>
      <c r="N3137" s="11" t="str">
        <f t="shared" ref="N3137:N3200" si="165">IF(B3137=0, "", MONTH(B3137))</f>
        <v/>
      </c>
    </row>
    <row r="3138" spans="9:14" x14ac:dyDescent="0.25">
      <c r="I3138" s="11" t="b">
        <f t="shared" si="163"/>
        <v>0</v>
      </c>
      <c r="M3138" s="17" t="str">
        <f t="shared" si="164"/>
        <v/>
      </c>
      <c r="N3138" s="11" t="str">
        <f t="shared" si="165"/>
        <v/>
      </c>
    </row>
    <row r="3139" spans="9:14" x14ac:dyDescent="0.25">
      <c r="I3139" s="11" t="b">
        <f t="shared" si="163"/>
        <v>0</v>
      </c>
      <c r="M3139" s="17" t="str">
        <f t="shared" si="164"/>
        <v/>
      </c>
      <c r="N3139" s="11" t="str">
        <f t="shared" si="165"/>
        <v/>
      </c>
    </row>
    <row r="3140" spans="9:14" x14ac:dyDescent="0.25">
      <c r="I3140" s="11" t="b">
        <f t="shared" si="163"/>
        <v>0</v>
      </c>
      <c r="M3140" s="17" t="str">
        <f t="shared" si="164"/>
        <v/>
      </c>
      <c r="N3140" s="11" t="str">
        <f t="shared" si="165"/>
        <v/>
      </c>
    </row>
    <row r="3141" spans="9:14" x14ac:dyDescent="0.25">
      <c r="I3141" s="11" t="b">
        <f t="shared" si="163"/>
        <v>0</v>
      </c>
      <c r="M3141" s="17" t="str">
        <f t="shared" si="164"/>
        <v/>
      </c>
      <c r="N3141" s="11" t="str">
        <f t="shared" si="165"/>
        <v/>
      </c>
    </row>
    <row r="3142" spans="9:14" x14ac:dyDescent="0.25">
      <c r="I3142" s="11" t="b">
        <f t="shared" si="163"/>
        <v>0</v>
      </c>
      <c r="M3142" s="17" t="str">
        <f t="shared" si="164"/>
        <v/>
      </c>
      <c r="N3142" s="11" t="str">
        <f t="shared" si="165"/>
        <v/>
      </c>
    </row>
    <row r="3143" spans="9:14" x14ac:dyDescent="0.25">
      <c r="I3143" s="11" t="b">
        <f t="shared" si="163"/>
        <v>0</v>
      </c>
      <c r="M3143" s="17" t="str">
        <f t="shared" si="164"/>
        <v/>
      </c>
      <c r="N3143" s="11" t="str">
        <f t="shared" si="165"/>
        <v/>
      </c>
    </row>
    <row r="3144" spans="9:14" x14ac:dyDescent="0.25">
      <c r="I3144" s="11" t="b">
        <f t="shared" si="163"/>
        <v>0</v>
      </c>
      <c r="M3144" s="17" t="str">
        <f t="shared" si="164"/>
        <v/>
      </c>
      <c r="N3144" s="11" t="str">
        <f t="shared" si="165"/>
        <v/>
      </c>
    </row>
    <row r="3145" spans="9:14" x14ac:dyDescent="0.25">
      <c r="I3145" s="11" t="b">
        <f t="shared" si="163"/>
        <v>0</v>
      </c>
      <c r="M3145" s="17" t="str">
        <f t="shared" si="164"/>
        <v/>
      </c>
      <c r="N3145" s="11" t="str">
        <f t="shared" si="165"/>
        <v/>
      </c>
    </row>
    <row r="3146" spans="9:14" x14ac:dyDescent="0.25">
      <c r="I3146" s="11" t="b">
        <f t="shared" si="163"/>
        <v>0</v>
      </c>
      <c r="M3146" s="17" t="str">
        <f t="shared" si="164"/>
        <v/>
      </c>
      <c r="N3146" s="11" t="str">
        <f t="shared" si="165"/>
        <v/>
      </c>
    </row>
    <row r="3147" spans="9:14" x14ac:dyDescent="0.25">
      <c r="I3147" s="11" t="b">
        <f t="shared" si="163"/>
        <v>0</v>
      </c>
      <c r="M3147" s="17" t="str">
        <f t="shared" si="164"/>
        <v/>
      </c>
      <c r="N3147" s="11" t="str">
        <f t="shared" si="165"/>
        <v/>
      </c>
    </row>
    <row r="3148" spans="9:14" x14ac:dyDescent="0.25">
      <c r="I3148" s="11" t="b">
        <f t="shared" si="163"/>
        <v>0</v>
      </c>
      <c r="M3148" s="17" t="str">
        <f t="shared" si="164"/>
        <v/>
      </c>
      <c r="N3148" s="11" t="str">
        <f t="shared" si="165"/>
        <v/>
      </c>
    </row>
    <row r="3149" spans="9:14" x14ac:dyDescent="0.25">
      <c r="I3149" s="11" t="b">
        <f t="shared" si="163"/>
        <v>0</v>
      </c>
      <c r="M3149" s="17" t="str">
        <f t="shared" si="164"/>
        <v/>
      </c>
      <c r="N3149" s="11" t="str">
        <f t="shared" si="165"/>
        <v/>
      </c>
    </row>
    <row r="3150" spans="9:14" x14ac:dyDescent="0.25">
      <c r="I3150" s="11" t="b">
        <f t="shared" si="163"/>
        <v>0</v>
      </c>
      <c r="M3150" s="17" t="str">
        <f t="shared" si="164"/>
        <v/>
      </c>
      <c r="N3150" s="11" t="str">
        <f t="shared" si="165"/>
        <v/>
      </c>
    </row>
    <row r="3151" spans="9:14" x14ac:dyDescent="0.25">
      <c r="I3151" s="11" t="b">
        <f t="shared" si="163"/>
        <v>0</v>
      </c>
      <c r="M3151" s="17" t="str">
        <f t="shared" si="164"/>
        <v/>
      </c>
      <c r="N3151" s="11" t="str">
        <f t="shared" si="165"/>
        <v/>
      </c>
    </row>
    <row r="3152" spans="9:14" x14ac:dyDescent="0.25">
      <c r="I3152" s="11" t="b">
        <f t="shared" si="163"/>
        <v>0</v>
      </c>
      <c r="M3152" s="17" t="str">
        <f t="shared" si="164"/>
        <v/>
      </c>
      <c r="N3152" s="11" t="str">
        <f t="shared" si="165"/>
        <v/>
      </c>
    </row>
    <row r="3153" spans="9:14" x14ac:dyDescent="0.25">
      <c r="I3153" s="11" t="b">
        <f t="shared" si="163"/>
        <v>0</v>
      </c>
      <c r="M3153" s="17" t="str">
        <f t="shared" si="164"/>
        <v/>
      </c>
      <c r="N3153" s="11" t="str">
        <f t="shared" si="165"/>
        <v/>
      </c>
    </row>
    <row r="3154" spans="9:14" x14ac:dyDescent="0.25">
      <c r="I3154" s="11" t="b">
        <f t="shared" si="163"/>
        <v>0</v>
      </c>
      <c r="M3154" s="17" t="str">
        <f t="shared" si="164"/>
        <v/>
      </c>
      <c r="N3154" s="11" t="str">
        <f t="shared" si="165"/>
        <v/>
      </c>
    </row>
    <row r="3155" spans="9:14" x14ac:dyDescent="0.25">
      <c r="I3155" s="11" t="b">
        <f t="shared" si="163"/>
        <v>0</v>
      </c>
      <c r="M3155" s="17" t="str">
        <f t="shared" si="164"/>
        <v/>
      </c>
      <c r="N3155" s="11" t="str">
        <f t="shared" si="165"/>
        <v/>
      </c>
    </row>
    <row r="3156" spans="9:14" x14ac:dyDescent="0.25">
      <c r="I3156" s="11" t="b">
        <f t="shared" si="163"/>
        <v>0</v>
      </c>
      <c r="M3156" s="17" t="str">
        <f t="shared" si="164"/>
        <v/>
      </c>
      <c r="N3156" s="11" t="str">
        <f t="shared" si="165"/>
        <v/>
      </c>
    </row>
    <row r="3157" spans="9:14" x14ac:dyDescent="0.25">
      <c r="I3157" s="11" t="b">
        <f t="shared" si="163"/>
        <v>0</v>
      </c>
      <c r="M3157" s="17" t="str">
        <f t="shared" si="164"/>
        <v/>
      </c>
      <c r="N3157" s="11" t="str">
        <f t="shared" si="165"/>
        <v/>
      </c>
    </row>
    <row r="3158" spans="9:14" x14ac:dyDescent="0.25">
      <c r="I3158" s="11" t="b">
        <f t="shared" si="163"/>
        <v>0</v>
      </c>
      <c r="M3158" s="17" t="str">
        <f t="shared" si="164"/>
        <v/>
      </c>
      <c r="N3158" s="11" t="str">
        <f t="shared" si="165"/>
        <v/>
      </c>
    </row>
    <row r="3159" spans="9:14" x14ac:dyDescent="0.25">
      <c r="I3159" s="11" t="b">
        <f t="shared" si="163"/>
        <v>0</v>
      </c>
      <c r="M3159" s="17" t="str">
        <f t="shared" si="164"/>
        <v/>
      </c>
      <c r="N3159" s="11" t="str">
        <f t="shared" si="165"/>
        <v/>
      </c>
    </row>
    <row r="3160" spans="9:14" x14ac:dyDescent="0.25">
      <c r="I3160" s="11" t="b">
        <f t="shared" si="163"/>
        <v>0</v>
      </c>
      <c r="M3160" s="17" t="str">
        <f t="shared" si="164"/>
        <v/>
      </c>
      <c r="N3160" s="11" t="str">
        <f t="shared" si="165"/>
        <v/>
      </c>
    </row>
    <row r="3161" spans="9:14" x14ac:dyDescent="0.25">
      <c r="I3161" s="11" t="b">
        <f t="shared" si="163"/>
        <v>0</v>
      </c>
      <c r="M3161" s="17" t="str">
        <f t="shared" si="164"/>
        <v/>
      </c>
      <c r="N3161" s="11" t="str">
        <f t="shared" si="165"/>
        <v/>
      </c>
    </row>
    <row r="3162" spans="9:14" x14ac:dyDescent="0.25">
      <c r="I3162" s="11" t="b">
        <f t="shared" si="163"/>
        <v>0</v>
      </c>
      <c r="M3162" s="17" t="str">
        <f t="shared" si="164"/>
        <v/>
      </c>
      <c r="N3162" s="11" t="str">
        <f t="shared" si="165"/>
        <v/>
      </c>
    </row>
    <row r="3163" spans="9:14" x14ac:dyDescent="0.25">
      <c r="I3163" s="11" t="b">
        <f t="shared" si="163"/>
        <v>0</v>
      </c>
      <c r="M3163" s="17" t="str">
        <f t="shared" si="164"/>
        <v/>
      </c>
      <c r="N3163" s="11" t="str">
        <f t="shared" si="165"/>
        <v/>
      </c>
    </row>
    <row r="3164" spans="9:14" x14ac:dyDescent="0.25">
      <c r="I3164" s="11" t="b">
        <f t="shared" si="163"/>
        <v>0</v>
      </c>
      <c r="M3164" s="17" t="str">
        <f t="shared" si="164"/>
        <v/>
      </c>
      <c r="N3164" s="11" t="str">
        <f t="shared" si="165"/>
        <v/>
      </c>
    </row>
    <row r="3165" spans="9:14" x14ac:dyDescent="0.25">
      <c r="I3165" s="11" t="b">
        <f t="shared" ref="I3165:I3228" si="166">IF(AND(G3165="MERCADO PAGO",A3165="FATURAMENTO"),1,IF(AND(OR(G3165="MERCADO PAGO",G3165="pix mercado pago",G3165= "débito automático mercado pago", G3165= "boleto mercado pago"),A3165="DESPESAS"),4,IF(AND(G3165="SAFRA",A3165="FATURAMENTO"),2,IF(AND(OR(G3165="SAFRA",G3165="PIX SAFRA", G3165="DÉBITO AUTOMÁTICO SAFRA", G3165= "BOLETO SAFRA", G3165= "transferência safra"), A3165="DESPESAS"),5,IF(AND(G3165="espécie",A3165="FATURAMENTO"),3,IF(AND(G3165="espécie",A3165="DESPESAS"),6))))))</f>
        <v>0</v>
      </c>
      <c r="M3165" s="17" t="str">
        <f t="shared" si="164"/>
        <v/>
      </c>
      <c r="N3165" s="11" t="str">
        <f t="shared" si="165"/>
        <v/>
      </c>
    </row>
    <row r="3166" spans="9:14" x14ac:dyDescent="0.25">
      <c r="I3166" s="11" t="b">
        <f t="shared" si="166"/>
        <v>0</v>
      </c>
      <c r="M3166" s="17" t="str">
        <f t="shared" si="164"/>
        <v/>
      </c>
      <c r="N3166" s="11" t="str">
        <f t="shared" si="165"/>
        <v/>
      </c>
    </row>
    <row r="3167" spans="9:14" x14ac:dyDescent="0.25">
      <c r="I3167" s="11" t="b">
        <f t="shared" si="166"/>
        <v>0</v>
      </c>
      <c r="M3167" s="17" t="str">
        <f t="shared" si="164"/>
        <v/>
      </c>
      <c r="N3167" s="11" t="str">
        <f t="shared" si="165"/>
        <v/>
      </c>
    </row>
    <row r="3168" spans="9:14" x14ac:dyDescent="0.25">
      <c r="I3168" s="11" t="b">
        <f t="shared" si="166"/>
        <v>0</v>
      </c>
      <c r="M3168" s="17" t="str">
        <f t="shared" si="164"/>
        <v/>
      </c>
      <c r="N3168" s="11" t="str">
        <f t="shared" si="165"/>
        <v/>
      </c>
    </row>
    <row r="3169" spans="9:14" x14ac:dyDescent="0.25">
      <c r="I3169" s="11" t="b">
        <f t="shared" si="166"/>
        <v>0</v>
      </c>
      <c r="M3169" s="17" t="str">
        <f t="shared" si="164"/>
        <v/>
      </c>
      <c r="N3169" s="11" t="str">
        <f t="shared" si="165"/>
        <v/>
      </c>
    </row>
    <row r="3170" spans="9:14" x14ac:dyDescent="0.25">
      <c r="I3170" s="11" t="b">
        <f t="shared" si="166"/>
        <v>0</v>
      </c>
      <c r="M3170" s="17" t="str">
        <f t="shared" si="164"/>
        <v/>
      </c>
      <c r="N3170" s="11" t="str">
        <f t="shared" si="165"/>
        <v/>
      </c>
    </row>
    <row r="3171" spans="9:14" x14ac:dyDescent="0.25">
      <c r="I3171" s="11" t="b">
        <f t="shared" si="166"/>
        <v>0</v>
      </c>
      <c r="M3171" s="17" t="str">
        <f t="shared" si="164"/>
        <v/>
      </c>
      <c r="N3171" s="11" t="str">
        <f t="shared" si="165"/>
        <v/>
      </c>
    </row>
    <row r="3172" spans="9:14" x14ac:dyDescent="0.25">
      <c r="I3172" s="11" t="b">
        <f t="shared" si="166"/>
        <v>0</v>
      </c>
      <c r="M3172" s="17" t="str">
        <f t="shared" si="164"/>
        <v/>
      </c>
      <c r="N3172" s="11" t="str">
        <f t="shared" si="165"/>
        <v/>
      </c>
    </row>
    <row r="3173" spans="9:14" x14ac:dyDescent="0.25">
      <c r="I3173" s="11" t="b">
        <f t="shared" si="166"/>
        <v>0</v>
      </c>
      <c r="M3173" s="17" t="str">
        <f t="shared" si="164"/>
        <v/>
      </c>
      <c r="N3173" s="11" t="str">
        <f t="shared" si="165"/>
        <v/>
      </c>
    </row>
    <row r="3174" spans="9:14" x14ac:dyDescent="0.25">
      <c r="I3174" s="11" t="b">
        <f t="shared" si="166"/>
        <v>0</v>
      </c>
      <c r="M3174" s="17" t="str">
        <f t="shared" si="164"/>
        <v/>
      </c>
      <c r="N3174" s="11" t="str">
        <f t="shared" si="165"/>
        <v/>
      </c>
    </row>
    <row r="3175" spans="9:14" x14ac:dyDescent="0.25">
      <c r="I3175" s="11" t="b">
        <f t="shared" si="166"/>
        <v>0</v>
      </c>
      <c r="M3175" s="17" t="str">
        <f t="shared" si="164"/>
        <v/>
      </c>
      <c r="N3175" s="11" t="str">
        <f t="shared" si="165"/>
        <v/>
      </c>
    </row>
    <row r="3176" spans="9:14" x14ac:dyDescent="0.25">
      <c r="I3176" s="11" t="b">
        <f t="shared" si="166"/>
        <v>0</v>
      </c>
      <c r="M3176" s="17" t="str">
        <f t="shared" si="164"/>
        <v/>
      </c>
      <c r="N3176" s="11" t="str">
        <f t="shared" si="165"/>
        <v/>
      </c>
    </row>
    <row r="3177" spans="9:14" x14ac:dyDescent="0.25">
      <c r="I3177" s="11" t="b">
        <f t="shared" si="166"/>
        <v>0</v>
      </c>
      <c r="M3177" s="17" t="str">
        <f t="shared" si="164"/>
        <v/>
      </c>
      <c r="N3177" s="11" t="str">
        <f t="shared" si="165"/>
        <v/>
      </c>
    </row>
    <row r="3178" spans="9:14" x14ac:dyDescent="0.25">
      <c r="I3178" s="11" t="b">
        <f t="shared" si="166"/>
        <v>0</v>
      </c>
      <c r="M3178" s="17" t="str">
        <f t="shared" si="164"/>
        <v/>
      </c>
      <c r="N3178" s="11" t="str">
        <f t="shared" si="165"/>
        <v/>
      </c>
    </row>
    <row r="3179" spans="9:14" x14ac:dyDescent="0.25">
      <c r="I3179" s="11" t="b">
        <f t="shared" si="166"/>
        <v>0</v>
      </c>
      <c r="M3179" s="17" t="str">
        <f t="shared" si="164"/>
        <v/>
      </c>
      <c r="N3179" s="11" t="str">
        <f t="shared" si="165"/>
        <v/>
      </c>
    </row>
    <row r="3180" spans="9:14" x14ac:dyDescent="0.25">
      <c r="I3180" s="11" t="b">
        <f t="shared" si="166"/>
        <v>0</v>
      </c>
      <c r="M3180" s="17" t="str">
        <f t="shared" si="164"/>
        <v/>
      </c>
      <c r="N3180" s="11" t="str">
        <f t="shared" si="165"/>
        <v/>
      </c>
    </row>
    <row r="3181" spans="9:14" x14ac:dyDescent="0.25">
      <c r="I3181" s="11" t="b">
        <f t="shared" si="166"/>
        <v>0</v>
      </c>
      <c r="M3181" s="17" t="str">
        <f t="shared" si="164"/>
        <v/>
      </c>
      <c r="N3181" s="11" t="str">
        <f t="shared" si="165"/>
        <v/>
      </c>
    </row>
    <row r="3182" spans="9:14" x14ac:dyDescent="0.25">
      <c r="I3182" s="11" t="b">
        <f t="shared" si="166"/>
        <v>0</v>
      </c>
      <c r="M3182" s="17" t="str">
        <f t="shared" si="164"/>
        <v/>
      </c>
      <c r="N3182" s="11" t="str">
        <f t="shared" si="165"/>
        <v/>
      </c>
    </row>
    <row r="3183" spans="9:14" x14ac:dyDescent="0.25">
      <c r="I3183" s="11" t="b">
        <f t="shared" si="166"/>
        <v>0</v>
      </c>
      <c r="M3183" s="17" t="str">
        <f t="shared" si="164"/>
        <v/>
      </c>
      <c r="N3183" s="11" t="str">
        <f t="shared" si="165"/>
        <v/>
      </c>
    </row>
    <row r="3184" spans="9:14" x14ac:dyDescent="0.25">
      <c r="I3184" s="11" t="b">
        <f t="shared" si="166"/>
        <v>0</v>
      </c>
      <c r="M3184" s="17" t="str">
        <f t="shared" si="164"/>
        <v/>
      </c>
      <c r="N3184" s="11" t="str">
        <f t="shared" si="165"/>
        <v/>
      </c>
    </row>
    <row r="3185" spans="9:14" x14ac:dyDescent="0.25">
      <c r="I3185" s="11" t="b">
        <f t="shared" si="166"/>
        <v>0</v>
      </c>
      <c r="M3185" s="17" t="str">
        <f t="shared" si="164"/>
        <v/>
      </c>
      <c r="N3185" s="11" t="str">
        <f t="shared" si="165"/>
        <v/>
      </c>
    </row>
    <row r="3186" spans="9:14" x14ac:dyDescent="0.25">
      <c r="I3186" s="11" t="b">
        <f t="shared" si="166"/>
        <v>0</v>
      </c>
      <c r="M3186" s="17" t="str">
        <f t="shared" si="164"/>
        <v/>
      </c>
      <c r="N3186" s="11" t="str">
        <f t="shared" si="165"/>
        <v/>
      </c>
    </row>
    <row r="3187" spans="9:14" x14ac:dyDescent="0.25">
      <c r="I3187" s="11" t="b">
        <f t="shared" si="166"/>
        <v>0</v>
      </c>
      <c r="M3187" s="17" t="str">
        <f t="shared" si="164"/>
        <v/>
      </c>
      <c r="N3187" s="11" t="str">
        <f t="shared" si="165"/>
        <v/>
      </c>
    </row>
    <row r="3188" spans="9:14" x14ac:dyDescent="0.25">
      <c r="I3188" s="11" t="b">
        <f t="shared" si="166"/>
        <v>0</v>
      </c>
      <c r="M3188" s="17" t="str">
        <f t="shared" si="164"/>
        <v/>
      </c>
      <c r="N3188" s="11" t="str">
        <f t="shared" si="165"/>
        <v/>
      </c>
    </row>
    <row r="3189" spans="9:14" x14ac:dyDescent="0.25">
      <c r="I3189" s="11" t="b">
        <f t="shared" si="166"/>
        <v>0</v>
      </c>
      <c r="M3189" s="17" t="str">
        <f t="shared" si="164"/>
        <v/>
      </c>
      <c r="N3189" s="11" t="str">
        <f t="shared" si="165"/>
        <v/>
      </c>
    </row>
    <row r="3190" spans="9:14" x14ac:dyDescent="0.25">
      <c r="I3190" s="11" t="b">
        <f t="shared" si="166"/>
        <v>0</v>
      </c>
      <c r="M3190" s="17" t="str">
        <f t="shared" si="164"/>
        <v/>
      </c>
      <c r="N3190" s="11" t="str">
        <f t="shared" si="165"/>
        <v/>
      </c>
    </row>
    <row r="3191" spans="9:14" x14ac:dyDescent="0.25">
      <c r="I3191" s="11" t="b">
        <f t="shared" si="166"/>
        <v>0</v>
      </c>
      <c r="M3191" s="17" t="str">
        <f t="shared" si="164"/>
        <v/>
      </c>
      <c r="N3191" s="11" t="str">
        <f t="shared" si="165"/>
        <v/>
      </c>
    </row>
    <row r="3192" spans="9:14" x14ac:dyDescent="0.25">
      <c r="I3192" s="11" t="b">
        <f t="shared" si="166"/>
        <v>0</v>
      </c>
      <c r="M3192" s="17" t="str">
        <f t="shared" si="164"/>
        <v/>
      </c>
      <c r="N3192" s="11" t="str">
        <f t="shared" si="165"/>
        <v/>
      </c>
    </row>
    <row r="3193" spans="9:14" x14ac:dyDescent="0.25">
      <c r="I3193" s="11" t="b">
        <f t="shared" si="166"/>
        <v>0</v>
      </c>
      <c r="M3193" s="17" t="str">
        <f t="shared" si="164"/>
        <v/>
      </c>
      <c r="N3193" s="11" t="str">
        <f t="shared" si="165"/>
        <v/>
      </c>
    </row>
    <row r="3194" spans="9:14" x14ac:dyDescent="0.25">
      <c r="I3194" s="11" t="b">
        <f t="shared" si="166"/>
        <v>0</v>
      </c>
      <c r="M3194" s="17" t="str">
        <f t="shared" si="164"/>
        <v/>
      </c>
      <c r="N3194" s="11" t="str">
        <f t="shared" si="165"/>
        <v/>
      </c>
    </row>
    <row r="3195" spans="9:14" x14ac:dyDescent="0.25">
      <c r="I3195" s="11" t="b">
        <f t="shared" si="166"/>
        <v>0</v>
      </c>
      <c r="M3195" s="17" t="str">
        <f t="shared" si="164"/>
        <v/>
      </c>
      <c r="N3195" s="11" t="str">
        <f t="shared" si="165"/>
        <v/>
      </c>
    </row>
    <row r="3196" spans="9:14" x14ac:dyDescent="0.25">
      <c r="I3196" s="11" t="b">
        <f t="shared" si="166"/>
        <v>0</v>
      </c>
      <c r="M3196" s="17" t="str">
        <f t="shared" si="164"/>
        <v/>
      </c>
      <c r="N3196" s="11" t="str">
        <f t="shared" si="165"/>
        <v/>
      </c>
    </row>
    <row r="3197" spans="9:14" x14ac:dyDescent="0.25">
      <c r="I3197" s="11" t="b">
        <f t="shared" si="166"/>
        <v>0</v>
      </c>
      <c r="M3197" s="17" t="str">
        <f t="shared" si="164"/>
        <v/>
      </c>
      <c r="N3197" s="11" t="str">
        <f t="shared" si="165"/>
        <v/>
      </c>
    </row>
    <row r="3198" spans="9:14" x14ac:dyDescent="0.25">
      <c r="I3198" s="11" t="b">
        <f t="shared" si="166"/>
        <v>0</v>
      </c>
      <c r="M3198" s="17" t="str">
        <f t="shared" si="164"/>
        <v/>
      </c>
      <c r="N3198" s="11" t="str">
        <f t="shared" si="165"/>
        <v/>
      </c>
    </row>
    <row r="3199" spans="9:14" x14ac:dyDescent="0.25">
      <c r="I3199" s="11" t="b">
        <f t="shared" si="166"/>
        <v>0</v>
      </c>
      <c r="M3199" s="17" t="str">
        <f t="shared" si="164"/>
        <v/>
      </c>
      <c r="N3199" s="11" t="str">
        <f t="shared" si="165"/>
        <v/>
      </c>
    </row>
    <row r="3200" spans="9:14" x14ac:dyDescent="0.25">
      <c r="I3200" s="11" t="b">
        <f t="shared" si="166"/>
        <v>0</v>
      </c>
      <c r="M3200" s="17" t="str">
        <f t="shared" si="164"/>
        <v/>
      </c>
      <c r="N3200" s="11" t="str">
        <f t="shared" si="165"/>
        <v/>
      </c>
    </row>
    <row r="3201" spans="9:14" x14ac:dyDescent="0.25">
      <c r="I3201" s="11" t="b">
        <f t="shared" si="166"/>
        <v>0</v>
      </c>
      <c r="M3201" s="17" t="str">
        <f t="shared" ref="M3201:M3264" si="167">IF(B3201=0, "",M3200+ J3201-K3201)</f>
        <v/>
      </c>
      <c r="N3201" s="11" t="str">
        <f t="shared" ref="N3201:N3264" si="168">IF(B3201=0, "", MONTH(B3201))</f>
        <v/>
      </c>
    </row>
    <row r="3202" spans="9:14" x14ac:dyDescent="0.25">
      <c r="I3202" s="11" t="b">
        <f t="shared" si="166"/>
        <v>0</v>
      </c>
      <c r="M3202" s="17" t="str">
        <f t="shared" si="167"/>
        <v/>
      </c>
      <c r="N3202" s="11" t="str">
        <f t="shared" si="168"/>
        <v/>
      </c>
    </row>
    <row r="3203" spans="9:14" x14ac:dyDescent="0.25">
      <c r="I3203" s="11" t="b">
        <f t="shared" si="166"/>
        <v>0</v>
      </c>
      <c r="M3203" s="17" t="str">
        <f t="shared" si="167"/>
        <v/>
      </c>
      <c r="N3203" s="11" t="str">
        <f t="shared" si="168"/>
        <v/>
      </c>
    </row>
    <row r="3204" spans="9:14" x14ac:dyDescent="0.25">
      <c r="I3204" s="11" t="b">
        <f t="shared" si="166"/>
        <v>0</v>
      </c>
      <c r="M3204" s="17" t="str">
        <f t="shared" si="167"/>
        <v/>
      </c>
      <c r="N3204" s="11" t="str">
        <f t="shared" si="168"/>
        <v/>
      </c>
    </row>
    <row r="3205" spans="9:14" x14ac:dyDescent="0.25">
      <c r="I3205" s="11" t="b">
        <f t="shared" si="166"/>
        <v>0</v>
      </c>
      <c r="M3205" s="17" t="str">
        <f t="shared" si="167"/>
        <v/>
      </c>
      <c r="N3205" s="11" t="str">
        <f t="shared" si="168"/>
        <v/>
      </c>
    </row>
    <row r="3206" spans="9:14" x14ac:dyDescent="0.25">
      <c r="I3206" s="11" t="b">
        <f t="shared" si="166"/>
        <v>0</v>
      </c>
      <c r="M3206" s="17" t="str">
        <f t="shared" si="167"/>
        <v/>
      </c>
      <c r="N3206" s="11" t="str">
        <f t="shared" si="168"/>
        <v/>
      </c>
    </row>
    <row r="3207" spans="9:14" x14ac:dyDescent="0.25">
      <c r="I3207" s="11" t="b">
        <f t="shared" si="166"/>
        <v>0</v>
      </c>
      <c r="M3207" s="17" t="str">
        <f t="shared" si="167"/>
        <v/>
      </c>
      <c r="N3207" s="11" t="str">
        <f t="shared" si="168"/>
        <v/>
      </c>
    </row>
    <row r="3208" spans="9:14" x14ac:dyDescent="0.25">
      <c r="I3208" s="11" t="b">
        <f t="shared" si="166"/>
        <v>0</v>
      </c>
      <c r="M3208" s="17" t="str">
        <f t="shared" si="167"/>
        <v/>
      </c>
      <c r="N3208" s="11" t="str">
        <f t="shared" si="168"/>
        <v/>
      </c>
    </row>
    <row r="3209" spans="9:14" x14ac:dyDescent="0.25">
      <c r="I3209" s="11" t="b">
        <f t="shared" si="166"/>
        <v>0</v>
      </c>
      <c r="M3209" s="17" t="str">
        <f t="shared" si="167"/>
        <v/>
      </c>
      <c r="N3209" s="11" t="str">
        <f t="shared" si="168"/>
        <v/>
      </c>
    </row>
    <row r="3210" spans="9:14" x14ac:dyDescent="0.25">
      <c r="I3210" s="11" t="b">
        <f t="shared" si="166"/>
        <v>0</v>
      </c>
      <c r="M3210" s="17" t="str">
        <f t="shared" si="167"/>
        <v/>
      </c>
      <c r="N3210" s="11" t="str">
        <f t="shared" si="168"/>
        <v/>
      </c>
    </row>
    <row r="3211" spans="9:14" x14ac:dyDescent="0.25">
      <c r="I3211" s="11" t="b">
        <f t="shared" si="166"/>
        <v>0</v>
      </c>
      <c r="M3211" s="17" t="str">
        <f t="shared" si="167"/>
        <v/>
      </c>
      <c r="N3211" s="11" t="str">
        <f t="shared" si="168"/>
        <v/>
      </c>
    </row>
    <row r="3212" spans="9:14" x14ac:dyDescent="0.25">
      <c r="I3212" s="11" t="b">
        <f t="shared" si="166"/>
        <v>0</v>
      </c>
      <c r="M3212" s="17" t="str">
        <f t="shared" si="167"/>
        <v/>
      </c>
      <c r="N3212" s="11" t="str">
        <f t="shared" si="168"/>
        <v/>
      </c>
    </row>
    <row r="3213" spans="9:14" x14ac:dyDescent="0.25">
      <c r="I3213" s="11" t="b">
        <f t="shared" si="166"/>
        <v>0</v>
      </c>
      <c r="M3213" s="17" t="str">
        <f t="shared" si="167"/>
        <v/>
      </c>
      <c r="N3213" s="11" t="str">
        <f t="shared" si="168"/>
        <v/>
      </c>
    </row>
    <row r="3214" spans="9:14" x14ac:dyDescent="0.25">
      <c r="I3214" s="11" t="b">
        <f t="shared" si="166"/>
        <v>0</v>
      </c>
      <c r="M3214" s="17" t="str">
        <f t="shared" si="167"/>
        <v/>
      </c>
      <c r="N3214" s="11" t="str">
        <f t="shared" si="168"/>
        <v/>
      </c>
    </row>
    <row r="3215" spans="9:14" x14ac:dyDescent="0.25">
      <c r="I3215" s="11" t="b">
        <f t="shared" si="166"/>
        <v>0</v>
      </c>
      <c r="M3215" s="17" t="str">
        <f t="shared" si="167"/>
        <v/>
      </c>
      <c r="N3215" s="11" t="str">
        <f t="shared" si="168"/>
        <v/>
      </c>
    </row>
    <row r="3216" spans="9:14" x14ac:dyDescent="0.25">
      <c r="I3216" s="11" t="b">
        <f t="shared" si="166"/>
        <v>0</v>
      </c>
      <c r="M3216" s="17" t="str">
        <f t="shared" si="167"/>
        <v/>
      </c>
      <c r="N3216" s="11" t="str">
        <f t="shared" si="168"/>
        <v/>
      </c>
    </row>
    <row r="3217" spans="9:14" x14ac:dyDescent="0.25">
      <c r="I3217" s="11" t="b">
        <f t="shared" si="166"/>
        <v>0</v>
      </c>
      <c r="M3217" s="17" t="str">
        <f t="shared" si="167"/>
        <v/>
      </c>
      <c r="N3217" s="11" t="str">
        <f t="shared" si="168"/>
        <v/>
      </c>
    </row>
    <row r="3218" spans="9:14" x14ac:dyDescent="0.25">
      <c r="I3218" s="11" t="b">
        <f t="shared" si="166"/>
        <v>0</v>
      </c>
      <c r="M3218" s="17" t="str">
        <f t="shared" si="167"/>
        <v/>
      </c>
      <c r="N3218" s="11" t="str">
        <f t="shared" si="168"/>
        <v/>
      </c>
    </row>
    <row r="3219" spans="9:14" x14ac:dyDescent="0.25">
      <c r="I3219" s="11" t="b">
        <f t="shared" si="166"/>
        <v>0</v>
      </c>
      <c r="M3219" s="17" t="str">
        <f t="shared" si="167"/>
        <v/>
      </c>
      <c r="N3219" s="11" t="str">
        <f t="shared" si="168"/>
        <v/>
      </c>
    </row>
    <row r="3220" spans="9:14" x14ac:dyDescent="0.25">
      <c r="I3220" s="11" t="b">
        <f t="shared" si="166"/>
        <v>0</v>
      </c>
      <c r="M3220" s="17" t="str">
        <f t="shared" si="167"/>
        <v/>
      </c>
      <c r="N3220" s="11" t="str">
        <f t="shared" si="168"/>
        <v/>
      </c>
    </row>
    <row r="3221" spans="9:14" x14ac:dyDescent="0.25">
      <c r="I3221" s="11" t="b">
        <f t="shared" si="166"/>
        <v>0</v>
      </c>
      <c r="M3221" s="17" t="str">
        <f t="shared" si="167"/>
        <v/>
      </c>
      <c r="N3221" s="11" t="str">
        <f t="shared" si="168"/>
        <v/>
      </c>
    </row>
    <row r="3222" spans="9:14" x14ac:dyDescent="0.25">
      <c r="I3222" s="11" t="b">
        <f t="shared" si="166"/>
        <v>0</v>
      </c>
      <c r="M3222" s="17" t="str">
        <f t="shared" si="167"/>
        <v/>
      </c>
      <c r="N3222" s="11" t="str">
        <f t="shared" si="168"/>
        <v/>
      </c>
    </row>
    <row r="3223" spans="9:14" x14ac:dyDescent="0.25">
      <c r="I3223" s="11" t="b">
        <f t="shared" si="166"/>
        <v>0</v>
      </c>
      <c r="M3223" s="17" t="str">
        <f t="shared" si="167"/>
        <v/>
      </c>
      <c r="N3223" s="11" t="str">
        <f t="shared" si="168"/>
        <v/>
      </c>
    </row>
    <row r="3224" spans="9:14" x14ac:dyDescent="0.25">
      <c r="I3224" s="11" t="b">
        <f t="shared" si="166"/>
        <v>0</v>
      </c>
      <c r="M3224" s="17" t="str">
        <f t="shared" si="167"/>
        <v/>
      </c>
      <c r="N3224" s="11" t="str">
        <f t="shared" si="168"/>
        <v/>
      </c>
    </row>
    <row r="3225" spans="9:14" x14ac:dyDescent="0.25">
      <c r="I3225" s="11" t="b">
        <f t="shared" si="166"/>
        <v>0</v>
      </c>
      <c r="M3225" s="17" t="str">
        <f t="shared" si="167"/>
        <v/>
      </c>
      <c r="N3225" s="11" t="str">
        <f t="shared" si="168"/>
        <v/>
      </c>
    </row>
    <row r="3226" spans="9:14" x14ac:dyDescent="0.25">
      <c r="I3226" s="11" t="b">
        <f t="shared" si="166"/>
        <v>0</v>
      </c>
      <c r="M3226" s="17" t="str">
        <f t="shared" si="167"/>
        <v/>
      </c>
      <c r="N3226" s="11" t="str">
        <f t="shared" si="168"/>
        <v/>
      </c>
    </row>
    <row r="3227" spans="9:14" x14ac:dyDescent="0.25">
      <c r="I3227" s="11" t="b">
        <f t="shared" si="166"/>
        <v>0</v>
      </c>
      <c r="M3227" s="17" t="str">
        <f t="shared" si="167"/>
        <v/>
      </c>
      <c r="N3227" s="11" t="str">
        <f t="shared" si="168"/>
        <v/>
      </c>
    </row>
    <row r="3228" spans="9:14" x14ac:dyDescent="0.25">
      <c r="I3228" s="11" t="b">
        <f t="shared" si="166"/>
        <v>0</v>
      </c>
      <c r="M3228" s="17" t="str">
        <f t="shared" si="167"/>
        <v/>
      </c>
      <c r="N3228" s="11" t="str">
        <f t="shared" si="168"/>
        <v/>
      </c>
    </row>
    <row r="3229" spans="9:14" x14ac:dyDescent="0.25">
      <c r="I3229" s="11" t="b">
        <f t="shared" ref="I3229:I3292" si="169">IF(AND(G3229="MERCADO PAGO",A3229="FATURAMENTO"),1,IF(AND(OR(G3229="MERCADO PAGO",G3229="pix mercado pago",G3229= "débito automático mercado pago", G3229= "boleto mercado pago"),A3229="DESPESAS"),4,IF(AND(G3229="SAFRA",A3229="FATURAMENTO"),2,IF(AND(OR(G3229="SAFRA",G3229="PIX SAFRA", G3229="DÉBITO AUTOMÁTICO SAFRA", G3229= "BOLETO SAFRA", G3229= "transferência safra"), A3229="DESPESAS"),5,IF(AND(G3229="espécie",A3229="FATURAMENTO"),3,IF(AND(G3229="espécie",A3229="DESPESAS"),6))))))</f>
        <v>0</v>
      </c>
      <c r="M3229" s="17" t="str">
        <f t="shared" si="167"/>
        <v/>
      </c>
      <c r="N3229" s="11" t="str">
        <f t="shared" si="168"/>
        <v/>
      </c>
    </row>
    <row r="3230" spans="9:14" x14ac:dyDescent="0.25">
      <c r="I3230" s="11" t="b">
        <f t="shared" si="169"/>
        <v>0</v>
      </c>
      <c r="M3230" s="17" t="str">
        <f t="shared" si="167"/>
        <v/>
      </c>
      <c r="N3230" s="11" t="str">
        <f t="shared" si="168"/>
        <v/>
      </c>
    </row>
    <row r="3231" spans="9:14" x14ac:dyDescent="0.25">
      <c r="I3231" s="11" t="b">
        <f t="shared" si="169"/>
        <v>0</v>
      </c>
      <c r="M3231" s="17" t="str">
        <f t="shared" si="167"/>
        <v/>
      </c>
      <c r="N3231" s="11" t="str">
        <f t="shared" si="168"/>
        <v/>
      </c>
    </row>
    <row r="3232" spans="9:14" x14ac:dyDescent="0.25">
      <c r="I3232" s="11" t="b">
        <f t="shared" si="169"/>
        <v>0</v>
      </c>
      <c r="M3232" s="17" t="str">
        <f t="shared" si="167"/>
        <v/>
      </c>
      <c r="N3232" s="11" t="str">
        <f t="shared" si="168"/>
        <v/>
      </c>
    </row>
    <row r="3233" spans="9:14" x14ac:dyDescent="0.25">
      <c r="I3233" s="11" t="b">
        <f t="shared" si="169"/>
        <v>0</v>
      </c>
      <c r="M3233" s="17" t="str">
        <f t="shared" si="167"/>
        <v/>
      </c>
      <c r="N3233" s="11" t="str">
        <f t="shared" si="168"/>
        <v/>
      </c>
    </row>
    <row r="3234" spans="9:14" x14ac:dyDescent="0.25">
      <c r="I3234" s="11" t="b">
        <f t="shared" si="169"/>
        <v>0</v>
      </c>
      <c r="M3234" s="17" t="str">
        <f t="shared" si="167"/>
        <v/>
      </c>
      <c r="N3234" s="11" t="str">
        <f t="shared" si="168"/>
        <v/>
      </c>
    </row>
    <row r="3235" spans="9:14" x14ac:dyDescent="0.25">
      <c r="I3235" s="11" t="b">
        <f t="shared" si="169"/>
        <v>0</v>
      </c>
      <c r="M3235" s="17" t="str">
        <f t="shared" si="167"/>
        <v/>
      </c>
      <c r="N3235" s="11" t="str">
        <f t="shared" si="168"/>
        <v/>
      </c>
    </row>
    <row r="3236" spans="9:14" x14ac:dyDescent="0.25">
      <c r="I3236" s="11" t="b">
        <f t="shared" si="169"/>
        <v>0</v>
      </c>
      <c r="M3236" s="17" t="str">
        <f t="shared" si="167"/>
        <v/>
      </c>
      <c r="N3236" s="11" t="str">
        <f t="shared" si="168"/>
        <v/>
      </c>
    </row>
    <row r="3237" spans="9:14" x14ac:dyDescent="0.25">
      <c r="I3237" s="11" t="b">
        <f t="shared" si="169"/>
        <v>0</v>
      </c>
      <c r="M3237" s="17" t="str">
        <f t="shared" si="167"/>
        <v/>
      </c>
      <c r="N3237" s="11" t="str">
        <f t="shared" si="168"/>
        <v/>
      </c>
    </row>
    <row r="3238" spans="9:14" x14ac:dyDescent="0.25">
      <c r="I3238" s="11" t="b">
        <f t="shared" si="169"/>
        <v>0</v>
      </c>
      <c r="M3238" s="17" t="str">
        <f t="shared" si="167"/>
        <v/>
      </c>
      <c r="N3238" s="11" t="str">
        <f t="shared" si="168"/>
        <v/>
      </c>
    </row>
    <row r="3239" spans="9:14" x14ac:dyDescent="0.25">
      <c r="I3239" s="11" t="b">
        <f t="shared" si="169"/>
        <v>0</v>
      </c>
      <c r="M3239" s="17" t="str">
        <f t="shared" si="167"/>
        <v/>
      </c>
      <c r="N3239" s="11" t="str">
        <f t="shared" si="168"/>
        <v/>
      </c>
    </row>
    <row r="3240" spans="9:14" x14ac:dyDescent="0.25">
      <c r="I3240" s="11" t="b">
        <f t="shared" si="169"/>
        <v>0</v>
      </c>
      <c r="M3240" s="17" t="str">
        <f t="shared" si="167"/>
        <v/>
      </c>
      <c r="N3240" s="11" t="str">
        <f t="shared" si="168"/>
        <v/>
      </c>
    </row>
    <row r="3241" spans="9:14" x14ac:dyDescent="0.25">
      <c r="I3241" s="11" t="b">
        <f t="shared" si="169"/>
        <v>0</v>
      </c>
      <c r="M3241" s="17" t="str">
        <f t="shared" si="167"/>
        <v/>
      </c>
      <c r="N3241" s="11" t="str">
        <f t="shared" si="168"/>
        <v/>
      </c>
    </row>
    <row r="3242" spans="9:14" x14ac:dyDescent="0.25">
      <c r="I3242" s="11" t="b">
        <f t="shared" si="169"/>
        <v>0</v>
      </c>
      <c r="M3242" s="17" t="str">
        <f t="shared" si="167"/>
        <v/>
      </c>
      <c r="N3242" s="11" t="str">
        <f t="shared" si="168"/>
        <v/>
      </c>
    </row>
    <row r="3243" spans="9:14" x14ac:dyDescent="0.25">
      <c r="I3243" s="11" t="b">
        <f t="shared" si="169"/>
        <v>0</v>
      </c>
      <c r="M3243" s="17" t="str">
        <f t="shared" si="167"/>
        <v/>
      </c>
      <c r="N3243" s="11" t="str">
        <f t="shared" si="168"/>
        <v/>
      </c>
    </row>
    <row r="3244" spans="9:14" x14ac:dyDescent="0.25">
      <c r="I3244" s="11" t="b">
        <f t="shared" si="169"/>
        <v>0</v>
      </c>
      <c r="M3244" s="17" t="str">
        <f t="shared" si="167"/>
        <v/>
      </c>
      <c r="N3244" s="11" t="str">
        <f t="shared" si="168"/>
        <v/>
      </c>
    </row>
    <row r="3245" spans="9:14" x14ac:dyDescent="0.25">
      <c r="I3245" s="11" t="b">
        <f t="shared" si="169"/>
        <v>0</v>
      </c>
      <c r="M3245" s="17" t="str">
        <f t="shared" si="167"/>
        <v/>
      </c>
      <c r="N3245" s="11" t="str">
        <f t="shared" si="168"/>
        <v/>
      </c>
    </row>
    <row r="3246" spans="9:14" x14ac:dyDescent="0.25">
      <c r="I3246" s="11" t="b">
        <f t="shared" si="169"/>
        <v>0</v>
      </c>
      <c r="M3246" s="17" t="str">
        <f t="shared" si="167"/>
        <v/>
      </c>
      <c r="N3246" s="11" t="str">
        <f t="shared" si="168"/>
        <v/>
      </c>
    </row>
    <row r="3247" spans="9:14" x14ac:dyDescent="0.25">
      <c r="I3247" s="11" t="b">
        <f t="shared" si="169"/>
        <v>0</v>
      </c>
      <c r="M3247" s="17" t="str">
        <f t="shared" si="167"/>
        <v/>
      </c>
      <c r="N3247" s="11" t="str">
        <f t="shared" si="168"/>
        <v/>
      </c>
    </row>
    <row r="3248" spans="9:14" x14ac:dyDescent="0.25">
      <c r="I3248" s="11" t="b">
        <f t="shared" si="169"/>
        <v>0</v>
      </c>
      <c r="M3248" s="17" t="str">
        <f t="shared" si="167"/>
        <v/>
      </c>
      <c r="N3248" s="11" t="str">
        <f t="shared" si="168"/>
        <v/>
      </c>
    </row>
    <row r="3249" spans="9:14" x14ac:dyDescent="0.25">
      <c r="I3249" s="11" t="b">
        <f t="shared" si="169"/>
        <v>0</v>
      </c>
      <c r="M3249" s="17" t="str">
        <f t="shared" si="167"/>
        <v/>
      </c>
      <c r="N3249" s="11" t="str">
        <f t="shared" si="168"/>
        <v/>
      </c>
    </row>
    <row r="3250" spans="9:14" x14ac:dyDescent="0.25">
      <c r="I3250" s="11" t="b">
        <f t="shared" si="169"/>
        <v>0</v>
      </c>
      <c r="M3250" s="17" t="str">
        <f t="shared" si="167"/>
        <v/>
      </c>
      <c r="N3250" s="11" t="str">
        <f t="shared" si="168"/>
        <v/>
      </c>
    </row>
    <row r="3251" spans="9:14" x14ac:dyDescent="0.25">
      <c r="I3251" s="11" t="b">
        <f t="shared" si="169"/>
        <v>0</v>
      </c>
      <c r="M3251" s="17" t="str">
        <f t="shared" si="167"/>
        <v/>
      </c>
      <c r="N3251" s="11" t="str">
        <f t="shared" si="168"/>
        <v/>
      </c>
    </row>
    <row r="3252" spans="9:14" x14ac:dyDescent="0.25">
      <c r="I3252" s="11" t="b">
        <f t="shared" si="169"/>
        <v>0</v>
      </c>
      <c r="M3252" s="17" t="str">
        <f t="shared" si="167"/>
        <v/>
      </c>
      <c r="N3252" s="11" t="str">
        <f t="shared" si="168"/>
        <v/>
      </c>
    </row>
    <row r="3253" spans="9:14" x14ac:dyDescent="0.25">
      <c r="I3253" s="11" t="b">
        <f t="shared" si="169"/>
        <v>0</v>
      </c>
      <c r="M3253" s="17" t="str">
        <f t="shared" si="167"/>
        <v/>
      </c>
      <c r="N3253" s="11" t="str">
        <f t="shared" si="168"/>
        <v/>
      </c>
    </row>
    <row r="3254" spans="9:14" x14ac:dyDescent="0.25">
      <c r="I3254" s="11" t="b">
        <f t="shared" si="169"/>
        <v>0</v>
      </c>
      <c r="M3254" s="17" t="str">
        <f t="shared" si="167"/>
        <v/>
      </c>
      <c r="N3254" s="11" t="str">
        <f t="shared" si="168"/>
        <v/>
      </c>
    </row>
    <row r="3255" spans="9:14" x14ac:dyDescent="0.25">
      <c r="I3255" s="11" t="b">
        <f t="shared" si="169"/>
        <v>0</v>
      </c>
      <c r="M3255" s="17" t="str">
        <f t="shared" si="167"/>
        <v/>
      </c>
      <c r="N3255" s="11" t="str">
        <f t="shared" si="168"/>
        <v/>
      </c>
    </row>
    <row r="3256" spans="9:14" x14ac:dyDescent="0.25">
      <c r="I3256" s="11" t="b">
        <f t="shared" si="169"/>
        <v>0</v>
      </c>
      <c r="M3256" s="17" t="str">
        <f t="shared" si="167"/>
        <v/>
      </c>
      <c r="N3256" s="11" t="str">
        <f t="shared" si="168"/>
        <v/>
      </c>
    </row>
    <row r="3257" spans="9:14" x14ac:dyDescent="0.25">
      <c r="I3257" s="11" t="b">
        <f t="shared" si="169"/>
        <v>0</v>
      </c>
      <c r="M3257" s="17" t="str">
        <f t="shared" si="167"/>
        <v/>
      </c>
      <c r="N3257" s="11" t="str">
        <f t="shared" si="168"/>
        <v/>
      </c>
    </row>
    <row r="3258" spans="9:14" x14ac:dyDescent="0.25">
      <c r="I3258" s="11" t="b">
        <f t="shared" si="169"/>
        <v>0</v>
      </c>
      <c r="M3258" s="17" t="str">
        <f t="shared" si="167"/>
        <v/>
      </c>
      <c r="N3258" s="11" t="str">
        <f t="shared" si="168"/>
        <v/>
      </c>
    </row>
    <row r="3259" spans="9:14" x14ac:dyDescent="0.25">
      <c r="I3259" s="11" t="b">
        <f t="shared" si="169"/>
        <v>0</v>
      </c>
      <c r="M3259" s="17" t="str">
        <f t="shared" si="167"/>
        <v/>
      </c>
      <c r="N3259" s="11" t="str">
        <f t="shared" si="168"/>
        <v/>
      </c>
    </row>
    <row r="3260" spans="9:14" x14ac:dyDescent="0.25">
      <c r="I3260" s="11" t="b">
        <f t="shared" si="169"/>
        <v>0</v>
      </c>
      <c r="M3260" s="17" t="str">
        <f t="shared" si="167"/>
        <v/>
      </c>
      <c r="N3260" s="11" t="str">
        <f t="shared" si="168"/>
        <v/>
      </c>
    </row>
    <row r="3261" spans="9:14" x14ac:dyDescent="0.25">
      <c r="I3261" s="11" t="b">
        <f t="shared" si="169"/>
        <v>0</v>
      </c>
      <c r="M3261" s="17" t="str">
        <f t="shared" si="167"/>
        <v/>
      </c>
      <c r="N3261" s="11" t="str">
        <f t="shared" si="168"/>
        <v/>
      </c>
    </row>
    <row r="3262" spans="9:14" x14ac:dyDescent="0.25">
      <c r="I3262" s="11" t="b">
        <f t="shared" si="169"/>
        <v>0</v>
      </c>
      <c r="M3262" s="17" t="str">
        <f t="shared" si="167"/>
        <v/>
      </c>
      <c r="N3262" s="11" t="str">
        <f t="shared" si="168"/>
        <v/>
      </c>
    </row>
    <row r="3263" spans="9:14" x14ac:dyDescent="0.25">
      <c r="I3263" s="11" t="b">
        <f t="shared" si="169"/>
        <v>0</v>
      </c>
      <c r="M3263" s="17" t="str">
        <f t="shared" si="167"/>
        <v/>
      </c>
      <c r="N3263" s="11" t="str">
        <f t="shared" si="168"/>
        <v/>
      </c>
    </row>
    <row r="3264" spans="9:14" x14ac:dyDescent="0.25">
      <c r="I3264" s="11" t="b">
        <f t="shared" si="169"/>
        <v>0</v>
      </c>
      <c r="M3264" s="17" t="str">
        <f t="shared" si="167"/>
        <v/>
      </c>
      <c r="N3264" s="11" t="str">
        <f t="shared" si="168"/>
        <v/>
      </c>
    </row>
    <row r="3265" spans="9:14" x14ac:dyDescent="0.25">
      <c r="I3265" s="11" t="b">
        <f t="shared" si="169"/>
        <v>0</v>
      </c>
      <c r="M3265" s="17" t="str">
        <f t="shared" ref="M3265:M3328" si="170">IF(B3265=0, "",M3264+ J3265-K3265)</f>
        <v/>
      </c>
      <c r="N3265" s="11" t="str">
        <f t="shared" ref="N3265:N3328" si="171">IF(B3265=0, "", MONTH(B3265))</f>
        <v/>
      </c>
    </row>
    <row r="3266" spans="9:14" x14ac:dyDescent="0.25">
      <c r="I3266" s="11" t="b">
        <f t="shared" si="169"/>
        <v>0</v>
      </c>
      <c r="M3266" s="17" t="str">
        <f t="shared" si="170"/>
        <v/>
      </c>
      <c r="N3266" s="11" t="str">
        <f t="shared" si="171"/>
        <v/>
      </c>
    </row>
    <row r="3267" spans="9:14" x14ac:dyDescent="0.25">
      <c r="I3267" s="11" t="b">
        <f t="shared" si="169"/>
        <v>0</v>
      </c>
      <c r="M3267" s="17" t="str">
        <f t="shared" si="170"/>
        <v/>
      </c>
      <c r="N3267" s="11" t="str">
        <f t="shared" si="171"/>
        <v/>
      </c>
    </row>
    <row r="3268" spans="9:14" x14ac:dyDescent="0.25">
      <c r="I3268" s="11" t="b">
        <f t="shared" si="169"/>
        <v>0</v>
      </c>
      <c r="M3268" s="17" t="str">
        <f t="shared" si="170"/>
        <v/>
      </c>
      <c r="N3268" s="11" t="str">
        <f t="shared" si="171"/>
        <v/>
      </c>
    </row>
    <row r="3269" spans="9:14" x14ac:dyDescent="0.25">
      <c r="I3269" s="11" t="b">
        <f t="shared" si="169"/>
        <v>0</v>
      </c>
      <c r="M3269" s="17" t="str">
        <f t="shared" si="170"/>
        <v/>
      </c>
      <c r="N3269" s="11" t="str">
        <f t="shared" si="171"/>
        <v/>
      </c>
    </row>
    <row r="3270" spans="9:14" x14ac:dyDescent="0.25">
      <c r="I3270" s="11" t="b">
        <f t="shared" si="169"/>
        <v>0</v>
      </c>
      <c r="M3270" s="17" t="str">
        <f t="shared" si="170"/>
        <v/>
      </c>
      <c r="N3270" s="11" t="str">
        <f t="shared" si="171"/>
        <v/>
      </c>
    </row>
    <row r="3271" spans="9:14" x14ac:dyDescent="0.25">
      <c r="I3271" s="11" t="b">
        <f t="shared" si="169"/>
        <v>0</v>
      </c>
      <c r="M3271" s="17" t="str">
        <f t="shared" si="170"/>
        <v/>
      </c>
      <c r="N3271" s="11" t="str">
        <f t="shared" si="171"/>
        <v/>
      </c>
    </row>
    <row r="3272" spans="9:14" x14ac:dyDescent="0.25">
      <c r="I3272" s="11" t="b">
        <f t="shared" si="169"/>
        <v>0</v>
      </c>
      <c r="M3272" s="17" t="str">
        <f t="shared" si="170"/>
        <v/>
      </c>
      <c r="N3272" s="11" t="str">
        <f t="shared" si="171"/>
        <v/>
      </c>
    </row>
    <row r="3273" spans="9:14" x14ac:dyDescent="0.25">
      <c r="I3273" s="11" t="b">
        <f t="shared" si="169"/>
        <v>0</v>
      </c>
      <c r="M3273" s="17" t="str">
        <f t="shared" si="170"/>
        <v/>
      </c>
      <c r="N3273" s="11" t="str">
        <f t="shared" si="171"/>
        <v/>
      </c>
    </row>
    <row r="3274" spans="9:14" x14ac:dyDescent="0.25">
      <c r="I3274" s="11" t="b">
        <f t="shared" si="169"/>
        <v>0</v>
      </c>
      <c r="M3274" s="17" t="str">
        <f t="shared" si="170"/>
        <v/>
      </c>
      <c r="N3274" s="11" t="str">
        <f t="shared" si="171"/>
        <v/>
      </c>
    </row>
    <row r="3275" spans="9:14" x14ac:dyDescent="0.25">
      <c r="I3275" s="11" t="b">
        <f t="shared" si="169"/>
        <v>0</v>
      </c>
      <c r="M3275" s="17" t="str">
        <f t="shared" si="170"/>
        <v/>
      </c>
      <c r="N3275" s="11" t="str">
        <f t="shared" si="171"/>
        <v/>
      </c>
    </row>
    <row r="3276" spans="9:14" x14ac:dyDescent="0.25">
      <c r="I3276" s="11" t="b">
        <f t="shared" si="169"/>
        <v>0</v>
      </c>
      <c r="M3276" s="17" t="str">
        <f t="shared" si="170"/>
        <v/>
      </c>
      <c r="N3276" s="11" t="str">
        <f t="shared" si="171"/>
        <v/>
      </c>
    </row>
    <row r="3277" spans="9:14" x14ac:dyDescent="0.25">
      <c r="I3277" s="11" t="b">
        <f t="shared" si="169"/>
        <v>0</v>
      </c>
      <c r="M3277" s="17" t="str">
        <f t="shared" si="170"/>
        <v/>
      </c>
      <c r="N3277" s="11" t="str">
        <f t="shared" si="171"/>
        <v/>
      </c>
    </row>
    <row r="3278" spans="9:14" x14ac:dyDescent="0.25">
      <c r="I3278" s="11" t="b">
        <f t="shared" si="169"/>
        <v>0</v>
      </c>
      <c r="M3278" s="17" t="str">
        <f t="shared" si="170"/>
        <v/>
      </c>
      <c r="N3278" s="11" t="str">
        <f t="shared" si="171"/>
        <v/>
      </c>
    </row>
    <row r="3279" spans="9:14" x14ac:dyDescent="0.25">
      <c r="I3279" s="11" t="b">
        <f t="shared" si="169"/>
        <v>0</v>
      </c>
      <c r="M3279" s="17" t="str">
        <f t="shared" si="170"/>
        <v/>
      </c>
      <c r="N3279" s="11" t="str">
        <f t="shared" si="171"/>
        <v/>
      </c>
    </row>
    <row r="3280" spans="9:14" x14ac:dyDescent="0.25">
      <c r="I3280" s="11" t="b">
        <f t="shared" si="169"/>
        <v>0</v>
      </c>
      <c r="M3280" s="17" t="str">
        <f t="shared" si="170"/>
        <v/>
      </c>
      <c r="N3280" s="11" t="str">
        <f t="shared" si="171"/>
        <v/>
      </c>
    </row>
    <row r="3281" spans="9:14" x14ac:dyDescent="0.25">
      <c r="I3281" s="11" t="b">
        <f t="shared" si="169"/>
        <v>0</v>
      </c>
      <c r="M3281" s="17" t="str">
        <f t="shared" si="170"/>
        <v/>
      </c>
      <c r="N3281" s="11" t="str">
        <f t="shared" si="171"/>
        <v/>
      </c>
    </row>
    <row r="3282" spans="9:14" x14ac:dyDescent="0.25">
      <c r="I3282" s="11" t="b">
        <f t="shared" si="169"/>
        <v>0</v>
      </c>
      <c r="M3282" s="17" t="str">
        <f t="shared" si="170"/>
        <v/>
      </c>
      <c r="N3282" s="11" t="str">
        <f t="shared" si="171"/>
        <v/>
      </c>
    </row>
    <row r="3283" spans="9:14" x14ac:dyDescent="0.25">
      <c r="I3283" s="11" t="b">
        <f t="shared" si="169"/>
        <v>0</v>
      </c>
      <c r="M3283" s="17" t="str">
        <f t="shared" si="170"/>
        <v/>
      </c>
      <c r="N3283" s="11" t="str">
        <f t="shared" si="171"/>
        <v/>
      </c>
    </row>
    <row r="3284" spans="9:14" x14ac:dyDescent="0.25">
      <c r="I3284" s="11" t="b">
        <f t="shared" si="169"/>
        <v>0</v>
      </c>
      <c r="M3284" s="17" t="str">
        <f t="shared" si="170"/>
        <v/>
      </c>
      <c r="N3284" s="11" t="str">
        <f t="shared" si="171"/>
        <v/>
      </c>
    </row>
    <row r="3285" spans="9:14" x14ac:dyDescent="0.25">
      <c r="I3285" s="11" t="b">
        <f t="shared" si="169"/>
        <v>0</v>
      </c>
      <c r="M3285" s="17" t="str">
        <f t="shared" si="170"/>
        <v/>
      </c>
      <c r="N3285" s="11" t="str">
        <f t="shared" si="171"/>
        <v/>
      </c>
    </row>
    <row r="3286" spans="9:14" x14ac:dyDescent="0.25">
      <c r="I3286" s="11" t="b">
        <f t="shared" si="169"/>
        <v>0</v>
      </c>
      <c r="M3286" s="17" t="str">
        <f t="shared" si="170"/>
        <v/>
      </c>
      <c r="N3286" s="11" t="str">
        <f t="shared" si="171"/>
        <v/>
      </c>
    </row>
    <row r="3287" spans="9:14" x14ac:dyDescent="0.25">
      <c r="I3287" s="11" t="b">
        <f t="shared" si="169"/>
        <v>0</v>
      </c>
      <c r="M3287" s="17" t="str">
        <f t="shared" si="170"/>
        <v/>
      </c>
      <c r="N3287" s="11" t="str">
        <f t="shared" si="171"/>
        <v/>
      </c>
    </row>
    <row r="3288" spans="9:14" x14ac:dyDescent="0.25">
      <c r="I3288" s="11" t="b">
        <f t="shared" si="169"/>
        <v>0</v>
      </c>
      <c r="M3288" s="17" t="str">
        <f t="shared" si="170"/>
        <v/>
      </c>
      <c r="N3288" s="11" t="str">
        <f t="shared" si="171"/>
        <v/>
      </c>
    </row>
    <row r="3289" spans="9:14" x14ac:dyDescent="0.25">
      <c r="I3289" s="11" t="b">
        <f t="shared" si="169"/>
        <v>0</v>
      </c>
      <c r="M3289" s="17" t="str">
        <f t="shared" si="170"/>
        <v/>
      </c>
      <c r="N3289" s="11" t="str">
        <f t="shared" si="171"/>
        <v/>
      </c>
    </row>
    <row r="3290" spans="9:14" x14ac:dyDescent="0.25">
      <c r="I3290" s="11" t="b">
        <f t="shared" si="169"/>
        <v>0</v>
      </c>
      <c r="M3290" s="17" t="str">
        <f t="shared" si="170"/>
        <v/>
      </c>
      <c r="N3290" s="11" t="str">
        <f t="shared" si="171"/>
        <v/>
      </c>
    </row>
    <row r="3291" spans="9:14" x14ac:dyDescent="0.25">
      <c r="I3291" s="11" t="b">
        <f t="shared" si="169"/>
        <v>0</v>
      </c>
      <c r="M3291" s="17" t="str">
        <f t="shared" si="170"/>
        <v/>
      </c>
      <c r="N3291" s="11" t="str">
        <f t="shared" si="171"/>
        <v/>
      </c>
    </row>
    <row r="3292" spans="9:14" x14ac:dyDescent="0.25">
      <c r="I3292" s="11" t="b">
        <f t="shared" si="169"/>
        <v>0</v>
      </c>
      <c r="M3292" s="17" t="str">
        <f t="shared" si="170"/>
        <v/>
      </c>
      <c r="N3292" s="11" t="str">
        <f t="shared" si="171"/>
        <v/>
      </c>
    </row>
    <row r="3293" spans="9:14" x14ac:dyDescent="0.25">
      <c r="I3293" s="11" t="b">
        <f t="shared" ref="I3293:I3356" si="172">IF(AND(G3293="MERCADO PAGO",A3293="FATURAMENTO"),1,IF(AND(OR(G3293="MERCADO PAGO",G3293="pix mercado pago",G3293= "débito automático mercado pago", G3293= "boleto mercado pago"),A3293="DESPESAS"),4,IF(AND(G3293="SAFRA",A3293="FATURAMENTO"),2,IF(AND(OR(G3293="SAFRA",G3293="PIX SAFRA", G3293="DÉBITO AUTOMÁTICO SAFRA", G3293= "BOLETO SAFRA", G3293= "transferência safra"), A3293="DESPESAS"),5,IF(AND(G3293="espécie",A3293="FATURAMENTO"),3,IF(AND(G3293="espécie",A3293="DESPESAS"),6))))))</f>
        <v>0</v>
      </c>
      <c r="M3293" s="17" t="str">
        <f t="shared" si="170"/>
        <v/>
      </c>
      <c r="N3293" s="11" t="str">
        <f t="shared" si="171"/>
        <v/>
      </c>
    </row>
    <row r="3294" spans="9:14" x14ac:dyDescent="0.25">
      <c r="I3294" s="11" t="b">
        <f t="shared" si="172"/>
        <v>0</v>
      </c>
      <c r="M3294" s="17" t="str">
        <f t="shared" si="170"/>
        <v/>
      </c>
      <c r="N3294" s="11" t="str">
        <f t="shared" si="171"/>
        <v/>
      </c>
    </row>
    <row r="3295" spans="9:14" x14ac:dyDescent="0.25">
      <c r="I3295" s="11" t="b">
        <f t="shared" si="172"/>
        <v>0</v>
      </c>
      <c r="M3295" s="17" t="str">
        <f t="shared" si="170"/>
        <v/>
      </c>
      <c r="N3295" s="11" t="str">
        <f t="shared" si="171"/>
        <v/>
      </c>
    </row>
    <row r="3296" spans="9:14" x14ac:dyDescent="0.25">
      <c r="I3296" s="11" t="b">
        <f t="shared" si="172"/>
        <v>0</v>
      </c>
      <c r="M3296" s="17" t="str">
        <f t="shared" si="170"/>
        <v/>
      </c>
      <c r="N3296" s="11" t="str">
        <f t="shared" si="171"/>
        <v/>
      </c>
    </row>
    <row r="3297" spans="9:14" x14ac:dyDescent="0.25">
      <c r="I3297" s="11" t="b">
        <f t="shared" si="172"/>
        <v>0</v>
      </c>
      <c r="M3297" s="17" t="str">
        <f t="shared" si="170"/>
        <v/>
      </c>
      <c r="N3297" s="11" t="str">
        <f t="shared" si="171"/>
        <v/>
      </c>
    </row>
    <row r="3298" spans="9:14" x14ac:dyDescent="0.25">
      <c r="I3298" s="11" t="b">
        <f t="shared" si="172"/>
        <v>0</v>
      </c>
      <c r="M3298" s="17" t="str">
        <f t="shared" si="170"/>
        <v/>
      </c>
      <c r="N3298" s="11" t="str">
        <f t="shared" si="171"/>
        <v/>
      </c>
    </row>
    <row r="3299" spans="9:14" x14ac:dyDescent="0.25">
      <c r="I3299" s="11" t="b">
        <f t="shared" si="172"/>
        <v>0</v>
      </c>
      <c r="M3299" s="17" t="str">
        <f t="shared" si="170"/>
        <v/>
      </c>
      <c r="N3299" s="11" t="str">
        <f t="shared" si="171"/>
        <v/>
      </c>
    </row>
    <row r="3300" spans="9:14" x14ac:dyDescent="0.25">
      <c r="I3300" s="11" t="b">
        <f t="shared" si="172"/>
        <v>0</v>
      </c>
      <c r="M3300" s="17" t="str">
        <f t="shared" si="170"/>
        <v/>
      </c>
      <c r="N3300" s="11" t="str">
        <f t="shared" si="171"/>
        <v/>
      </c>
    </row>
    <row r="3301" spans="9:14" x14ac:dyDescent="0.25">
      <c r="I3301" s="11" t="b">
        <f t="shared" si="172"/>
        <v>0</v>
      </c>
      <c r="M3301" s="17" t="str">
        <f t="shared" si="170"/>
        <v/>
      </c>
      <c r="N3301" s="11" t="str">
        <f t="shared" si="171"/>
        <v/>
      </c>
    </row>
    <row r="3302" spans="9:14" x14ac:dyDescent="0.25">
      <c r="I3302" s="11" t="b">
        <f t="shared" si="172"/>
        <v>0</v>
      </c>
      <c r="M3302" s="17" t="str">
        <f t="shared" si="170"/>
        <v/>
      </c>
      <c r="N3302" s="11" t="str">
        <f t="shared" si="171"/>
        <v/>
      </c>
    </row>
    <row r="3303" spans="9:14" x14ac:dyDescent="0.25">
      <c r="I3303" s="11" t="b">
        <f t="shared" si="172"/>
        <v>0</v>
      </c>
      <c r="M3303" s="17" t="str">
        <f t="shared" si="170"/>
        <v/>
      </c>
      <c r="N3303" s="11" t="str">
        <f t="shared" si="171"/>
        <v/>
      </c>
    </row>
    <row r="3304" spans="9:14" x14ac:dyDescent="0.25">
      <c r="I3304" s="11" t="b">
        <f t="shared" si="172"/>
        <v>0</v>
      </c>
      <c r="M3304" s="17" t="str">
        <f t="shared" si="170"/>
        <v/>
      </c>
      <c r="N3304" s="11" t="str">
        <f t="shared" si="171"/>
        <v/>
      </c>
    </row>
    <row r="3305" spans="9:14" x14ac:dyDescent="0.25">
      <c r="I3305" s="11" t="b">
        <f t="shared" si="172"/>
        <v>0</v>
      </c>
      <c r="M3305" s="17" t="str">
        <f t="shared" si="170"/>
        <v/>
      </c>
      <c r="N3305" s="11" t="str">
        <f t="shared" si="171"/>
        <v/>
      </c>
    </row>
    <row r="3306" spans="9:14" x14ac:dyDescent="0.25">
      <c r="I3306" s="11" t="b">
        <f t="shared" si="172"/>
        <v>0</v>
      </c>
      <c r="M3306" s="17" t="str">
        <f t="shared" si="170"/>
        <v/>
      </c>
      <c r="N3306" s="11" t="str">
        <f t="shared" si="171"/>
        <v/>
      </c>
    </row>
    <row r="3307" spans="9:14" x14ac:dyDescent="0.25">
      <c r="I3307" s="11" t="b">
        <f t="shared" si="172"/>
        <v>0</v>
      </c>
      <c r="M3307" s="17" t="str">
        <f t="shared" si="170"/>
        <v/>
      </c>
      <c r="N3307" s="11" t="str">
        <f t="shared" si="171"/>
        <v/>
      </c>
    </row>
    <row r="3308" spans="9:14" x14ac:dyDescent="0.25">
      <c r="I3308" s="11" t="b">
        <f t="shared" si="172"/>
        <v>0</v>
      </c>
      <c r="M3308" s="17" t="str">
        <f t="shared" si="170"/>
        <v/>
      </c>
      <c r="N3308" s="11" t="str">
        <f t="shared" si="171"/>
        <v/>
      </c>
    </row>
    <row r="3309" spans="9:14" x14ac:dyDescent="0.25">
      <c r="I3309" s="11" t="b">
        <f t="shared" si="172"/>
        <v>0</v>
      </c>
      <c r="M3309" s="17" t="str">
        <f t="shared" si="170"/>
        <v/>
      </c>
      <c r="N3309" s="11" t="str">
        <f t="shared" si="171"/>
        <v/>
      </c>
    </row>
    <row r="3310" spans="9:14" x14ac:dyDescent="0.25">
      <c r="I3310" s="11" t="b">
        <f t="shared" si="172"/>
        <v>0</v>
      </c>
      <c r="M3310" s="17" t="str">
        <f t="shared" si="170"/>
        <v/>
      </c>
      <c r="N3310" s="11" t="str">
        <f t="shared" si="171"/>
        <v/>
      </c>
    </row>
    <row r="3311" spans="9:14" x14ac:dyDescent="0.25">
      <c r="I3311" s="11" t="b">
        <f t="shared" si="172"/>
        <v>0</v>
      </c>
      <c r="M3311" s="17" t="str">
        <f t="shared" si="170"/>
        <v/>
      </c>
      <c r="N3311" s="11" t="str">
        <f t="shared" si="171"/>
        <v/>
      </c>
    </row>
    <row r="3312" spans="9:14" x14ac:dyDescent="0.25">
      <c r="I3312" s="11" t="b">
        <f t="shared" si="172"/>
        <v>0</v>
      </c>
      <c r="M3312" s="17" t="str">
        <f t="shared" si="170"/>
        <v/>
      </c>
      <c r="N3312" s="11" t="str">
        <f t="shared" si="171"/>
        <v/>
      </c>
    </row>
    <row r="3313" spans="9:14" x14ac:dyDescent="0.25">
      <c r="I3313" s="11" t="b">
        <f t="shared" si="172"/>
        <v>0</v>
      </c>
      <c r="M3313" s="17" t="str">
        <f t="shared" si="170"/>
        <v/>
      </c>
      <c r="N3313" s="11" t="str">
        <f t="shared" si="171"/>
        <v/>
      </c>
    </row>
    <row r="3314" spans="9:14" x14ac:dyDescent="0.25">
      <c r="I3314" s="11" t="b">
        <f t="shared" si="172"/>
        <v>0</v>
      </c>
      <c r="M3314" s="17" t="str">
        <f t="shared" si="170"/>
        <v/>
      </c>
      <c r="N3314" s="11" t="str">
        <f t="shared" si="171"/>
        <v/>
      </c>
    </row>
    <row r="3315" spans="9:14" x14ac:dyDescent="0.25">
      <c r="I3315" s="11" t="b">
        <f t="shared" si="172"/>
        <v>0</v>
      </c>
      <c r="M3315" s="17" t="str">
        <f t="shared" si="170"/>
        <v/>
      </c>
      <c r="N3315" s="11" t="str">
        <f t="shared" si="171"/>
        <v/>
      </c>
    </row>
    <row r="3316" spans="9:14" x14ac:dyDescent="0.25">
      <c r="I3316" s="11" t="b">
        <f t="shared" si="172"/>
        <v>0</v>
      </c>
      <c r="M3316" s="17" t="str">
        <f t="shared" si="170"/>
        <v/>
      </c>
      <c r="N3316" s="11" t="str">
        <f t="shared" si="171"/>
        <v/>
      </c>
    </row>
    <row r="3317" spans="9:14" x14ac:dyDescent="0.25">
      <c r="I3317" s="11" t="b">
        <f t="shared" si="172"/>
        <v>0</v>
      </c>
      <c r="M3317" s="17" t="str">
        <f t="shared" si="170"/>
        <v/>
      </c>
      <c r="N3317" s="11" t="str">
        <f t="shared" si="171"/>
        <v/>
      </c>
    </row>
    <row r="3318" spans="9:14" x14ac:dyDescent="0.25">
      <c r="I3318" s="11" t="b">
        <f t="shared" si="172"/>
        <v>0</v>
      </c>
      <c r="M3318" s="17" t="str">
        <f t="shared" si="170"/>
        <v/>
      </c>
      <c r="N3318" s="11" t="str">
        <f t="shared" si="171"/>
        <v/>
      </c>
    </row>
    <row r="3319" spans="9:14" x14ac:dyDescent="0.25">
      <c r="I3319" s="11" t="b">
        <f t="shared" si="172"/>
        <v>0</v>
      </c>
      <c r="M3319" s="17" t="str">
        <f t="shared" si="170"/>
        <v/>
      </c>
      <c r="N3319" s="11" t="str">
        <f t="shared" si="171"/>
        <v/>
      </c>
    </row>
    <row r="3320" spans="9:14" x14ac:dyDescent="0.25">
      <c r="I3320" s="11" t="b">
        <f t="shared" si="172"/>
        <v>0</v>
      </c>
      <c r="M3320" s="17" t="str">
        <f t="shared" si="170"/>
        <v/>
      </c>
      <c r="N3320" s="11" t="str">
        <f t="shared" si="171"/>
        <v/>
      </c>
    </row>
    <row r="3321" spans="9:14" x14ac:dyDescent="0.25">
      <c r="I3321" s="11" t="b">
        <f t="shared" si="172"/>
        <v>0</v>
      </c>
      <c r="M3321" s="17" t="str">
        <f t="shared" si="170"/>
        <v/>
      </c>
      <c r="N3321" s="11" t="str">
        <f t="shared" si="171"/>
        <v/>
      </c>
    </row>
    <row r="3322" spans="9:14" x14ac:dyDescent="0.25">
      <c r="I3322" s="11" t="b">
        <f t="shared" si="172"/>
        <v>0</v>
      </c>
      <c r="M3322" s="17" t="str">
        <f t="shared" si="170"/>
        <v/>
      </c>
      <c r="N3322" s="11" t="str">
        <f t="shared" si="171"/>
        <v/>
      </c>
    </row>
    <row r="3323" spans="9:14" x14ac:dyDescent="0.25">
      <c r="I3323" s="11" t="b">
        <f t="shared" si="172"/>
        <v>0</v>
      </c>
      <c r="M3323" s="17" t="str">
        <f t="shared" si="170"/>
        <v/>
      </c>
      <c r="N3323" s="11" t="str">
        <f t="shared" si="171"/>
        <v/>
      </c>
    </row>
    <row r="3324" spans="9:14" x14ac:dyDescent="0.25">
      <c r="I3324" s="11" t="b">
        <f t="shared" si="172"/>
        <v>0</v>
      </c>
      <c r="M3324" s="17" t="str">
        <f t="shared" si="170"/>
        <v/>
      </c>
      <c r="N3324" s="11" t="str">
        <f t="shared" si="171"/>
        <v/>
      </c>
    </row>
    <row r="3325" spans="9:14" x14ac:dyDescent="0.25">
      <c r="I3325" s="11" t="b">
        <f t="shared" si="172"/>
        <v>0</v>
      </c>
      <c r="M3325" s="17" t="str">
        <f t="shared" si="170"/>
        <v/>
      </c>
      <c r="N3325" s="11" t="str">
        <f t="shared" si="171"/>
        <v/>
      </c>
    </row>
    <row r="3326" spans="9:14" x14ac:dyDescent="0.25">
      <c r="I3326" s="11" t="b">
        <f t="shared" si="172"/>
        <v>0</v>
      </c>
      <c r="M3326" s="17" t="str">
        <f t="shared" si="170"/>
        <v/>
      </c>
      <c r="N3326" s="11" t="str">
        <f t="shared" si="171"/>
        <v/>
      </c>
    </row>
    <row r="3327" spans="9:14" x14ac:dyDescent="0.25">
      <c r="I3327" s="11" t="b">
        <f t="shared" si="172"/>
        <v>0</v>
      </c>
      <c r="M3327" s="17" t="str">
        <f t="shared" si="170"/>
        <v/>
      </c>
      <c r="N3327" s="11" t="str">
        <f t="shared" si="171"/>
        <v/>
      </c>
    </row>
    <row r="3328" spans="9:14" x14ac:dyDescent="0.25">
      <c r="I3328" s="11" t="b">
        <f t="shared" si="172"/>
        <v>0</v>
      </c>
      <c r="M3328" s="17" t="str">
        <f t="shared" si="170"/>
        <v/>
      </c>
      <c r="N3328" s="11" t="str">
        <f t="shared" si="171"/>
        <v/>
      </c>
    </row>
    <row r="3329" spans="9:14" x14ac:dyDescent="0.25">
      <c r="I3329" s="11" t="b">
        <f t="shared" si="172"/>
        <v>0</v>
      </c>
      <c r="M3329" s="17" t="str">
        <f t="shared" ref="M3329:M3392" si="173">IF(B3329=0, "",M3328+ J3329-K3329)</f>
        <v/>
      </c>
      <c r="N3329" s="11" t="str">
        <f t="shared" ref="N3329:N3392" si="174">IF(B3329=0, "", MONTH(B3329))</f>
        <v/>
      </c>
    </row>
    <row r="3330" spans="9:14" x14ac:dyDescent="0.25">
      <c r="I3330" s="11" t="b">
        <f t="shared" si="172"/>
        <v>0</v>
      </c>
      <c r="M3330" s="17" t="str">
        <f t="shared" si="173"/>
        <v/>
      </c>
      <c r="N3330" s="11" t="str">
        <f t="shared" si="174"/>
        <v/>
      </c>
    </row>
    <row r="3331" spans="9:14" x14ac:dyDescent="0.25">
      <c r="I3331" s="11" t="b">
        <f t="shared" si="172"/>
        <v>0</v>
      </c>
      <c r="M3331" s="17" t="str">
        <f t="shared" si="173"/>
        <v/>
      </c>
      <c r="N3331" s="11" t="str">
        <f t="shared" si="174"/>
        <v/>
      </c>
    </row>
    <row r="3332" spans="9:14" x14ac:dyDescent="0.25">
      <c r="I3332" s="11" t="b">
        <f t="shared" si="172"/>
        <v>0</v>
      </c>
      <c r="M3332" s="17" t="str">
        <f t="shared" si="173"/>
        <v/>
      </c>
      <c r="N3332" s="11" t="str">
        <f t="shared" si="174"/>
        <v/>
      </c>
    </row>
    <row r="3333" spans="9:14" x14ac:dyDescent="0.25">
      <c r="I3333" s="11" t="b">
        <f t="shared" si="172"/>
        <v>0</v>
      </c>
      <c r="M3333" s="17" t="str">
        <f t="shared" si="173"/>
        <v/>
      </c>
      <c r="N3333" s="11" t="str">
        <f t="shared" si="174"/>
        <v/>
      </c>
    </row>
    <row r="3334" spans="9:14" x14ac:dyDescent="0.25">
      <c r="I3334" s="11" t="b">
        <f t="shared" si="172"/>
        <v>0</v>
      </c>
      <c r="M3334" s="17" t="str">
        <f t="shared" si="173"/>
        <v/>
      </c>
      <c r="N3334" s="11" t="str">
        <f t="shared" si="174"/>
        <v/>
      </c>
    </row>
    <row r="3335" spans="9:14" x14ac:dyDescent="0.25">
      <c r="I3335" s="11" t="b">
        <f t="shared" si="172"/>
        <v>0</v>
      </c>
      <c r="M3335" s="17" t="str">
        <f t="shared" si="173"/>
        <v/>
      </c>
      <c r="N3335" s="11" t="str">
        <f t="shared" si="174"/>
        <v/>
      </c>
    </row>
    <row r="3336" spans="9:14" x14ac:dyDescent="0.25">
      <c r="I3336" s="11" t="b">
        <f t="shared" si="172"/>
        <v>0</v>
      </c>
      <c r="M3336" s="17" t="str">
        <f t="shared" si="173"/>
        <v/>
      </c>
      <c r="N3336" s="11" t="str">
        <f t="shared" si="174"/>
        <v/>
      </c>
    </row>
    <row r="3337" spans="9:14" x14ac:dyDescent="0.25">
      <c r="I3337" s="11" t="b">
        <f t="shared" si="172"/>
        <v>0</v>
      </c>
      <c r="M3337" s="17" t="str">
        <f t="shared" si="173"/>
        <v/>
      </c>
      <c r="N3337" s="11" t="str">
        <f t="shared" si="174"/>
        <v/>
      </c>
    </row>
    <row r="3338" spans="9:14" x14ac:dyDescent="0.25">
      <c r="I3338" s="11" t="b">
        <f t="shared" si="172"/>
        <v>0</v>
      </c>
      <c r="M3338" s="17" t="str">
        <f t="shared" si="173"/>
        <v/>
      </c>
      <c r="N3338" s="11" t="str">
        <f t="shared" si="174"/>
        <v/>
      </c>
    </row>
    <row r="3339" spans="9:14" x14ac:dyDescent="0.25">
      <c r="I3339" s="11" t="b">
        <f t="shared" si="172"/>
        <v>0</v>
      </c>
      <c r="M3339" s="17" t="str">
        <f t="shared" si="173"/>
        <v/>
      </c>
      <c r="N3339" s="11" t="str">
        <f t="shared" si="174"/>
        <v/>
      </c>
    </row>
    <row r="3340" spans="9:14" x14ac:dyDescent="0.25">
      <c r="I3340" s="11" t="b">
        <f t="shared" si="172"/>
        <v>0</v>
      </c>
      <c r="M3340" s="17" t="str">
        <f t="shared" si="173"/>
        <v/>
      </c>
      <c r="N3340" s="11" t="str">
        <f t="shared" si="174"/>
        <v/>
      </c>
    </row>
    <row r="3341" spans="9:14" x14ac:dyDescent="0.25">
      <c r="I3341" s="11" t="b">
        <f t="shared" si="172"/>
        <v>0</v>
      </c>
      <c r="M3341" s="17" t="str">
        <f t="shared" si="173"/>
        <v/>
      </c>
      <c r="N3341" s="11" t="str">
        <f t="shared" si="174"/>
        <v/>
      </c>
    </row>
    <row r="3342" spans="9:14" x14ac:dyDescent="0.25">
      <c r="I3342" s="11" t="b">
        <f t="shared" si="172"/>
        <v>0</v>
      </c>
      <c r="M3342" s="17" t="str">
        <f t="shared" si="173"/>
        <v/>
      </c>
      <c r="N3342" s="11" t="str">
        <f t="shared" si="174"/>
        <v/>
      </c>
    </row>
    <row r="3343" spans="9:14" x14ac:dyDescent="0.25">
      <c r="I3343" s="11" t="b">
        <f t="shared" si="172"/>
        <v>0</v>
      </c>
      <c r="M3343" s="17" t="str">
        <f t="shared" si="173"/>
        <v/>
      </c>
      <c r="N3343" s="11" t="str">
        <f t="shared" si="174"/>
        <v/>
      </c>
    </row>
    <row r="3344" spans="9:14" x14ac:dyDescent="0.25">
      <c r="I3344" s="11" t="b">
        <f t="shared" si="172"/>
        <v>0</v>
      </c>
      <c r="M3344" s="17" t="str">
        <f t="shared" si="173"/>
        <v/>
      </c>
      <c r="N3344" s="11" t="str">
        <f t="shared" si="174"/>
        <v/>
      </c>
    </row>
    <row r="3345" spans="9:14" x14ac:dyDescent="0.25">
      <c r="I3345" s="11" t="b">
        <f t="shared" si="172"/>
        <v>0</v>
      </c>
      <c r="M3345" s="17" t="str">
        <f t="shared" si="173"/>
        <v/>
      </c>
      <c r="N3345" s="11" t="str">
        <f t="shared" si="174"/>
        <v/>
      </c>
    </row>
    <row r="3346" spans="9:14" x14ac:dyDescent="0.25">
      <c r="I3346" s="11" t="b">
        <f t="shared" si="172"/>
        <v>0</v>
      </c>
      <c r="M3346" s="17" t="str">
        <f t="shared" si="173"/>
        <v/>
      </c>
      <c r="N3346" s="11" t="str">
        <f t="shared" si="174"/>
        <v/>
      </c>
    </row>
    <row r="3347" spans="9:14" x14ac:dyDescent="0.25">
      <c r="I3347" s="11" t="b">
        <f t="shared" si="172"/>
        <v>0</v>
      </c>
      <c r="M3347" s="17" t="str">
        <f t="shared" si="173"/>
        <v/>
      </c>
      <c r="N3347" s="11" t="str">
        <f t="shared" si="174"/>
        <v/>
      </c>
    </row>
    <row r="3348" spans="9:14" x14ac:dyDescent="0.25">
      <c r="I3348" s="11" t="b">
        <f t="shared" si="172"/>
        <v>0</v>
      </c>
      <c r="M3348" s="17" t="str">
        <f t="shared" si="173"/>
        <v/>
      </c>
      <c r="N3348" s="11" t="str">
        <f t="shared" si="174"/>
        <v/>
      </c>
    </row>
    <row r="3349" spans="9:14" x14ac:dyDescent="0.25">
      <c r="I3349" s="11" t="b">
        <f t="shared" si="172"/>
        <v>0</v>
      </c>
      <c r="M3349" s="17" t="str">
        <f t="shared" si="173"/>
        <v/>
      </c>
      <c r="N3349" s="11" t="str">
        <f t="shared" si="174"/>
        <v/>
      </c>
    </row>
    <row r="3350" spans="9:14" x14ac:dyDescent="0.25">
      <c r="I3350" s="11" t="b">
        <f t="shared" si="172"/>
        <v>0</v>
      </c>
      <c r="M3350" s="17" t="str">
        <f t="shared" si="173"/>
        <v/>
      </c>
      <c r="N3350" s="11" t="str">
        <f t="shared" si="174"/>
        <v/>
      </c>
    </row>
    <row r="3351" spans="9:14" x14ac:dyDescent="0.25">
      <c r="I3351" s="11" t="b">
        <f t="shared" si="172"/>
        <v>0</v>
      </c>
      <c r="M3351" s="17" t="str">
        <f t="shared" si="173"/>
        <v/>
      </c>
      <c r="N3351" s="11" t="str">
        <f t="shared" si="174"/>
        <v/>
      </c>
    </row>
    <row r="3352" spans="9:14" x14ac:dyDescent="0.25">
      <c r="I3352" s="11" t="b">
        <f t="shared" si="172"/>
        <v>0</v>
      </c>
      <c r="M3352" s="17" t="str">
        <f t="shared" si="173"/>
        <v/>
      </c>
      <c r="N3352" s="11" t="str">
        <f t="shared" si="174"/>
        <v/>
      </c>
    </row>
    <row r="3353" spans="9:14" x14ac:dyDescent="0.25">
      <c r="I3353" s="11" t="b">
        <f t="shared" si="172"/>
        <v>0</v>
      </c>
      <c r="M3353" s="17" t="str">
        <f t="shared" si="173"/>
        <v/>
      </c>
      <c r="N3353" s="11" t="str">
        <f t="shared" si="174"/>
        <v/>
      </c>
    </row>
    <row r="3354" spans="9:14" x14ac:dyDescent="0.25">
      <c r="I3354" s="11" t="b">
        <f t="shared" si="172"/>
        <v>0</v>
      </c>
      <c r="M3354" s="17" t="str">
        <f t="shared" si="173"/>
        <v/>
      </c>
      <c r="N3354" s="11" t="str">
        <f t="shared" si="174"/>
        <v/>
      </c>
    </row>
    <row r="3355" spans="9:14" x14ac:dyDescent="0.25">
      <c r="I3355" s="11" t="b">
        <f t="shared" si="172"/>
        <v>0</v>
      </c>
      <c r="M3355" s="17" t="str">
        <f t="shared" si="173"/>
        <v/>
      </c>
      <c r="N3355" s="11" t="str">
        <f t="shared" si="174"/>
        <v/>
      </c>
    </row>
    <row r="3356" spans="9:14" x14ac:dyDescent="0.25">
      <c r="I3356" s="11" t="b">
        <f t="shared" si="172"/>
        <v>0</v>
      </c>
      <c r="M3356" s="17" t="str">
        <f t="shared" si="173"/>
        <v/>
      </c>
      <c r="N3356" s="11" t="str">
        <f t="shared" si="174"/>
        <v/>
      </c>
    </row>
    <row r="3357" spans="9:14" x14ac:dyDescent="0.25">
      <c r="I3357" s="11" t="b">
        <f t="shared" ref="I3357:I3420" si="175">IF(AND(G3357="MERCADO PAGO",A3357="FATURAMENTO"),1,IF(AND(OR(G3357="MERCADO PAGO",G3357="pix mercado pago",G3357= "débito automático mercado pago", G3357= "boleto mercado pago"),A3357="DESPESAS"),4,IF(AND(G3357="SAFRA",A3357="FATURAMENTO"),2,IF(AND(OR(G3357="SAFRA",G3357="PIX SAFRA", G3357="DÉBITO AUTOMÁTICO SAFRA", G3357= "BOLETO SAFRA", G3357= "transferência safra"), A3357="DESPESAS"),5,IF(AND(G3357="espécie",A3357="FATURAMENTO"),3,IF(AND(G3357="espécie",A3357="DESPESAS"),6))))))</f>
        <v>0</v>
      </c>
      <c r="M3357" s="17" t="str">
        <f t="shared" si="173"/>
        <v/>
      </c>
      <c r="N3357" s="11" t="str">
        <f t="shared" si="174"/>
        <v/>
      </c>
    </row>
    <row r="3358" spans="9:14" x14ac:dyDescent="0.25">
      <c r="I3358" s="11" t="b">
        <f t="shared" si="175"/>
        <v>0</v>
      </c>
      <c r="M3358" s="17" t="str">
        <f t="shared" si="173"/>
        <v/>
      </c>
      <c r="N3358" s="11" t="str">
        <f t="shared" si="174"/>
        <v/>
      </c>
    </row>
    <row r="3359" spans="9:14" x14ac:dyDescent="0.25">
      <c r="I3359" s="11" t="b">
        <f t="shared" si="175"/>
        <v>0</v>
      </c>
      <c r="M3359" s="17" t="str">
        <f t="shared" si="173"/>
        <v/>
      </c>
      <c r="N3359" s="11" t="str">
        <f t="shared" si="174"/>
        <v/>
      </c>
    </row>
    <row r="3360" spans="9:14" x14ac:dyDescent="0.25">
      <c r="I3360" s="11" t="b">
        <f t="shared" si="175"/>
        <v>0</v>
      </c>
      <c r="M3360" s="17" t="str">
        <f t="shared" si="173"/>
        <v/>
      </c>
      <c r="N3360" s="11" t="str">
        <f t="shared" si="174"/>
        <v/>
      </c>
    </row>
    <row r="3361" spans="9:14" x14ac:dyDescent="0.25">
      <c r="I3361" s="11" t="b">
        <f t="shared" si="175"/>
        <v>0</v>
      </c>
      <c r="M3361" s="17" t="str">
        <f t="shared" si="173"/>
        <v/>
      </c>
      <c r="N3361" s="11" t="str">
        <f t="shared" si="174"/>
        <v/>
      </c>
    </row>
    <row r="3362" spans="9:14" x14ac:dyDescent="0.25">
      <c r="I3362" s="11" t="b">
        <f t="shared" si="175"/>
        <v>0</v>
      </c>
      <c r="M3362" s="17" t="str">
        <f t="shared" si="173"/>
        <v/>
      </c>
      <c r="N3362" s="11" t="str">
        <f t="shared" si="174"/>
        <v/>
      </c>
    </row>
    <row r="3363" spans="9:14" x14ac:dyDescent="0.25">
      <c r="I3363" s="11" t="b">
        <f t="shared" si="175"/>
        <v>0</v>
      </c>
      <c r="M3363" s="17" t="str">
        <f t="shared" si="173"/>
        <v/>
      </c>
      <c r="N3363" s="11" t="str">
        <f t="shared" si="174"/>
        <v/>
      </c>
    </row>
    <row r="3364" spans="9:14" x14ac:dyDescent="0.25">
      <c r="I3364" s="11" t="b">
        <f t="shared" si="175"/>
        <v>0</v>
      </c>
      <c r="M3364" s="17" t="str">
        <f t="shared" si="173"/>
        <v/>
      </c>
      <c r="N3364" s="11" t="str">
        <f t="shared" si="174"/>
        <v/>
      </c>
    </row>
    <row r="3365" spans="9:14" x14ac:dyDescent="0.25">
      <c r="I3365" s="11" t="b">
        <f t="shared" si="175"/>
        <v>0</v>
      </c>
      <c r="M3365" s="17" t="str">
        <f t="shared" si="173"/>
        <v/>
      </c>
      <c r="N3365" s="11" t="str">
        <f t="shared" si="174"/>
        <v/>
      </c>
    </row>
    <row r="3366" spans="9:14" x14ac:dyDescent="0.25">
      <c r="I3366" s="11" t="b">
        <f t="shared" si="175"/>
        <v>0</v>
      </c>
      <c r="M3366" s="17" t="str">
        <f t="shared" si="173"/>
        <v/>
      </c>
      <c r="N3366" s="11" t="str">
        <f t="shared" si="174"/>
        <v/>
      </c>
    </row>
    <row r="3367" spans="9:14" x14ac:dyDescent="0.25">
      <c r="I3367" s="11" t="b">
        <f t="shared" si="175"/>
        <v>0</v>
      </c>
      <c r="M3367" s="17" t="str">
        <f t="shared" si="173"/>
        <v/>
      </c>
      <c r="N3367" s="11" t="str">
        <f t="shared" si="174"/>
        <v/>
      </c>
    </row>
    <row r="3368" spans="9:14" x14ac:dyDescent="0.25">
      <c r="I3368" s="11" t="b">
        <f t="shared" si="175"/>
        <v>0</v>
      </c>
      <c r="M3368" s="17" t="str">
        <f t="shared" si="173"/>
        <v/>
      </c>
      <c r="N3368" s="11" t="str">
        <f t="shared" si="174"/>
        <v/>
      </c>
    </row>
    <row r="3369" spans="9:14" x14ac:dyDescent="0.25">
      <c r="I3369" s="11" t="b">
        <f t="shared" si="175"/>
        <v>0</v>
      </c>
      <c r="M3369" s="17" t="str">
        <f t="shared" si="173"/>
        <v/>
      </c>
      <c r="N3369" s="11" t="str">
        <f t="shared" si="174"/>
        <v/>
      </c>
    </row>
    <row r="3370" spans="9:14" x14ac:dyDescent="0.25">
      <c r="I3370" s="11" t="b">
        <f t="shared" si="175"/>
        <v>0</v>
      </c>
      <c r="M3370" s="17" t="str">
        <f t="shared" si="173"/>
        <v/>
      </c>
      <c r="N3370" s="11" t="str">
        <f t="shared" si="174"/>
        <v/>
      </c>
    </row>
    <row r="3371" spans="9:14" x14ac:dyDescent="0.25">
      <c r="I3371" s="11" t="b">
        <f t="shared" si="175"/>
        <v>0</v>
      </c>
      <c r="M3371" s="17" t="str">
        <f t="shared" si="173"/>
        <v/>
      </c>
      <c r="N3371" s="11" t="str">
        <f t="shared" si="174"/>
        <v/>
      </c>
    </row>
    <row r="3372" spans="9:14" x14ac:dyDescent="0.25">
      <c r="I3372" s="11" t="b">
        <f t="shared" si="175"/>
        <v>0</v>
      </c>
      <c r="M3372" s="17" t="str">
        <f t="shared" si="173"/>
        <v/>
      </c>
      <c r="N3372" s="11" t="str">
        <f t="shared" si="174"/>
        <v/>
      </c>
    </row>
    <row r="3373" spans="9:14" x14ac:dyDescent="0.25">
      <c r="I3373" s="11" t="b">
        <f t="shared" si="175"/>
        <v>0</v>
      </c>
      <c r="M3373" s="17" t="str">
        <f t="shared" si="173"/>
        <v/>
      </c>
      <c r="N3373" s="11" t="str">
        <f t="shared" si="174"/>
        <v/>
      </c>
    </row>
    <row r="3374" spans="9:14" x14ac:dyDescent="0.25">
      <c r="I3374" s="11" t="b">
        <f t="shared" si="175"/>
        <v>0</v>
      </c>
      <c r="M3374" s="17" t="str">
        <f t="shared" si="173"/>
        <v/>
      </c>
      <c r="N3374" s="11" t="str">
        <f t="shared" si="174"/>
        <v/>
      </c>
    </row>
    <row r="3375" spans="9:14" x14ac:dyDescent="0.25">
      <c r="I3375" s="11" t="b">
        <f t="shared" si="175"/>
        <v>0</v>
      </c>
      <c r="M3375" s="17" t="str">
        <f t="shared" si="173"/>
        <v/>
      </c>
      <c r="N3375" s="11" t="str">
        <f t="shared" si="174"/>
        <v/>
      </c>
    </row>
    <row r="3376" spans="9:14" x14ac:dyDescent="0.25">
      <c r="I3376" s="11" t="b">
        <f t="shared" si="175"/>
        <v>0</v>
      </c>
      <c r="M3376" s="17" t="str">
        <f t="shared" si="173"/>
        <v/>
      </c>
      <c r="N3376" s="11" t="str">
        <f t="shared" si="174"/>
        <v/>
      </c>
    </row>
    <row r="3377" spans="9:14" x14ac:dyDescent="0.25">
      <c r="I3377" s="11" t="b">
        <f t="shared" si="175"/>
        <v>0</v>
      </c>
      <c r="M3377" s="17" t="str">
        <f t="shared" si="173"/>
        <v/>
      </c>
      <c r="N3377" s="11" t="str">
        <f t="shared" si="174"/>
        <v/>
      </c>
    </row>
    <row r="3378" spans="9:14" x14ac:dyDescent="0.25">
      <c r="I3378" s="11" t="b">
        <f t="shared" si="175"/>
        <v>0</v>
      </c>
      <c r="M3378" s="17" t="str">
        <f t="shared" si="173"/>
        <v/>
      </c>
      <c r="N3378" s="11" t="str">
        <f t="shared" si="174"/>
        <v/>
      </c>
    </row>
    <row r="3379" spans="9:14" x14ac:dyDescent="0.25">
      <c r="I3379" s="11" t="b">
        <f t="shared" si="175"/>
        <v>0</v>
      </c>
      <c r="M3379" s="17" t="str">
        <f t="shared" si="173"/>
        <v/>
      </c>
      <c r="N3379" s="11" t="str">
        <f t="shared" si="174"/>
        <v/>
      </c>
    </row>
    <row r="3380" spans="9:14" x14ac:dyDescent="0.25">
      <c r="I3380" s="11" t="b">
        <f t="shared" si="175"/>
        <v>0</v>
      </c>
      <c r="M3380" s="17" t="str">
        <f t="shared" si="173"/>
        <v/>
      </c>
      <c r="N3380" s="11" t="str">
        <f t="shared" si="174"/>
        <v/>
      </c>
    </row>
    <row r="3381" spans="9:14" x14ac:dyDescent="0.25">
      <c r="I3381" s="11" t="b">
        <f t="shared" si="175"/>
        <v>0</v>
      </c>
      <c r="M3381" s="17" t="str">
        <f t="shared" si="173"/>
        <v/>
      </c>
      <c r="N3381" s="11" t="str">
        <f t="shared" si="174"/>
        <v/>
      </c>
    </row>
    <row r="3382" spans="9:14" x14ac:dyDescent="0.25">
      <c r="I3382" s="11" t="b">
        <f t="shared" si="175"/>
        <v>0</v>
      </c>
      <c r="M3382" s="17" t="str">
        <f t="shared" si="173"/>
        <v/>
      </c>
      <c r="N3382" s="11" t="str">
        <f t="shared" si="174"/>
        <v/>
      </c>
    </row>
    <row r="3383" spans="9:14" x14ac:dyDescent="0.25">
      <c r="I3383" s="11" t="b">
        <f t="shared" si="175"/>
        <v>0</v>
      </c>
      <c r="M3383" s="17" t="str">
        <f t="shared" si="173"/>
        <v/>
      </c>
      <c r="N3383" s="11" t="str">
        <f t="shared" si="174"/>
        <v/>
      </c>
    </row>
    <row r="3384" spans="9:14" x14ac:dyDescent="0.25">
      <c r="I3384" s="11" t="b">
        <f t="shared" si="175"/>
        <v>0</v>
      </c>
      <c r="M3384" s="17" t="str">
        <f t="shared" si="173"/>
        <v/>
      </c>
      <c r="N3384" s="11" t="str">
        <f t="shared" si="174"/>
        <v/>
      </c>
    </row>
    <row r="3385" spans="9:14" x14ac:dyDescent="0.25">
      <c r="I3385" s="11" t="b">
        <f t="shared" si="175"/>
        <v>0</v>
      </c>
      <c r="M3385" s="17" t="str">
        <f t="shared" si="173"/>
        <v/>
      </c>
      <c r="N3385" s="11" t="str">
        <f t="shared" si="174"/>
        <v/>
      </c>
    </row>
    <row r="3386" spans="9:14" x14ac:dyDescent="0.25">
      <c r="I3386" s="11" t="b">
        <f t="shared" si="175"/>
        <v>0</v>
      </c>
      <c r="M3386" s="17" t="str">
        <f t="shared" si="173"/>
        <v/>
      </c>
      <c r="N3386" s="11" t="str">
        <f t="shared" si="174"/>
        <v/>
      </c>
    </row>
    <row r="3387" spans="9:14" x14ac:dyDescent="0.25">
      <c r="I3387" s="11" t="b">
        <f t="shared" si="175"/>
        <v>0</v>
      </c>
      <c r="M3387" s="17" t="str">
        <f t="shared" si="173"/>
        <v/>
      </c>
      <c r="N3387" s="11" t="str">
        <f t="shared" si="174"/>
        <v/>
      </c>
    </row>
    <row r="3388" spans="9:14" x14ac:dyDescent="0.25">
      <c r="I3388" s="11" t="b">
        <f t="shared" si="175"/>
        <v>0</v>
      </c>
      <c r="M3388" s="17" t="str">
        <f t="shared" si="173"/>
        <v/>
      </c>
      <c r="N3388" s="11" t="str">
        <f t="shared" si="174"/>
        <v/>
      </c>
    </row>
    <row r="3389" spans="9:14" x14ac:dyDescent="0.25">
      <c r="I3389" s="11" t="b">
        <f t="shared" si="175"/>
        <v>0</v>
      </c>
      <c r="M3389" s="17" t="str">
        <f t="shared" si="173"/>
        <v/>
      </c>
      <c r="N3389" s="11" t="str">
        <f t="shared" si="174"/>
        <v/>
      </c>
    </row>
    <row r="3390" spans="9:14" x14ac:dyDescent="0.25">
      <c r="I3390" s="11" t="b">
        <f t="shared" si="175"/>
        <v>0</v>
      </c>
      <c r="M3390" s="17" t="str">
        <f t="shared" si="173"/>
        <v/>
      </c>
      <c r="N3390" s="11" t="str">
        <f t="shared" si="174"/>
        <v/>
      </c>
    </row>
    <row r="3391" spans="9:14" x14ac:dyDescent="0.25">
      <c r="I3391" s="11" t="b">
        <f t="shared" si="175"/>
        <v>0</v>
      </c>
      <c r="M3391" s="17" t="str">
        <f t="shared" si="173"/>
        <v/>
      </c>
      <c r="N3391" s="11" t="str">
        <f t="shared" si="174"/>
        <v/>
      </c>
    </row>
    <row r="3392" spans="9:14" x14ac:dyDescent="0.25">
      <c r="I3392" s="11" t="b">
        <f t="shared" si="175"/>
        <v>0</v>
      </c>
      <c r="M3392" s="17" t="str">
        <f t="shared" si="173"/>
        <v/>
      </c>
      <c r="N3392" s="11" t="str">
        <f t="shared" si="174"/>
        <v/>
      </c>
    </row>
    <row r="3393" spans="9:14" x14ac:dyDescent="0.25">
      <c r="I3393" s="11" t="b">
        <f t="shared" si="175"/>
        <v>0</v>
      </c>
      <c r="M3393" s="17" t="str">
        <f t="shared" ref="M3393:M3456" si="176">IF(B3393=0, "",M3392+ J3393-K3393)</f>
        <v/>
      </c>
      <c r="N3393" s="11" t="str">
        <f t="shared" ref="N3393:N3456" si="177">IF(B3393=0, "", MONTH(B3393))</f>
        <v/>
      </c>
    </row>
    <row r="3394" spans="9:14" x14ac:dyDescent="0.25">
      <c r="I3394" s="11" t="b">
        <f t="shared" si="175"/>
        <v>0</v>
      </c>
      <c r="M3394" s="17" t="str">
        <f t="shared" si="176"/>
        <v/>
      </c>
      <c r="N3394" s="11" t="str">
        <f t="shared" si="177"/>
        <v/>
      </c>
    </row>
    <row r="3395" spans="9:14" x14ac:dyDescent="0.25">
      <c r="I3395" s="11" t="b">
        <f t="shared" si="175"/>
        <v>0</v>
      </c>
      <c r="M3395" s="17" t="str">
        <f t="shared" si="176"/>
        <v/>
      </c>
      <c r="N3395" s="11" t="str">
        <f t="shared" si="177"/>
        <v/>
      </c>
    </row>
    <row r="3396" spans="9:14" x14ac:dyDescent="0.25">
      <c r="I3396" s="11" t="b">
        <f t="shared" si="175"/>
        <v>0</v>
      </c>
      <c r="M3396" s="17" t="str">
        <f t="shared" si="176"/>
        <v/>
      </c>
      <c r="N3396" s="11" t="str">
        <f t="shared" si="177"/>
        <v/>
      </c>
    </row>
    <row r="3397" spans="9:14" x14ac:dyDescent="0.25">
      <c r="I3397" s="11" t="b">
        <f t="shared" si="175"/>
        <v>0</v>
      </c>
      <c r="M3397" s="17" t="str">
        <f t="shared" si="176"/>
        <v/>
      </c>
      <c r="N3397" s="11" t="str">
        <f t="shared" si="177"/>
        <v/>
      </c>
    </row>
    <row r="3398" spans="9:14" x14ac:dyDescent="0.25">
      <c r="I3398" s="11" t="b">
        <f t="shared" si="175"/>
        <v>0</v>
      </c>
      <c r="M3398" s="17" t="str">
        <f t="shared" si="176"/>
        <v/>
      </c>
      <c r="N3398" s="11" t="str">
        <f t="shared" si="177"/>
        <v/>
      </c>
    </row>
    <row r="3399" spans="9:14" x14ac:dyDescent="0.25">
      <c r="I3399" s="11" t="b">
        <f t="shared" si="175"/>
        <v>0</v>
      </c>
      <c r="M3399" s="17" t="str">
        <f t="shared" si="176"/>
        <v/>
      </c>
      <c r="N3399" s="11" t="str">
        <f t="shared" si="177"/>
        <v/>
      </c>
    </row>
    <row r="3400" spans="9:14" x14ac:dyDescent="0.25">
      <c r="I3400" s="11" t="b">
        <f t="shared" si="175"/>
        <v>0</v>
      </c>
      <c r="M3400" s="17" t="str">
        <f t="shared" si="176"/>
        <v/>
      </c>
      <c r="N3400" s="11" t="str">
        <f t="shared" si="177"/>
        <v/>
      </c>
    </row>
    <row r="3401" spans="9:14" x14ac:dyDescent="0.25">
      <c r="I3401" s="11" t="b">
        <f t="shared" si="175"/>
        <v>0</v>
      </c>
      <c r="M3401" s="17" t="str">
        <f t="shared" si="176"/>
        <v/>
      </c>
      <c r="N3401" s="11" t="str">
        <f t="shared" si="177"/>
        <v/>
      </c>
    </row>
    <row r="3402" spans="9:14" x14ac:dyDescent="0.25">
      <c r="I3402" s="11" t="b">
        <f t="shared" si="175"/>
        <v>0</v>
      </c>
      <c r="M3402" s="17" t="str">
        <f t="shared" si="176"/>
        <v/>
      </c>
      <c r="N3402" s="11" t="str">
        <f t="shared" si="177"/>
        <v/>
      </c>
    </row>
    <row r="3403" spans="9:14" x14ac:dyDescent="0.25">
      <c r="I3403" s="11" t="b">
        <f t="shared" si="175"/>
        <v>0</v>
      </c>
      <c r="M3403" s="17" t="str">
        <f t="shared" si="176"/>
        <v/>
      </c>
      <c r="N3403" s="11" t="str">
        <f t="shared" si="177"/>
        <v/>
      </c>
    </row>
    <row r="3404" spans="9:14" x14ac:dyDescent="0.25">
      <c r="I3404" s="11" t="b">
        <f t="shared" si="175"/>
        <v>0</v>
      </c>
      <c r="M3404" s="17" t="str">
        <f t="shared" si="176"/>
        <v/>
      </c>
      <c r="N3404" s="11" t="str">
        <f t="shared" si="177"/>
        <v/>
      </c>
    </row>
    <row r="3405" spans="9:14" x14ac:dyDescent="0.25">
      <c r="I3405" s="11" t="b">
        <f t="shared" si="175"/>
        <v>0</v>
      </c>
      <c r="M3405" s="17" t="str">
        <f t="shared" si="176"/>
        <v/>
      </c>
      <c r="N3405" s="11" t="str">
        <f t="shared" si="177"/>
        <v/>
      </c>
    </row>
    <row r="3406" spans="9:14" x14ac:dyDescent="0.25">
      <c r="I3406" s="11" t="b">
        <f t="shared" si="175"/>
        <v>0</v>
      </c>
      <c r="M3406" s="17" t="str">
        <f t="shared" si="176"/>
        <v/>
      </c>
      <c r="N3406" s="11" t="str">
        <f t="shared" si="177"/>
        <v/>
      </c>
    </row>
    <row r="3407" spans="9:14" x14ac:dyDescent="0.25">
      <c r="I3407" s="11" t="b">
        <f t="shared" si="175"/>
        <v>0</v>
      </c>
      <c r="M3407" s="17" t="str">
        <f t="shared" si="176"/>
        <v/>
      </c>
      <c r="N3407" s="11" t="str">
        <f t="shared" si="177"/>
        <v/>
      </c>
    </row>
    <row r="3408" spans="9:14" x14ac:dyDescent="0.25">
      <c r="I3408" s="11" t="b">
        <f t="shared" si="175"/>
        <v>0</v>
      </c>
      <c r="M3408" s="17" t="str">
        <f t="shared" si="176"/>
        <v/>
      </c>
      <c r="N3408" s="11" t="str">
        <f t="shared" si="177"/>
        <v/>
      </c>
    </row>
    <row r="3409" spans="9:14" x14ac:dyDescent="0.25">
      <c r="I3409" s="11" t="b">
        <f t="shared" si="175"/>
        <v>0</v>
      </c>
      <c r="M3409" s="17" t="str">
        <f t="shared" si="176"/>
        <v/>
      </c>
      <c r="N3409" s="11" t="str">
        <f t="shared" si="177"/>
        <v/>
      </c>
    </row>
    <row r="3410" spans="9:14" x14ac:dyDescent="0.25">
      <c r="I3410" s="11" t="b">
        <f t="shared" si="175"/>
        <v>0</v>
      </c>
      <c r="M3410" s="17" t="str">
        <f t="shared" si="176"/>
        <v/>
      </c>
      <c r="N3410" s="11" t="str">
        <f t="shared" si="177"/>
        <v/>
      </c>
    </row>
    <row r="3411" spans="9:14" x14ac:dyDescent="0.25">
      <c r="I3411" s="11" t="b">
        <f t="shared" si="175"/>
        <v>0</v>
      </c>
      <c r="M3411" s="17" t="str">
        <f t="shared" si="176"/>
        <v/>
      </c>
      <c r="N3411" s="11" t="str">
        <f t="shared" si="177"/>
        <v/>
      </c>
    </row>
    <row r="3412" spans="9:14" x14ac:dyDescent="0.25">
      <c r="I3412" s="11" t="b">
        <f t="shared" si="175"/>
        <v>0</v>
      </c>
      <c r="M3412" s="17" t="str">
        <f t="shared" si="176"/>
        <v/>
      </c>
      <c r="N3412" s="11" t="str">
        <f t="shared" si="177"/>
        <v/>
      </c>
    </row>
    <row r="3413" spans="9:14" x14ac:dyDescent="0.25">
      <c r="I3413" s="11" t="b">
        <f t="shared" si="175"/>
        <v>0</v>
      </c>
      <c r="M3413" s="17" t="str">
        <f t="shared" si="176"/>
        <v/>
      </c>
      <c r="N3413" s="11" t="str">
        <f t="shared" si="177"/>
        <v/>
      </c>
    </row>
    <row r="3414" spans="9:14" x14ac:dyDescent="0.25">
      <c r="I3414" s="11" t="b">
        <f t="shared" si="175"/>
        <v>0</v>
      </c>
      <c r="M3414" s="17" t="str">
        <f t="shared" si="176"/>
        <v/>
      </c>
      <c r="N3414" s="11" t="str">
        <f t="shared" si="177"/>
        <v/>
      </c>
    </row>
    <row r="3415" spans="9:14" x14ac:dyDescent="0.25">
      <c r="I3415" s="11" t="b">
        <f t="shared" si="175"/>
        <v>0</v>
      </c>
      <c r="M3415" s="17" t="str">
        <f t="shared" si="176"/>
        <v/>
      </c>
      <c r="N3415" s="11" t="str">
        <f t="shared" si="177"/>
        <v/>
      </c>
    </row>
    <row r="3416" spans="9:14" x14ac:dyDescent="0.25">
      <c r="I3416" s="11" t="b">
        <f t="shared" si="175"/>
        <v>0</v>
      </c>
      <c r="M3416" s="17" t="str">
        <f t="shared" si="176"/>
        <v/>
      </c>
      <c r="N3416" s="11" t="str">
        <f t="shared" si="177"/>
        <v/>
      </c>
    </row>
    <row r="3417" spans="9:14" x14ac:dyDescent="0.25">
      <c r="I3417" s="11" t="b">
        <f t="shared" si="175"/>
        <v>0</v>
      </c>
      <c r="M3417" s="17" t="str">
        <f t="shared" si="176"/>
        <v/>
      </c>
      <c r="N3417" s="11" t="str">
        <f t="shared" si="177"/>
        <v/>
      </c>
    </row>
    <row r="3418" spans="9:14" x14ac:dyDescent="0.25">
      <c r="I3418" s="11" t="b">
        <f t="shared" si="175"/>
        <v>0</v>
      </c>
      <c r="M3418" s="17" t="str">
        <f t="shared" si="176"/>
        <v/>
      </c>
      <c r="N3418" s="11" t="str">
        <f t="shared" si="177"/>
        <v/>
      </c>
    </row>
    <row r="3419" spans="9:14" x14ac:dyDescent="0.25">
      <c r="I3419" s="11" t="b">
        <f t="shared" si="175"/>
        <v>0</v>
      </c>
      <c r="M3419" s="17" t="str">
        <f t="shared" si="176"/>
        <v/>
      </c>
      <c r="N3419" s="11" t="str">
        <f t="shared" si="177"/>
        <v/>
      </c>
    </row>
    <row r="3420" spans="9:14" x14ac:dyDescent="0.25">
      <c r="I3420" s="11" t="b">
        <f t="shared" si="175"/>
        <v>0</v>
      </c>
      <c r="M3420" s="17" t="str">
        <f t="shared" si="176"/>
        <v/>
      </c>
      <c r="N3420" s="11" t="str">
        <f t="shared" si="177"/>
        <v/>
      </c>
    </row>
    <row r="3421" spans="9:14" x14ac:dyDescent="0.25">
      <c r="I3421" s="11" t="b">
        <f t="shared" ref="I3421:I3484" si="178">IF(AND(G3421="MERCADO PAGO",A3421="FATURAMENTO"),1,IF(AND(OR(G3421="MERCADO PAGO",G3421="pix mercado pago",G3421= "débito automático mercado pago", G3421= "boleto mercado pago"),A3421="DESPESAS"),4,IF(AND(G3421="SAFRA",A3421="FATURAMENTO"),2,IF(AND(OR(G3421="SAFRA",G3421="PIX SAFRA", G3421="DÉBITO AUTOMÁTICO SAFRA", G3421= "BOLETO SAFRA", G3421= "transferência safra"), A3421="DESPESAS"),5,IF(AND(G3421="espécie",A3421="FATURAMENTO"),3,IF(AND(G3421="espécie",A3421="DESPESAS"),6))))))</f>
        <v>0</v>
      </c>
      <c r="M3421" s="17" t="str">
        <f t="shared" si="176"/>
        <v/>
      </c>
      <c r="N3421" s="11" t="str">
        <f t="shared" si="177"/>
        <v/>
      </c>
    </row>
    <row r="3422" spans="9:14" x14ac:dyDescent="0.25">
      <c r="I3422" s="11" t="b">
        <f t="shared" si="178"/>
        <v>0</v>
      </c>
      <c r="M3422" s="17" t="str">
        <f t="shared" si="176"/>
        <v/>
      </c>
      <c r="N3422" s="11" t="str">
        <f t="shared" si="177"/>
        <v/>
      </c>
    </row>
    <row r="3423" spans="9:14" x14ac:dyDescent="0.25">
      <c r="I3423" s="11" t="b">
        <f t="shared" si="178"/>
        <v>0</v>
      </c>
      <c r="M3423" s="17" t="str">
        <f t="shared" si="176"/>
        <v/>
      </c>
      <c r="N3423" s="11" t="str">
        <f t="shared" si="177"/>
        <v/>
      </c>
    </row>
    <row r="3424" spans="9:14" x14ac:dyDescent="0.25">
      <c r="I3424" s="11" t="b">
        <f t="shared" si="178"/>
        <v>0</v>
      </c>
      <c r="M3424" s="17" t="str">
        <f t="shared" si="176"/>
        <v/>
      </c>
      <c r="N3424" s="11" t="str">
        <f t="shared" si="177"/>
        <v/>
      </c>
    </row>
    <row r="3425" spans="9:14" x14ac:dyDescent="0.25">
      <c r="I3425" s="11" t="b">
        <f t="shared" si="178"/>
        <v>0</v>
      </c>
      <c r="M3425" s="17" t="str">
        <f t="shared" si="176"/>
        <v/>
      </c>
      <c r="N3425" s="11" t="str">
        <f t="shared" si="177"/>
        <v/>
      </c>
    </row>
    <row r="3426" spans="9:14" x14ac:dyDescent="0.25">
      <c r="I3426" s="11" t="b">
        <f t="shared" si="178"/>
        <v>0</v>
      </c>
      <c r="M3426" s="17" t="str">
        <f t="shared" si="176"/>
        <v/>
      </c>
      <c r="N3426" s="11" t="str">
        <f t="shared" si="177"/>
        <v/>
      </c>
    </row>
    <row r="3427" spans="9:14" x14ac:dyDescent="0.25">
      <c r="I3427" s="11" t="b">
        <f t="shared" si="178"/>
        <v>0</v>
      </c>
      <c r="M3427" s="17" t="str">
        <f t="shared" si="176"/>
        <v/>
      </c>
      <c r="N3427" s="11" t="str">
        <f t="shared" si="177"/>
        <v/>
      </c>
    </row>
    <row r="3428" spans="9:14" x14ac:dyDescent="0.25">
      <c r="I3428" s="11" t="b">
        <f t="shared" si="178"/>
        <v>0</v>
      </c>
      <c r="M3428" s="17" t="str">
        <f t="shared" si="176"/>
        <v/>
      </c>
      <c r="N3428" s="11" t="str">
        <f t="shared" si="177"/>
        <v/>
      </c>
    </row>
    <row r="3429" spans="9:14" x14ac:dyDescent="0.25">
      <c r="I3429" s="11" t="b">
        <f t="shared" si="178"/>
        <v>0</v>
      </c>
      <c r="M3429" s="17" t="str">
        <f t="shared" si="176"/>
        <v/>
      </c>
      <c r="N3429" s="11" t="str">
        <f t="shared" si="177"/>
        <v/>
      </c>
    </row>
    <row r="3430" spans="9:14" x14ac:dyDescent="0.25">
      <c r="I3430" s="11" t="b">
        <f t="shared" si="178"/>
        <v>0</v>
      </c>
      <c r="M3430" s="17" t="str">
        <f t="shared" si="176"/>
        <v/>
      </c>
      <c r="N3430" s="11" t="str">
        <f t="shared" si="177"/>
        <v/>
      </c>
    </row>
    <row r="3431" spans="9:14" x14ac:dyDescent="0.25">
      <c r="I3431" s="11" t="b">
        <f t="shared" si="178"/>
        <v>0</v>
      </c>
      <c r="M3431" s="17" t="str">
        <f t="shared" si="176"/>
        <v/>
      </c>
      <c r="N3431" s="11" t="str">
        <f t="shared" si="177"/>
        <v/>
      </c>
    </row>
    <row r="3432" spans="9:14" x14ac:dyDescent="0.25">
      <c r="I3432" s="11" t="b">
        <f t="shared" si="178"/>
        <v>0</v>
      </c>
      <c r="M3432" s="17" t="str">
        <f t="shared" si="176"/>
        <v/>
      </c>
      <c r="N3432" s="11" t="str">
        <f t="shared" si="177"/>
        <v/>
      </c>
    </row>
    <row r="3433" spans="9:14" x14ac:dyDescent="0.25">
      <c r="I3433" s="11" t="b">
        <f t="shared" si="178"/>
        <v>0</v>
      </c>
      <c r="M3433" s="17" t="str">
        <f t="shared" si="176"/>
        <v/>
      </c>
      <c r="N3433" s="11" t="str">
        <f t="shared" si="177"/>
        <v/>
      </c>
    </row>
    <row r="3434" spans="9:14" x14ac:dyDescent="0.25">
      <c r="I3434" s="11" t="b">
        <f t="shared" si="178"/>
        <v>0</v>
      </c>
      <c r="M3434" s="17" t="str">
        <f t="shared" si="176"/>
        <v/>
      </c>
      <c r="N3434" s="11" t="str">
        <f t="shared" si="177"/>
        <v/>
      </c>
    </row>
    <row r="3435" spans="9:14" x14ac:dyDescent="0.25">
      <c r="I3435" s="11" t="b">
        <f t="shared" si="178"/>
        <v>0</v>
      </c>
      <c r="M3435" s="17" t="str">
        <f t="shared" si="176"/>
        <v/>
      </c>
      <c r="N3435" s="11" t="str">
        <f t="shared" si="177"/>
        <v/>
      </c>
    </row>
    <row r="3436" spans="9:14" x14ac:dyDescent="0.25">
      <c r="I3436" s="11" t="b">
        <f t="shared" si="178"/>
        <v>0</v>
      </c>
      <c r="M3436" s="17" t="str">
        <f t="shared" si="176"/>
        <v/>
      </c>
      <c r="N3436" s="11" t="str">
        <f t="shared" si="177"/>
        <v/>
      </c>
    </row>
    <row r="3437" spans="9:14" x14ac:dyDescent="0.25">
      <c r="I3437" s="11" t="b">
        <f t="shared" si="178"/>
        <v>0</v>
      </c>
      <c r="M3437" s="17" t="str">
        <f t="shared" si="176"/>
        <v/>
      </c>
      <c r="N3437" s="11" t="str">
        <f t="shared" si="177"/>
        <v/>
      </c>
    </row>
    <row r="3438" spans="9:14" x14ac:dyDescent="0.25">
      <c r="I3438" s="11" t="b">
        <f t="shared" si="178"/>
        <v>0</v>
      </c>
      <c r="M3438" s="17" t="str">
        <f t="shared" si="176"/>
        <v/>
      </c>
      <c r="N3438" s="11" t="str">
        <f t="shared" si="177"/>
        <v/>
      </c>
    </row>
    <row r="3439" spans="9:14" x14ac:dyDescent="0.25">
      <c r="I3439" s="11" t="b">
        <f t="shared" si="178"/>
        <v>0</v>
      </c>
      <c r="M3439" s="17" t="str">
        <f t="shared" si="176"/>
        <v/>
      </c>
      <c r="N3439" s="11" t="str">
        <f t="shared" si="177"/>
        <v/>
      </c>
    </row>
    <row r="3440" spans="9:14" x14ac:dyDescent="0.25">
      <c r="I3440" s="11" t="b">
        <f t="shared" si="178"/>
        <v>0</v>
      </c>
      <c r="M3440" s="17" t="str">
        <f t="shared" si="176"/>
        <v/>
      </c>
      <c r="N3440" s="11" t="str">
        <f t="shared" si="177"/>
        <v/>
      </c>
    </row>
    <row r="3441" spans="9:14" x14ac:dyDescent="0.25">
      <c r="I3441" s="11" t="b">
        <f t="shared" si="178"/>
        <v>0</v>
      </c>
      <c r="M3441" s="17" t="str">
        <f t="shared" si="176"/>
        <v/>
      </c>
      <c r="N3441" s="11" t="str">
        <f t="shared" si="177"/>
        <v/>
      </c>
    </row>
    <row r="3442" spans="9:14" x14ac:dyDescent="0.25">
      <c r="I3442" s="11" t="b">
        <f t="shared" si="178"/>
        <v>0</v>
      </c>
      <c r="M3442" s="17" t="str">
        <f t="shared" si="176"/>
        <v/>
      </c>
      <c r="N3442" s="11" t="str">
        <f t="shared" si="177"/>
        <v/>
      </c>
    </row>
    <row r="3443" spans="9:14" x14ac:dyDescent="0.25">
      <c r="I3443" s="11" t="b">
        <f t="shared" si="178"/>
        <v>0</v>
      </c>
      <c r="M3443" s="17" t="str">
        <f t="shared" si="176"/>
        <v/>
      </c>
      <c r="N3443" s="11" t="str">
        <f t="shared" si="177"/>
        <v/>
      </c>
    </row>
    <row r="3444" spans="9:14" x14ac:dyDescent="0.25">
      <c r="I3444" s="11" t="b">
        <f t="shared" si="178"/>
        <v>0</v>
      </c>
      <c r="M3444" s="17" t="str">
        <f t="shared" si="176"/>
        <v/>
      </c>
      <c r="N3444" s="11" t="str">
        <f t="shared" si="177"/>
        <v/>
      </c>
    </row>
    <row r="3445" spans="9:14" x14ac:dyDescent="0.25">
      <c r="I3445" s="11" t="b">
        <f t="shared" si="178"/>
        <v>0</v>
      </c>
      <c r="M3445" s="17" t="str">
        <f t="shared" si="176"/>
        <v/>
      </c>
      <c r="N3445" s="11" t="str">
        <f t="shared" si="177"/>
        <v/>
      </c>
    </row>
    <row r="3446" spans="9:14" x14ac:dyDescent="0.25">
      <c r="I3446" s="11" t="b">
        <f t="shared" si="178"/>
        <v>0</v>
      </c>
      <c r="M3446" s="17" t="str">
        <f t="shared" si="176"/>
        <v/>
      </c>
      <c r="N3446" s="11" t="str">
        <f t="shared" si="177"/>
        <v/>
      </c>
    </row>
    <row r="3447" spans="9:14" x14ac:dyDescent="0.25">
      <c r="I3447" s="11" t="b">
        <f t="shared" si="178"/>
        <v>0</v>
      </c>
      <c r="M3447" s="17" t="str">
        <f t="shared" si="176"/>
        <v/>
      </c>
      <c r="N3447" s="11" t="str">
        <f t="shared" si="177"/>
        <v/>
      </c>
    </row>
    <row r="3448" spans="9:14" x14ac:dyDescent="0.25">
      <c r="I3448" s="11" t="b">
        <f t="shared" si="178"/>
        <v>0</v>
      </c>
      <c r="M3448" s="17" t="str">
        <f t="shared" si="176"/>
        <v/>
      </c>
      <c r="N3448" s="11" t="str">
        <f t="shared" si="177"/>
        <v/>
      </c>
    </row>
    <row r="3449" spans="9:14" x14ac:dyDescent="0.25">
      <c r="I3449" s="11" t="b">
        <f t="shared" si="178"/>
        <v>0</v>
      </c>
      <c r="M3449" s="17" t="str">
        <f t="shared" si="176"/>
        <v/>
      </c>
      <c r="N3449" s="11" t="str">
        <f t="shared" si="177"/>
        <v/>
      </c>
    </row>
    <row r="3450" spans="9:14" x14ac:dyDescent="0.25">
      <c r="I3450" s="11" t="b">
        <f t="shared" si="178"/>
        <v>0</v>
      </c>
      <c r="M3450" s="17" t="str">
        <f t="shared" si="176"/>
        <v/>
      </c>
      <c r="N3450" s="11" t="str">
        <f t="shared" si="177"/>
        <v/>
      </c>
    </row>
    <row r="3451" spans="9:14" x14ac:dyDescent="0.25">
      <c r="I3451" s="11" t="b">
        <f t="shared" si="178"/>
        <v>0</v>
      </c>
      <c r="M3451" s="17" t="str">
        <f t="shared" si="176"/>
        <v/>
      </c>
      <c r="N3451" s="11" t="str">
        <f t="shared" si="177"/>
        <v/>
      </c>
    </row>
    <row r="3452" spans="9:14" x14ac:dyDescent="0.25">
      <c r="I3452" s="11" t="b">
        <f t="shared" si="178"/>
        <v>0</v>
      </c>
      <c r="M3452" s="17" t="str">
        <f t="shared" si="176"/>
        <v/>
      </c>
      <c r="N3452" s="11" t="str">
        <f t="shared" si="177"/>
        <v/>
      </c>
    </row>
    <row r="3453" spans="9:14" x14ac:dyDescent="0.25">
      <c r="I3453" s="11" t="b">
        <f t="shared" si="178"/>
        <v>0</v>
      </c>
      <c r="M3453" s="17" t="str">
        <f t="shared" si="176"/>
        <v/>
      </c>
      <c r="N3453" s="11" t="str">
        <f t="shared" si="177"/>
        <v/>
      </c>
    </row>
    <row r="3454" spans="9:14" x14ac:dyDescent="0.25">
      <c r="I3454" s="11" t="b">
        <f t="shared" si="178"/>
        <v>0</v>
      </c>
      <c r="M3454" s="17" t="str">
        <f t="shared" si="176"/>
        <v/>
      </c>
      <c r="N3454" s="11" t="str">
        <f t="shared" si="177"/>
        <v/>
      </c>
    </row>
    <row r="3455" spans="9:14" x14ac:dyDescent="0.25">
      <c r="I3455" s="11" t="b">
        <f t="shared" si="178"/>
        <v>0</v>
      </c>
      <c r="M3455" s="17" t="str">
        <f t="shared" si="176"/>
        <v/>
      </c>
      <c r="N3455" s="11" t="str">
        <f t="shared" si="177"/>
        <v/>
      </c>
    </row>
    <row r="3456" spans="9:14" x14ac:dyDescent="0.25">
      <c r="I3456" s="11" t="b">
        <f t="shared" si="178"/>
        <v>0</v>
      </c>
      <c r="M3456" s="17" t="str">
        <f t="shared" si="176"/>
        <v/>
      </c>
      <c r="N3456" s="11" t="str">
        <f t="shared" si="177"/>
        <v/>
      </c>
    </row>
    <row r="3457" spans="9:14" x14ac:dyDescent="0.25">
      <c r="I3457" s="11" t="b">
        <f t="shared" si="178"/>
        <v>0</v>
      </c>
      <c r="M3457" s="17" t="str">
        <f t="shared" ref="M3457:M3520" si="179">IF(B3457=0, "",M3456+ J3457-K3457)</f>
        <v/>
      </c>
      <c r="N3457" s="11" t="str">
        <f t="shared" ref="N3457:N3520" si="180">IF(B3457=0, "", MONTH(B3457))</f>
        <v/>
      </c>
    </row>
    <row r="3458" spans="9:14" x14ac:dyDescent="0.25">
      <c r="I3458" s="11" t="b">
        <f t="shared" si="178"/>
        <v>0</v>
      </c>
      <c r="M3458" s="17" t="str">
        <f t="shared" si="179"/>
        <v/>
      </c>
      <c r="N3458" s="11" t="str">
        <f t="shared" si="180"/>
        <v/>
      </c>
    </row>
    <row r="3459" spans="9:14" x14ac:dyDescent="0.25">
      <c r="I3459" s="11" t="b">
        <f t="shared" si="178"/>
        <v>0</v>
      </c>
      <c r="M3459" s="17" t="str">
        <f t="shared" si="179"/>
        <v/>
      </c>
      <c r="N3459" s="11" t="str">
        <f t="shared" si="180"/>
        <v/>
      </c>
    </row>
    <row r="3460" spans="9:14" x14ac:dyDescent="0.25">
      <c r="I3460" s="11" t="b">
        <f t="shared" si="178"/>
        <v>0</v>
      </c>
      <c r="M3460" s="17" t="str">
        <f t="shared" si="179"/>
        <v/>
      </c>
      <c r="N3460" s="11" t="str">
        <f t="shared" si="180"/>
        <v/>
      </c>
    </row>
    <row r="3461" spans="9:14" x14ac:dyDescent="0.25">
      <c r="I3461" s="11" t="b">
        <f t="shared" si="178"/>
        <v>0</v>
      </c>
      <c r="M3461" s="17" t="str">
        <f t="shared" si="179"/>
        <v/>
      </c>
      <c r="N3461" s="11" t="str">
        <f t="shared" si="180"/>
        <v/>
      </c>
    </row>
    <row r="3462" spans="9:14" x14ac:dyDescent="0.25">
      <c r="I3462" s="11" t="b">
        <f t="shared" si="178"/>
        <v>0</v>
      </c>
      <c r="M3462" s="17" t="str">
        <f t="shared" si="179"/>
        <v/>
      </c>
      <c r="N3462" s="11" t="str">
        <f t="shared" si="180"/>
        <v/>
      </c>
    </row>
    <row r="3463" spans="9:14" x14ac:dyDescent="0.25">
      <c r="I3463" s="11" t="b">
        <f t="shared" si="178"/>
        <v>0</v>
      </c>
      <c r="M3463" s="17" t="str">
        <f t="shared" si="179"/>
        <v/>
      </c>
      <c r="N3463" s="11" t="str">
        <f t="shared" si="180"/>
        <v/>
      </c>
    </row>
    <row r="3464" spans="9:14" x14ac:dyDescent="0.25">
      <c r="I3464" s="11" t="b">
        <f t="shared" si="178"/>
        <v>0</v>
      </c>
      <c r="M3464" s="17" t="str">
        <f t="shared" si="179"/>
        <v/>
      </c>
      <c r="N3464" s="11" t="str">
        <f t="shared" si="180"/>
        <v/>
      </c>
    </row>
    <row r="3465" spans="9:14" x14ac:dyDescent="0.25">
      <c r="I3465" s="11" t="b">
        <f t="shared" si="178"/>
        <v>0</v>
      </c>
      <c r="M3465" s="17" t="str">
        <f t="shared" si="179"/>
        <v/>
      </c>
      <c r="N3465" s="11" t="str">
        <f t="shared" si="180"/>
        <v/>
      </c>
    </row>
    <row r="3466" spans="9:14" x14ac:dyDescent="0.25">
      <c r="I3466" s="11" t="b">
        <f t="shared" si="178"/>
        <v>0</v>
      </c>
      <c r="M3466" s="17" t="str">
        <f t="shared" si="179"/>
        <v/>
      </c>
      <c r="N3466" s="11" t="str">
        <f t="shared" si="180"/>
        <v/>
      </c>
    </row>
    <row r="3467" spans="9:14" x14ac:dyDescent="0.25">
      <c r="I3467" s="11" t="b">
        <f t="shared" si="178"/>
        <v>0</v>
      </c>
      <c r="M3467" s="17" t="str">
        <f t="shared" si="179"/>
        <v/>
      </c>
      <c r="N3467" s="11" t="str">
        <f t="shared" si="180"/>
        <v/>
      </c>
    </row>
    <row r="3468" spans="9:14" x14ac:dyDescent="0.25">
      <c r="I3468" s="11" t="b">
        <f t="shared" si="178"/>
        <v>0</v>
      </c>
      <c r="M3468" s="17" t="str">
        <f t="shared" si="179"/>
        <v/>
      </c>
      <c r="N3468" s="11" t="str">
        <f t="shared" si="180"/>
        <v/>
      </c>
    </row>
    <row r="3469" spans="9:14" x14ac:dyDescent="0.25">
      <c r="I3469" s="11" t="b">
        <f t="shared" si="178"/>
        <v>0</v>
      </c>
      <c r="M3469" s="17" t="str">
        <f t="shared" si="179"/>
        <v/>
      </c>
      <c r="N3469" s="11" t="str">
        <f t="shared" si="180"/>
        <v/>
      </c>
    </row>
    <row r="3470" spans="9:14" x14ac:dyDescent="0.25">
      <c r="I3470" s="11" t="b">
        <f t="shared" si="178"/>
        <v>0</v>
      </c>
      <c r="M3470" s="17" t="str">
        <f t="shared" si="179"/>
        <v/>
      </c>
      <c r="N3470" s="11" t="str">
        <f t="shared" si="180"/>
        <v/>
      </c>
    </row>
    <row r="3471" spans="9:14" x14ac:dyDescent="0.25">
      <c r="I3471" s="11" t="b">
        <f t="shared" si="178"/>
        <v>0</v>
      </c>
      <c r="M3471" s="17" t="str">
        <f t="shared" si="179"/>
        <v/>
      </c>
      <c r="N3471" s="11" t="str">
        <f t="shared" si="180"/>
        <v/>
      </c>
    </row>
    <row r="3472" spans="9:14" x14ac:dyDescent="0.25">
      <c r="I3472" s="11" t="b">
        <f t="shared" si="178"/>
        <v>0</v>
      </c>
      <c r="M3472" s="17" t="str">
        <f t="shared" si="179"/>
        <v/>
      </c>
      <c r="N3472" s="11" t="str">
        <f t="shared" si="180"/>
        <v/>
      </c>
    </row>
    <row r="3473" spans="9:14" x14ac:dyDescent="0.25">
      <c r="I3473" s="11" t="b">
        <f t="shared" si="178"/>
        <v>0</v>
      </c>
      <c r="M3473" s="17" t="str">
        <f t="shared" si="179"/>
        <v/>
      </c>
      <c r="N3473" s="11" t="str">
        <f t="shared" si="180"/>
        <v/>
      </c>
    </row>
    <row r="3474" spans="9:14" x14ac:dyDescent="0.25">
      <c r="I3474" s="11" t="b">
        <f t="shared" si="178"/>
        <v>0</v>
      </c>
      <c r="M3474" s="17" t="str">
        <f t="shared" si="179"/>
        <v/>
      </c>
      <c r="N3474" s="11" t="str">
        <f t="shared" si="180"/>
        <v/>
      </c>
    </row>
    <row r="3475" spans="9:14" x14ac:dyDescent="0.25">
      <c r="I3475" s="11" t="b">
        <f t="shared" si="178"/>
        <v>0</v>
      </c>
      <c r="M3475" s="17" t="str">
        <f t="shared" si="179"/>
        <v/>
      </c>
      <c r="N3475" s="11" t="str">
        <f t="shared" si="180"/>
        <v/>
      </c>
    </row>
    <row r="3476" spans="9:14" x14ac:dyDescent="0.25">
      <c r="I3476" s="11" t="b">
        <f t="shared" si="178"/>
        <v>0</v>
      </c>
      <c r="M3476" s="17" t="str">
        <f t="shared" si="179"/>
        <v/>
      </c>
      <c r="N3476" s="11" t="str">
        <f t="shared" si="180"/>
        <v/>
      </c>
    </row>
    <row r="3477" spans="9:14" x14ac:dyDescent="0.25">
      <c r="I3477" s="11" t="b">
        <f t="shared" si="178"/>
        <v>0</v>
      </c>
      <c r="M3477" s="17" t="str">
        <f t="shared" si="179"/>
        <v/>
      </c>
      <c r="N3477" s="11" t="str">
        <f t="shared" si="180"/>
        <v/>
      </c>
    </row>
    <row r="3478" spans="9:14" x14ac:dyDescent="0.25">
      <c r="I3478" s="11" t="b">
        <f t="shared" si="178"/>
        <v>0</v>
      </c>
      <c r="M3478" s="17" t="str">
        <f t="shared" si="179"/>
        <v/>
      </c>
      <c r="N3478" s="11" t="str">
        <f t="shared" si="180"/>
        <v/>
      </c>
    </row>
    <row r="3479" spans="9:14" x14ac:dyDescent="0.25">
      <c r="I3479" s="11" t="b">
        <f t="shared" si="178"/>
        <v>0</v>
      </c>
      <c r="M3479" s="17" t="str">
        <f t="shared" si="179"/>
        <v/>
      </c>
      <c r="N3479" s="11" t="str">
        <f t="shared" si="180"/>
        <v/>
      </c>
    </row>
    <row r="3480" spans="9:14" x14ac:dyDescent="0.25">
      <c r="I3480" s="11" t="b">
        <f t="shared" si="178"/>
        <v>0</v>
      </c>
      <c r="M3480" s="17" t="str">
        <f t="shared" si="179"/>
        <v/>
      </c>
      <c r="N3480" s="11" t="str">
        <f t="shared" si="180"/>
        <v/>
      </c>
    </row>
    <row r="3481" spans="9:14" x14ac:dyDescent="0.25">
      <c r="I3481" s="11" t="b">
        <f t="shared" si="178"/>
        <v>0</v>
      </c>
      <c r="M3481" s="17" t="str">
        <f t="shared" si="179"/>
        <v/>
      </c>
      <c r="N3481" s="11" t="str">
        <f t="shared" si="180"/>
        <v/>
      </c>
    </row>
    <row r="3482" spans="9:14" x14ac:dyDescent="0.25">
      <c r="I3482" s="11" t="b">
        <f t="shared" si="178"/>
        <v>0</v>
      </c>
      <c r="M3482" s="17" t="str">
        <f t="shared" si="179"/>
        <v/>
      </c>
      <c r="N3482" s="11" t="str">
        <f t="shared" si="180"/>
        <v/>
      </c>
    </row>
    <row r="3483" spans="9:14" x14ac:dyDescent="0.25">
      <c r="I3483" s="11" t="b">
        <f t="shared" si="178"/>
        <v>0</v>
      </c>
      <c r="M3483" s="17" t="str">
        <f t="shared" si="179"/>
        <v/>
      </c>
      <c r="N3483" s="11" t="str">
        <f t="shared" si="180"/>
        <v/>
      </c>
    </row>
    <row r="3484" spans="9:14" x14ac:dyDescent="0.25">
      <c r="I3484" s="11" t="b">
        <f t="shared" si="178"/>
        <v>0</v>
      </c>
      <c r="M3484" s="17" t="str">
        <f t="shared" si="179"/>
        <v/>
      </c>
      <c r="N3484" s="11" t="str">
        <f t="shared" si="180"/>
        <v/>
      </c>
    </row>
    <row r="3485" spans="9:14" x14ac:dyDescent="0.25">
      <c r="I3485" s="11" t="b">
        <f t="shared" ref="I3485:I3548" si="181">IF(AND(G3485="MERCADO PAGO",A3485="FATURAMENTO"),1,IF(AND(OR(G3485="MERCADO PAGO",G3485="pix mercado pago",G3485= "débito automático mercado pago", G3485= "boleto mercado pago"),A3485="DESPESAS"),4,IF(AND(G3485="SAFRA",A3485="FATURAMENTO"),2,IF(AND(OR(G3485="SAFRA",G3485="PIX SAFRA", G3485="DÉBITO AUTOMÁTICO SAFRA", G3485= "BOLETO SAFRA", G3485= "transferência safra"), A3485="DESPESAS"),5,IF(AND(G3485="espécie",A3485="FATURAMENTO"),3,IF(AND(G3485="espécie",A3485="DESPESAS"),6))))))</f>
        <v>0</v>
      </c>
      <c r="M3485" s="17" t="str">
        <f t="shared" si="179"/>
        <v/>
      </c>
      <c r="N3485" s="11" t="str">
        <f t="shared" si="180"/>
        <v/>
      </c>
    </row>
    <row r="3486" spans="9:14" x14ac:dyDescent="0.25">
      <c r="I3486" s="11" t="b">
        <f t="shared" si="181"/>
        <v>0</v>
      </c>
      <c r="M3486" s="17" t="str">
        <f t="shared" si="179"/>
        <v/>
      </c>
      <c r="N3486" s="11" t="str">
        <f t="shared" si="180"/>
        <v/>
      </c>
    </row>
    <row r="3487" spans="9:14" x14ac:dyDescent="0.25">
      <c r="I3487" s="11" t="b">
        <f t="shared" si="181"/>
        <v>0</v>
      </c>
      <c r="M3487" s="17" t="str">
        <f t="shared" si="179"/>
        <v/>
      </c>
      <c r="N3487" s="11" t="str">
        <f t="shared" si="180"/>
        <v/>
      </c>
    </row>
    <row r="3488" spans="9:14" x14ac:dyDescent="0.25">
      <c r="I3488" s="11" t="b">
        <f t="shared" si="181"/>
        <v>0</v>
      </c>
      <c r="M3488" s="17" t="str">
        <f t="shared" si="179"/>
        <v/>
      </c>
      <c r="N3488" s="11" t="str">
        <f t="shared" si="180"/>
        <v/>
      </c>
    </row>
    <row r="3489" spans="9:14" x14ac:dyDescent="0.25">
      <c r="I3489" s="11" t="b">
        <f t="shared" si="181"/>
        <v>0</v>
      </c>
      <c r="M3489" s="17" t="str">
        <f t="shared" si="179"/>
        <v/>
      </c>
      <c r="N3489" s="11" t="str">
        <f t="shared" si="180"/>
        <v/>
      </c>
    </row>
    <row r="3490" spans="9:14" x14ac:dyDescent="0.25">
      <c r="I3490" s="11" t="b">
        <f t="shared" si="181"/>
        <v>0</v>
      </c>
      <c r="M3490" s="17" t="str">
        <f t="shared" si="179"/>
        <v/>
      </c>
      <c r="N3490" s="11" t="str">
        <f t="shared" si="180"/>
        <v/>
      </c>
    </row>
    <row r="3491" spans="9:14" x14ac:dyDescent="0.25">
      <c r="I3491" s="11" t="b">
        <f t="shared" si="181"/>
        <v>0</v>
      </c>
      <c r="M3491" s="17" t="str">
        <f t="shared" si="179"/>
        <v/>
      </c>
      <c r="N3491" s="11" t="str">
        <f t="shared" si="180"/>
        <v/>
      </c>
    </row>
    <row r="3492" spans="9:14" x14ac:dyDescent="0.25">
      <c r="I3492" s="11" t="b">
        <f t="shared" si="181"/>
        <v>0</v>
      </c>
      <c r="M3492" s="17" t="str">
        <f t="shared" si="179"/>
        <v/>
      </c>
      <c r="N3492" s="11" t="str">
        <f t="shared" si="180"/>
        <v/>
      </c>
    </row>
    <row r="3493" spans="9:14" x14ac:dyDescent="0.25">
      <c r="I3493" s="11" t="b">
        <f t="shared" si="181"/>
        <v>0</v>
      </c>
      <c r="M3493" s="17" t="str">
        <f t="shared" si="179"/>
        <v/>
      </c>
      <c r="N3493" s="11" t="str">
        <f t="shared" si="180"/>
        <v/>
      </c>
    </row>
    <row r="3494" spans="9:14" x14ac:dyDescent="0.25">
      <c r="I3494" s="11" t="b">
        <f t="shared" si="181"/>
        <v>0</v>
      </c>
      <c r="M3494" s="17" t="str">
        <f t="shared" si="179"/>
        <v/>
      </c>
      <c r="N3494" s="11" t="str">
        <f t="shared" si="180"/>
        <v/>
      </c>
    </row>
    <row r="3495" spans="9:14" x14ac:dyDescent="0.25">
      <c r="I3495" s="11" t="b">
        <f t="shared" si="181"/>
        <v>0</v>
      </c>
      <c r="M3495" s="17" t="str">
        <f t="shared" si="179"/>
        <v/>
      </c>
      <c r="N3495" s="11" t="str">
        <f t="shared" si="180"/>
        <v/>
      </c>
    </row>
    <row r="3496" spans="9:14" x14ac:dyDescent="0.25">
      <c r="I3496" s="11" t="b">
        <f t="shared" si="181"/>
        <v>0</v>
      </c>
      <c r="M3496" s="17" t="str">
        <f t="shared" si="179"/>
        <v/>
      </c>
      <c r="N3496" s="11" t="str">
        <f t="shared" si="180"/>
        <v/>
      </c>
    </row>
    <row r="3497" spans="9:14" x14ac:dyDescent="0.25">
      <c r="I3497" s="11" t="b">
        <f t="shared" si="181"/>
        <v>0</v>
      </c>
      <c r="M3497" s="17" t="str">
        <f t="shared" si="179"/>
        <v/>
      </c>
      <c r="N3497" s="11" t="str">
        <f t="shared" si="180"/>
        <v/>
      </c>
    </row>
    <row r="3498" spans="9:14" x14ac:dyDescent="0.25">
      <c r="I3498" s="11" t="b">
        <f t="shared" si="181"/>
        <v>0</v>
      </c>
      <c r="M3498" s="17" t="str">
        <f t="shared" si="179"/>
        <v/>
      </c>
      <c r="N3498" s="11" t="str">
        <f t="shared" si="180"/>
        <v/>
      </c>
    </row>
    <row r="3499" spans="9:14" x14ac:dyDescent="0.25">
      <c r="I3499" s="11" t="b">
        <f t="shared" si="181"/>
        <v>0</v>
      </c>
      <c r="M3499" s="17" t="str">
        <f t="shared" si="179"/>
        <v/>
      </c>
      <c r="N3499" s="11" t="str">
        <f t="shared" si="180"/>
        <v/>
      </c>
    </row>
    <row r="3500" spans="9:14" x14ac:dyDescent="0.25">
      <c r="I3500" s="11" t="b">
        <f t="shared" si="181"/>
        <v>0</v>
      </c>
      <c r="M3500" s="17" t="str">
        <f t="shared" si="179"/>
        <v/>
      </c>
      <c r="N3500" s="11" t="str">
        <f t="shared" si="180"/>
        <v/>
      </c>
    </row>
    <row r="3501" spans="9:14" x14ac:dyDescent="0.25">
      <c r="I3501" s="11" t="b">
        <f t="shared" si="181"/>
        <v>0</v>
      </c>
      <c r="M3501" s="17" t="str">
        <f t="shared" si="179"/>
        <v/>
      </c>
      <c r="N3501" s="11" t="str">
        <f t="shared" si="180"/>
        <v/>
      </c>
    </row>
    <row r="3502" spans="9:14" x14ac:dyDescent="0.25">
      <c r="I3502" s="11" t="b">
        <f t="shared" si="181"/>
        <v>0</v>
      </c>
      <c r="M3502" s="17" t="str">
        <f t="shared" si="179"/>
        <v/>
      </c>
      <c r="N3502" s="11" t="str">
        <f t="shared" si="180"/>
        <v/>
      </c>
    </row>
    <row r="3503" spans="9:14" x14ac:dyDescent="0.25">
      <c r="I3503" s="11" t="b">
        <f t="shared" si="181"/>
        <v>0</v>
      </c>
      <c r="M3503" s="17" t="str">
        <f t="shared" si="179"/>
        <v/>
      </c>
      <c r="N3503" s="11" t="str">
        <f t="shared" si="180"/>
        <v/>
      </c>
    </row>
    <row r="3504" spans="9:14" x14ac:dyDescent="0.25">
      <c r="I3504" s="11" t="b">
        <f t="shared" si="181"/>
        <v>0</v>
      </c>
      <c r="M3504" s="17" t="str">
        <f t="shared" si="179"/>
        <v/>
      </c>
      <c r="N3504" s="11" t="str">
        <f t="shared" si="180"/>
        <v/>
      </c>
    </row>
    <row r="3505" spans="9:14" x14ac:dyDescent="0.25">
      <c r="I3505" s="11" t="b">
        <f t="shared" si="181"/>
        <v>0</v>
      </c>
      <c r="M3505" s="17" t="str">
        <f t="shared" si="179"/>
        <v/>
      </c>
      <c r="N3505" s="11" t="str">
        <f t="shared" si="180"/>
        <v/>
      </c>
    </row>
    <row r="3506" spans="9:14" x14ac:dyDescent="0.25">
      <c r="I3506" s="11" t="b">
        <f t="shared" si="181"/>
        <v>0</v>
      </c>
      <c r="M3506" s="17" t="str">
        <f t="shared" si="179"/>
        <v/>
      </c>
      <c r="N3506" s="11" t="str">
        <f t="shared" si="180"/>
        <v/>
      </c>
    </row>
    <row r="3507" spans="9:14" x14ac:dyDescent="0.25">
      <c r="I3507" s="11" t="b">
        <f t="shared" si="181"/>
        <v>0</v>
      </c>
      <c r="M3507" s="17" t="str">
        <f t="shared" si="179"/>
        <v/>
      </c>
      <c r="N3507" s="11" t="str">
        <f t="shared" si="180"/>
        <v/>
      </c>
    </row>
    <row r="3508" spans="9:14" x14ac:dyDescent="0.25">
      <c r="I3508" s="11" t="b">
        <f t="shared" si="181"/>
        <v>0</v>
      </c>
      <c r="M3508" s="17" t="str">
        <f t="shared" si="179"/>
        <v/>
      </c>
      <c r="N3508" s="11" t="str">
        <f t="shared" si="180"/>
        <v/>
      </c>
    </row>
    <row r="3509" spans="9:14" x14ac:dyDescent="0.25">
      <c r="I3509" s="11" t="b">
        <f t="shared" si="181"/>
        <v>0</v>
      </c>
      <c r="M3509" s="17" t="str">
        <f t="shared" si="179"/>
        <v/>
      </c>
      <c r="N3509" s="11" t="str">
        <f t="shared" si="180"/>
        <v/>
      </c>
    </row>
    <row r="3510" spans="9:14" x14ac:dyDescent="0.25">
      <c r="I3510" s="11" t="b">
        <f t="shared" si="181"/>
        <v>0</v>
      </c>
      <c r="M3510" s="17" t="str">
        <f t="shared" si="179"/>
        <v/>
      </c>
      <c r="N3510" s="11" t="str">
        <f t="shared" si="180"/>
        <v/>
      </c>
    </row>
    <row r="3511" spans="9:14" x14ac:dyDescent="0.25">
      <c r="I3511" s="11" t="b">
        <f t="shared" si="181"/>
        <v>0</v>
      </c>
      <c r="M3511" s="17" t="str">
        <f t="shared" si="179"/>
        <v/>
      </c>
      <c r="N3511" s="11" t="str">
        <f t="shared" si="180"/>
        <v/>
      </c>
    </row>
    <row r="3512" spans="9:14" x14ac:dyDescent="0.25">
      <c r="I3512" s="11" t="b">
        <f t="shared" si="181"/>
        <v>0</v>
      </c>
      <c r="M3512" s="17" t="str">
        <f t="shared" si="179"/>
        <v/>
      </c>
      <c r="N3512" s="11" t="str">
        <f t="shared" si="180"/>
        <v/>
      </c>
    </row>
    <row r="3513" spans="9:14" x14ac:dyDescent="0.25">
      <c r="I3513" s="11" t="b">
        <f t="shared" si="181"/>
        <v>0</v>
      </c>
      <c r="M3513" s="17" t="str">
        <f t="shared" si="179"/>
        <v/>
      </c>
      <c r="N3513" s="11" t="str">
        <f t="shared" si="180"/>
        <v/>
      </c>
    </row>
    <row r="3514" spans="9:14" x14ac:dyDescent="0.25">
      <c r="I3514" s="11" t="b">
        <f t="shared" si="181"/>
        <v>0</v>
      </c>
      <c r="M3514" s="17" t="str">
        <f t="shared" si="179"/>
        <v/>
      </c>
      <c r="N3514" s="11" t="str">
        <f t="shared" si="180"/>
        <v/>
      </c>
    </row>
    <row r="3515" spans="9:14" x14ac:dyDescent="0.25">
      <c r="I3515" s="11" t="b">
        <f t="shared" si="181"/>
        <v>0</v>
      </c>
      <c r="M3515" s="17" t="str">
        <f t="shared" si="179"/>
        <v/>
      </c>
      <c r="N3515" s="11" t="str">
        <f t="shared" si="180"/>
        <v/>
      </c>
    </row>
    <row r="3516" spans="9:14" x14ac:dyDescent="0.25">
      <c r="I3516" s="11" t="b">
        <f t="shared" si="181"/>
        <v>0</v>
      </c>
      <c r="M3516" s="17" t="str">
        <f t="shared" si="179"/>
        <v/>
      </c>
      <c r="N3516" s="11" t="str">
        <f t="shared" si="180"/>
        <v/>
      </c>
    </row>
    <row r="3517" spans="9:14" x14ac:dyDescent="0.25">
      <c r="I3517" s="11" t="b">
        <f t="shared" si="181"/>
        <v>0</v>
      </c>
      <c r="M3517" s="17" t="str">
        <f t="shared" si="179"/>
        <v/>
      </c>
      <c r="N3517" s="11" t="str">
        <f t="shared" si="180"/>
        <v/>
      </c>
    </row>
    <row r="3518" spans="9:14" x14ac:dyDescent="0.25">
      <c r="I3518" s="11" t="b">
        <f t="shared" si="181"/>
        <v>0</v>
      </c>
      <c r="M3518" s="17" t="str">
        <f t="shared" si="179"/>
        <v/>
      </c>
      <c r="N3518" s="11" t="str">
        <f t="shared" si="180"/>
        <v/>
      </c>
    </row>
    <row r="3519" spans="9:14" x14ac:dyDescent="0.25">
      <c r="I3519" s="11" t="b">
        <f t="shared" si="181"/>
        <v>0</v>
      </c>
      <c r="M3519" s="17" t="str">
        <f t="shared" si="179"/>
        <v/>
      </c>
      <c r="N3519" s="11" t="str">
        <f t="shared" si="180"/>
        <v/>
      </c>
    </row>
    <row r="3520" spans="9:14" x14ac:dyDescent="0.25">
      <c r="I3520" s="11" t="b">
        <f t="shared" si="181"/>
        <v>0</v>
      </c>
      <c r="M3520" s="17" t="str">
        <f t="shared" si="179"/>
        <v/>
      </c>
      <c r="N3520" s="11" t="str">
        <f t="shared" si="180"/>
        <v/>
      </c>
    </row>
    <row r="3521" spans="9:14" x14ac:dyDescent="0.25">
      <c r="I3521" s="11" t="b">
        <f t="shared" si="181"/>
        <v>0</v>
      </c>
      <c r="M3521" s="17" t="str">
        <f t="shared" ref="M3521:M3584" si="182">IF(B3521=0, "",M3520+ J3521-K3521)</f>
        <v/>
      </c>
      <c r="N3521" s="11" t="str">
        <f t="shared" ref="N3521:N3584" si="183">IF(B3521=0, "", MONTH(B3521))</f>
        <v/>
      </c>
    </row>
    <row r="3522" spans="9:14" x14ac:dyDescent="0.25">
      <c r="I3522" s="11" t="b">
        <f t="shared" si="181"/>
        <v>0</v>
      </c>
      <c r="M3522" s="17" t="str">
        <f t="shared" si="182"/>
        <v/>
      </c>
      <c r="N3522" s="11" t="str">
        <f t="shared" si="183"/>
        <v/>
      </c>
    </row>
    <row r="3523" spans="9:14" x14ac:dyDescent="0.25">
      <c r="I3523" s="11" t="b">
        <f t="shared" si="181"/>
        <v>0</v>
      </c>
      <c r="M3523" s="17" t="str">
        <f t="shared" si="182"/>
        <v/>
      </c>
      <c r="N3523" s="11" t="str">
        <f t="shared" si="183"/>
        <v/>
      </c>
    </row>
    <row r="3524" spans="9:14" x14ac:dyDescent="0.25">
      <c r="I3524" s="11" t="b">
        <f t="shared" si="181"/>
        <v>0</v>
      </c>
      <c r="M3524" s="17" t="str">
        <f t="shared" si="182"/>
        <v/>
      </c>
      <c r="N3524" s="11" t="str">
        <f t="shared" si="183"/>
        <v/>
      </c>
    </row>
    <row r="3525" spans="9:14" x14ac:dyDescent="0.25">
      <c r="I3525" s="11" t="b">
        <f t="shared" si="181"/>
        <v>0</v>
      </c>
      <c r="M3525" s="17" t="str">
        <f t="shared" si="182"/>
        <v/>
      </c>
      <c r="N3525" s="11" t="str">
        <f t="shared" si="183"/>
        <v/>
      </c>
    </row>
    <row r="3526" spans="9:14" x14ac:dyDescent="0.25">
      <c r="I3526" s="11" t="b">
        <f t="shared" si="181"/>
        <v>0</v>
      </c>
      <c r="M3526" s="17" t="str">
        <f t="shared" si="182"/>
        <v/>
      </c>
      <c r="N3526" s="11" t="str">
        <f t="shared" si="183"/>
        <v/>
      </c>
    </row>
    <row r="3527" spans="9:14" x14ac:dyDescent="0.25">
      <c r="I3527" s="11" t="b">
        <f t="shared" si="181"/>
        <v>0</v>
      </c>
      <c r="M3527" s="17" t="str">
        <f t="shared" si="182"/>
        <v/>
      </c>
      <c r="N3527" s="11" t="str">
        <f t="shared" si="183"/>
        <v/>
      </c>
    </row>
    <row r="3528" spans="9:14" x14ac:dyDescent="0.25">
      <c r="I3528" s="11" t="b">
        <f t="shared" si="181"/>
        <v>0</v>
      </c>
      <c r="M3528" s="17" t="str">
        <f t="shared" si="182"/>
        <v/>
      </c>
      <c r="N3528" s="11" t="str">
        <f t="shared" si="183"/>
        <v/>
      </c>
    </row>
    <row r="3529" spans="9:14" x14ac:dyDescent="0.25">
      <c r="I3529" s="11" t="b">
        <f t="shared" si="181"/>
        <v>0</v>
      </c>
      <c r="M3529" s="17" t="str">
        <f t="shared" si="182"/>
        <v/>
      </c>
      <c r="N3529" s="11" t="str">
        <f t="shared" si="183"/>
        <v/>
      </c>
    </row>
    <row r="3530" spans="9:14" x14ac:dyDescent="0.25">
      <c r="I3530" s="11" t="b">
        <f t="shared" si="181"/>
        <v>0</v>
      </c>
      <c r="M3530" s="17" t="str">
        <f t="shared" si="182"/>
        <v/>
      </c>
      <c r="N3530" s="11" t="str">
        <f t="shared" si="183"/>
        <v/>
      </c>
    </row>
    <row r="3531" spans="9:14" x14ac:dyDescent="0.25">
      <c r="I3531" s="11" t="b">
        <f t="shared" si="181"/>
        <v>0</v>
      </c>
      <c r="M3531" s="17" t="str">
        <f t="shared" si="182"/>
        <v/>
      </c>
      <c r="N3531" s="11" t="str">
        <f t="shared" si="183"/>
        <v/>
      </c>
    </row>
    <row r="3532" spans="9:14" x14ac:dyDescent="0.25">
      <c r="I3532" s="11" t="b">
        <f t="shared" si="181"/>
        <v>0</v>
      </c>
      <c r="M3532" s="17" t="str">
        <f t="shared" si="182"/>
        <v/>
      </c>
      <c r="N3532" s="11" t="str">
        <f t="shared" si="183"/>
        <v/>
      </c>
    </row>
    <row r="3533" spans="9:14" x14ac:dyDescent="0.25">
      <c r="I3533" s="11" t="b">
        <f t="shared" si="181"/>
        <v>0</v>
      </c>
      <c r="M3533" s="17" t="str">
        <f t="shared" si="182"/>
        <v/>
      </c>
      <c r="N3533" s="11" t="str">
        <f t="shared" si="183"/>
        <v/>
      </c>
    </row>
    <row r="3534" spans="9:14" x14ac:dyDescent="0.25">
      <c r="I3534" s="11" t="b">
        <f t="shared" si="181"/>
        <v>0</v>
      </c>
      <c r="M3534" s="17" t="str">
        <f t="shared" si="182"/>
        <v/>
      </c>
      <c r="N3534" s="11" t="str">
        <f t="shared" si="183"/>
        <v/>
      </c>
    </row>
    <row r="3535" spans="9:14" x14ac:dyDescent="0.25">
      <c r="I3535" s="11" t="b">
        <f t="shared" si="181"/>
        <v>0</v>
      </c>
      <c r="M3535" s="17" t="str">
        <f t="shared" si="182"/>
        <v/>
      </c>
      <c r="N3535" s="11" t="str">
        <f t="shared" si="183"/>
        <v/>
      </c>
    </row>
    <row r="3536" spans="9:14" x14ac:dyDescent="0.25">
      <c r="I3536" s="11" t="b">
        <f t="shared" si="181"/>
        <v>0</v>
      </c>
      <c r="M3536" s="17" t="str">
        <f t="shared" si="182"/>
        <v/>
      </c>
      <c r="N3536" s="11" t="str">
        <f t="shared" si="183"/>
        <v/>
      </c>
    </row>
    <row r="3537" spans="9:14" x14ac:dyDescent="0.25">
      <c r="I3537" s="11" t="b">
        <f t="shared" si="181"/>
        <v>0</v>
      </c>
      <c r="M3537" s="17" t="str">
        <f t="shared" si="182"/>
        <v/>
      </c>
      <c r="N3537" s="11" t="str">
        <f t="shared" si="183"/>
        <v/>
      </c>
    </row>
    <row r="3538" spans="9:14" x14ac:dyDescent="0.25">
      <c r="I3538" s="11" t="b">
        <f t="shared" si="181"/>
        <v>0</v>
      </c>
      <c r="M3538" s="17" t="str">
        <f t="shared" si="182"/>
        <v/>
      </c>
      <c r="N3538" s="11" t="str">
        <f t="shared" si="183"/>
        <v/>
      </c>
    </row>
    <row r="3539" spans="9:14" x14ac:dyDescent="0.25">
      <c r="I3539" s="11" t="b">
        <f t="shared" si="181"/>
        <v>0</v>
      </c>
      <c r="M3539" s="17" t="str">
        <f t="shared" si="182"/>
        <v/>
      </c>
      <c r="N3539" s="11" t="str">
        <f t="shared" si="183"/>
        <v/>
      </c>
    </row>
    <row r="3540" spans="9:14" x14ac:dyDescent="0.25">
      <c r="I3540" s="11" t="b">
        <f t="shared" si="181"/>
        <v>0</v>
      </c>
      <c r="M3540" s="17" t="str">
        <f t="shared" si="182"/>
        <v/>
      </c>
      <c r="N3540" s="11" t="str">
        <f t="shared" si="183"/>
        <v/>
      </c>
    </row>
    <row r="3541" spans="9:14" x14ac:dyDescent="0.25">
      <c r="I3541" s="11" t="b">
        <f t="shared" si="181"/>
        <v>0</v>
      </c>
      <c r="M3541" s="17" t="str">
        <f t="shared" si="182"/>
        <v/>
      </c>
      <c r="N3541" s="11" t="str">
        <f t="shared" si="183"/>
        <v/>
      </c>
    </row>
    <row r="3542" spans="9:14" x14ac:dyDescent="0.25">
      <c r="I3542" s="11" t="b">
        <f t="shared" si="181"/>
        <v>0</v>
      </c>
      <c r="M3542" s="17" t="str">
        <f t="shared" si="182"/>
        <v/>
      </c>
      <c r="N3542" s="11" t="str">
        <f t="shared" si="183"/>
        <v/>
      </c>
    </row>
    <row r="3543" spans="9:14" x14ac:dyDescent="0.25">
      <c r="I3543" s="11" t="b">
        <f t="shared" si="181"/>
        <v>0</v>
      </c>
      <c r="M3543" s="17" t="str">
        <f t="shared" si="182"/>
        <v/>
      </c>
      <c r="N3543" s="11" t="str">
        <f t="shared" si="183"/>
        <v/>
      </c>
    </row>
    <row r="3544" spans="9:14" x14ac:dyDescent="0.25">
      <c r="I3544" s="11" t="b">
        <f t="shared" si="181"/>
        <v>0</v>
      </c>
      <c r="M3544" s="17" t="str">
        <f t="shared" si="182"/>
        <v/>
      </c>
      <c r="N3544" s="11" t="str">
        <f t="shared" si="183"/>
        <v/>
      </c>
    </row>
    <row r="3545" spans="9:14" x14ac:dyDescent="0.25">
      <c r="I3545" s="11" t="b">
        <f t="shared" si="181"/>
        <v>0</v>
      </c>
      <c r="M3545" s="17" t="str">
        <f t="shared" si="182"/>
        <v/>
      </c>
      <c r="N3545" s="11" t="str">
        <f t="shared" si="183"/>
        <v/>
      </c>
    </row>
    <row r="3546" spans="9:14" x14ac:dyDescent="0.25">
      <c r="I3546" s="11" t="b">
        <f t="shared" si="181"/>
        <v>0</v>
      </c>
      <c r="M3546" s="17" t="str">
        <f t="shared" si="182"/>
        <v/>
      </c>
      <c r="N3546" s="11" t="str">
        <f t="shared" si="183"/>
        <v/>
      </c>
    </row>
    <row r="3547" spans="9:14" x14ac:dyDescent="0.25">
      <c r="I3547" s="11" t="b">
        <f t="shared" si="181"/>
        <v>0</v>
      </c>
      <c r="M3547" s="17" t="str">
        <f t="shared" si="182"/>
        <v/>
      </c>
      <c r="N3547" s="11" t="str">
        <f t="shared" si="183"/>
        <v/>
      </c>
    </row>
    <row r="3548" spans="9:14" x14ac:dyDescent="0.25">
      <c r="I3548" s="11" t="b">
        <f t="shared" si="181"/>
        <v>0</v>
      </c>
      <c r="M3548" s="17" t="str">
        <f t="shared" si="182"/>
        <v/>
      </c>
      <c r="N3548" s="11" t="str">
        <f t="shared" si="183"/>
        <v/>
      </c>
    </row>
    <row r="3549" spans="9:14" x14ac:dyDescent="0.25">
      <c r="I3549" s="11" t="b">
        <f t="shared" ref="I3549:I3612" si="184">IF(AND(G3549="MERCADO PAGO",A3549="FATURAMENTO"),1,IF(AND(OR(G3549="MERCADO PAGO",G3549="pix mercado pago",G3549= "débito automático mercado pago", G3549= "boleto mercado pago"),A3549="DESPESAS"),4,IF(AND(G3549="SAFRA",A3549="FATURAMENTO"),2,IF(AND(OR(G3549="SAFRA",G3549="PIX SAFRA", G3549="DÉBITO AUTOMÁTICO SAFRA", G3549= "BOLETO SAFRA", G3549= "transferência safra"), A3549="DESPESAS"),5,IF(AND(G3549="espécie",A3549="FATURAMENTO"),3,IF(AND(G3549="espécie",A3549="DESPESAS"),6))))))</f>
        <v>0</v>
      </c>
      <c r="M3549" s="17" t="str">
        <f t="shared" si="182"/>
        <v/>
      </c>
      <c r="N3549" s="11" t="str">
        <f t="shared" si="183"/>
        <v/>
      </c>
    </row>
    <row r="3550" spans="9:14" x14ac:dyDescent="0.25">
      <c r="I3550" s="11" t="b">
        <f t="shared" si="184"/>
        <v>0</v>
      </c>
      <c r="M3550" s="17" t="str">
        <f t="shared" si="182"/>
        <v/>
      </c>
      <c r="N3550" s="11" t="str">
        <f t="shared" si="183"/>
        <v/>
      </c>
    </row>
    <row r="3551" spans="9:14" x14ac:dyDescent="0.25">
      <c r="I3551" s="11" t="b">
        <f t="shared" si="184"/>
        <v>0</v>
      </c>
      <c r="M3551" s="17" t="str">
        <f t="shared" si="182"/>
        <v/>
      </c>
      <c r="N3551" s="11" t="str">
        <f t="shared" si="183"/>
        <v/>
      </c>
    </row>
    <row r="3552" spans="9:14" x14ac:dyDescent="0.25">
      <c r="I3552" s="11" t="b">
        <f t="shared" si="184"/>
        <v>0</v>
      </c>
      <c r="M3552" s="17" t="str">
        <f t="shared" si="182"/>
        <v/>
      </c>
      <c r="N3552" s="11" t="str">
        <f t="shared" si="183"/>
        <v/>
      </c>
    </row>
    <row r="3553" spans="9:14" x14ac:dyDescent="0.25">
      <c r="I3553" s="11" t="b">
        <f t="shared" si="184"/>
        <v>0</v>
      </c>
      <c r="M3553" s="17" t="str">
        <f t="shared" si="182"/>
        <v/>
      </c>
      <c r="N3553" s="11" t="str">
        <f t="shared" si="183"/>
        <v/>
      </c>
    </row>
    <row r="3554" spans="9:14" x14ac:dyDescent="0.25">
      <c r="I3554" s="11" t="b">
        <f t="shared" si="184"/>
        <v>0</v>
      </c>
      <c r="M3554" s="17" t="str">
        <f t="shared" si="182"/>
        <v/>
      </c>
      <c r="N3554" s="11" t="str">
        <f t="shared" si="183"/>
        <v/>
      </c>
    </row>
    <row r="3555" spans="9:14" x14ac:dyDescent="0.25">
      <c r="I3555" s="11" t="b">
        <f t="shared" si="184"/>
        <v>0</v>
      </c>
      <c r="M3555" s="17" t="str">
        <f t="shared" si="182"/>
        <v/>
      </c>
      <c r="N3555" s="11" t="str">
        <f t="shared" si="183"/>
        <v/>
      </c>
    </row>
    <row r="3556" spans="9:14" x14ac:dyDescent="0.25">
      <c r="I3556" s="11" t="b">
        <f t="shared" si="184"/>
        <v>0</v>
      </c>
      <c r="M3556" s="17" t="str">
        <f t="shared" si="182"/>
        <v/>
      </c>
      <c r="N3556" s="11" t="str">
        <f t="shared" si="183"/>
        <v/>
      </c>
    </row>
    <row r="3557" spans="9:14" x14ac:dyDescent="0.25">
      <c r="I3557" s="11" t="b">
        <f t="shared" si="184"/>
        <v>0</v>
      </c>
      <c r="M3557" s="17" t="str">
        <f t="shared" si="182"/>
        <v/>
      </c>
      <c r="N3557" s="11" t="str">
        <f t="shared" si="183"/>
        <v/>
      </c>
    </row>
    <row r="3558" spans="9:14" x14ac:dyDescent="0.25">
      <c r="I3558" s="11" t="b">
        <f t="shared" si="184"/>
        <v>0</v>
      </c>
      <c r="M3558" s="17" t="str">
        <f t="shared" si="182"/>
        <v/>
      </c>
      <c r="N3558" s="11" t="str">
        <f t="shared" si="183"/>
        <v/>
      </c>
    </row>
    <row r="3559" spans="9:14" x14ac:dyDescent="0.25">
      <c r="I3559" s="11" t="b">
        <f t="shared" si="184"/>
        <v>0</v>
      </c>
      <c r="M3559" s="17" t="str">
        <f t="shared" si="182"/>
        <v/>
      </c>
      <c r="N3559" s="11" t="str">
        <f t="shared" si="183"/>
        <v/>
      </c>
    </row>
    <row r="3560" spans="9:14" x14ac:dyDescent="0.25">
      <c r="I3560" s="11" t="b">
        <f t="shared" si="184"/>
        <v>0</v>
      </c>
      <c r="M3560" s="17" t="str">
        <f t="shared" si="182"/>
        <v/>
      </c>
      <c r="N3560" s="11" t="str">
        <f t="shared" si="183"/>
        <v/>
      </c>
    </row>
    <row r="3561" spans="9:14" x14ac:dyDescent="0.25">
      <c r="I3561" s="11" t="b">
        <f t="shared" si="184"/>
        <v>0</v>
      </c>
      <c r="M3561" s="17" t="str">
        <f t="shared" si="182"/>
        <v/>
      </c>
      <c r="N3561" s="11" t="str">
        <f t="shared" si="183"/>
        <v/>
      </c>
    </row>
    <row r="3562" spans="9:14" x14ac:dyDescent="0.25">
      <c r="I3562" s="11" t="b">
        <f t="shared" si="184"/>
        <v>0</v>
      </c>
      <c r="M3562" s="17" t="str">
        <f t="shared" si="182"/>
        <v/>
      </c>
      <c r="N3562" s="11" t="str">
        <f t="shared" si="183"/>
        <v/>
      </c>
    </row>
    <row r="3563" spans="9:14" x14ac:dyDescent="0.25">
      <c r="I3563" s="11" t="b">
        <f t="shared" si="184"/>
        <v>0</v>
      </c>
      <c r="M3563" s="17" t="str">
        <f t="shared" si="182"/>
        <v/>
      </c>
      <c r="N3563" s="11" t="str">
        <f t="shared" si="183"/>
        <v/>
      </c>
    </row>
    <row r="3564" spans="9:14" x14ac:dyDescent="0.25">
      <c r="I3564" s="11" t="b">
        <f t="shared" si="184"/>
        <v>0</v>
      </c>
      <c r="M3564" s="17" t="str">
        <f t="shared" si="182"/>
        <v/>
      </c>
      <c r="N3564" s="11" t="str">
        <f t="shared" si="183"/>
        <v/>
      </c>
    </row>
    <row r="3565" spans="9:14" x14ac:dyDescent="0.25">
      <c r="I3565" s="11" t="b">
        <f t="shared" si="184"/>
        <v>0</v>
      </c>
      <c r="M3565" s="17" t="str">
        <f t="shared" si="182"/>
        <v/>
      </c>
      <c r="N3565" s="11" t="str">
        <f t="shared" si="183"/>
        <v/>
      </c>
    </row>
    <row r="3566" spans="9:14" x14ac:dyDescent="0.25">
      <c r="I3566" s="11" t="b">
        <f t="shared" si="184"/>
        <v>0</v>
      </c>
      <c r="M3566" s="17" t="str">
        <f t="shared" si="182"/>
        <v/>
      </c>
      <c r="N3566" s="11" t="str">
        <f t="shared" si="183"/>
        <v/>
      </c>
    </row>
    <row r="3567" spans="9:14" x14ac:dyDescent="0.25">
      <c r="I3567" s="11" t="b">
        <f t="shared" si="184"/>
        <v>0</v>
      </c>
      <c r="M3567" s="17" t="str">
        <f t="shared" si="182"/>
        <v/>
      </c>
      <c r="N3567" s="11" t="str">
        <f t="shared" si="183"/>
        <v/>
      </c>
    </row>
    <row r="3568" spans="9:14" x14ac:dyDescent="0.25">
      <c r="I3568" s="11" t="b">
        <f t="shared" si="184"/>
        <v>0</v>
      </c>
      <c r="M3568" s="17" t="str">
        <f t="shared" si="182"/>
        <v/>
      </c>
      <c r="N3568" s="11" t="str">
        <f t="shared" si="183"/>
        <v/>
      </c>
    </row>
    <row r="3569" spans="9:14" x14ac:dyDescent="0.25">
      <c r="I3569" s="11" t="b">
        <f t="shared" si="184"/>
        <v>0</v>
      </c>
      <c r="M3569" s="17" t="str">
        <f t="shared" si="182"/>
        <v/>
      </c>
      <c r="N3569" s="11" t="str">
        <f t="shared" si="183"/>
        <v/>
      </c>
    </row>
    <row r="3570" spans="9:14" x14ac:dyDescent="0.25">
      <c r="I3570" s="11" t="b">
        <f t="shared" si="184"/>
        <v>0</v>
      </c>
      <c r="M3570" s="17" t="str">
        <f t="shared" si="182"/>
        <v/>
      </c>
      <c r="N3570" s="11" t="str">
        <f t="shared" si="183"/>
        <v/>
      </c>
    </row>
    <row r="3571" spans="9:14" x14ac:dyDescent="0.25">
      <c r="I3571" s="11" t="b">
        <f t="shared" si="184"/>
        <v>0</v>
      </c>
      <c r="M3571" s="17" t="str">
        <f t="shared" si="182"/>
        <v/>
      </c>
      <c r="N3571" s="11" t="str">
        <f t="shared" si="183"/>
        <v/>
      </c>
    </row>
    <row r="3572" spans="9:14" x14ac:dyDescent="0.25">
      <c r="I3572" s="11" t="b">
        <f t="shared" si="184"/>
        <v>0</v>
      </c>
      <c r="M3572" s="17" t="str">
        <f t="shared" si="182"/>
        <v/>
      </c>
      <c r="N3572" s="11" t="str">
        <f t="shared" si="183"/>
        <v/>
      </c>
    </row>
    <row r="3573" spans="9:14" x14ac:dyDescent="0.25">
      <c r="I3573" s="11" t="b">
        <f t="shared" si="184"/>
        <v>0</v>
      </c>
      <c r="M3573" s="17" t="str">
        <f t="shared" si="182"/>
        <v/>
      </c>
      <c r="N3573" s="11" t="str">
        <f t="shared" si="183"/>
        <v/>
      </c>
    </row>
    <row r="3574" spans="9:14" x14ac:dyDescent="0.25">
      <c r="I3574" s="11" t="b">
        <f t="shared" si="184"/>
        <v>0</v>
      </c>
      <c r="M3574" s="17" t="str">
        <f t="shared" si="182"/>
        <v/>
      </c>
      <c r="N3574" s="11" t="str">
        <f t="shared" si="183"/>
        <v/>
      </c>
    </row>
    <row r="3575" spans="9:14" x14ac:dyDescent="0.25">
      <c r="I3575" s="11" t="b">
        <f t="shared" si="184"/>
        <v>0</v>
      </c>
      <c r="M3575" s="17" t="str">
        <f t="shared" si="182"/>
        <v/>
      </c>
      <c r="N3575" s="11" t="str">
        <f t="shared" si="183"/>
        <v/>
      </c>
    </row>
    <row r="3576" spans="9:14" x14ac:dyDescent="0.25">
      <c r="I3576" s="11" t="b">
        <f t="shared" si="184"/>
        <v>0</v>
      </c>
      <c r="M3576" s="17" t="str">
        <f t="shared" si="182"/>
        <v/>
      </c>
      <c r="N3576" s="11" t="str">
        <f t="shared" si="183"/>
        <v/>
      </c>
    </row>
    <row r="3577" spans="9:14" x14ac:dyDescent="0.25">
      <c r="I3577" s="11" t="b">
        <f t="shared" si="184"/>
        <v>0</v>
      </c>
      <c r="M3577" s="17" t="str">
        <f t="shared" si="182"/>
        <v/>
      </c>
      <c r="N3577" s="11" t="str">
        <f t="shared" si="183"/>
        <v/>
      </c>
    </row>
    <row r="3578" spans="9:14" x14ac:dyDescent="0.25">
      <c r="I3578" s="11" t="b">
        <f t="shared" si="184"/>
        <v>0</v>
      </c>
      <c r="M3578" s="17" t="str">
        <f t="shared" si="182"/>
        <v/>
      </c>
      <c r="N3578" s="11" t="str">
        <f t="shared" si="183"/>
        <v/>
      </c>
    </row>
    <row r="3579" spans="9:14" x14ac:dyDescent="0.25">
      <c r="I3579" s="11" t="b">
        <f t="shared" si="184"/>
        <v>0</v>
      </c>
      <c r="M3579" s="17" t="str">
        <f t="shared" si="182"/>
        <v/>
      </c>
      <c r="N3579" s="11" t="str">
        <f t="shared" si="183"/>
        <v/>
      </c>
    </row>
    <row r="3580" spans="9:14" x14ac:dyDescent="0.25">
      <c r="I3580" s="11" t="b">
        <f t="shared" si="184"/>
        <v>0</v>
      </c>
      <c r="M3580" s="17" t="str">
        <f t="shared" si="182"/>
        <v/>
      </c>
      <c r="N3580" s="11" t="str">
        <f t="shared" si="183"/>
        <v/>
      </c>
    </row>
    <row r="3581" spans="9:14" x14ac:dyDescent="0.25">
      <c r="I3581" s="11" t="b">
        <f t="shared" si="184"/>
        <v>0</v>
      </c>
      <c r="M3581" s="17" t="str">
        <f t="shared" si="182"/>
        <v/>
      </c>
      <c r="N3581" s="11" t="str">
        <f t="shared" si="183"/>
        <v/>
      </c>
    </row>
    <row r="3582" spans="9:14" x14ac:dyDescent="0.25">
      <c r="I3582" s="11" t="b">
        <f t="shared" si="184"/>
        <v>0</v>
      </c>
      <c r="M3582" s="17" t="str">
        <f t="shared" si="182"/>
        <v/>
      </c>
      <c r="N3582" s="11" t="str">
        <f t="shared" si="183"/>
        <v/>
      </c>
    </row>
    <row r="3583" spans="9:14" x14ac:dyDescent="0.25">
      <c r="I3583" s="11" t="b">
        <f t="shared" si="184"/>
        <v>0</v>
      </c>
      <c r="M3583" s="17" t="str">
        <f t="shared" si="182"/>
        <v/>
      </c>
      <c r="N3583" s="11" t="str">
        <f t="shared" si="183"/>
        <v/>
      </c>
    </row>
    <row r="3584" spans="9:14" x14ac:dyDescent="0.25">
      <c r="I3584" s="11" t="b">
        <f t="shared" si="184"/>
        <v>0</v>
      </c>
      <c r="M3584" s="17" t="str">
        <f t="shared" si="182"/>
        <v/>
      </c>
      <c r="N3584" s="11" t="str">
        <f t="shared" si="183"/>
        <v/>
      </c>
    </row>
    <row r="3585" spans="9:14" x14ac:dyDescent="0.25">
      <c r="I3585" s="11" t="b">
        <f t="shared" si="184"/>
        <v>0</v>
      </c>
      <c r="M3585" s="17" t="str">
        <f t="shared" ref="M3585:M3648" si="185">IF(B3585=0, "",M3584+ J3585-K3585)</f>
        <v/>
      </c>
      <c r="N3585" s="11" t="str">
        <f t="shared" ref="N3585:N3648" si="186">IF(B3585=0, "", MONTH(B3585))</f>
        <v/>
      </c>
    </row>
    <row r="3586" spans="9:14" x14ac:dyDescent="0.25">
      <c r="I3586" s="11" t="b">
        <f t="shared" si="184"/>
        <v>0</v>
      </c>
      <c r="M3586" s="17" t="str">
        <f t="shared" si="185"/>
        <v/>
      </c>
      <c r="N3586" s="11" t="str">
        <f t="shared" si="186"/>
        <v/>
      </c>
    </row>
    <row r="3587" spans="9:14" x14ac:dyDescent="0.25">
      <c r="I3587" s="11" t="b">
        <f t="shared" si="184"/>
        <v>0</v>
      </c>
      <c r="M3587" s="17" t="str">
        <f t="shared" si="185"/>
        <v/>
      </c>
      <c r="N3587" s="11" t="str">
        <f t="shared" si="186"/>
        <v/>
      </c>
    </row>
    <row r="3588" spans="9:14" x14ac:dyDescent="0.25">
      <c r="I3588" s="11" t="b">
        <f t="shared" si="184"/>
        <v>0</v>
      </c>
      <c r="M3588" s="17" t="str">
        <f t="shared" si="185"/>
        <v/>
      </c>
      <c r="N3588" s="11" t="str">
        <f t="shared" si="186"/>
        <v/>
      </c>
    </row>
    <row r="3589" spans="9:14" x14ac:dyDescent="0.25">
      <c r="I3589" s="11" t="b">
        <f t="shared" si="184"/>
        <v>0</v>
      </c>
      <c r="M3589" s="17" t="str">
        <f t="shared" si="185"/>
        <v/>
      </c>
      <c r="N3589" s="11" t="str">
        <f t="shared" si="186"/>
        <v/>
      </c>
    </row>
    <row r="3590" spans="9:14" x14ac:dyDescent="0.25">
      <c r="I3590" s="11" t="b">
        <f t="shared" si="184"/>
        <v>0</v>
      </c>
      <c r="M3590" s="17" t="str">
        <f t="shared" si="185"/>
        <v/>
      </c>
      <c r="N3590" s="11" t="str">
        <f t="shared" si="186"/>
        <v/>
      </c>
    </row>
    <row r="3591" spans="9:14" x14ac:dyDescent="0.25">
      <c r="I3591" s="11" t="b">
        <f t="shared" si="184"/>
        <v>0</v>
      </c>
      <c r="M3591" s="17" t="str">
        <f t="shared" si="185"/>
        <v/>
      </c>
      <c r="N3591" s="11" t="str">
        <f t="shared" si="186"/>
        <v/>
      </c>
    </row>
    <row r="3592" spans="9:14" x14ac:dyDescent="0.25">
      <c r="I3592" s="11" t="b">
        <f t="shared" si="184"/>
        <v>0</v>
      </c>
      <c r="M3592" s="17" t="str">
        <f t="shared" si="185"/>
        <v/>
      </c>
      <c r="N3592" s="11" t="str">
        <f t="shared" si="186"/>
        <v/>
      </c>
    </row>
    <row r="3593" spans="9:14" x14ac:dyDescent="0.25">
      <c r="I3593" s="11" t="b">
        <f t="shared" si="184"/>
        <v>0</v>
      </c>
      <c r="M3593" s="17" t="str">
        <f t="shared" si="185"/>
        <v/>
      </c>
      <c r="N3593" s="11" t="str">
        <f t="shared" si="186"/>
        <v/>
      </c>
    </row>
    <row r="3594" spans="9:14" x14ac:dyDescent="0.25">
      <c r="I3594" s="11" t="b">
        <f t="shared" si="184"/>
        <v>0</v>
      </c>
      <c r="M3594" s="17" t="str">
        <f t="shared" si="185"/>
        <v/>
      </c>
      <c r="N3594" s="11" t="str">
        <f t="shared" si="186"/>
        <v/>
      </c>
    </row>
    <row r="3595" spans="9:14" x14ac:dyDescent="0.25">
      <c r="I3595" s="11" t="b">
        <f t="shared" si="184"/>
        <v>0</v>
      </c>
      <c r="M3595" s="17" t="str">
        <f t="shared" si="185"/>
        <v/>
      </c>
      <c r="N3595" s="11" t="str">
        <f t="shared" si="186"/>
        <v/>
      </c>
    </row>
    <row r="3596" spans="9:14" x14ac:dyDescent="0.25">
      <c r="I3596" s="11" t="b">
        <f t="shared" si="184"/>
        <v>0</v>
      </c>
      <c r="M3596" s="17" t="str">
        <f t="shared" si="185"/>
        <v/>
      </c>
      <c r="N3596" s="11" t="str">
        <f t="shared" si="186"/>
        <v/>
      </c>
    </row>
    <row r="3597" spans="9:14" x14ac:dyDescent="0.25">
      <c r="I3597" s="11" t="b">
        <f t="shared" si="184"/>
        <v>0</v>
      </c>
      <c r="M3597" s="17" t="str">
        <f t="shared" si="185"/>
        <v/>
      </c>
      <c r="N3597" s="11" t="str">
        <f t="shared" si="186"/>
        <v/>
      </c>
    </row>
    <row r="3598" spans="9:14" x14ac:dyDescent="0.25">
      <c r="I3598" s="11" t="b">
        <f t="shared" si="184"/>
        <v>0</v>
      </c>
      <c r="M3598" s="17" t="str">
        <f t="shared" si="185"/>
        <v/>
      </c>
      <c r="N3598" s="11" t="str">
        <f t="shared" si="186"/>
        <v/>
      </c>
    </row>
    <row r="3599" spans="9:14" x14ac:dyDescent="0.25">
      <c r="I3599" s="11" t="b">
        <f t="shared" si="184"/>
        <v>0</v>
      </c>
      <c r="M3599" s="17" t="str">
        <f t="shared" si="185"/>
        <v/>
      </c>
      <c r="N3599" s="11" t="str">
        <f t="shared" si="186"/>
        <v/>
      </c>
    </row>
    <row r="3600" spans="9:14" x14ac:dyDescent="0.25">
      <c r="I3600" s="11" t="b">
        <f t="shared" si="184"/>
        <v>0</v>
      </c>
      <c r="M3600" s="17" t="str">
        <f t="shared" si="185"/>
        <v/>
      </c>
      <c r="N3600" s="11" t="str">
        <f t="shared" si="186"/>
        <v/>
      </c>
    </row>
    <row r="3601" spans="9:14" x14ac:dyDescent="0.25">
      <c r="I3601" s="11" t="b">
        <f t="shared" si="184"/>
        <v>0</v>
      </c>
      <c r="M3601" s="17" t="str">
        <f t="shared" si="185"/>
        <v/>
      </c>
      <c r="N3601" s="11" t="str">
        <f t="shared" si="186"/>
        <v/>
      </c>
    </row>
    <row r="3602" spans="9:14" x14ac:dyDescent="0.25">
      <c r="I3602" s="11" t="b">
        <f t="shared" si="184"/>
        <v>0</v>
      </c>
      <c r="M3602" s="17" t="str">
        <f t="shared" si="185"/>
        <v/>
      </c>
      <c r="N3602" s="11" t="str">
        <f t="shared" si="186"/>
        <v/>
      </c>
    </row>
    <row r="3603" spans="9:14" x14ac:dyDescent="0.25">
      <c r="I3603" s="11" t="b">
        <f t="shared" si="184"/>
        <v>0</v>
      </c>
      <c r="M3603" s="17" t="str">
        <f t="shared" si="185"/>
        <v/>
      </c>
      <c r="N3603" s="11" t="str">
        <f t="shared" si="186"/>
        <v/>
      </c>
    </row>
    <row r="3604" spans="9:14" x14ac:dyDescent="0.25">
      <c r="I3604" s="11" t="b">
        <f t="shared" si="184"/>
        <v>0</v>
      </c>
      <c r="M3604" s="17" t="str">
        <f t="shared" si="185"/>
        <v/>
      </c>
      <c r="N3604" s="11" t="str">
        <f t="shared" si="186"/>
        <v/>
      </c>
    </row>
    <row r="3605" spans="9:14" x14ac:dyDescent="0.25">
      <c r="I3605" s="11" t="b">
        <f t="shared" si="184"/>
        <v>0</v>
      </c>
      <c r="M3605" s="17" t="str">
        <f t="shared" si="185"/>
        <v/>
      </c>
      <c r="N3605" s="11" t="str">
        <f t="shared" si="186"/>
        <v/>
      </c>
    </row>
    <row r="3606" spans="9:14" x14ac:dyDescent="0.25">
      <c r="I3606" s="11" t="b">
        <f t="shared" si="184"/>
        <v>0</v>
      </c>
      <c r="M3606" s="17" t="str">
        <f t="shared" si="185"/>
        <v/>
      </c>
      <c r="N3606" s="11" t="str">
        <f t="shared" si="186"/>
        <v/>
      </c>
    </row>
    <row r="3607" spans="9:14" x14ac:dyDescent="0.25">
      <c r="I3607" s="11" t="b">
        <f t="shared" si="184"/>
        <v>0</v>
      </c>
      <c r="M3607" s="17" t="str">
        <f t="shared" si="185"/>
        <v/>
      </c>
      <c r="N3607" s="11" t="str">
        <f t="shared" si="186"/>
        <v/>
      </c>
    </row>
    <row r="3608" spans="9:14" x14ac:dyDescent="0.25">
      <c r="I3608" s="11" t="b">
        <f t="shared" si="184"/>
        <v>0</v>
      </c>
      <c r="M3608" s="17" t="str">
        <f t="shared" si="185"/>
        <v/>
      </c>
      <c r="N3608" s="11" t="str">
        <f t="shared" si="186"/>
        <v/>
      </c>
    </row>
    <row r="3609" spans="9:14" x14ac:dyDescent="0.25">
      <c r="I3609" s="11" t="b">
        <f t="shared" si="184"/>
        <v>0</v>
      </c>
      <c r="M3609" s="17" t="str">
        <f t="shared" si="185"/>
        <v/>
      </c>
      <c r="N3609" s="11" t="str">
        <f t="shared" si="186"/>
        <v/>
      </c>
    </row>
    <row r="3610" spans="9:14" x14ac:dyDescent="0.25">
      <c r="I3610" s="11" t="b">
        <f t="shared" si="184"/>
        <v>0</v>
      </c>
      <c r="M3610" s="17" t="str">
        <f t="shared" si="185"/>
        <v/>
      </c>
      <c r="N3610" s="11" t="str">
        <f t="shared" si="186"/>
        <v/>
      </c>
    </row>
    <row r="3611" spans="9:14" x14ac:dyDescent="0.25">
      <c r="I3611" s="11" t="b">
        <f t="shared" si="184"/>
        <v>0</v>
      </c>
      <c r="M3611" s="17" t="str">
        <f t="shared" si="185"/>
        <v/>
      </c>
      <c r="N3611" s="11" t="str">
        <f t="shared" si="186"/>
        <v/>
      </c>
    </row>
    <row r="3612" spans="9:14" x14ac:dyDescent="0.25">
      <c r="I3612" s="11" t="b">
        <f t="shared" si="184"/>
        <v>0</v>
      </c>
      <c r="M3612" s="17" t="str">
        <f t="shared" si="185"/>
        <v/>
      </c>
      <c r="N3612" s="11" t="str">
        <f t="shared" si="186"/>
        <v/>
      </c>
    </row>
    <row r="3613" spans="9:14" x14ac:dyDescent="0.25">
      <c r="I3613" s="11" t="b">
        <f t="shared" ref="I3613:I3676" si="187">IF(AND(G3613="MERCADO PAGO",A3613="FATURAMENTO"),1,IF(AND(OR(G3613="MERCADO PAGO",G3613="pix mercado pago",G3613= "débito automático mercado pago", G3613= "boleto mercado pago"),A3613="DESPESAS"),4,IF(AND(G3613="SAFRA",A3613="FATURAMENTO"),2,IF(AND(OR(G3613="SAFRA",G3613="PIX SAFRA", G3613="DÉBITO AUTOMÁTICO SAFRA", G3613= "BOLETO SAFRA", G3613= "transferência safra"), A3613="DESPESAS"),5,IF(AND(G3613="espécie",A3613="FATURAMENTO"),3,IF(AND(G3613="espécie",A3613="DESPESAS"),6))))))</f>
        <v>0</v>
      </c>
      <c r="M3613" s="17" t="str">
        <f t="shared" si="185"/>
        <v/>
      </c>
      <c r="N3613" s="11" t="str">
        <f t="shared" si="186"/>
        <v/>
      </c>
    </row>
    <row r="3614" spans="9:14" x14ac:dyDescent="0.25">
      <c r="I3614" s="11" t="b">
        <f t="shared" si="187"/>
        <v>0</v>
      </c>
      <c r="M3614" s="17" t="str">
        <f t="shared" si="185"/>
        <v/>
      </c>
      <c r="N3614" s="11" t="str">
        <f t="shared" si="186"/>
        <v/>
      </c>
    </row>
    <row r="3615" spans="9:14" x14ac:dyDescent="0.25">
      <c r="I3615" s="11" t="b">
        <f t="shared" si="187"/>
        <v>0</v>
      </c>
      <c r="M3615" s="17" t="str">
        <f t="shared" si="185"/>
        <v/>
      </c>
      <c r="N3615" s="11" t="str">
        <f t="shared" si="186"/>
        <v/>
      </c>
    </row>
    <row r="3616" spans="9:14" x14ac:dyDescent="0.25">
      <c r="I3616" s="11" t="b">
        <f t="shared" si="187"/>
        <v>0</v>
      </c>
      <c r="M3616" s="17" t="str">
        <f t="shared" si="185"/>
        <v/>
      </c>
      <c r="N3616" s="11" t="str">
        <f t="shared" si="186"/>
        <v/>
      </c>
    </row>
    <row r="3617" spans="9:14" x14ac:dyDescent="0.25">
      <c r="I3617" s="11" t="b">
        <f t="shared" si="187"/>
        <v>0</v>
      </c>
      <c r="M3617" s="17" t="str">
        <f t="shared" si="185"/>
        <v/>
      </c>
      <c r="N3617" s="11" t="str">
        <f t="shared" si="186"/>
        <v/>
      </c>
    </row>
    <row r="3618" spans="9:14" x14ac:dyDescent="0.25">
      <c r="I3618" s="11" t="b">
        <f t="shared" si="187"/>
        <v>0</v>
      </c>
      <c r="M3618" s="17" t="str">
        <f t="shared" si="185"/>
        <v/>
      </c>
      <c r="N3618" s="11" t="str">
        <f t="shared" si="186"/>
        <v/>
      </c>
    </row>
    <row r="3619" spans="9:14" x14ac:dyDescent="0.25">
      <c r="I3619" s="11" t="b">
        <f t="shared" si="187"/>
        <v>0</v>
      </c>
      <c r="M3619" s="17" t="str">
        <f t="shared" si="185"/>
        <v/>
      </c>
      <c r="N3619" s="11" t="str">
        <f t="shared" si="186"/>
        <v/>
      </c>
    </row>
    <row r="3620" spans="9:14" x14ac:dyDescent="0.25">
      <c r="I3620" s="11" t="b">
        <f t="shared" si="187"/>
        <v>0</v>
      </c>
      <c r="M3620" s="17" t="str">
        <f t="shared" si="185"/>
        <v/>
      </c>
      <c r="N3620" s="11" t="str">
        <f t="shared" si="186"/>
        <v/>
      </c>
    </row>
    <row r="3621" spans="9:14" x14ac:dyDescent="0.25">
      <c r="I3621" s="11" t="b">
        <f t="shared" si="187"/>
        <v>0</v>
      </c>
      <c r="M3621" s="17" t="str">
        <f t="shared" si="185"/>
        <v/>
      </c>
      <c r="N3621" s="11" t="str">
        <f t="shared" si="186"/>
        <v/>
      </c>
    </row>
    <row r="3622" spans="9:14" x14ac:dyDescent="0.25">
      <c r="I3622" s="11" t="b">
        <f t="shared" si="187"/>
        <v>0</v>
      </c>
      <c r="M3622" s="17" t="str">
        <f t="shared" si="185"/>
        <v/>
      </c>
      <c r="N3622" s="11" t="str">
        <f t="shared" si="186"/>
        <v/>
      </c>
    </row>
    <row r="3623" spans="9:14" x14ac:dyDescent="0.25">
      <c r="I3623" s="11" t="b">
        <f t="shared" si="187"/>
        <v>0</v>
      </c>
      <c r="M3623" s="17" t="str">
        <f t="shared" si="185"/>
        <v/>
      </c>
      <c r="N3623" s="11" t="str">
        <f t="shared" si="186"/>
        <v/>
      </c>
    </row>
    <row r="3624" spans="9:14" x14ac:dyDescent="0.25">
      <c r="I3624" s="11" t="b">
        <f t="shared" si="187"/>
        <v>0</v>
      </c>
      <c r="M3624" s="17" t="str">
        <f t="shared" si="185"/>
        <v/>
      </c>
      <c r="N3624" s="11" t="str">
        <f t="shared" si="186"/>
        <v/>
      </c>
    </row>
    <row r="3625" spans="9:14" x14ac:dyDescent="0.25">
      <c r="I3625" s="11" t="b">
        <f t="shared" si="187"/>
        <v>0</v>
      </c>
      <c r="M3625" s="17" t="str">
        <f t="shared" si="185"/>
        <v/>
      </c>
      <c r="N3625" s="11" t="str">
        <f t="shared" si="186"/>
        <v/>
      </c>
    </row>
    <row r="3626" spans="9:14" x14ac:dyDescent="0.25">
      <c r="I3626" s="11" t="b">
        <f t="shared" si="187"/>
        <v>0</v>
      </c>
      <c r="M3626" s="17" t="str">
        <f t="shared" si="185"/>
        <v/>
      </c>
      <c r="N3626" s="11" t="str">
        <f t="shared" si="186"/>
        <v/>
      </c>
    </row>
    <row r="3627" spans="9:14" x14ac:dyDescent="0.25">
      <c r="I3627" s="11" t="b">
        <f t="shared" si="187"/>
        <v>0</v>
      </c>
      <c r="M3627" s="17" t="str">
        <f t="shared" si="185"/>
        <v/>
      </c>
      <c r="N3627" s="11" t="str">
        <f t="shared" si="186"/>
        <v/>
      </c>
    </row>
    <row r="3628" spans="9:14" x14ac:dyDescent="0.25">
      <c r="I3628" s="11" t="b">
        <f t="shared" si="187"/>
        <v>0</v>
      </c>
      <c r="M3628" s="17" t="str">
        <f t="shared" si="185"/>
        <v/>
      </c>
      <c r="N3628" s="11" t="str">
        <f t="shared" si="186"/>
        <v/>
      </c>
    </row>
    <row r="3629" spans="9:14" x14ac:dyDescent="0.25">
      <c r="I3629" s="11" t="b">
        <f t="shared" si="187"/>
        <v>0</v>
      </c>
      <c r="M3629" s="17" t="str">
        <f t="shared" si="185"/>
        <v/>
      </c>
      <c r="N3629" s="11" t="str">
        <f t="shared" si="186"/>
        <v/>
      </c>
    </row>
    <row r="3630" spans="9:14" x14ac:dyDescent="0.25">
      <c r="I3630" s="11" t="b">
        <f t="shared" si="187"/>
        <v>0</v>
      </c>
      <c r="M3630" s="17" t="str">
        <f t="shared" si="185"/>
        <v/>
      </c>
      <c r="N3630" s="11" t="str">
        <f t="shared" si="186"/>
        <v/>
      </c>
    </row>
    <row r="3631" spans="9:14" x14ac:dyDescent="0.25">
      <c r="I3631" s="11" t="b">
        <f t="shared" si="187"/>
        <v>0</v>
      </c>
      <c r="M3631" s="17" t="str">
        <f t="shared" si="185"/>
        <v/>
      </c>
      <c r="N3631" s="11" t="str">
        <f t="shared" si="186"/>
        <v/>
      </c>
    </row>
    <row r="3632" spans="9:14" x14ac:dyDescent="0.25">
      <c r="I3632" s="11" t="b">
        <f t="shared" si="187"/>
        <v>0</v>
      </c>
      <c r="M3632" s="17" t="str">
        <f t="shared" si="185"/>
        <v/>
      </c>
      <c r="N3632" s="11" t="str">
        <f t="shared" si="186"/>
        <v/>
      </c>
    </row>
    <row r="3633" spans="9:14" x14ac:dyDescent="0.25">
      <c r="I3633" s="11" t="b">
        <f t="shared" si="187"/>
        <v>0</v>
      </c>
      <c r="M3633" s="17" t="str">
        <f t="shared" si="185"/>
        <v/>
      </c>
      <c r="N3633" s="11" t="str">
        <f t="shared" si="186"/>
        <v/>
      </c>
    </row>
    <row r="3634" spans="9:14" x14ac:dyDescent="0.25">
      <c r="I3634" s="11" t="b">
        <f t="shared" si="187"/>
        <v>0</v>
      </c>
      <c r="M3634" s="17" t="str">
        <f t="shared" si="185"/>
        <v/>
      </c>
      <c r="N3634" s="11" t="str">
        <f t="shared" si="186"/>
        <v/>
      </c>
    </row>
    <row r="3635" spans="9:14" x14ac:dyDescent="0.25">
      <c r="I3635" s="11" t="b">
        <f t="shared" si="187"/>
        <v>0</v>
      </c>
      <c r="M3635" s="17" t="str">
        <f t="shared" si="185"/>
        <v/>
      </c>
      <c r="N3635" s="11" t="str">
        <f t="shared" si="186"/>
        <v/>
      </c>
    </row>
    <row r="3636" spans="9:14" x14ac:dyDescent="0.25">
      <c r="I3636" s="11" t="b">
        <f t="shared" si="187"/>
        <v>0</v>
      </c>
      <c r="M3636" s="17" t="str">
        <f t="shared" si="185"/>
        <v/>
      </c>
      <c r="N3636" s="11" t="str">
        <f t="shared" si="186"/>
        <v/>
      </c>
    </row>
    <row r="3637" spans="9:14" x14ac:dyDescent="0.25">
      <c r="I3637" s="11" t="b">
        <f t="shared" si="187"/>
        <v>0</v>
      </c>
      <c r="M3637" s="17" t="str">
        <f t="shared" si="185"/>
        <v/>
      </c>
      <c r="N3637" s="11" t="str">
        <f t="shared" si="186"/>
        <v/>
      </c>
    </row>
    <row r="3638" spans="9:14" x14ac:dyDescent="0.25">
      <c r="I3638" s="11" t="b">
        <f t="shared" si="187"/>
        <v>0</v>
      </c>
      <c r="M3638" s="17" t="str">
        <f t="shared" si="185"/>
        <v/>
      </c>
      <c r="N3638" s="11" t="str">
        <f t="shared" si="186"/>
        <v/>
      </c>
    </row>
    <row r="3639" spans="9:14" x14ac:dyDescent="0.25">
      <c r="I3639" s="11" t="b">
        <f t="shared" si="187"/>
        <v>0</v>
      </c>
      <c r="M3639" s="17" t="str">
        <f t="shared" si="185"/>
        <v/>
      </c>
      <c r="N3639" s="11" t="str">
        <f t="shared" si="186"/>
        <v/>
      </c>
    </row>
    <row r="3640" spans="9:14" x14ac:dyDescent="0.25">
      <c r="I3640" s="11" t="b">
        <f t="shared" si="187"/>
        <v>0</v>
      </c>
      <c r="M3640" s="17" t="str">
        <f t="shared" si="185"/>
        <v/>
      </c>
      <c r="N3640" s="11" t="str">
        <f t="shared" si="186"/>
        <v/>
      </c>
    </row>
    <row r="3641" spans="9:14" x14ac:dyDescent="0.25">
      <c r="I3641" s="11" t="b">
        <f t="shared" si="187"/>
        <v>0</v>
      </c>
      <c r="M3641" s="17" t="str">
        <f t="shared" si="185"/>
        <v/>
      </c>
      <c r="N3641" s="11" t="str">
        <f t="shared" si="186"/>
        <v/>
      </c>
    </row>
    <row r="3642" spans="9:14" x14ac:dyDescent="0.25">
      <c r="I3642" s="11" t="b">
        <f t="shared" si="187"/>
        <v>0</v>
      </c>
      <c r="M3642" s="17" t="str">
        <f t="shared" si="185"/>
        <v/>
      </c>
      <c r="N3642" s="11" t="str">
        <f t="shared" si="186"/>
        <v/>
      </c>
    </row>
    <row r="3643" spans="9:14" x14ac:dyDescent="0.25">
      <c r="I3643" s="11" t="b">
        <f t="shared" si="187"/>
        <v>0</v>
      </c>
      <c r="M3643" s="17" t="str">
        <f t="shared" si="185"/>
        <v/>
      </c>
      <c r="N3643" s="11" t="str">
        <f t="shared" si="186"/>
        <v/>
      </c>
    </row>
    <row r="3644" spans="9:14" x14ac:dyDescent="0.25">
      <c r="I3644" s="11" t="b">
        <f t="shared" si="187"/>
        <v>0</v>
      </c>
      <c r="M3644" s="17" t="str">
        <f t="shared" si="185"/>
        <v/>
      </c>
      <c r="N3644" s="11" t="str">
        <f t="shared" si="186"/>
        <v/>
      </c>
    </row>
    <row r="3645" spans="9:14" x14ac:dyDescent="0.25">
      <c r="I3645" s="11" t="b">
        <f t="shared" si="187"/>
        <v>0</v>
      </c>
      <c r="M3645" s="17" t="str">
        <f t="shared" si="185"/>
        <v/>
      </c>
      <c r="N3645" s="11" t="str">
        <f t="shared" si="186"/>
        <v/>
      </c>
    </row>
    <row r="3646" spans="9:14" x14ac:dyDescent="0.25">
      <c r="I3646" s="11" t="b">
        <f t="shared" si="187"/>
        <v>0</v>
      </c>
      <c r="M3646" s="17" t="str">
        <f t="shared" si="185"/>
        <v/>
      </c>
      <c r="N3646" s="11" t="str">
        <f t="shared" si="186"/>
        <v/>
      </c>
    </row>
    <row r="3647" spans="9:14" x14ac:dyDescent="0.25">
      <c r="I3647" s="11" t="b">
        <f t="shared" si="187"/>
        <v>0</v>
      </c>
      <c r="M3647" s="17" t="str">
        <f t="shared" si="185"/>
        <v/>
      </c>
      <c r="N3647" s="11" t="str">
        <f t="shared" si="186"/>
        <v/>
      </c>
    </row>
    <row r="3648" spans="9:14" x14ac:dyDescent="0.25">
      <c r="I3648" s="11" t="b">
        <f t="shared" si="187"/>
        <v>0</v>
      </c>
      <c r="M3648" s="17" t="str">
        <f t="shared" si="185"/>
        <v/>
      </c>
      <c r="N3648" s="11" t="str">
        <f t="shared" si="186"/>
        <v/>
      </c>
    </row>
    <row r="3649" spans="9:14" x14ac:dyDescent="0.25">
      <c r="I3649" s="11" t="b">
        <f t="shared" si="187"/>
        <v>0</v>
      </c>
      <c r="M3649" s="17" t="str">
        <f t="shared" ref="M3649:M3712" si="188">IF(B3649=0, "",M3648+ J3649-K3649)</f>
        <v/>
      </c>
      <c r="N3649" s="11" t="str">
        <f t="shared" ref="N3649:N3712" si="189">IF(B3649=0, "", MONTH(B3649))</f>
        <v/>
      </c>
    </row>
    <row r="3650" spans="9:14" x14ac:dyDescent="0.25">
      <c r="I3650" s="11" t="b">
        <f t="shared" si="187"/>
        <v>0</v>
      </c>
      <c r="M3650" s="17" t="str">
        <f t="shared" si="188"/>
        <v/>
      </c>
      <c r="N3650" s="11" t="str">
        <f t="shared" si="189"/>
        <v/>
      </c>
    </row>
    <row r="3651" spans="9:14" x14ac:dyDescent="0.25">
      <c r="I3651" s="11" t="b">
        <f t="shared" si="187"/>
        <v>0</v>
      </c>
      <c r="M3651" s="17" t="str">
        <f t="shared" si="188"/>
        <v/>
      </c>
      <c r="N3651" s="11" t="str">
        <f t="shared" si="189"/>
        <v/>
      </c>
    </row>
    <row r="3652" spans="9:14" x14ac:dyDescent="0.25">
      <c r="I3652" s="11" t="b">
        <f t="shared" si="187"/>
        <v>0</v>
      </c>
      <c r="M3652" s="17" t="str">
        <f t="shared" si="188"/>
        <v/>
      </c>
      <c r="N3652" s="11" t="str">
        <f t="shared" si="189"/>
        <v/>
      </c>
    </row>
    <row r="3653" spans="9:14" x14ac:dyDescent="0.25">
      <c r="I3653" s="11" t="b">
        <f t="shared" si="187"/>
        <v>0</v>
      </c>
      <c r="M3653" s="17" t="str">
        <f t="shared" si="188"/>
        <v/>
      </c>
      <c r="N3653" s="11" t="str">
        <f t="shared" si="189"/>
        <v/>
      </c>
    </row>
    <row r="3654" spans="9:14" x14ac:dyDescent="0.25">
      <c r="I3654" s="11" t="b">
        <f t="shared" si="187"/>
        <v>0</v>
      </c>
      <c r="M3654" s="17" t="str">
        <f t="shared" si="188"/>
        <v/>
      </c>
      <c r="N3654" s="11" t="str">
        <f t="shared" si="189"/>
        <v/>
      </c>
    </row>
    <row r="3655" spans="9:14" x14ac:dyDescent="0.25">
      <c r="I3655" s="11" t="b">
        <f t="shared" si="187"/>
        <v>0</v>
      </c>
      <c r="M3655" s="17" t="str">
        <f t="shared" si="188"/>
        <v/>
      </c>
      <c r="N3655" s="11" t="str">
        <f t="shared" si="189"/>
        <v/>
      </c>
    </row>
    <row r="3656" spans="9:14" x14ac:dyDescent="0.25">
      <c r="I3656" s="11" t="b">
        <f t="shared" si="187"/>
        <v>0</v>
      </c>
      <c r="M3656" s="17" t="str">
        <f t="shared" si="188"/>
        <v/>
      </c>
      <c r="N3656" s="11" t="str">
        <f t="shared" si="189"/>
        <v/>
      </c>
    </row>
    <row r="3657" spans="9:14" x14ac:dyDescent="0.25">
      <c r="I3657" s="11" t="b">
        <f t="shared" si="187"/>
        <v>0</v>
      </c>
      <c r="M3657" s="17" t="str">
        <f t="shared" si="188"/>
        <v/>
      </c>
      <c r="N3657" s="11" t="str">
        <f t="shared" si="189"/>
        <v/>
      </c>
    </row>
    <row r="3658" spans="9:14" x14ac:dyDescent="0.25">
      <c r="I3658" s="11" t="b">
        <f t="shared" si="187"/>
        <v>0</v>
      </c>
      <c r="M3658" s="17" t="str">
        <f t="shared" si="188"/>
        <v/>
      </c>
      <c r="N3658" s="11" t="str">
        <f t="shared" si="189"/>
        <v/>
      </c>
    </row>
    <row r="3659" spans="9:14" x14ac:dyDescent="0.25">
      <c r="I3659" s="11" t="b">
        <f t="shared" si="187"/>
        <v>0</v>
      </c>
      <c r="M3659" s="17" t="str">
        <f t="shared" si="188"/>
        <v/>
      </c>
      <c r="N3659" s="11" t="str">
        <f t="shared" si="189"/>
        <v/>
      </c>
    </row>
    <row r="3660" spans="9:14" x14ac:dyDescent="0.25">
      <c r="I3660" s="11" t="b">
        <f t="shared" si="187"/>
        <v>0</v>
      </c>
      <c r="M3660" s="17" t="str">
        <f t="shared" si="188"/>
        <v/>
      </c>
      <c r="N3660" s="11" t="str">
        <f t="shared" si="189"/>
        <v/>
      </c>
    </row>
    <row r="3661" spans="9:14" x14ac:dyDescent="0.25">
      <c r="I3661" s="11" t="b">
        <f t="shared" si="187"/>
        <v>0</v>
      </c>
      <c r="M3661" s="17" t="str">
        <f t="shared" si="188"/>
        <v/>
      </c>
      <c r="N3661" s="11" t="str">
        <f t="shared" si="189"/>
        <v/>
      </c>
    </row>
    <row r="3662" spans="9:14" x14ac:dyDescent="0.25">
      <c r="I3662" s="11" t="b">
        <f t="shared" si="187"/>
        <v>0</v>
      </c>
      <c r="M3662" s="17" t="str">
        <f t="shared" si="188"/>
        <v/>
      </c>
      <c r="N3662" s="11" t="str">
        <f t="shared" si="189"/>
        <v/>
      </c>
    </row>
    <row r="3663" spans="9:14" x14ac:dyDescent="0.25">
      <c r="I3663" s="11" t="b">
        <f t="shared" si="187"/>
        <v>0</v>
      </c>
      <c r="M3663" s="17" t="str">
        <f t="shared" si="188"/>
        <v/>
      </c>
      <c r="N3663" s="11" t="str">
        <f t="shared" si="189"/>
        <v/>
      </c>
    </row>
    <row r="3664" spans="9:14" x14ac:dyDescent="0.25">
      <c r="I3664" s="11" t="b">
        <f t="shared" si="187"/>
        <v>0</v>
      </c>
      <c r="M3664" s="17" t="str">
        <f t="shared" si="188"/>
        <v/>
      </c>
      <c r="N3664" s="11" t="str">
        <f t="shared" si="189"/>
        <v/>
      </c>
    </row>
    <row r="3665" spans="9:14" x14ac:dyDescent="0.25">
      <c r="I3665" s="11" t="b">
        <f t="shared" si="187"/>
        <v>0</v>
      </c>
      <c r="M3665" s="17" t="str">
        <f t="shared" si="188"/>
        <v/>
      </c>
      <c r="N3665" s="11" t="str">
        <f t="shared" si="189"/>
        <v/>
      </c>
    </row>
    <row r="3666" spans="9:14" x14ac:dyDescent="0.25">
      <c r="I3666" s="11" t="b">
        <f t="shared" si="187"/>
        <v>0</v>
      </c>
      <c r="M3666" s="17" t="str">
        <f t="shared" si="188"/>
        <v/>
      </c>
      <c r="N3666" s="11" t="str">
        <f t="shared" si="189"/>
        <v/>
      </c>
    </row>
    <row r="3667" spans="9:14" x14ac:dyDescent="0.25">
      <c r="I3667" s="11" t="b">
        <f t="shared" si="187"/>
        <v>0</v>
      </c>
      <c r="M3667" s="17" t="str">
        <f t="shared" si="188"/>
        <v/>
      </c>
      <c r="N3667" s="11" t="str">
        <f t="shared" si="189"/>
        <v/>
      </c>
    </row>
    <row r="3668" spans="9:14" x14ac:dyDescent="0.25">
      <c r="I3668" s="11" t="b">
        <f t="shared" si="187"/>
        <v>0</v>
      </c>
      <c r="M3668" s="17" t="str">
        <f t="shared" si="188"/>
        <v/>
      </c>
      <c r="N3668" s="11" t="str">
        <f t="shared" si="189"/>
        <v/>
      </c>
    </row>
    <row r="3669" spans="9:14" x14ac:dyDescent="0.25">
      <c r="I3669" s="11" t="b">
        <f t="shared" si="187"/>
        <v>0</v>
      </c>
      <c r="M3669" s="17" t="str">
        <f t="shared" si="188"/>
        <v/>
      </c>
      <c r="N3669" s="11" t="str">
        <f t="shared" si="189"/>
        <v/>
      </c>
    </row>
    <row r="3670" spans="9:14" x14ac:dyDescent="0.25">
      <c r="I3670" s="11" t="b">
        <f t="shared" si="187"/>
        <v>0</v>
      </c>
      <c r="M3670" s="17" t="str">
        <f t="shared" si="188"/>
        <v/>
      </c>
      <c r="N3670" s="11" t="str">
        <f t="shared" si="189"/>
        <v/>
      </c>
    </row>
    <row r="3671" spans="9:14" x14ac:dyDescent="0.25">
      <c r="I3671" s="11" t="b">
        <f t="shared" si="187"/>
        <v>0</v>
      </c>
      <c r="M3671" s="17" t="str">
        <f t="shared" si="188"/>
        <v/>
      </c>
      <c r="N3671" s="11" t="str">
        <f t="shared" si="189"/>
        <v/>
      </c>
    </row>
    <row r="3672" spans="9:14" x14ac:dyDescent="0.25">
      <c r="I3672" s="11" t="b">
        <f t="shared" si="187"/>
        <v>0</v>
      </c>
      <c r="M3672" s="17" t="str">
        <f t="shared" si="188"/>
        <v/>
      </c>
      <c r="N3672" s="11" t="str">
        <f t="shared" si="189"/>
        <v/>
      </c>
    </row>
    <row r="3673" spans="9:14" x14ac:dyDescent="0.25">
      <c r="I3673" s="11" t="b">
        <f t="shared" si="187"/>
        <v>0</v>
      </c>
      <c r="M3673" s="17" t="str">
        <f t="shared" si="188"/>
        <v/>
      </c>
      <c r="N3673" s="11" t="str">
        <f t="shared" si="189"/>
        <v/>
      </c>
    </row>
    <row r="3674" spans="9:14" x14ac:dyDescent="0.25">
      <c r="I3674" s="11" t="b">
        <f t="shared" si="187"/>
        <v>0</v>
      </c>
      <c r="M3674" s="17" t="str">
        <f t="shared" si="188"/>
        <v/>
      </c>
      <c r="N3674" s="11" t="str">
        <f t="shared" si="189"/>
        <v/>
      </c>
    </row>
    <row r="3675" spans="9:14" x14ac:dyDescent="0.25">
      <c r="I3675" s="11" t="b">
        <f t="shared" si="187"/>
        <v>0</v>
      </c>
      <c r="M3675" s="17" t="str">
        <f t="shared" si="188"/>
        <v/>
      </c>
      <c r="N3675" s="11" t="str">
        <f t="shared" si="189"/>
        <v/>
      </c>
    </row>
    <row r="3676" spans="9:14" x14ac:dyDescent="0.25">
      <c r="I3676" s="11" t="b">
        <f t="shared" si="187"/>
        <v>0</v>
      </c>
      <c r="M3676" s="17" t="str">
        <f t="shared" si="188"/>
        <v/>
      </c>
      <c r="N3676" s="11" t="str">
        <f t="shared" si="189"/>
        <v/>
      </c>
    </row>
    <row r="3677" spans="9:14" x14ac:dyDescent="0.25">
      <c r="I3677" s="11" t="b">
        <f t="shared" ref="I3677:I3740" si="190">IF(AND(G3677="MERCADO PAGO",A3677="FATURAMENTO"),1,IF(AND(OR(G3677="MERCADO PAGO",G3677="pix mercado pago",G3677= "débito automático mercado pago", G3677= "boleto mercado pago"),A3677="DESPESAS"),4,IF(AND(G3677="SAFRA",A3677="FATURAMENTO"),2,IF(AND(OR(G3677="SAFRA",G3677="PIX SAFRA", G3677="DÉBITO AUTOMÁTICO SAFRA", G3677= "BOLETO SAFRA", G3677= "transferência safra"), A3677="DESPESAS"),5,IF(AND(G3677="espécie",A3677="FATURAMENTO"),3,IF(AND(G3677="espécie",A3677="DESPESAS"),6))))))</f>
        <v>0</v>
      </c>
      <c r="M3677" s="17" t="str">
        <f t="shared" si="188"/>
        <v/>
      </c>
      <c r="N3677" s="11" t="str">
        <f t="shared" si="189"/>
        <v/>
      </c>
    </row>
    <row r="3678" spans="9:14" x14ac:dyDescent="0.25">
      <c r="I3678" s="11" t="b">
        <f t="shared" si="190"/>
        <v>0</v>
      </c>
      <c r="M3678" s="17" t="str">
        <f t="shared" si="188"/>
        <v/>
      </c>
      <c r="N3678" s="11" t="str">
        <f t="shared" si="189"/>
        <v/>
      </c>
    </row>
    <row r="3679" spans="9:14" x14ac:dyDescent="0.25">
      <c r="I3679" s="11" t="b">
        <f t="shared" si="190"/>
        <v>0</v>
      </c>
      <c r="M3679" s="17" t="str">
        <f t="shared" si="188"/>
        <v/>
      </c>
      <c r="N3679" s="11" t="str">
        <f t="shared" si="189"/>
        <v/>
      </c>
    </row>
    <row r="3680" spans="9:14" x14ac:dyDescent="0.25">
      <c r="I3680" s="11" t="b">
        <f t="shared" si="190"/>
        <v>0</v>
      </c>
      <c r="M3680" s="17" t="str">
        <f t="shared" si="188"/>
        <v/>
      </c>
      <c r="N3680" s="11" t="str">
        <f t="shared" si="189"/>
        <v/>
      </c>
    </row>
    <row r="3681" spans="9:14" x14ac:dyDescent="0.25">
      <c r="I3681" s="11" t="b">
        <f t="shared" si="190"/>
        <v>0</v>
      </c>
      <c r="M3681" s="17" t="str">
        <f t="shared" si="188"/>
        <v/>
      </c>
      <c r="N3681" s="11" t="str">
        <f t="shared" si="189"/>
        <v/>
      </c>
    </row>
    <row r="3682" spans="9:14" x14ac:dyDescent="0.25">
      <c r="I3682" s="11" t="b">
        <f t="shared" si="190"/>
        <v>0</v>
      </c>
      <c r="M3682" s="17" t="str">
        <f t="shared" si="188"/>
        <v/>
      </c>
      <c r="N3682" s="11" t="str">
        <f t="shared" si="189"/>
        <v/>
      </c>
    </row>
    <row r="3683" spans="9:14" x14ac:dyDescent="0.25">
      <c r="I3683" s="11" t="b">
        <f t="shared" si="190"/>
        <v>0</v>
      </c>
      <c r="M3683" s="17" t="str">
        <f t="shared" si="188"/>
        <v/>
      </c>
      <c r="N3683" s="11" t="str">
        <f t="shared" si="189"/>
        <v/>
      </c>
    </row>
    <row r="3684" spans="9:14" x14ac:dyDescent="0.25">
      <c r="I3684" s="11" t="b">
        <f t="shared" si="190"/>
        <v>0</v>
      </c>
      <c r="M3684" s="17" t="str">
        <f t="shared" si="188"/>
        <v/>
      </c>
      <c r="N3684" s="11" t="str">
        <f t="shared" si="189"/>
        <v/>
      </c>
    </row>
    <row r="3685" spans="9:14" x14ac:dyDescent="0.25">
      <c r="I3685" s="11" t="b">
        <f t="shared" si="190"/>
        <v>0</v>
      </c>
      <c r="M3685" s="17" t="str">
        <f t="shared" si="188"/>
        <v/>
      </c>
      <c r="N3685" s="11" t="str">
        <f t="shared" si="189"/>
        <v/>
      </c>
    </row>
    <row r="3686" spans="9:14" x14ac:dyDescent="0.25">
      <c r="I3686" s="11" t="b">
        <f t="shared" si="190"/>
        <v>0</v>
      </c>
      <c r="M3686" s="17" t="str">
        <f t="shared" si="188"/>
        <v/>
      </c>
      <c r="N3686" s="11" t="str">
        <f t="shared" si="189"/>
        <v/>
      </c>
    </row>
    <row r="3687" spans="9:14" x14ac:dyDescent="0.25">
      <c r="I3687" s="11" t="b">
        <f t="shared" si="190"/>
        <v>0</v>
      </c>
      <c r="M3687" s="17" t="str">
        <f t="shared" si="188"/>
        <v/>
      </c>
      <c r="N3687" s="11" t="str">
        <f t="shared" si="189"/>
        <v/>
      </c>
    </row>
    <row r="3688" spans="9:14" x14ac:dyDescent="0.25">
      <c r="I3688" s="11" t="b">
        <f t="shared" si="190"/>
        <v>0</v>
      </c>
      <c r="M3688" s="17" t="str">
        <f t="shared" si="188"/>
        <v/>
      </c>
      <c r="N3688" s="11" t="str">
        <f t="shared" si="189"/>
        <v/>
      </c>
    </row>
    <row r="3689" spans="9:14" x14ac:dyDescent="0.25">
      <c r="I3689" s="11" t="b">
        <f t="shared" si="190"/>
        <v>0</v>
      </c>
      <c r="M3689" s="17" t="str">
        <f t="shared" si="188"/>
        <v/>
      </c>
      <c r="N3689" s="11" t="str">
        <f t="shared" si="189"/>
        <v/>
      </c>
    </row>
    <row r="3690" spans="9:14" x14ac:dyDescent="0.25">
      <c r="I3690" s="11" t="b">
        <f t="shared" si="190"/>
        <v>0</v>
      </c>
      <c r="M3690" s="17" t="str">
        <f t="shared" si="188"/>
        <v/>
      </c>
      <c r="N3690" s="11" t="str">
        <f t="shared" si="189"/>
        <v/>
      </c>
    </row>
    <row r="3691" spans="9:14" x14ac:dyDescent="0.25">
      <c r="I3691" s="11" t="b">
        <f t="shared" si="190"/>
        <v>0</v>
      </c>
      <c r="M3691" s="17" t="str">
        <f t="shared" si="188"/>
        <v/>
      </c>
      <c r="N3691" s="11" t="str">
        <f t="shared" si="189"/>
        <v/>
      </c>
    </row>
    <row r="3692" spans="9:14" x14ac:dyDescent="0.25">
      <c r="I3692" s="11" t="b">
        <f t="shared" si="190"/>
        <v>0</v>
      </c>
      <c r="M3692" s="17" t="str">
        <f t="shared" si="188"/>
        <v/>
      </c>
      <c r="N3692" s="11" t="str">
        <f t="shared" si="189"/>
        <v/>
      </c>
    </row>
    <row r="3693" spans="9:14" x14ac:dyDescent="0.25">
      <c r="I3693" s="11" t="b">
        <f t="shared" si="190"/>
        <v>0</v>
      </c>
      <c r="M3693" s="17" t="str">
        <f t="shared" si="188"/>
        <v/>
      </c>
      <c r="N3693" s="11" t="str">
        <f t="shared" si="189"/>
        <v/>
      </c>
    </row>
    <row r="3694" spans="9:14" x14ac:dyDescent="0.25">
      <c r="I3694" s="11" t="b">
        <f t="shared" si="190"/>
        <v>0</v>
      </c>
      <c r="M3694" s="17" t="str">
        <f t="shared" si="188"/>
        <v/>
      </c>
      <c r="N3694" s="11" t="str">
        <f t="shared" si="189"/>
        <v/>
      </c>
    </row>
    <row r="3695" spans="9:14" x14ac:dyDescent="0.25">
      <c r="I3695" s="11" t="b">
        <f t="shared" si="190"/>
        <v>0</v>
      </c>
      <c r="M3695" s="17" t="str">
        <f t="shared" si="188"/>
        <v/>
      </c>
      <c r="N3695" s="11" t="str">
        <f t="shared" si="189"/>
        <v/>
      </c>
    </row>
    <row r="3696" spans="9:14" x14ac:dyDescent="0.25">
      <c r="I3696" s="11" t="b">
        <f t="shared" si="190"/>
        <v>0</v>
      </c>
      <c r="M3696" s="17" t="str">
        <f t="shared" si="188"/>
        <v/>
      </c>
      <c r="N3696" s="11" t="str">
        <f t="shared" si="189"/>
        <v/>
      </c>
    </row>
    <row r="3697" spans="9:14" x14ac:dyDescent="0.25">
      <c r="I3697" s="11" t="b">
        <f t="shared" si="190"/>
        <v>0</v>
      </c>
      <c r="M3697" s="17" t="str">
        <f t="shared" si="188"/>
        <v/>
      </c>
      <c r="N3697" s="11" t="str">
        <f t="shared" si="189"/>
        <v/>
      </c>
    </row>
    <row r="3698" spans="9:14" x14ac:dyDescent="0.25">
      <c r="I3698" s="11" t="b">
        <f t="shared" si="190"/>
        <v>0</v>
      </c>
      <c r="M3698" s="17" t="str">
        <f t="shared" si="188"/>
        <v/>
      </c>
      <c r="N3698" s="11" t="str">
        <f t="shared" si="189"/>
        <v/>
      </c>
    </row>
    <row r="3699" spans="9:14" x14ac:dyDescent="0.25">
      <c r="I3699" s="11" t="b">
        <f t="shared" si="190"/>
        <v>0</v>
      </c>
      <c r="M3699" s="17" t="str">
        <f t="shared" si="188"/>
        <v/>
      </c>
      <c r="N3699" s="11" t="str">
        <f t="shared" si="189"/>
        <v/>
      </c>
    </row>
    <row r="3700" spans="9:14" x14ac:dyDescent="0.25">
      <c r="I3700" s="11" t="b">
        <f t="shared" si="190"/>
        <v>0</v>
      </c>
      <c r="M3700" s="17" t="str">
        <f t="shared" si="188"/>
        <v/>
      </c>
      <c r="N3700" s="11" t="str">
        <f t="shared" si="189"/>
        <v/>
      </c>
    </row>
    <row r="3701" spans="9:14" x14ac:dyDescent="0.25">
      <c r="I3701" s="11" t="b">
        <f t="shared" si="190"/>
        <v>0</v>
      </c>
      <c r="M3701" s="17" t="str">
        <f t="shared" si="188"/>
        <v/>
      </c>
      <c r="N3701" s="11" t="str">
        <f t="shared" si="189"/>
        <v/>
      </c>
    </row>
    <row r="3702" spans="9:14" x14ac:dyDescent="0.25">
      <c r="I3702" s="11" t="b">
        <f t="shared" si="190"/>
        <v>0</v>
      </c>
      <c r="M3702" s="17" t="str">
        <f t="shared" si="188"/>
        <v/>
      </c>
      <c r="N3702" s="11" t="str">
        <f t="shared" si="189"/>
        <v/>
      </c>
    </row>
    <row r="3703" spans="9:14" x14ac:dyDescent="0.25">
      <c r="I3703" s="11" t="b">
        <f t="shared" si="190"/>
        <v>0</v>
      </c>
      <c r="M3703" s="17" t="str">
        <f t="shared" si="188"/>
        <v/>
      </c>
      <c r="N3703" s="11" t="str">
        <f t="shared" si="189"/>
        <v/>
      </c>
    </row>
    <row r="3704" spans="9:14" x14ac:dyDescent="0.25">
      <c r="I3704" s="11" t="b">
        <f t="shared" si="190"/>
        <v>0</v>
      </c>
      <c r="M3704" s="17" t="str">
        <f t="shared" si="188"/>
        <v/>
      </c>
      <c r="N3704" s="11" t="str">
        <f t="shared" si="189"/>
        <v/>
      </c>
    </row>
    <row r="3705" spans="9:14" x14ac:dyDescent="0.25">
      <c r="I3705" s="11" t="b">
        <f t="shared" si="190"/>
        <v>0</v>
      </c>
      <c r="M3705" s="17" t="str">
        <f t="shared" si="188"/>
        <v/>
      </c>
      <c r="N3705" s="11" t="str">
        <f t="shared" si="189"/>
        <v/>
      </c>
    </row>
    <row r="3706" spans="9:14" x14ac:dyDescent="0.25">
      <c r="I3706" s="11" t="b">
        <f t="shared" si="190"/>
        <v>0</v>
      </c>
      <c r="M3706" s="17" t="str">
        <f t="shared" si="188"/>
        <v/>
      </c>
      <c r="N3706" s="11" t="str">
        <f t="shared" si="189"/>
        <v/>
      </c>
    </row>
    <row r="3707" spans="9:14" x14ac:dyDescent="0.25">
      <c r="I3707" s="11" t="b">
        <f t="shared" si="190"/>
        <v>0</v>
      </c>
      <c r="M3707" s="17" t="str">
        <f t="shared" si="188"/>
        <v/>
      </c>
      <c r="N3707" s="11" t="str">
        <f t="shared" si="189"/>
        <v/>
      </c>
    </row>
    <row r="3708" spans="9:14" x14ac:dyDescent="0.25">
      <c r="I3708" s="11" t="b">
        <f t="shared" si="190"/>
        <v>0</v>
      </c>
      <c r="M3708" s="17" t="str">
        <f t="shared" si="188"/>
        <v/>
      </c>
      <c r="N3708" s="11" t="str">
        <f t="shared" si="189"/>
        <v/>
      </c>
    </row>
    <row r="3709" spans="9:14" x14ac:dyDescent="0.25">
      <c r="I3709" s="11" t="b">
        <f t="shared" si="190"/>
        <v>0</v>
      </c>
      <c r="M3709" s="17" t="str">
        <f t="shared" si="188"/>
        <v/>
      </c>
      <c r="N3709" s="11" t="str">
        <f t="shared" si="189"/>
        <v/>
      </c>
    </row>
    <row r="3710" spans="9:14" x14ac:dyDescent="0.25">
      <c r="I3710" s="11" t="b">
        <f t="shared" si="190"/>
        <v>0</v>
      </c>
      <c r="M3710" s="17" t="str">
        <f t="shared" si="188"/>
        <v/>
      </c>
      <c r="N3710" s="11" t="str">
        <f t="shared" si="189"/>
        <v/>
      </c>
    </row>
    <row r="3711" spans="9:14" x14ac:dyDescent="0.25">
      <c r="I3711" s="11" t="b">
        <f t="shared" si="190"/>
        <v>0</v>
      </c>
      <c r="M3711" s="17" t="str">
        <f t="shared" si="188"/>
        <v/>
      </c>
      <c r="N3711" s="11" t="str">
        <f t="shared" si="189"/>
        <v/>
      </c>
    </row>
    <row r="3712" spans="9:14" x14ac:dyDescent="0.25">
      <c r="I3712" s="11" t="b">
        <f t="shared" si="190"/>
        <v>0</v>
      </c>
      <c r="M3712" s="17" t="str">
        <f t="shared" si="188"/>
        <v/>
      </c>
      <c r="N3712" s="11" t="str">
        <f t="shared" si="189"/>
        <v/>
      </c>
    </row>
    <row r="3713" spans="9:14" x14ac:dyDescent="0.25">
      <c r="I3713" s="11" t="b">
        <f t="shared" si="190"/>
        <v>0</v>
      </c>
      <c r="M3713" s="17" t="str">
        <f t="shared" ref="M3713:M3776" si="191">IF(B3713=0, "",M3712+ J3713-K3713)</f>
        <v/>
      </c>
      <c r="N3713" s="11" t="str">
        <f t="shared" ref="N3713:N3776" si="192">IF(B3713=0, "", MONTH(B3713))</f>
        <v/>
      </c>
    </row>
    <row r="3714" spans="9:14" x14ac:dyDescent="0.25">
      <c r="I3714" s="11" t="b">
        <f t="shared" si="190"/>
        <v>0</v>
      </c>
      <c r="M3714" s="17" t="str">
        <f t="shared" si="191"/>
        <v/>
      </c>
      <c r="N3714" s="11" t="str">
        <f t="shared" si="192"/>
        <v/>
      </c>
    </row>
    <row r="3715" spans="9:14" x14ac:dyDescent="0.25">
      <c r="I3715" s="11" t="b">
        <f t="shared" si="190"/>
        <v>0</v>
      </c>
      <c r="M3715" s="17" t="str">
        <f t="shared" si="191"/>
        <v/>
      </c>
      <c r="N3715" s="11" t="str">
        <f t="shared" si="192"/>
        <v/>
      </c>
    </row>
    <row r="3716" spans="9:14" x14ac:dyDescent="0.25">
      <c r="I3716" s="11" t="b">
        <f t="shared" si="190"/>
        <v>0</v>
      </c>
      <c r="M3716" s="17" t="str">
        <f t="shared" si="191"/>
        <v/>
      </c>
      <c r="N3716" s="11" t="str">
        <f t="shared" si="192"/>
        <v/>
      </c>
    </row>
    <row r="3717" spans="9:14" x14ac:dyDescent="0.25">
      <c r="I3717" s="11" t="b">
        <f t="shared" si="190"/>
        <v>0</v>
      </c>
      <c r="M3717" s="17" t="str">
        <f t="shared" si="191"/>
        <v/>
      </c>
      <c r="N3717" s="11" t="str">
        <f t="shared" si="192"/>
        <v/>
      </c>
    </row>
    <row r="3718" spans="9:14" x14ac:dyDescent="0.25">
      <c r="I3718" s="11" t="b">
        <f t="shared" si="190"/>
        <v>0</v>
      </c>
      <c r="M3718" s="17" t="str">
        <f t="shared" si="191"/>
        <v/>
      </c>
      <c r="N3718" s="11" t="str">
        <f t="shared" si="192"/>
        <v/>
      </c>
    </row>
    <row r="3719" spans="9:14" x14ac:dyDescent="0.25">
      <c r="I3719" s="11" t="b">
        <f t="shared" si="190"/>
        <v>0</v>
      </c>
      <c r="M3719" s="17" t="str">
        <f t="shared" si="191"/>
        <v/>
      </c>
      <c r="N3719" s="11" t="str">
        <f t="shared" si="192"/>
        <v/>
      </c>
    </row>
    <row r="3720" spans="9:14" x14ac:dyDescent="0.25">
      <c r="I3720" s="11" t="b">
        <f t="shared" si="190"/>
        <v>0</v>
      </c>
      <c r="M3720" s="17" t="str">
        <f t="shared" si="191"/>
        <v/>
      </c>
      <c r="N3720" s="11" t="str">
        <f t="shared" si="192"/>
        <v/>
      </c>
    </row>
    <row r="3721" spans="9:14" x14ac:dyDescent="0.25">
      <c r="I3721" s="11" t="b">
        <f t="shared" si="190"/>
        <v>0</v>
      </c>
      <c r="M3721" s="17" t="str">
        <f t="shared" si="191"/>
        <v/>
      </c>
      <c r="N3721" s="11" t="str">
        <f t="shared" si="192"/>
        <v/>
      </c>
    </row>
    <row r="3722" spans="9:14" x14ac:dyDescent="0.25">
      <c r="I3722" s="11" t="b">
        <f t="shared" si="190"/>
        <v>0</v>
      </c>
      <c r="M3722" s="17" t="str">
        <f t="shared" si="191"/>
        <v/>
      </c>
      <c r="N3722" s="11" t="str">
        <f t="shared" si="192"/>
        <v/>
      </c>
    </row>
    <row r="3723" spans="9:14" x14ac:dyDescent="0.25">
      <c r="I3723" s="11" t="b">
        <f t="shared" si="190"/>
        <v>0</v>
      </c>
      <c r="M3723" s="17" t="str">
        <f t="shared" si="191"/>
        <v/>
      </c>
      <c r="N3723" s="11" t="str">
        <f t="shared" si="192"/>
        <v/>
      </c>
    </row>
    <row r="3724" spans="9:14" x14ac:dyDescent="0.25">
      <c r="I3724" s="11" t="b">
        <f t="shared" si="190"/>
        <v>0</v>
      </c>
      <c r="M3724" s="17" t="str">
        <f t="shared" si="191"/>
        <v/>
      </c>
      <c r="N3724" s="11" t="str">
        <f t="shared" si="192"/>
        <v/>
      </c>
    </row>
    <row r="3725" spans="9:14" x14ac:dyDescent="0.25">
      <c r="I3725" s="11" t="b">
        <f t="shared" si="190"/>
        <v>0</v>
      </c>
      <c r="M3725" s="17" t="str">
        <f t="shared" si="191"/>
        <v/>
      </c>
      <c r="N3725" s="11" t="str">
        <f t="shared" si="192"/>
        <v/>
      </c>
    </row>
    <row r="3726" spans="9:14" x14ac:dyDescent="0.25">
      <c r="I3726" s="11" t="b">
        <f t="shared" si="190"/>
        <v>0</v>
      </c>
      <c r="M3726" s="17" t="str">
        <f t="shared" si="191"/>
        <v/>
      </c>
      <c r="N3726" s="11" t="str">
        <f t="shared" si="192"/>
        <v/>
      </c>
    </row>
    <row r="3727" spans="9:14" x14ac:dyDescent="0.25">
      <c r="I3727" s="11" t="b">
        <f t="shared" si="190"/>
        <v>0</v>
      </c>
      <c r="M3727" s="17" t="str">
        <f t="shared" si="191"/>
        <v/>
      </c>
      <c r="N3727" s="11" t="str">
        <f t="shared" si="192"/>
        <v/>
      </c>
    </row>
    <row r="3728" spans="9:14" x14ac:dyDescent="0.25">
      <c r="I3728" s="11" t="b">
        <f t="shared" si="190"/>
        <v>0</v>
      </c>
      <c r="M3728" s="17" t="str">
        <f t="shared" si="191"/>
        <v/>
      </c>
      <c r="N3728" s="11" t="str">
        <f t="shared" si="192"/>
        <v/>
      </c>
    </row>
    <row r="3729" spans="9:14" x14ac:dyDescent="0.25">
      <c r="I3729" s="11" t="b">
        <f t="shared" si="190"/>
        <v>0</v>
      </c>
      <c r="M3729" s="17" t="str">
        <f t="shared" si="191"/>
        <v/>
      </c>
      <c r="N3729" s="11" t="str">
        <f t="shared" si="192"/>
        <v/>
      </c>
    </row>
    <row r="3730" spans="9:14" x14ac:dyDescent="0.25">
      <c r="I3730" s="11" t="b">
        <f t="shared" si="190"/>
        <v>0</v>
      </c>
      <c r="M3730" s="17" t="str">
        <f t="shared" si="191"/>
        <v/>
      </c>
      <c r="N3730" s="11" t="str">
        <f t="shared" si="192"/>
        <v/>
      </c>
    </row>
    <row r="3731" spans="9:14" x14ac:dyDescent="0.25">
      <c r="I3731" s="11" t="b">
        <f t="shared" si="190"/>
        <v>0</v>
      </c>
      <c r="M3731" s="17" t="str">
        <f t="shared" si="191"/>
        <v/>
      </c>
      <c r="N3731" s="11" t="str">
        <f t="shared" si="192"/>
        <v/>
      </c>
    </row>
    <row r="3732" spans="9:14" x14ac:dyDescent="0.25">
      <c r="I3732" s="11" t="b">
        <f t="shared" si="190"/>
        <v>0</v>
      </c>
      <c r="M3732" s="17" t="str">
        <f t="shared" si="191"/>
        <v/>
      </c>
      <c r="N3732" s="11" t="str">
        <f t="shared" si="192"/>
        <v/>
      </c>
    </row>
    <row r="3733" spans="9:14" x14ac:dyDescent="0.25">
      <c r="I3733" s="11" t="b">
        <f t="shared" si="190"/>
        <v>0</v>
      </c>
      <c r="M3733" s="17" t="str">
        <f t="shared" si="191"/>
        <v/>
      </c>
      <c r="N3733" s="11" t="str">
        <f t="shared" si="192"/>
        <v/>
      </c>
    </row>
    <row r="3734" spans="9:14" x14ac:dyDescent="0.25">
      <c r="I3734" s="11" t="b">
        <f t="shared" si="190"/>
        <v>0</v>
      </c>
      <c r="M3734" s="17" t="str">
        <f t="shared" si="191"/>
        <v/>
      </c>
      <c r="N3734" s="11" t="str">
        <f t="shared" si="192"/>
        <v/>
      </c>
    </row>
    <row r="3735" spans="9:14" x14ac:dyDescent="0.25">
      <c r="I3735" s="11" t="b">
        <f t="shared" si="190"/>
        <v>0</v>
      </c>
      <c r="M3735" s="17" t="str">
        <f t="shared" si="191"/>
        <v/>
      </c>
      <c r="N3735" s="11" t="str">
        <f t="shared" si="192"/>
        <v/>
      </c>
    </row>
    <row r="3736" spans="9:14" x14ac:dyDescent="0.25">
      <c r="I3736" s="11" t="b">
        <f t="shared" si="190"/>
        <v>0</v>
      </c>
      <c r="M3736" s="17" t="str">
        <f t="shared" si="191"/>
        <v/>
      </c>
      <c r="N3736" s="11" t="str">
        <f t="shared" si="192"/>
        <v/>
      </c>
    </row>
    <row r="3737" spans="9:14" x14ac:dyDescent="0.25">
      <c r="I3737" s="11" t="b">
        <f t="shared" si="190"/>
        <v>0</v>
      </c>
      <c r="M3737" s="17" t="str">
        <f t="shared" si="191"/>
        <v/>
      </c>
      <c r="N3737" s="11" t="str">
        <f t="shared" si="192"/>
        <v/>
      </c>
    </row>
    <row r="3738" spans="9:14" x14ac:dyDescent="0.25">
      <c r="I3738" s="11" t="b">
        <f t="shared" si="190"/>
        <v>0</v>
      </c>
      <c r="M3738" s="17" t="str">
        <f t="shared" si="191"/>
        <v/>
      </c>
      <c r="N3738" s="11" t="str">
        <f t="shared" si="192"/>
        <v/>
      </c>
    </row>
    <row r="3739" spans="9:14" x14ac:dyDescent="0.25">
      <c r="I3739" s="11" t="b">
        <f t="shared" si="190"/>
        <v>0</v>
      </c>
      <c r="M3739" s="17" t="str">
        <f t="shared" si="191"/>
        <v/>
      </c>
      <c r="N3739" s="11" t="str">
        <f t="shared" si="192"/>
        <v/>
      </c>
    </row>
    <row r="3740" spans="9:14" x14ac:dyDescent="0.25">
      <c r="I3740" s="11" t="b">
        <f t="shared" si="190"/>
        <v>0</v>
      </c>
      <c r="M3740" s="17" t="str">
        <f t="shared" si="191"/>
        <v/>
      </c>
      <c r="N3740" s="11" t="str">
        <f t="shared" si="192"/>
        <v/>
      </c>
    </row>
    <row r="3741" spans="9:14" x14ac:dyDescent="0.25">
      <c r="I3741" s="11" t="b">
        <f t="shared" ref="I3741:I3804" si="193">IF(AND(G3741="MERCADO PAGO",A3741="FATURAMENTO"),1,IF(AND(OR(G3741="MERCADO PAGO",G3741="pix mercado pago",G3741= "débito automático mercado pago", G3741= "boleto mercado pago"),A3741="DESPESAS"),4,IF(AND(G3741="SAFRA",A3741="FATURAMENTO"),2,IF(AND(OR(G3741="SAFRA",G3741="PIX SAFRA", G3741="DÉBITO AUTOMÁTICO SAFRA", G3741= "BOLETO SAFRA", G3741= "transferência safra"), A3741="DESPESAS"),5,IF(AND(G3741="espécie",A3741="FATURAMENTO"),3,IF(AND(G3741="espécie",A3741="DESPESAS"),6))))))</f>
        <v>0</v>
      </c>
      <c r="M3741" s="17" t="str">
        <f t="shared" si="191"/>
        <v/>
      </c>
      <c r="N3741" s="11" t="str">
        <f t="shared" si="192"/>
        <v/>
      </c>
    </row>
    <row r="3742" spans="9:14" x14ac:dyDescent="0.25">
      <c r="I3742" s="11" t="b">
        <f t="shared" si="193"/>
        <v>0</v>
      </c>
      <c r="M3742" s="17" t="str">
        <f t="shared" si="191"/>
        <v/>
      </c>
      <c r="N3742" s="11" t="str">
        <f t="shared" si="192"/>
        <v/>
      </c>
    </row>
    <row r="3743" spans="9:14" x14ac:dyDescent="0.25">
      <c r="I3743" s="11" t="b">
        <f t="shared" si="193"/>
        <v>0</v>
      </c>
      <c r="M3743" s="17" t="str">
        <f t="shared" si="191"/>
        <v/>
      </c>
      <c r="N3743" s="11" t="str">
        <f t="shared" si="192"/>
        <v/>
      </c>
    </row>
    <row r="3744" spans="9:14" x14ac:dyDescent="0.25">
      <c r="I3744" s="11" t="b">
        <f t="shared" si="193"/>
        <v>0</v>
      </c>
      <c r="M3744" s="17" t="str">
        <f t="shared" si="191"/>
        <v/>
      </c>
      <c r="N3744" s="11" t="str">
        <f t="shared" si="192"/>
        <v/>
      </c>
    </row>
    <row r="3745" spans="9:14" x14ac:dyDescent="0.25">
      <c r="I3745" s="11" t="b">
        <f t="shared" si="193"/>
        <v>0</v>
      </c>
      <c r="M3745" s="17" t="str">
        <f t="shared" si="191"/>
        <v/>
      </c>
      <c r="N3745" s="11" t="str">
        <f t="shared" si="192"/>
        <v/>
      </c>
    </row>
    <row r="3746" spans="9:14" x14ac:dyDescent="0.25">
      <c r="I3746" s="11" t="b">
        <f t="shared" si="193"/>
        <v>0</v>
      </c>
      <c r="M3746" s="17" t="str">
        <f t="shared" si="191"/>
        <v/>
      </c>
      <c r="N3746" s="11" t="str">
        <f t="shared" si="192"/>
        <v/>
      </c>
    </row>
    <row r="3747" spans="9:14" x14ac:dyDescent="0.25">
      <c r="I3747" s="11" t="b">
        <f t="shared" si="193"/>
        <v>0</v>
      </c>
      <c r="M3747" s="17" t="str">
        <f t="shared" si="191"/>
        <v/>
      </c>
      <c r="N3747" s="11" t="str">
        <f t="shared" si="192"/>
        <v/>
      </c>
    </row>
    <row r="3748" spans="9:14" x14ac:dyDescent="0.25">
      <c r="I3748" s="11" t="b">
        <f t="shared" si="193"/>
        <v>0</v>
      </c>
      <c r="M3748" s="17" t="str">
        <f t="shared" si="191"/>
        <v/>
      </c>
      <c r="N3748" s="11" t="str">
        <f t="shared" si="192"/>
        <v/>
      </c>
    </row>
    <row r="3749" spans="9:14" x14ac:dyDescent="0.25">
      <c r="I3749" s="11" t="b">
        <f t="shared" si="193"/>
        <v>0</v>
      </c>
      <c r="M3749" s="17" t="str">
        <f t="shared" si="191"/>
        <v/>
      </c>
      <c r="N3749" s="11" t="str">
        <f t="shared" si="192"/>
        <v/>
      </c>
    </row>
    <row r="3750" spans="9:14" x14ac:dyDescent="0.25">
      <c r="I3750" s="11" t="b">
        <f t="shared" si="193"/>
        <v>0</v>
      </c>
      <c r="M3750" s="17" t="str">
        <f t="shared" si="191"/>
        <v/>
      </c>
      <c r="N3750" s="11" t="str">
        <f t="shared" si="192"/>
        <v/>
      </c>
    </row>
    <row r="3751" spans="9:14" x14ac:dyDescent="0.25">
      <c r="I3751" s="11" t="b">
        <f t="shared" si="193"/>
        <v>0</v>
      </c>
      <c r="M3751" s="17" t="str">
        <f t="shared" si="191"/>
        <v/>
      </c>
      <c r="N3751" s="11" t="str">
        <f t="shared" si="192"/>
        <v/>
      </c>
    </row>
    <row r="3752" spans="9:14" x14ac:dyDescent="0.25">
      <c r="I3752" s="11" t="b">
        <f t="shared" si="193"/>
        <v>0</v>
      </c>
      <c r="M3752" s="17" t="str">
        <f t="shared" si="191"/>
        <v/>
      </c>
      <c r="N3752" s="11" t="str">
        <f t="shared" si="192"/>
        <v/>
      </c>
    </row>
    <row r="3753" spans="9:14" x14ac:dyDescent="0.25">
      <c r="I3753" s="11" t="b">
        <f t="shared" si="193"/>
        <v>0</v>
      </c>
      <c r="M3753" s="17" t="str">
        <f t="shared" si="191"/>
        <v/>
      </c>
      <c r="N3753" s="11" t="str">
        <f t="shared" si="192"/>
        <v/>
      </c>
    </row>
    <row r="3754" spans="9:14" x14ac:dyDescent="0.25">
      <c r="I3754" s="11" t="b">
        <f t="shared" si="193"/>
        <v>0</v>
      </c>
      <c r="M3754" s="17" t="str">
        <f t="shared" si="191"/>
        <v/>
      </c>
      <c r="N3754" s="11" t="str">
        <f t="shared" si="192"/>
        <v/>
      </c>
    </row>
    <row r="3755" spans="9:14" x14ac:dyDescent="0.25">
      <c r="I3755" s="11" t="b">
        <f t="shared" si="193"/>
        <v>0</v>
      </c>
      <c r="M3755" s="17" t="str">
        <f t="shared" si="191"/>
        <v/>
      </c>
      <c r="N3755" s="11" t="str">
        <f t="shared" si="192"/>
        <v/>
      </c>
    </row>
    <row r="3756" spans="9:14" x14ac:dyDescent="0.25">
      <c r="I3756" s="11" t="b">
        <f t="shared" si="193"/>
        <v>0</v>
      </c>
      <c r="M3756" s="17" t="str">
        <f t="shared" si="191"/>
        <v/>
      </c>
      <c r="N3756" s="11" t="str">
        <f t="shared" si="192"/>
        <v/>
      </c>
    </row>
    <row r="3757" spans="9:14" x14ac:dyDescent="0.25">
      <c r="I3757" s="11" t="b">
        <f t="shared" si="193"/>
        <v>0</v>
      </c>
      <c r="M3757" s="17" t="str">
        <f t="shared" si="191"/>
        <v/>
      </c>
      <c r="N3757" s="11" t="str">
        <f t="shared" si="192"/>
        <v/>
      </c>
    </row>
    <row r="3758" spans="9:14" x14ac:dyDescent="0.25">
      <c r="I3758" s="11" t="b">
        <f t="shared" si="193"/>
        <v>0</v>
      </c>
      <c r="M3758" s="17" t="str">
        <f t="shared" si="191"/>
        <v/>
      </c>
      <c r="N3758" s="11" t="str">
        <f t="shared" si="192"/>
        <v/>
      </c>
    </row>
    <row r="3759" spans="9:14" x14ac:dyDescent="0.25">
      <c r="I3759" s="11" t="b">
        <f t="shared" si="193"/>
        <v>0</v>
      </c>
      <c r="M3759" s="17" t="str">
        <f t="shared" si="191"/>
        <v/>
      </c>
      <c r="N3759" s="11" t="str">
        <f t="shared" si="192"/>
        <v/>
      </c>
    </row>
    <row r="3760" spans="9:14" x14ac:dyDescent="0.25">
      <c r="I3760" s="11" t="b">
        <f t="shared" si="193"/>
        <v>0</v>
      </c>
      <c r="M3760" s="17" t="str">
        <f t="shared" si="191"/>
        <v/>
      </c>
      <c r="N3760" s="11" t="str">
        <f t="shared" si="192"/>
        <v/>
      </c>
    </row>
    <row r="3761" spans="9:14" x14ac:dyDescent="0.25">
      <c r="I3761" s="11" t="b">
        <f t="shared" si="193"/>
        <v>0</v>
      </c>
      <c r="M3761" s="17" t="str">
        <f t="shared" si="191"/>
        <v/>
      </c>
      <c r="N3761" s="11" t="str">
        <f t="shared" si="192"/>
        <v/>
      </c>
    </row>
    <row r="3762" spans="9:14" x14ac:dyDescent="0.25">
      <c r="I3762" s="11" t="b">
        <f t="shared" si="193"/>
        <v>0</v>
      </c>
      <c r="M3762" s="17" t="str">
        <f t="shared" si="191"/>
        <v/>
      </c>
      <c r="N3762" s="11" t="str">
        <f t="shared" si="192"/>
        <v/>
      </c>
    </row>
    <row r="3763" spans="9:14" x14ac:dyDescent="0.25">
      <c r="I3763" s="11" t="b">
        <f t="shared" si="193"/>
        <v>0</v>
      </c>
      <c r="M3763" s="17" t="str">
        <f t="shared" si="191"/>
        <v/>
      </c>
      <c r="N3763" s="11" t="str">
        <f t="shared" si="192"/>
        <v/>
      </c>
    </row>
    <row r="3764" spans="9:14" x14ac:dyDescent="0.25">
      <c r="I3764" s="11" t="b">
        <f t="shared" si="193"/>
        <v>0</v>
      </c>
      <c r="M3764" s="17" t="str">
        <f t="shared" si="191"/>
        <v/>
      </c>
      <c r="N3764" s="11" t="str">
        <f t="shared" si="192"/>
        <v/>
      </c>
    </row>
    <row r="3765" spans="9:14" x14ac:dyDescent="0.25">
      <c r="I3765" s="11" t="b">
        <f t="shared" si="193"/>
        <v>0</v>
      </c>
      <c r="M3765" s="17" t="str">
        <f t="shared" si="191"/>
        <v/>
      </c>
      <c r="N3765" s="11" t="str">
        <f t="shared" si="192"/>
        <v/>
      </c>
    </row>
    <row r="3766" spans="9:14" x14ac:dyDescent="0.25">
      <c r="I3766" s="11" t="b">
        <f t="shared" si="193"/>
        <v>0</v>
      </c>
      <c r="M3766" s="17" t="str">
        <f t="shared" si="191"/>
        <v/>
      </c>
      <c r="N3766" s="11" t="str">
        <f t="shared" si="192"/>
        <v/>
      </c>
    </row>
    <row r="3767" spans="9:14" x14ac:dyDescent="0.25">
      <c r="I3767" s="11" t="b">
        <f t="shared" si="193"/>
        <v>0</v>
      </c>
      <c r="M3767" s="17" t="str">
        <f t="shared" si="191"/>
        <v/>
      </c>
      <c r="N3767" s="11" t="str">
        <f t="shared" si="192"/>
        <v/>
      </c>
    </row>
    <row r="3768" spans="9:14" x14ac:dyDescent="0.25">
      <c r="I3768" s="11" t="b">
        <f t="shared" si="193"/>
        <v>0</v>
      </c>
      <c r="M3768" s="17" t="str">
        <f t="shared" si="191"/>
        <v/>
      </c>
      <c r="N3768" s="11" t="str">
        <f t="shared" si="192"/>
        <v/>
      </c>
    </row>
    <row r="3769" spans="9:14" x14ac:dyDescent="0.25">
      <c r="I3769" s="11" t="b">
        <f t="shared" si="193"/>
        <v>0</v>
      </c>
      <c r="M3769" s="17" t="str">
        <f t="shared" si="191"/>
        <v/>
      </c>
      <c r="N3769" s="11" t="str">
        <f t="shared" si="192"/>
        <v/>
      </c>
    </row>
    <row r="3770" spans="9:14" x14ac:dyDescent="0.25">
      <c r="I3770" s="11" t="b">
        <f t="shared" si="193"/>
        <v>0</v>
      </c>
      <c r="M3770" s="17" t="str">
        <f t="shared" si="191"/>
        <v/>
      </c>
      <c r="N3770" s="11" t="str">
        <f t="shared" si="192"/>
        <v/>
      </c>
    </row>
    <row r="3771" spans="9:14" x14ac:dyDescent="0.25">
      <c r="I3771" s="11" t="b">
        <f t="shared" si="193"/>
        <v>0</v>
      </c>
      <c r="M3771" s="17" t="str">
        <f t="shared" si="191"/>
        <v/>
      </c>
      <c r="N3771" s="11" t="str">
        <f t="shared" si="192"/>
        <v/>
      </c>
    </row>
    <row r="3772" spans="9:14" x14ac:dyDescent="0.25">
      <c r="I3772" s="11" t="b">
        <f t="shared" si="193"/>
        <v>0</v>
      </c>
      <c r="M3772" s="17" t="str">
        <f t="shared" si="191"/>
        <v/>
      </c>
      <c r="N3772" s="11" t="str">
        <f t="shared" si="192"/>
        <v/>
      </c>
    </row>
    <row r="3773" spans="9:14" x14ac:dyDescent="0.25">
      <c r="I3773" s="11" t="b">
        <f t="shared" si="193"/>
        <v>0</v>
      </c>
      <c r="M3773" s="17" t="str">
        <f t="shared" si="191"/>
        <v/>
      </c>
      <c r="N3773" s="11" t="str">
        <f t="shared" si="192"/>
        <v/>
      </c>
    </row>
    <row r="3774" spans="9:14" x14ac:dyDescent="0.25">
      <c r="I3774" s="11" t="b">
        <f t="shared" si="193"/>
        <v>0</v>
      </c>
      <c r="M3774" s="17" t="str">
        <f t="shared" si="191"/>
        <v/>
      </c>
      <c r="N3774" s="11" t="str">
        <f t="shared" si="192"/>
        <v/>
      </c>
    </row>
    <row r="3775" spans="9:14" x14ac:dyDescent="0.25">
      <c r="I3775" s="11" t="b">
        <f t="shared" si="193"/>
        <v>0</v>
      </c>
      <c r="M3775" s="17" t="str">
        <f t="shared" si="191"/>
        <v/>
      </c>
      <c r="N3775" s="11" t="str">
        <f t="shared" si="192"/>
        <v/>
      </c>
    </row>
    <row r="3776" spans="9:14" x14ac:dyDescent="0.25">
      <c r="I3776" s="11" t="b">
        <f t="shared" si="193"/>
        <v>0</v>
      </c>
      <c r="M3776" s="17" t="str">
        <f t="shared" si="191"/>
        <v/>
      </c>
      <c r="N3776" s="11" t="str">
        <f t="shared" si="192"/>
        <v/>
      </c>
    </row>
    <row r="3777" spans="9:14" x14ac:dyDescent="0.25">
      <c r="I3777" s="11" t="b">
        <f t="shared" si="193"/>
        <v>0</v>
      </c>
      <c r="M3777" s="17" t="str">
        <f t="shared" ref="M3777:M3840" si="194">IF(B3777=0, "",M3776+ J3777-K3777)</f>
        <v/>
      </c>
      <c r="N3777" s="11" t="str">
        <f t="shared" ref="N3777:N3840" si="195">IF(B3777=0, "", MONTH(B3777))</f>
        <v/>
      </c>
    </row>
    <row r="3778" spans="9:14" x14ac:dyDescent="0.25">
      <c r="I3778" s="11" t="b">
        <f t="shared" si="193"/>
        <v>0</v>
      </c>
      <c r="M3778" s="17" t="str">
        <f t="shared" si="194"/>
        <v/>
      </c>
      <c r="N3778" s="11" t="str">
        <f t="shared" si="195"/>
        <v/>
      </c>
    </row>
    <row r="3779" spans="9:14" x14ac:dyDescent="0.25">
      <c r="I3779" s="11" t="b">
        <f t="shared" si="193"/>
        <v>0</v>
      </c>
      <c r="M3779" s="17" t="str">
        <f t="shared" si="194"/>
        <v/>
      </c>
      <c r="N3779" s="11" t="str">
        <f t="shared" si="195"/>
        <v/>
      </c>
    </row>
    <row r="3780" spans="9:14" x14ac:dyDescent="0.25">
      <c r="I3780" s="11" t="b">
        <f t="shared" si="193"/>
        <v>0</v>
      </c>
      <c r="M3780" s="17" t="str">
        <f t="shared" si="194"/>
        <v/>
      </c>
      <c r="N3780" s="11" t="str">
        <f t="shared" si="195"/>
        <v/>
      </c>
    </row>
    <row r="3781" spans="9:14" x14ac:dyDescent="0.25">
      <c r="I3781" s="11" t="b">
        <f t="shared" si="193"/>
        <v>0</v>
      </c>
      <c r="M3781" s="17" t="str">
        <f t="shared" si="194"/>
        <v/>
      </c>
      <c r="N3781" s="11" t="str">
        <f t="shared" si="195"/>
        <v/>
      </c>
    </row>
    <row r="3782" spans="9:14" x14ac:dyDescent="0.25">
      <c r="I3782" s="11" t="b">
        <f t="shared" si="193"/>
        <v>0</v>
      </c>
      <c r="M3782" s="17" t="str">
        <f t="shared" si="194"/>
        <v/>
      </c>
      <c r="N3782" s="11" t="str">
        <f t="shared" si="195"/>
        <v/>
      </c>
    </row>
    <row r="3783" spans="9:14" x14ac:dyDescent="0.25">
      <c r="I3783" s="11" t="b">
        <f t="shared" si="193"/>
        <v>0</v>
      </c>
      <c r="M3783" s="17" t="str">
        <f t="shared" si="194"/>
        <v/>
      </c>
      <c r="N3783" s="11" t="str">
        <f t="shared" si="195"/>
        <v/>
      </c>
    </row>
    <row r="3784" spans="9:14" x14ac:dyDescent="0.25">
      <c r="I3784" s="11" t="b">
        <f t="shared" si="193"/>
        <v>0</v>
      </c>
      <c r="M3784" s="17" t="str">
        <f t="shared" si="194"/>
        <v/>
      </c>
      <c r="N3784" s="11" t="str">
        <f t="shared" si="195"/>
        <v/>
      </c>
    </row>
    <row r="3785" spans="9:14" x14ac:dyDescent="0.25">
      <c r="I3785" s="11" t="b">
        <f t="shared" si="193"/>
        <v>0</v>
      </c>
      <c r="M3785" s="17" t="str">
        <f t="shared" si="194"/>
        <v/>
      </c>
      <c r="N3785" s="11" t="str">
        <f t="shared" si="195"/>
        <v/>
      </c>
    </row>
    <row r="3786" spans="9:14" x14ac:dyDescent="0.25">
      <c r="I3786" s="11" t="b">
        <f t="shared" si="193"/>
        <v>0</v>
      </c>
      <c r="M3786" s="17" t="str">
        <f t="shared" si="194"/>
        <v/>
      </c>
      <c r="N3786" s="11" t="str">
        <f t="shared" si="195"/>
        <v/>
      </c>
    </row>
    <row r="3787" spans="9:14" x14ac:dyDescent="0.25">
      <c r="I3787" s="11" t="b">
        <f t="shared" si="193"/>
        <v>0</v>
      </c>
      <c r="M3787" s="17" t="str">
        <f t="shared" si="194"/>
        <v/>
      </c>
      <c r="N3787" s="11" t="str">
        <f t="shared" si="195"/>
        <v/>
      </c>
    </row>
    <row r="3788" spans="9:14" x14ac:dyDescent="0.25">
      <c r="I3788" s="11" t="b">
        <f t="shared" si="193"/>
        <v>0</v>
      </c>
      <c r="M3788" s="17" t="str">
        <f t="shared" si="194"/>
        <v/>
      </c>
      <c r="N3788" s="11" t="str">
        <f t="shared" si="195"/>
        <v/>
      </c>
    </row>
    <row r="3789" spans="9:14" x14ac:dyDescent="0.25">
      <c r="I3789" s="11" t="b">
        <f t="shared" si="193"/>
        <v>0</v>
      </c>
      <c r="M3789" s="17" t="str">
        <f t="shared" si="194"/>
        <v/>
      </c>
      <c r="N3789" s="11" t="str">
        <f t="shared" si="195"/>
        <v/>
      </c>
    </row>
    <row r="3790" spans="9:14" x14ac:dyDescent="0.25">
      <c r="I3790" s="11" t="b">
        <f t="shared" si="193"/>
        <v>0</v>
      </c>
      <c r="M3790" s="17" t="str">
        <f t="shared" si="194"/>
        <v/>
      </c>
      <c r="N3790" s="11" t="str">
        <f t="shared" si="195"/>
        <v/>
      </c>
    </row>
    <row r="3791" spans="9:14" x14ac:dyDescent="0.25">
      <c r="I3791" s="11" t="b">
        <f t="shared" si="193"/>
        <v>0</v>
      </c>
      <c r="M3791" s="17" t="str">
        <f t="shared" si="194"/>
        <v/>
      </c>
      <c r="N3791" s="11" t="str">
        <f t="shared" si="195"/>
        <v/>
      </c>
    </row>
    <row r="3792" spans="9:14" x14ac:dyDescent="0.25">
      <c r="I3792" s="11" t="b">
        <f t="shared" si="193"/>
        <v>0</v>
      </c>
      <c r="M3792" s="17" t="str">
        <f t="shared" si="194"/>
        <v/>
      </c>
      <c r="N3792" s="11" t="str">
        <f t="shared" si="195"/>
        <v/>
      </c>
    </row>
    <row r="3793" spans="9:14" x14ac:dyDescent="0.25">
      <c r="I3793" s="11" t="b">
        <f t="shared" si="193"/>
        <v>0</v>
      </c>
      <c r="M3793" s="17" t="str">
        <f t="shared" si="194"/>
        <v/>
      </c>
      <c r="N3793" s="11" t="str">
        <f t="shared" si="195"/>
        <v/>
      </c>
    </row>
    <row r="3794" spans="9:14" x14ac:dyDescent="0.25">
      <c r="I3794" s="11" t="b">
        <f t="shared" si="193"/>
        <v>0</v>
      </c>
      <c r="M3794" s="17" t="str">
        <f t="shared" si="194"/>
        <v/>
      </c>
      <c r="N3794" s="11" t="str">
        <f t="shared" si="195"/>
        <v/>
      </c>
    </row>
    <row r="3795" spans="9:14" x14ac:dyDescent="0.25">
      <c r="I3795" s="11" t="b">
        <f t="shared" si="193"/>
        <v>0</v>
      </c>
      <c r="M3795" s="17" t="str">
        <f t="shared" si="194"/>
        <v/>
      </c>
      <c r="N3795" s="11" t="str">
        <f t="shared" si="195"/>
        <v/>
      </c>
    </row>
    <row r="3796" spans="9:14" x14ac:dyDescent="0.25">
      <c r="I3796" s="11" t="b">
        <f t="shared" si="193"/>
        <v>0</v>
      </c>
      <c r="M3796" s="17" t="str">
        <f t="shared" si="194"/>
        <v/>
      </c>
      <c r="N3796" s="11" t="str">
        <f t="shared" si="195"/>
        <v/>
      </c>
    </row>
    <row r="3797" spans="9:14" x14ac:dyDescent="0.25">
      <c r="I3797" s="11" t="b">
        <f t="shared" si="193"/>
        <v>0</v>
      </c>
      <c r="M3797" s="17" t="str">
        <f t="shared" si="194"/>
        <v/>
      </c>
      <c r="N3797" s="11" t="str">
        <f t="shared" si="195"/>
        <v/>
      </c>
    </row>
    <row r="3798" spans="9:14" x14ac:dyDescent="0.25">
      <c r="I3798" s="11" t="b">
        <f t="shared" si="193"/>
        <v>0</v>
      </c>
      <c r="M3798" s="17" t="str">
        <f t="shared" si="194"/>
        <v/>
      </c>
      <c r="N3798" s="11" t="str">
        <f t="shared" si="195"/>
        <v/>
      </c>
    </row>
    <row r="3799" spans="9:14" x14ac:dyDescent="0.25">
      <c r="I3799" s="11" t="b">
        <f t="shared" si="193"/>
        <v>0</v>
      </c>
      <c r="M3799" s="17" t="str">
        <f t="shared" si="194"/>
        <v/>
      </c>
      <c r="N3799" s="11" t="str">
        <f t="shared" si="195"/>
        <v/>
      </c>
    </row>
    <row r="3800" spans="9:14" x14ac:dyDescent="0.25">
      <c r="I3800" s="11" t="b">
        <f t="shared" si="193"/>
        <v>0</v>
      </c>
      <c r="M3800" s="17" t="str">
        <f t="shared" si="194"/>
        <v/>
      </c>
      <c r="N3800" s="11" t="str">
        <f t="shared" si="195"/>
        <v/>
      </c>
    </row>
    <row r="3801" spans="9:14" x14ac:dyDescent="0.25">
      <c r="I3801" s="11" t="b">
        <f t="shared" si="193"/>
        <v>0</v>
      </c>
      <c r="M3801" s="17" t="str">
        <f t="shared" si="194"/>
        <v/>
      </c>
      <c r="N3801" s="11" t="str">
        <f t="shared" si="195"/>
        <v/>
      </c>
    </row>
    <row r="3802" spans="9:14" x14ac:dyDescent="0.25">
      <c r="I3802" s="11" t="b">
        <f t="shared" si="193"/>
        <v>0</v>
      </c>
      <c r="M3802" s="17" t="str">
        <f t="shared" si="194"/>
        <v/>
      </c>
      <c r="N3802" s="11" t="str">
        <f t="shared" si="195"/>
        <v/>
      </c>
    </row>
    <row r="3803" spans="9:14" x14ac:dyDescent="0.25">
      <c r="I3803" s="11" t="b">
        <f t="shared" si="193"/>
        <v>0</v>
      </c>
      <c r="M3803" s="17" t="str">
        <f t="shared" si="194"/>
        <v/>
      </c>
      <c r="N3803" s="11" t="str">
        <f t="shared" si="195"/>
        <v/>
      </c>
    </row>
    <row r="3804" spans="9:14" x14ac:dyDescent="0.25">
      <c r="I3804" s="11" t="b">
        <f t="shared" si="193"/>
        <v>0</v>
      </c>
      <c r="M3804" s="17" t="str">
        <f t="shared" si="194"/>
        <v/>
      </c>
      <c r="N3804" s="11" t="str">
        <f t="shared" si="195"/>
        <v/>
      </c>
    </row>
    <row r="3805" spans="9:14" x14ac:dyDescent="0.25">
      <c r="I3805" s="11" t="b">
        <f t="shared" ref="I3805:I3868" si="196">IF(AND(G3805="MERCADO PAGO",A3805="FATURAMENTO"),1,IF(AND(OR(G3805="MERCADO PAGO",G3805="pix mercado pago",G3805= "débito automático mercado pago", G3805= "boleto mercado pago"),A3805="DESPESAS"),4,IF(AND(G3805="SAFRA",A3805="FATURAMENTO"),2,IF(AND(OR(G3805="SAFRA",G3805="PIX SAFRA", G3805="DÉBITO AUTOMÁTICO SAFRA", G3805= "BOLETO SAFRA", G3805= "transferência safra"), A3805="DESPESAS"),5,IF(AND(G3805="espécie",A3805="FATURAMENTO"),3,IF(AND(G3805="espécie",A3805="DESPESAS"),6))))))</f>
        <v>0</v>
      </c>
      <c r="M3805" s="17" t="str">
        <f t="shared" si="194"/>
        <v/>
      </c>
      <c r="N3805" s="11" t="str">
        <f t="shared" si="195"/>
        <v/>
      </c>
    </row>
    <row r="3806" spans="9:14" x14ac:dyDescent="0.25">
      <c r="I3806" s="11" t="b">
        <f t="shared" si="196"/>
        <v>0</v>
      </c>
      <c r="M3806" s="17" t="str">
        <f t="shared" si="194"/>
        <v/>
      </c>
      <c r="N3806" s="11" t="str">
        <f t="shared" si="195"/>
        <v/>
      </c>
    </row>
    <row r="3807" spans="9:14" x14ac:dyDescent="0.25">
      <c r="I3807" s="11" t="b">
        <f t="shared" si="196"/>
        <v>0</v>
      </c>
      <c r="M3807" s="17" t="str">
        <f t="shared" si="194"/>
        <v/>
      </c>
      <c r="N3807" s="11" t="str">
        <f t="shared" si="195"/>
        <v/>
      </c>
    </row>
    <row r="3808" spans="9:14" x14ac:dyDescent="0.25">
      <c r="I3808" s="11" t="b">
        <f t="shared" si="196"/>
        <v>0</v>
      </c>
      <c r="M3808" s="17" t="str">
        <f t="shared" si="194"/>
        <v/>
      </c>
      <c r="N3808" s="11" t="str">
        <f t="shared" si="195"/>
        <v/>
      </c>
    </row>
    <row r="3809" spans="9:14" x14ac:dyDescent="0.25">
      <c r="I3809" s="11" t="b">
        <f t="shared" si="196"/>
        <v>0</v>
      </c>
      <c r="M3809" s="17" t="str">
        <f t="shared" si="194"/>
        <v/>
      </c>
      <c r="N3809" s="11" t="str">
        <f t="shared" si="195"/>
        <v/>
      </c>
    </row>
    <row r="3810" spans="9:14" x14ac:dyDescent="0.25">
      <c r="I3810" s="11" t="b">
        <f t="shared" si="196"/>
        <v>0</v>
      </c>
      <c r="M3810" s="17" t="str">
        <f t="shared" si="194"/>
        <v/>
      </c>
      <c r="N3810" s="11" t="str">
        <f t="shared" si="195"/>
        <v/>
      </c>
    </row>
    <row r="3811" spans="9:14" x14ac:dyDescent="0.25">
      <c r="I3811" s="11" t="b">
        <f t="shared" si="196"/>
        <v>0</v>
      </c>
      <c r="M3811" s="17" t="str">
        <f t="shared" si="194"/>
        <v/>
      </c>
      <c r="N3811" s="11" t="str">
        <f t="shared" si="195"/>
        <v/>
      </c>
    </row>
    <row r="3812" spans="9:14" x14ac:dyDescent="0.25">
      <c r="I3812" s="11" t="b">
        <f t="shared" si="196"/>
        <v>0</v>
      </c>
      <c r="M3812" s="17" t="str">
        <f t="shared" si="194"/>
        <v/>
      </c>
      <c r="N3812" s="11" t="str">
        <f t="shared" si="195"/>
        <v/>
      </c>
    </row>
    <row r="3813" spans="9:14" x14ac:dyDescent="0.25">
      <c r="I3813" s="11" t="b">
        <f t="shared" si="196"/>
        <v>0</v>
      </c>
      <c r="M3813" s="17" t="str">
        <f t="shared" si="194"/>
        <v/>
      </c>
      <c r="N3813" s="11" t="str">
        <f t="shared" si="195"/>
        <v/>
      </c>
    </row>
    <row r="3814" spans="9:14" x14ac:dyDescent="0.25">
      <c r="I3814" s="11" t="b">
        <f t="shared" si="196"/>
        <v>0</v>
      </c>
      <c r="M3814" s="17" t="str">
        <f t="shared" si="194"/>
        <v/>
      </c>
      <c r="N3814" s="11" t="str">
        <f t="shared" si="195"/>
        <v/>
      </c>
    </row>
    <row r="3815" spans="9:14" x14ac:dyDescent="0.25">
      <c r="I3815" s="11" t="b">
        <f t="shared" si="196"/>
        <v>0</v>
      </c>
      <c r="M3815" s="17" t="str">
        <f t="shared" si="194"/>
        <v/>
      </c>
      <c r="N3815" s="11" t="str">
        <f t="shared" si="195"/>
        <v/>
      </c>
    </row>
    <row r="3816" spans="9:14" x14ac:dyDescent="0.25">
      <c r="I3816" s="11" t="b">
        <f t="shared" si="196"/>
        <v>0</v>
      </c>
      <c r="M3816" s="17" t="str">
        <f t="shared" si="194"/>
        <v/>
      </c>
      <c r="N3816" s="11" t="str">
        <f t="shared" si="195"/>
        <v/>
      </c>
    </row>
    <row r="3817" spans="9:14" x14ac:dyDescent="0.25">
      <c r="I3817" s="11" t="b">
        <f t="shared" si="196"/>
        <v>0</v>
      </c>
      <c r="M3817" s="17" t="str">
        <f t="shared" si="194"/>
        <v/>
      </c>
      <c r="N3817" s="11" t="str">
        <f t="shared" si="195"/>
        <v/>
      </c>
    </row>
    <row r="3818" spans="9:14" x14ac:dyDescent="0.25">
      <c r="I3818" s="11" t="b">
        <f t="shared" si="196"/>
        <v>0</v>
      </c>
      <c r="M3818" s="17" t="str">
        <f t="shared" si="194"/>
        <v/>
      </c>
      <c r="N3818" s="11" t="str">
        <f t="shared" si="195"/>
        <v/>
      </c>
    </row>
    <row r="3819" spans="9:14" x14ac:dyDescent="0.25">
      <c r="I3819" s="11" t="b">
        <f t="shared" si="196"/>
        <v>0</v>
      </c>
      <c r="M3819" s="17" t="str">
        <f t="shared" si="194"/>
        <v/>
      </c>
      <c r="N3819" s="11" t="str">
        <f t="shared" si="195"/>
        <v/>
      </c>
    </row>
    <row r="3820" spans="9:14" x14ac:dyDescent="0.25">
      <c r="I3820" s="11" t="b">
        <f t="shared" si="196"/>
        <v>0</v>
      </c>
      <c r="M3820" s="17" t="str">
        <f t="shared" si="194"/>
        <v/>
      </c>
      <c r="N3820" s="11" t="str">
        <f t="shared" si="195"/>
        <v/>
      </c>
    </row>
    <row r="3821" spans="9:14" x14ac:dyDescent="0.25">
      <c r="I3821" s="11" t="b">
        <f t="shared" si="196"/>
        <v>0</v>
      </c>
      <c r="M3821" s="17" t="str">
        <f t="shared" si="194"/>
        <v/>
      </c>
      <c r="N3821" s="11" t="str">
        <f t="shared" si="195"/>
        <v/>
      </c>
    </row>
    <row r="3822" spans="9:14" x14ac:dyDescent="0.25">
      <c r="I3822" s="11" t="b">
        <f t="shared" si="196"/>
        <v>0</v>
      </c>
      <c r="M3822" s="17" t="str">
        <f t="shared" si="194"/>
        <v/>
      </c>
      <c r="N3822" s="11" t="str">
        <f t="shared" si="195"/>
        <v/>
      </c>
    </row>
    <row r="3823" spans="9:14" x14ac:dyDescent="0.25">
      <c r="I3823" s="11" t="b">
        <f t="shared" si="196"/>
        <v>0</v>
      </c>
      <c r="M3823" s="17" t="str">
        <f t="shared" si="194"/>
        <v/>
      </c>
      <c r="N3823" s="11" t="str">
        <f t="shared" si="195"/>
        <v/>
      </c>
    </row>
    <row r="3824" spans="9:14" x14ac:dyDescent="0.25">
      <c r="I3824" s="11" t="b">
        <f t="shared" si="196"/>
        <v>0</v>
      </c>
      <c r="M3824" s="17" t="str">
        <f t="shared" si="194"/>
        <v/>
      </c>
      <c r="N3824" s="11" t="str">
        <f t="shared" si="195"/>
        <v/>
      </c>
    </row>
    <row r="3825" spans="9:14" x14ac:dyDescent="0.25">
      <c r="I3825" s="11" t="b">
        <f t="shared" si="196"/>
        <v>0</v>
      </c>
      <c r="M3825" s="17" t="str">
        <f t="shared" si="194"/>
        <v/>
      </c>
      <c r="N3825" s="11" t="str">
        <f t="shared" si="195"/>
        <v/>
      </c>
    </row>
    <row r="3826" spans="9:14" x14ac:dyDescent="0.25">
      <c r="I3826" s="11" t="b">
        <f t="shared" si="196"/>
        <v>0</v>
      </c>
      <c r="M3826" s="17" t="str">
        <f t="shared" si="194"/>
        <v/>
      </c>
      <c r="N3826" s="11" t="str">
        <f t="shared" si="195"/>
        <v/>
      </c>
    </row>
    <row r="3827" spans="9:14" x14ac:dyDescent="0.25">
      <c r="I3827" s="11" t="b">
        <f t="shared" si="196"/>
        <v>0</v>
      </c>
      <c r="M3827" s="17" t="str">
        <f t="shared" si="194"/>
        <v/>
      </c>
      <c r="N3827" s="11" t="str">
        <f t="shared" si="195"/>
        <v/>
      </c>
    </row>
    <row r="3828" spans="9:14" x14ac:dyDescent="0.25">
      <c r="I3828" s="11" t="b">
        <f t="shared" si="196"/>
        <v>0</v>
      </c>
      <c r="M3828" s="17" t="str">
        <f t="shared" si="194"/>
        <v/>
      </c>
      <c r="N3828" s="11" t="str">
        <f t="shared" si="195"/>
        <v/>
      </c>
    </row>
    <row r="3829" spans="9:14" x14ac:dyDescent="0.25">
      <c r="I3829" s="11" t="b">
        <f t="shared" si="196"/>
        <v>0</v>
      </c>
      <c r="M3829" s="17" t="str">
        <f t="shared" si="194"/>
        <v/>
      </c>
      <c r="N3829" s="11" t="str">
        <f t="shared" si="195"/>
        <v/>
      </c>
    </row>
    <row r="3830" spans="9:14" x14ac:dyDescent="0.25">
      <c r="I3830" s="11" t="b">
        <f t="shared" si="196"/>
        <v>0</v>
      </c>
      <c r="M3830" s="17" t="str">
        <f t="shared" si="194"/>
        <v/>
      </c>
      <c r="N3830" s="11" t="str">
        <f t="shared" si="195"/>
        <v/>
      </c>
    </row>
    <row r="3831" spans="9:14" x14ac:dyDescent="0.25">
      <c r="I3831" s="11" t="b">
        <f t="shared" si="196"/>
        <v>0</v>
      </c>
      <c r="M3831" s="17" t="str">
        <f t="shared" si="194"/>
        <v/>
      </c>
      <c r="N3831" s="11" t="str">
        <f t="shared" si="195"/>
        <v/>
      </c>
    </row>
    <row r="3832" spans="9:14" x14ac:dyDescent="0.25">
      <c r="I3832" s="11" t="b">
        <f t="shared" si="196"/>
        <v>0</v>
      </c>
      <c r="M3832" s="17" t="str">
        <f t="shared" si="194"/>
        <v/>
      </c>
      <c r="N3832" s="11" t="str">
        <f t="shared" si="195"/>
        <v/>
      </c>
    </row>
    <row r="3833" spans="9:14" x14ac:dyDescent="0.25">
      <c r="I3833" s="11" t="b">
        <f t="shared" si="196"/>
        <v>0</v>
      </c>
      <c r="M3833" s="17" t="str">
        <f t="shared" si="194"/>
        <v/>
      </c>
      <c r="N3833" s="11" t="str">
        <f t="shared" si="195"/>
        <v/>
      </c>
    </row>
    <row r="3834" spans="9:14" x14ac:dyDescent="0.25">
      <c r="I3834" s="11" t="b">
        <f t="shared" si="196"/>
        <v>0</v>
      </c>
      <c r="M3834" s="17" t="str">
        <f t="shared" si="194"/>
        <v/>
      </c>
      <c r="N3834" s="11" t="str">
        <f t="shared" si="195"/>
        <v/>
      </c>
    </row>
    <row r="3835" spans="9:14" x14ac:dyDescent="0.25">
      <c r="I3835" s="11" t="b">
        <f t="shared" si="196"/>
        <v>0</v>
      </c>
      <c r="M3835" s="17" t="str">
        <f t="shared" si="194"/>
        <v/>
      </c>
      <c r="N3835" s="11" t="str">
        <f t="shared" si="195"/>
        <v/>
      </c>
    </row>
    <row r="3836" spans="9:14" x14ac:dyDescent="0.25">
      <c r="I3836" s="11" t="b">
        <f t="shared" si="196"/>
        <v>0</v>
      </c>
      <c r="M3836" s="17" t="str">
        <f t="shared" si="194"/>
        <v/>
      </c>
      <c r="N3836" s="11" t="str">
        <f t="shared" si="195"/>
        <v/>
      </c>
    </row>
    <row r="3837" spans="9:14" x14ac:dyDescent="0.25">
      <c r="I3837" s="11" t="b">
        <f t="shared" si="196"/>
        <v>0</v>
      </c>
      <c r="M3837" s="17" t="str">
        <f t="shared" si="194"/>
        <v/>
      </c>
      <c r="N3837" s="11" t="str">
        <f t="shared" si="195"/>
        <v/>
      </c>
    </row>
    <row r="3838" spans="9:14" x14ac:dyDescent="0.25">
      <c r="I3838" s="11" t="b">
        <f t="shared" si="196"/>
        <v>0</v>
      </c>
      <c r="M3838" s="17" t="str">
        <f t="shared" si="194"/>
        <v/>
      </c>
      <c r="N3838" s="11" t="str">
        <f t="shared" si="195"/>
        <v/>
      </c>
    </row>
    <row r="3839" spans="9:14" x14ac:dyDescent="0.25">
      <c r="I3839" s="11" t="b">
        <f t="shared" si="196"/>
        <v>0</v>
      </c>
      <c r="M3839" s="17" t="str">
        <f t="shared" si="194"/>
        <v/>
      </c>
      <c r="N3839" s="11" t="str">
        <f t="shared" si="195"/>
        <v/>
      </c>
    </row>
    <row r="3840" spans="9:14" x14ac:dyDescent="0.25">
      <c r="I3840" s="11" t="b">
        <f t="shared" si="196"/>
        <v>0</v>
      </c>
      <c r="M3840" s="17" t="str">
        <f t="shared" si="194"/>
        <v/>
      </c>
      <c r="N3840" s="11" t="str">
        <f t="shared" si="195"/>
        <v/>
      </c>
    </row>
    <row r="3841" spans="9:14" x14ac:dyDescent="0.25">
      <c r="I3841" s="11" t="b">
        <f t="shared" si="196"/>
        <v>0</v>
      </c>
      <c r="M3841" s="17" t="str">
        <f t="shared" ref="M3841:M3904" si="197">IF(B3841=0, "",M3840+ J3841-K3841)</f>
        <v/>
      </c>
      <c r="N3841" s="11" t="str">
        <f t="shared" ref="N3841:N3904" si="198">IF(B3841=0, "", MONTH(B3841))</f>
        <v/>
      </c>
    </row>
    <row r="3842" spans="9:14" x14ac:dyDescent="0.25">
      <c r="I3842" s="11" t="b">
        <f t="shared" si="196"/>
        <v>0</v>
      </c>
      <c r="M3842" s="17" t="str">
        <f t="shared" si="197"/>
        <v/>
      </c>
      <c r="N3842" s="11" t="str">
        <f t="shared" si="198"/>
        <v/>
      </c>
    </row>
    <row r="3843" spans="9:14" x14ac:dyDescent="0.25">
      <c r="I3843" s="11" t="b">
        <f t="shared" si="196"/>
        <v>0</v>
      </c>
      <c r="M3843" s="17" t="str">
        <f t="shared" si="197"/>
        <v/>
      </c>
      <c r="N3843" s="11" t="str">
        <f t="shared" si="198"/>
        <v/>
      </c>
    </row>
    <row r="3844" spans="9:14" x14ac:dyDescent="0.25">
      <c r="I3844" s="11" t="b">
        <f t="shared" si="196"/>
        <v>0</v>
      </c>
      <c r="M3844" s="17" t="str">
        <f t="shared" si="197"/>
        <v/>
      </c>
      <c r="N3844" s="11" t="str">
        <f t="shared" si="198"/>
        <v/>
      </c>
    </row>
    <row r="3845" spans="9:14" x14ac:dyDescent="0.25">
      <c r="I3845" s="11" t="b">
        <f t="shared" si="196"/>
        <v>0</v>
      </c>
      <c r="M3845" s="17" t="str">
        <f t="shared" si="197"/>
        <v/>
      </c>
      <c r="N3845" s="11" t="str">
        <f t="shared" si="198"/>
        <v/>
      </c>
    </row>
    <row r="3846" spans="9:14" x14ac:dyDescent="0.25">
      <c r="I3846" s="11" t="b">
        <f t="shared" si="196"/>
        <v>0</v>
      </c>
      <c r="M3846" s="17" t="str">
        <f t="shared" si="197"/>
        <v/>
      </c>
      <c r="N3846" s="11" t="str">
        <f t="shared" si="198"/>
        <v/>
      </c>
    </row>
    <row r="3847" spans="9:14" x14ac:dyDescent="0.25">
      <c r="I3847" s="11" t="b">
        <f t="shared" si="196"/>
        <v>0</v>
      </c>
      <c r="M3847" s="17" t="str">
        <f t="shared" si="197"/>
        <v/>
      </c>
      <c r="N3847" s="11" t="str">
        <f t="shared" si="198"/>
        <v/>
      </c>
    </row>
    <row r="3848" spans="9:14" x14ac:dyDescent="0.25">
      <c r="I3848" s="11" t="b">
        <f t="shared" si="196"/>
        <v>0</v>
      </c>
      <c r="M3848" s="17" t="str">
        <f t="shared" si="197"/>
        <v/>
      </c>
      <c r="N3848" s="11" t="str">
        <f t="shared" si="198"/>
        <v/>
      </c>
    </row>
    <row r="3849" spans="9:14" x14ac:dyDescent="0.25">
      <c r="I3849" s="11" t="b">
        <f t="shared" si="196"/>
        <v>0</v>
      </c>
      <c r="M3849" s="17" t="str">
        <f t="shared" si="197"/>
        <v/>
      </c>
      <c r="N3849" s="11" t="str">
        <f t="shared" si="198"/>
        <v/>
      </c>
    </row>
    <row r="3850" spans="9:14" x14ac:dyDescent="0.25">
      <c r="I3850" s="11" t="b">
        <f t="shared" si="196"/>
        <v>0</v>
      </c>
      <c r="M3850" s="17" t="str">
        <f t="shared" si="197"/>
        <v/>
      </c>
      <c r="N3850" s="11" t="str">
        <f t="shared" si="198"/>
        <v/>
      </c>
    </row>
    <row r="3851" spans="9:14" x14ac:dyDescent="0.25">
      <c r="I3851" s="11" t="b">
        <f t="shared" si="196"/>
        <v>0</v>
      </c>
      <c r="M3851" s="17" t="str">
        <f t="shared" si="197"/>
        <v/>
      </c>
      <c r="N3851" s="11" t="str">
        <f t="shared" si="198"/>
        <v/>
      </c>
    </row>
    <row r="3852" spans="9:14" x14ac:dyDescent="0.25">
      <c r="I3852" s="11" t="b">
        <f t="shared" si="196"/>
        <v>0</v>
      </c>
      <c r="M3852" s="17" t="str">
        <f t="shared" si="197"/>
        <v/>
      </c>
      <c r="N3852" s="11" t="str">
        <f t="shared" si="198"/>
        <v/>
      </c>
    </row>
    <row r="3853" spans="9:14" x14ac:dyDescent="0.25">
      <c r="I3853" s="11" t="b">
        <f t="shared" si="196"/>
        <v>0</v>
      </c>
      <c r="M3853" s="17" t="str">
        <f t="shared" si="197"/>
        <v/>
      </c>
      <c r="N3853" s="11" t="str">
        <f t="shared" si="198"/>
        <v/>
      </c>
    </row>
    <row r="3854" spans="9:14" x14ac:dyDescent="0.25">
      <c r="I3854" s="11" t="b">
        <f t="shared" si="196"/>
        <v>0</v>
      </c>
      <c r="M3854" s="17" t="str">
        <f t="shared" si="197"/>
        <v/>
      </c>
      <c r="N3854" s="11" t="str">
        <f t="shared" si="198"/>
        <v/>
      </c>
    </row>
    <row r="3855" spans="9:14" x14ac:dyDescent="0.25">
      <c r="I3855" s="11" t="b">
        <f t="shared" si="196"/>
        <v>0</v>
      </c>
      <c r="M3855" s="17" t="str">
        <f t="shared" si="197"/>
        <v/>
      </c>
      <c r="N3855" s="11" t="str">
        <f t="shared" si="198"/>
        <v/>
      </c>
    </row>
    <row r="3856" spans="9:14" x14ac:dyDescent="0.25">
      <c r="I3856" s="11" t="b">
        <f t="shared" si="196"/>
        <v>0</v>
      </c>
      <c r="M3856" s="17" t="str">
        <f t="shared" si="197"/>
        <v/>
      </c>
      <c r="N3856" s="11" t="str">
        <f t="shared" si="198"/>
        <v/>
      </c>
    </row>
    <row r="3857" spans="9:14" x14ac:dyDescent="0.25">
      <c r="I3857" s="11" t="b">
        <f t="shared" si="196"/>
        <v>0</v>
      </c>
      <c r="M3857" s="17" t="str">
        <f t="shared" si="197"/>
        <v/>
      </c>
      <c r="N3857" s="11" t="str">
        <f t="shared" si="198"/>
        <v/>
      </c>
    </row>
    <row r="3858" spans="9:14" x14ac:dyDescent="0.25">
      <c r="I3858" s="11" t="b">
        <f t="shared" si="196"/>
        <v>0</v>
      </c>
      <c r="M3858" s="17" t="str">
        <f t="shared" si="197"/>
        <v/>
      </c>
      <c r="N3858" s="11" t="str">
        <f t="shared" si="198"/>
        <v/>
      </c>
    </row>
    <row r="3859" spans="9:14" x14ac:dyDescent="0.25">
      <c r="I3859" s="11" t="b">
        <f t="shared" si="196"/>
        <v>0</v>
      </c>
      <c r="M3859" s="17" t="str">
        <f t="shared" si="197"/>
        <v/>
      </c>
      <c r="N3859" s="11" t="str">
        <f t="shared" si="198"/>
        <v/>
      </c>
    </row>
    <row r="3860" spans="9:14" x14ac:dyDescent="0.25">
      <c r="I3860" s="11" t="b">
        <f t="shared" si="196"/>
        <v>0</v>
      </c>
      <c r="M3860" s="17" t="str">
        <f t="shared" si="197"/>
        <v/>
      </c>
      <c r="N3860" s="11" t="str">
        <f t="shared" si="198"/>
        <v/>
      </c>
    </row>
    <row r="3861" spans="9:14" x14ac:dyDescent="0.25">
      <c r="I3861" s="11" t="b">
        <f t="shared" si="196"/>
        <v>0</v>
      </c>
      <c r="M3861" s="17" t="str">
        <f t="shared" si="197"/>
        <v/>
      </c>
      <c r="N3861" s="11" t="str">
        <f t="shared" si="198"/>
        <v/>
      </c>
    </row>
    <row r="3862" spans="9:14" x14ac:dyDescent="0.25">
      <c r="I3862" s="11" t="b">
        <f t="shared" si="196"/>
        <v>0</v>
      </c>
      <c r="M3862" s="17" t="str">
        <f t="shared" si="197"/>
        <v/>
      </c>
      <c r="N3862" s="11" t="str">
        <f t="shared" si="198"/>
        <v/>
      </c>
    </row>
    <row r="3863" spans="9:14" x14ac:dyDescent="0.25">
      <c r="I3863" s="11" t="b">
        <f t="shared" si="196"/>
        <v>0</v>
      </c>
      <c r="M3863" s="17" t="str">
        <f t="shared" si="197"/>
        <v/>
      </c>
      <c r="N3863" s="11" t="str">
        <f t="shared" si="198"/>
        <v/>
      </c>
    </row>
    <row r="3864" spans="9:14" x14ac:dyDescent="0.25">
      <c r="I3864" s="11" t="b">
        <f t="shared" si="196"/>
        <v>0</v>
      </c>
      <c r="M3864" s="17" t="str">
        <f t="shared" si="197"/>
        <v/>
      </c>
      <c r="N3864" s="11" t="str">
        <f t="shared" si="198"/>
        <v/>
      </c>
    </row>
    <row r="3865" spans="9:14" x14ac:dyDescent="0.25">
      <c r="I3865" s="11" t="b">
        <f t="shared" si="196"/>
        <v>0</v>
      </c>
      <c r="M3865" s="17" t="str">
        <f t="shared" si="197"/>
        <v/>
      </c>
      <c r="N3865" s="11" t="str">
        <f t="shared" si="198"/>
        <v/>
      </c>
    </row>
    <row r="3866" spans="9:14" x14ac:dyDescent="0.25">
      <c r="I3866" s="11" t="b">
        <f t="shared" si="196"/>
        <v>0</v>
      </c>
      <c r="M3866" s="17" t="str">
        <f t="shared" si="197"/>
        <v/>
      </c>
      <c r="N3866" s="11" t="str">
        <f t="shared" si="198"/>
        <v/>
      </c>
    </row>
    <row r="3867" spans="9:14" x14ac:dyDescent="0.25">
      <c r="I3867" s="11" t="b">
        <f t="shared" si="196"/>
        <v>0</v>
      </c>
      <c r="M3867" s="17" t="str">
        <f t="shared" si="197"/>
        <v/>
      </c>
      <c r="N3867" s="11" t="str">
        <f t="shared" si="198"/>
        <v/>
      </c>
    </row>
    <row r="3868" spans="9:14" x14ac:dyDescent="0.25">
      <c r="I3868" s="11" t="b">
        <f t="shared" si="196"/>
        <v>0</v>
      </c>
      <c r="M3868" s="17" t="str">
        <f t="shared" si="197"/>
        <v/>
      </c>
      <c r="N3868" s="11" t="str">
        <f t="shared" si="198"/>
        <v/>
      </c>
    </row>
    <row r="3869" spans="9:14" x14ac:dyDescent="0.25">
      <c r="I3869" s="11" t="b">
        <f t="shared" ref="I3869:I3932" si="199">IF(AND(G3869="MERCADO PAGO",A3869="FATURAMENTO"),1,IF(AND(OR(G3869="MERCADO PAGO",G3869="pix mercado pago",G3869= "débito automático mercado pago", G3869= "boleto mercado pago"),A3869="DESPESAS"),4,IF(AND(G3869="SAFRA",A3869="FATURAMENTO"),2,IF(AND(OR(G3869="SAFRA",G3869="PIX SAFRA", G3869="DÉBITO AUTOMÁTICO SAFRA", G3869= "BOLETO SAFRA", G3869= "transferência safra"), A3869="DESPESAS"),5,IF(AND(G3869="espécie",A3869="FATURAMENTO"),3,IF(AND(G3869="espécie",A3869="DESPESAS"),6))))))</f>
        <v>0</v>
      </c>
      <c r="M3869" s="17" t="str">
        <f t="shared" si="197"/>
        <v/>
      </c>
      <c r="N3869" s="11" t="str">
        <f t="shared" si="198"/>
        <v/>
      </c>
    </row>
    <row r="3870" spans="9:14" x14ac:dyDescent="0.25">
      <c r="I3870" s="11" t="b">
        <f t="shared" si="199"/>
        <v>0</v>
      </c>
      <c r="M3870" s="17" t="str">
        <f t="shared" si="197"/>
        <v/>
      </c>
      <c r="N3870" s="11" t="str">
        <f t="shared" si="198"/>
        <v/>
      </c>
    </row>
    <row r="3871" spans="9:14" x14ac:dyDescent="0.25">
      <c r="I3871" s="11" t="b">
        <f t="shared" si="199"/>
        <v>0</v>
      </c>
      <c r="M3871" s="17" t="str">
        <f t="shared" si="197"/>
        <v/>
      </c>
      <c r="N3871" s="11" t="str">
        <f t="shared" si="198"/>
        <v/>
      </c>
    </row>
    <row r="3872" spans="9:14" x14ac:dyDescent="0.25">
      <c r="I3872" s="11" t="b">
        <f t="shared" si="199"/>
        <v>0</v>
      </c>
      <c r="M3872" s="17" t="str">
        <f t="shared" si="197"/>
        <v/>
      </c>
      <c r="N3872" s="11" t="str">
        <f t="shared" si="198"/>
        <v/>
      </c>
    </row>
    <row r="3873" spans="9:14" x14ac:dyDescent="0.25">
      <c r="I3873" s="11" t="b">
        <f t="shared" si="199"/>
        <v>0</v>
      </c>
      <c r="M3873" s="17" t="str">
        <f t="shared" si="197"/>
        <v/>
      </c>
      <c r="N3873" s="11" t="str">
        <f t="shared" si="198"/>
        <v/>
      </c>
    </row>
    <row r="3874" spans="9:14" x14ac:dyDescent="0.25">
      <c r="I3874" s="11" t="b">
        <f t="shared" si="199"/>
        <v>0</v>
      </c>
      <c r="M3874" s="17" t="str">
        <f t="shared" si="197"/>
        <v/>
      </c>
      <c r="N3874" s="11" t="str">
        <f t="shared" si="198"/>
        <v/>
      </c>
    </row>
    <row r="3875" spans="9:14" x14ac:dyDescent="0.25">
      <c r="I3875" s="11" t="b">
        <f t="shared" si="199"/>
        <v>0</v>
      </c>
      <c r="M3875" s="17" t="str">
        <f t="shared" si="197"/>
        <v/>
      </c>
      <c r="N3875" s="11" t="str">
        <f t="shared" si="198"/>
        <v/>
      </c>
    </row>
    <row r="3876" spans="9:14" x14ac:dyDescent="0.25">
      <c r="I3876" s="11" t="b">
        <f t="shared" si="199"/>
        <v>0</v>
      </c>
      <c r="M3876" s="17" t="str">
        <f t="shared" si="197"/>
        <v/>
      </c>
      <c r="N3876" s="11" t="str">
        <f t="shared" si="198"/>
        <v/>
      </c>
    </row>
    <row r="3877" spans="9:14" x14ac:dyDescent="0.25">
      <c r="I3877" s="11" t="b">
        <f t="shared" si="199"/>
        <v>0</v>
      </c>
      <c r="M3877" s="17" t="str">
        <f t="shared" si="197"/>
        <v/>
      </c>
      <c r="N3877" s="11" t="str">
        <f t="shared" si="198"/>
        <v/>
      </c>
    </row>
    <row r="3878" spans="9:14" x14ac:dyDescent="0.25">
      <c r="I3878" s="11" t="b">
        <f t="shared" si="199"/>
        <v>0</v>
      </c>
      <c r="M3878" s="17" t="str">
        <f t="shared" si="197"/>
        <v/>
      </c>
      <c r="N3878" s="11" t="str">
        <f t="shared" si="198"/>
        <v/>
      </c>
    </row>
    <row r="3879" spans="9:14" x14ac:dyDescent="0.25">
      <c r="I3879" s="11" t="b">
        <f t="shared" si="199"/>
        <v>0</v>
      </c>
      <c r="M3879" s="17" t="str">
        <f t="shared" si="197"/>
        <v/>
      </c>
      <c r="N3879" s="11" t="str">
        <f t="shared" si="198"/>
        <v/>
      </c>
    </row>
    <row r="3880" spans="9:14" x14ac:dyDescent="0.25">
      <c r="I3880" s="11" t="b">
        <f t="shared" si="199"/>
        <v>0</v>
      </c>
      <c r="M3880" s="17" t="str">
        <f t="shared" si="197"/>
        <v/>
      </c>
      <c r="N3880" s="11" t="str">
        <f t="shared" si="198"/>
        <v/>
      </c>
    </row>
    <row r="3881" spans="9:14" x14ac:dyDescent="0.25">
      <c r="I3881" s="11" t="b">
        <f t="shared" si="199"/>
        <v>0</v>
      </c>
      <c r="M3881" s="17" t="str">
        <f t="shared" si="197"/>
        <v/>
      </c>
      <c r="N3881" s="11" t="str">
        <f t="shared" si="198"/>
        <v/>
      </c>
    </row>
    <row r="3882" spans="9:14" x14ac:dyDescent="0.25">
      <c r="I3882" s="11" t="b">
        <f t="shared" si="199"/>
        <v>0</v>
      </c>
      <c r="M3882" s="17" t="str">
        <f t="shared" si="197"/>
        <v/>
      </c>
      <c r="N3882" s="11" t="str">
        <f t="shared" si="198"/>
        <v/>
      </c>
    </row>
    <row r="3883" spans="9:14" x14ac:dyDescent="0.25">
      <c r="I3883" s="11" t="b">
        <f t="shared" si="199"/>
        <v>0</v>
      </c>
      <c r="M3883" s="17" t="str">
        <f t="shared" si="197"/>
        <v/>
      </c>
      <c r="N3883" s="11" t="str">
        <f t="shared" si="198"/>
        <v/>
      </c>
    </row>
    <row r="3884" spans="9:14" x14ac:dyDescent="0.25">
      <c r="I3884" s="11" t="b">
        <f t="shared" si="199"/>
        <v>0</v>
      </c>
      <c r="M3884" s="17" t="str">
        <f t="shared" si="197"/>
        <v/>
      </c>
      <c r="N3884" s="11" t="str">
        <f t="shared" si="198"/>
        <v/>
      </c>
    </row>
    <row r="3885" spans="9:14" x14ac:dyDescent="0.25">
      <c r="I3885" s="11" t="b">
        <f t="shared" si="199"/>
        <v>0</v>
      </c>
      <c r="M3885" s="17" t="str">
        <f t="shared" si="197"/>
        <v/>
      </c>
      <c r="N3885" s="11" t="str">
        <f t="shared" si="198"/>
        <v/>
      </c>
    </row>
    <row r="3886" spans="9:14" x14ac:dyDescent="0.25">
      <c r="I3886" s="11" t="b">
        <f t="shared" si="199"/>
        <v>0</v>
      </c>
      <c r="M3886" s="17" t="str">
        <f t="shared" si="197"/>
        <v/>
      </c>
      <c r="N3886" s="11" t="str">
        <f t="shared" si="198"/>
        <v/>
      </c>
    </row>
    <row r="3887" spans="9:14" x14ac:dyDescent="0.25">
      <c r="I3887" s="11" t="b">
        <f t="shared" si="199"/>
        <v>0</v>
      </c>
      <c r="M3887" s="17" t="str">
        <f t="shared" si="197"/>
        <v/>
      </c>
      <c r="N3887" s="11" t="str">
        <f t="shared" si="198"/>
        <v/>
      </c>
    </row>
    <row r="3888" spans="9:14" x14ac:dyDescent="0.25">
      <c r="I3888" s="11" t="b">
        <f t="shared" si="199"/>
        <v>0</v>
      </c>
      <c r="M3888" s="17" t="str">
        <f t="shared" si="197"/>
        <v/>
      </c>
      <c r="N3888" s="11" t="str">
        <f t="shared" si="198"/>
        <v/>
      </c>
    </row>
    <row r="3889" spans="9:14" x14ac:dyDescent="0.25">
      <c r="I3889" s="11" t="b">
        <f t="shared" si="199"/>
        <v>0</v>
      </c>
      <c r="M3889" s="17" t="str">
        <f t="shared" si="197"/>
        <v/>
      </c>
      <c r="N3889" s="11" t="str">
        <f t="shared" si="198"/>
        <v/>
      </c>
    </row>
    <row r="3890" spans="9:14" x14ac:dyDescent="0.25">
      <c r="I3890" s="11" t="b">
        <f t="shared" si="199"/>
        <v>0</v>
      </c>
      <c r="M3890" s="17" t="str">
        <f t="shared" si="197"/>
        <v/>
      </c>
      <c r="N3890" s="11" t="str">
        <f t="shared" si="198"/>
        <v/>
      </c>
    </row>
    <row r="3891" spans="9:14" x14ac:dyDescent="0.25">
      <c r="I3891" s="11" t="b">
        <f t="shared" si="199"/>
        <v>0</v>
      </c>
      <c r="M3891" s="17" t="str">
        <f t="shared" si="197"/>
        <v/>
      </c>
      <c r="N3891" s="11" t="str">
        <f t="shared" si="198"/>
        <v/>
      </c>
    </row>
    <row r="3892" spans="9:14" x14ac:dyDescent="0.25">
      <c r="I3892" s="11" t="b">
        <f t="shared" si="199"/>
        <v>0</v>
      </c>
      <c r="M3892" s="17" t="str">
        <f t="shared" si="197"/>
        <v/>
      </c>
      <c r="N3892" s="11" t="str">
        <f t="shared" si="198"/>
        <v/>
      </c>
    </row>
    <row r="3893" spans="9:14" x14ac:dyDescent="0.25">
      <c r="I3893" s="11" t="b">
        <f t="shared" si="199"/>
        <v>0</v>
      </c>
      <c r="M3893" s="17" t="str">
        <f t="shared" si="197"/>
        <v/>
      </c>
      <c r="N3893" s="11" t="str">
        <f t="shared" si="198"/>
        <v/>
      </c>
    </row>
    <row r="3894" spans="9:14" x14ac:dyDescent="0.25">
      <c r="I3894" s="11" t="b">
        <f t="shared" si="199"/>
        <v>0</v>
      </c>
      <c r="M3894" s="17" t="str">
        <f t="shared" si="197"/>
        <v/>
      </c>
      <c r="N3894" s="11" t="str">
        <f t="shared" si="198"/>
        <v/>
      </c>
    </row>
    <row r="3895" spans="9:14" x14ac:dyDescent="0.25">
      <c r="I3895" s="11" t="b">
        <f t="shared" si="199"/>
        <v>0</v>
      </c>
      <c r="M3895" s="17" t="str">
        <f t="shared" si="197"/>
        <v/>
      </c>
      <c r="N3895" s="11" t="str">
        <f t="shared" si="198"/>
        <v/>
      </c>
    </row>
    <row r="3896" spans="9:14" x14ac:dyDescent="0.25">
      <c r="I3896" s="11" t="b">
        <f t="shared" si="199"/>
        <v>0</v>
      </c>
      <c r="M3896" s="17" t="str">
        <f t="shared" si="197"/>
        <v/>
      </c>
      <c r="N3896" s="11" t="str">
        <f t="shared" si="198"/>
        <v/>
      </c>
    </row>
    <row r="3897" spans="9:14" x14ac:dyDescent="0.25">
      <c r="I3897" s="11" t="b">
        <f t="shared" si="199"/>
        <v>0</v>
      </c>
      <c r="M3897" s="17" t="str">
        <f t="shared" si="197"/>
        <v/>
      </c>
      <c r="N3897" s="11" t="str">
        <f t="shared" si="198"/>
        <v/>
      </c>
    </row>
    <row r="3898" spans="9:14" x14ac:dyDescent="0.25">
      <c r="I3898" s="11" t="b">
        <f t="shared" si="199"/>
        <v>0</v>
      </c>
      <c r="M3898" s="17" t="str">
        <f t="shared" si="197"/>
        <v/>
      </c>
      <c r="N3898" s="11" t="str">
        <f t="shared" si="198"/>
        <v/>
      </c>
    </row>
    <row r="3899" spans="9:14" x14ac:dyDescent="0.25">
      <c r="I3899" s="11" t="b">
        <f t="shared" si="199"/>
        <v>0</v>
      </c>
      <c r="M3899" s="17" t="str">
        <f t="shared" si="197"/>
        <v/>
      </c>
      <c r="N3899" s="11" t="str">
        <f t="shared" si="198"/>
        <v/>
      </c>
    </row>
    <row r="3900" spans="9:14" x14ac:dyDescent="0.25">
      <c r="I3900" s="11" t="b">
        <f t="shared" si="199"/>
        <v>0</v>
      </c>
      <c r="M3900" s="17" t="str">
        <f t="shared" si="197"/>
        <v/>
      </c>
      <c r="N3900" s="11" t="str">
        <f t="shared" si="198"/>
        <v/>
      </c>
    </row>
    <row r="3901" spans="9:14" x14ac:dyDescent="0.25">
      <c r="I3901" s="11" t="b">
        <f t="shared" si="199"/>
        <v>0</v>
      </c>
      <c r="M3901" s="17" t="str">
        <f t="shared" si="197"/>
        <v/>
      </c>
      <c r="N3901" s="11" t="str">
        <f t="shared" si="198"/>
        <v/>
      </c>
    </row>
    <row r="3902" spans="9:14" x14ac:dyDescent="0.25">
      <c r="I3902" s="11" t="b">
        <f t="shared" si="199"/>
        <v>0</v>
      </c>
      <c r="M3902" s="17" t="str">
        <f t="shared" si="197"/>
        <v/>
      </c>
      <c r="N3902" s="11" t="str">
        <f t="shared" si="198"/>
        <v/>
      </c>
    </row>
    <row r="3903" spans="9:14" x14ac:dyDescent="0.25">
      <c r="I3903" s="11" t="b">
        <f t="shared" si="199"/>
        <v>0</v>
      </c>
      <c r="M3903" s="17" t="str">
        <f t="shared" si="197"/>
        <v/>
      </c>
      <c r="N3903" s="11" t="str">
        <f t="shared" si="198"/>
        <v/>
      </c>
    </row>
    <row r="3904" spans="9:14" x14ac:dyDescent="0.25">
      <c r="I3904" s="11" t="b">
        <f t="shared" si="199"/>
        <v>0</v>
      </c>
      <c r="M3904" s="17" t="str">
        <f t="shared" si="197"/>
        <v/>
      </c>
      <c r="N3904" s="11" t="str">
        <f t="shared" si="198"/>
        <v/>
      </c>
    </row>
    <row r="3905" spans="9:14" x14ac:dyDescent="0.25">
      <c r="I3905" s="11" t="b">
        <f t="shared" si="199"/>
        <v>0</v>
      </c>
      <c r="M3905" s="17" t="str">
        <f t="shared" ref="M3905:M3968" si="200">IF(B3905=0, "",M3904+ J3905-K3905)</f>
        <v/>
      </c>
      <c r="N3905" s="11" t="str">
        <f t="shared" ref="N3905:N3968" si="201">IF(B3905=0, "", MONTH(B3905))</f>
        <v/>
      </c>
    </row>
    <row r="3906" spans="9:14" x14ac:dyDescent="0.25">
      <c r="I3906" s="11" t="b">
        <f t="shared" si="199"/>
        <v>0</v>
      </c>
      <c r="M3906" s="17" t="str">
        <f t="shared" si="200"/>
        <v/>
      </c>
      <c r="N3906" s="11" t="str">
        <f t="shared" si="201"/>
        <v/>
      </c>
    </row>
    <row r="3907" spans="9:14" x14ac:dyDescent="0.25">
      <c r="I3907" s="11" t="b">
        <f t="shared" si="199"/>
        <v>0</v>
      </c>
      <c r="M3907" s="17" t="str">
        <f t="shared" si="200"/>
        <v/>
      </c>
      <c r="N3907" s="11" t="str">
        <f t="shared" si="201"/>
        <v/>
      </c>
    </row>
    <row r="3908" spans="9:14" x14ac:dyDescent="0.25">
      <c r="I3908" s="11" t="b">
        <f t="shared" si="199"/>
        <v>0</v>
      </c>
      <c r="M3908" s="17" t="str">
        <f t="shared" si="200"/>
        <v/>
      </c>
      <c r="N3908" s="11" t="str">
        <f t="shared" si="201"/>
        <v/>
      </c>
    </row>
    <row r="3909" spans="9:14" x14ac:dyDescent="0.25">
      <c r="I3909" s="11" t="b">
        <f t="shared" si="199"/>
        <v>0</v>
      </c>
      <c r="M3909" s="17" t="str">
        <f t="shared" si="200"/>
        <v/>
      </c>
      <c r="N3909" s="11" t="str">
        <f t="shared" si="201"/>
        <v/>
      </c>
    </row>
    <row r="3910" spans="9:14" x14ac:dyDescent="0.25">
      <c r="I3910" s="11" t="b">
        <f t="shared" si="199"/>
        <v>0</v>
      </c>
      <c r="M3910" s="17" t="str">
        <f t="shared" si="200"/>
        <v/>
      </c>
      <c r="N3910" s="11" t="str">
        <f t="shared" si="201"/>
        <v/>
      </c>
    </row>
    <row r="3911" spans="9:14" x14ac:dyDescent="0.25">
      <c r="I3911" s="11" t="b">
        <f t="shared" si="199"/>
        <v>0</v>
      </c>
      <c r="M3911" s="17" t="str">
        <f t="shared" si="200"/>
        <v/>
      </c>
      <c r="N3911" s="11" t="str">
        <f t="shared" si="201"/>
        <v/>
      </c>
    </row>
    <row r="3912" spans="9:14" x14ac:dyDescent="0.25">
      <c r="I3912" s="11" t="b">
        <f t="shared" si="199"/>
        <v>0</v>
      </c>
      <c r="M3912" s="17" t="str">
        <f t="shared" si="200"/>
        <v/>
      </c>
      <c r="N3912" s="11" t="str">
        <f t="shared" si="201"/>
        <v/>
      </c>
    </row>
    <row r="3913" spans="9:14" x14ac:dyDescent="0.25">
      <c r="I3913" s="11" t="b">
        <f t="shared" si="199"/>
        <v>0</v>
      </c>
      <c r="M3913" s="17" t="str">
        <f t="shared" si="200"/>
        <v/>
      </c>
      <c r="N3913" s="11" t="str">
        <f t="shared" si="201"/>
        <v/>
      </c>
    </row>
    <row r="3914" spans="9:14" x14ac:dyDescent="0.25">
      <c r="I3914" s="11" t="b">
        <f t="shared" si="199"/>
        <v>0</v>
      </c>
      <c r="M3914" s="17" t="str">
        <f t="shared" si="200"/>
        <v/>
      </c>
      <c r="N3914" s="11" t="str">
        <f t="shared" si="201"/>
        <v/>
      </c>
    </row>
    <row r="3915" spans="9:14" x14ac:dyDescent="0.25">
      <c r="I3915" s="11" t="b">
        <f t="shared" si="199"/>
        <v>0</v>
      </c>
      <c r="M3915" s="17" t="str">
        <f t="shared" si="200"/>
        <v/>
      </c>
      <c r="N3915" s="11" t="str">
        <f t="shared" si="201"/>
        <v/>
      </c>
    </row>
    <row r="3916" spans="9:14" x14ac:dyDescent="0.25">
      <c r="I3916" s="11" t="b">
        <f t="shared" si="199"/>
        <v>0</v>
      </c>
      <c r="M3916" s="17" t="str">
        <f t="shared" si="200"/>
        <v/>
      </c>
      <c r="N3916" s="11" t="str">
        <f t="shared" si="201"/>
        <v/>
      </c>
    </row>
    <row r="3917" spans="9:14" x14ac:dyDescent="0.25">
      <c r="I3917" s="11" t="b">
        <f t="shared" si="199"/>
        <v>0</v>
      </c>
      <c r="M3917" s="17" t="str">
        <f t="shared" si="200"/>
        <v/>
      </c>
      <c r="N3917" s="11" t="str">
        <f t="shared" si="201"/>
        <v/>
      </c>
    </row>
    <row r="3918" spans="9:14" x14ac:dyDescent="0.25">
      <c r="I3918" s="11" t="b">
        <f t="shared" si="199"/>
        <v>0</v>
      </c>
      <c r="M3918" s="17" t="str">
        <f t="shared" si="200"/>
        <v/>
      </c>
      <c r="N3918" s="11" t="str">
        <f t="shared" si="201"/>
        <v/>
      </c>
    </row>
    <row r="3919" spans="9:14" x14ac:dyDescent="0.25">
      <c r="I3919" s="11" t="b">
        <f t="shared" si="199"/>
        <v>0</v>
      </c>
      <c r="M3919" s="17" t="str">
        <f t="shared" si="200"/>
        <v/>
      </c>
      <c r="N3919" s="11" t="str">
        <f t="shared" si="201"/>
        <v/>
      </c>
    </row>
    <row r="3920" spans="9:14" x14ac:dyDescent="0.25">
      <c r="I3920" s="11" t="b">
        <f t="shared" si="199"/>
        <v>0</v>
      </c>
      <c r="M3920" s="17" t="str">
        <f t="shared" si="200"/>
        <v/>
      </c>
      <c r="N3920" s="11" t="str">
        <f t="shared" si="201"/>
        <v/>
      </c>
    </row>
    <row r="3921" spans="9:14" x14ac:dyDescent="0.25">
      <c r="I3921" s="11" t="b">
        <f t="shared" si="199"/>
        <v>0</v>
      </c>
      <c r="M3921" s="17" t="str">
        <f t="shared" si="200"/>
        <v/>
      </c>
      <c r="N3921" s="11" t="str">
        <f t="shared" si="201"/>
        <v/>
      </c>
    </row>
    <row r="3922" spans="9:14" x14ac:dyDescent="0.25">
      <c r="I3922" s="11" t="b">
        <f t="shared" si="199"/>
        <v>0</v>
      </c>
      <c r="M3922" s="17" t="str">
        <f t="shared" si="200"/>
        <v/>
      </c>
      <c r="N3922" s="11" t="str">
        <f t="shared" si="201"/>
        <v/>
      </c>
    </row>
    <row r="3923" spans="9:14" x14ac:dyDescent="0.25">
      <c r="I3923" s="11" t="b">
        <f t="shared" si="199"/>
        <v>0</v>
      </c>
      <c r="M3923" s="17" t="str">
        <f t="shared" si="200"/>
        <v/>
      </c>
      <c r="N3923" s="11" t="str">
        <f t="shared" si="201"/>
        <v/>
      </c>
    </row>
    <row r="3924" spans="9:14" x14ac:dyDescent="0.25">
      <c r="I3924" s="11" t="b">
        <f t="shared" si="199"/>
        <v>0</v>
      </c>
      <c r="M3924" s="17" t="str">
        <f t="shared" si="200"/>
        <v/>
      </c>
      <c r="N3924" s="11" t="str">
        <f t="shared" si="201"/>
        <v/>
      </c>
    </row>
    <row r="3925" spans="9:14" x14ac:dyDescent="0.25">
      <c r="I3925" s="11" t="b">
        <f t="shared" si="199"/>
        <v>0</v>
      </c>
      <c r="M3925" s="17" t="str">
        <f t="shared" si="200"/>
        <v/>
      </c>
      <c r="N3925" s="11" t="str">
        <f t="shared" si="201"/>
        <v/>
      </c>
    </row>
    <row r="3926" spans="9:14" x14ac:dyDescent="0.25">
      <c r="I3926" s="11" t="b">
        <f t="shared" si="199"/>
        <v>0</v>
      </c>
      <c r="M3926" s="17" t="str">
        <f t="shared" si="200"/>
        <v/>
      </c>
      <c r="N3926" s="11" t="str">
        <f t="shared" si="201"/>
        <v/>
      </c>
    </row>
    <row r="3927" spans="9:14" x14ac:dyDescent="0.25">
      <c r="I3927" s="11" t="b">
        <f t="shared" si="199"/>
        <v>0</v>
      </c>
      <c r="M3927" s="17" t="str">
        <f t="shared" si="200"/>
        <v/>
      </c>
      <c r="N3927" s="11" t="str">
        <f t="shared" si="201"/>
        <v/>
      </c>
    </row>
    <row r="3928" spans="9:14" x14ac:dyDescent="0.25">
      <c r="I3928" s="11" t="b">
        <f t="shared" si="199"/>
        <v>0</v>
      </c>
      <c r="M3928" s="17" t="str">
        <f t="shared" si="200"/>
        <v/>
      </c>
      <c r="N3928" s="11" t="str">
        <f t="shared" si="201"/>
        <v/>
      </c>
    </row>
    <row r="3929" spans="9:14" x14ac:dyDescent="0.25">
      <c r="I3929" s="11" t="b">
        <f t="shared" si="199"/>
        <v>0</v>
      </c>
      <c r="M3929" s="17" t="str">
        <f t="shared" si="200"/>
        <v/>
      </c>
      <c r="N3929" s="11" t="str">
        <f t="shared" si="201"/>
        <v/>
      </c>
    </row>
    <row r="3930" spans="9:14" x14ac:dyDescent="0.25">
      <c r="I3930" s="11" t="b">
        <f t="shared" si="199"/>
        <v>0</v>
      </c>
      <c r="M3930" s="17" t="str">
        <f t="shared" si="200"/>
        <v/>
      </c>
      <c r="N3930" s="11" t="str">
        <f t="shared" si="201"/>
        <v/>
      </c>
    </row>
    <row r="3931" spans="9:14" x14ac:dyDescent="0.25">
      <c r="I3931" s="11" t="b">
        <f t="shared" si="199"/>
        <v>0</v>
      </c>
      <c r="M3931" s="17" t="str">
        <f t="shared" si="200"/>
        <v/>
      </c>
      <c r="N3931" s="11" t="str">
        <f t="shared" si="201"/>
        <v/>
      </c>
    </row>
    <row r="3932" spans="9:14" x14ac:dyDescent="0.25">
      <c r="I3932" s="11" t="b">
        <f t="shared" si="199"/>
        <v>0</v>
      </c>
      <c r="M3932" s="17" t="str">
        <f t="shared" si="200"/>
        <v/>
      </c>
      <c r="N3932" s="11" t="str">
        <f t="shared" si="201"/>
        <v/>
      </c>
    </row>
    <row r="3933" spans="9:14" x14ac:dyDescent="0.25">
      <c r="I3933" s="11" t="b">
        <f t="shared" ref="I3933:I3996" si="202">IF(AND(G3933="MERCADO PAGO",A3933="FATURAMENTO"),1,IF(AND(OR(G3933="MERCADO PAGO",G3933="pix mercado pago",G3933= "débito automático mercado pago", G3933= "boleto mercado pago"),A3933="DESPESAS"),4,IF(AND(G3933="SAFRA",A3933="FATURAMENTO"),2,IF(AND(OR(G3933="SAFRA",G3933="PIX SAFRA", G3933="DÉBITO AUTOMÁTICO SAFRA", G3933= "BOLETO SAFRA", G3933= "transferência safra"), A3933="DESPESAS"),5,IF(AND(G3933="espécie",A3933="FATURAMENTO"),3,IF(AND(G3933="espécie",A3933="DESPESAS"),6))))))</f>
        <v>0</v>
      </c>
      <c r="M3933" s="17" t="str">
        <f t="shared" si="200"/>
        <v/>
      </c>
      <c r="N3933" s="11" t="str">
        <f t="shared" si="201"/>
        <v/>
      </c>
    </row>
    <row r="3934" spans="9:14" x14ac:dyDescent="0.25">
      <c r="I3934" s="11" t="b">
        <f t="shared" si="202"/>
        <v>0</v>
      </c>
      <c r="M3934" s="17" t="str">
        <f t="shared" si="200"/>
        <v/>
      </c>
      <c r="N3934" s="11" t="str">
        <f t="shared" si="201"/>
        <v/>
      </c>
    </row>
    <row r="3935" spans="9:14" x14ac:dyDescent="0.25">
      <c r="I3935" s="11" t="b">
        <f t="shared" si="202"/>
        <v>0</v>
      </c>
      <c r="M3935" s="17" t="str">
        <f t="shared" si="200"/>
        <v/>
      </c>
      <c r="N3935" s="11" t="str">
        <f t="shared" si="201"/>
        <v/>
      </c>
    </row>
    <row r="3936" spans="9:14" x14ac:dyDescent="0.25">
      <c r="I3936" s="11" t="b">
        <f t="shared" si="202"/>
        <v>0</v>
      </c>
      <c r="M3936" s="17" t="str">
        <f t="shared" si="200"/>
        <v/>
      </c>
      <c r="N3936" s="11" t="str">
        <f t="shared" si="201"/>
        <v/>
      </c>
    </row>
    <row r="3937" spans="9:14" x14ac:dyDescent="0.25">
      <c r="I3937" s="11" t="b">
        <f t="shared" si="202"/>
        <v>0</v>
      </c>
      <c r="M3937" s="17" t="str">
        <f t="shared" si="200"/>
        <v/>
      </c>
      <c r="N3937" s="11" t="str">
        <f t="shared" si="201"/>
        <v/>
      </c>
    </row>
    <row r="3938" spans="9:14" x14ac:dyDescent="0.25">
      <c r="I3938" s="11" t="b">
        <f t="shared" si="202"/>
        <v>0</v>
      </c>
      <c r="M3938" s="17" t="str">
        <f t="shared" si="200"/>
        <v/>
      </c>
      <c r="N3938" s="11" t="str">
        <f t="shared" si="201"/>
        <v/>
      </c>
    </row>
    <row r="3939" spans="9:14" x14ac:dyDescent="0.25">
      <c r="I3939" s="11" t="b">
        <f t="shared" si="202"/>
        <v>0</v>
      </c>
      <c r="M3939" s="17" t="str">
        <f t="shared" si="200"/>
        <v/>
      </c>
      <c r="N3939" s="11" t="str">
        <f t="shared" si="201"/>
        <v/>
      </c>
    </row>
    <row r="3940" spans="9:14" x14ac:dyDescent="0.25">
      <c r="I3940" s="11" t="b">
        <f t="shared" si="202"/>
        <v>0</v>
      </c>
      <c r="M3940" s="17" t="str">
        <f t="shared" si="200"/>
        <v/>
      </c>
      <c r="N3940" s="11" t="str">
        <f t="shared" si="201"/>
        <v/>
      </c>
    </row>
    <row r="3941" spans="9:14" x14ac:dyDescent="0.25">
      <c r="I3941" s="11" t="b">
        <f t="shared" si="202"/>
        <v>0</v>
      </c>
      <c r="M3941" s="17" t="str">
        <f t="shared" si="200"/>
        <v/>
      </c>
      <c r="N3941" s="11" t="str">
        <f t="shared" si="201"/>
        <v/>
      </c>
    </row>
    <row r="3942" spans="9:14" x14ac:dyDescent="0.25">
      <c r="I3942" s="11" t="b">
        <f t="shared" si="202"/>
        <v>0</v>
      </c>
      <c r="M3942" s="17" t="str">
        <f t="shared" si="200"/>
        <v/>
      </c>
      <c r="N3942" s="11" t="str">
        <f t="shared" si="201"/>
        <v/>
      </c>
    </row>
    <row r="3943" spans="9:14" x14ac:dyDescent="0.25">
      <c r="I3943" s="11" t="b">
        <f t="shared" si="202"/>
        <v>0</v>
      </c>
      <c r="M3943" s="17" t="str">
        <f t="shared" si="200"/>
        <v/>
      </c>
      <c r="N3943" s="11" t="str">
        <f t="shared" si="201"/>
        <v/>
      </c>
    </row>
    <row r="3944" spans="9:14" x14ac:dyDescent="0.25">
      <c r="I3944" s="11" t="b">
        <f t="shared" si="202"/>
        <v>0</v>
      </c>
      <c r="M3944" s="17" t="str">
        <f t="shared" si="200"/>
        <v/>
      </c>
      <c r="N3944" s="11" t="str">
        <f t="shared" si="201"/>
        <v/>
      </c>
    </row>
    <row r="3945" spans="9:14" x14ac:dyDescent="0.25">
      <c r="I3945" s="11" t="b">
        <f t="shared" si="202"/>
        <v>0</v>
      </c>
      <c r="M3945" s="17" t="str">
        <f t="shared" si="200"/>
        <v/>
      </c>
      <c r="N3945" s="11" t="str">
        <f t="shared" si="201"/>
        <v/>
      </c>
    </row>
    <row r="3946" spans="9:14" x14ac:dyDescent="0.25">
      <c r="I3946" s="11" t="b">
        <f t="shared" si="202"/>
        <v>0</v>
      </c>
      <c r="M3946" s="17" t="str">
        <f t="shared" si="200"/>
        <v/>
      </c>
      <c r="N3946" s="11" t="str">
        <f t="shared" si="201"/>
        <v/>
      </c>
    </row>
    <row r="3947" spans="9:14" x14ac:dyDescent="0.25">
      <c r="I3947" s="11" t="b">
        <f t="shared" si="202"/>
        <v>0</v>
      </c>
      <c r="M3947" s="17" t="str">
        <f t="shared" si="200"/>
        <v/>
      </c>
      <c r="N3947" s="11" t="str">
        <f t="shared" si="201"/>
        <v/>
      </c>
    </row>
    <row r="3948" spans="9:14" x14ac:dyDescent="0.25">
      <c r="I3948" s="11" t="b">
        <f t="shared" si="202"/>
        <v>0</v>
      </c>
      <c r="M3948" s="17" t="str">
        <f t="shared" si="200"/>
        <v/>
      </c>
      <c r="N3948" s="11" t="str">
        <f t="shared" si="201"/>
        <v/>
      </c>
    </row>
    <row r="3949" spans="9:14" x14ac:dyDescent="0.25">
      <c r="I3949" s="11" t="b">
        <f t="shared" si="202"/>
        <v>0</v>
      </c>
      <c r="M3949" s="17" t="str">
        <f t="shared" si="200"/>
        <v/>
      </c>
      <c r="N3949" s="11" t="str">
        <f t="shared" si="201"/>
        <v/>
      </c>
    </row>
    <row r="3950" spans="9:14" x14ac:dyDescent="0.25">
      <c r="I3950" s="11" t="b">
        <f t="shared" si="202"/>
        <v>0</v>
      </c>
      <c r="M3950" s="17" t="str">
        <f t="shared" si="200"/>
        <v/>
      </c>
      <c r="N3950" s="11" t="str">
        <f t="shared" si="201"/>
        <v/>
      </c>
    </row>
    <row r="3951" spans="9:14" x14ac:dyDescent="0.25">
      <c r="I3951" s="11" t="b">
        <f t="shared" si="202"/>
        <v>0</v>
      </c>
      <c r="M3951" s="17" t="str">
        <f t="shared" si="200"/>
        <v/>
      </c>
      <c r="N3951" s="11" t="str">
        <f t="shared" si="201"/>
        <v/>
      </c>
    </row>
    <row r="3952" spans="9:14" x14ac:dyDescent="0.25">
      <c r="I3952" s="11" t="b">
        <f t="shared" si="202"/>
        <v>0</v>
      </c>
      <c r="M3952" s="17" t="str">
        <f t="shared" si="200"/>
        <v/>
      </c>
      <c r="N3952" s="11" t="str">
        <f t="shared" si="201"/>
        <v/>
      </c>
    </row>
    <row r="3953" spans="9:14" x14ac:dyDescent="0.25">
      <c r="I3953" s="11" t="b">
        <f t="shared" si="202"/>
        <v>0</v>
      </c>
      <c r="M3953" s="17" t="str">
        <f t="shared" si="200"/>
        <v/>
      </c>
      <c r="N3953" s="11" t="str">
        <f t="shared" si="201"/>
        <v/>
      </c>
    </row>
    <row r="3954" spans="9:14" x14ac:dyDescent="0.25">
      <c r="I3954" s="11" t="b">
        <f t="shared" si="202"/>
        <v>0</v>
      </c>
      <c r="M3954" s="17" t="str">
        <f t="shared" si="200"/>
        <v/>
      </c>
      <c r="N3954" s="11" t="str">
        <f t="shared" si="201"/>
        <v/>
      </c>
    </row>
    <row r="3955" spans="9:14" x14ac:dyDescent="0.25">
      <c r="I3955" s="11" t="b">
        <f t="shared" si="202"/>
        <v>0</v>
      </c>
      <c r="M3955" s="17" t="str">
        <f t="shared" si="200"/>
        <v/>
      </c>
      <c r="N3955" s="11" t="str">
        <f t="shared" si="201"/>
        <v/>
      </c>
    </row>
    <row r="3956" spans="9:14" x14ac:dyDescent="0.25">
      <c r="I3956" s="11" t="b">
        <f t="shared" si="202"/>
        <v>0</v>
      </c>
      <c r="M3956" s="17" t="str">
        <f t="shared" si="200"/>
        <v/>
      </c>
      <c r="N3956" s="11" t="str">
        <f t="shared" si="201"/>
        <v/>
      </c>
    </row>
    <row r="3957" spans="9:14" x14ac:dyDescent="0.25">
      <c r="I3957" s="11" t="b">
        <f t="shared" si="202"/>
        <v>0</v>
      </c>
      <c r="M3957" s="17" t="str">
        <f t="shared" si="200"/>
        <v/>
      </c>
      <c r="N3957" s="11" t="str">
        <f t="shared" si="201"/>
        <v/>
      </c>
    </row>
    <row r="3958" spans="9:14" x14ac:dyDescent="0.25">
      <c r="I3958" s="11" t="b">
        <f t="shared" si="202"/>
        <v>0</v>
      </c>
      <c r="M3958" s="17" t="str">
        <f t="shared" si="200"/>
        <v/>
      </c>
      <c r="N3958" s="11" t="str">
        <f t="shared" si="201"/>
        <v/>
      </c>
    </row>
    <row r="3959" spans="9:14" x14ac:dyDescent="0.25">
      <c r="I3959" s="11" t="b">
        <f t="shared" si="202"/>
        <v>0</v>
      </c>
      <c r="M3959" s="17" t="str">
        <f t="shared" si="200"/>
        <v/>
      </c>
      <c r="N3959" s="11" t="str">
        <f t="shared" si="201"/>
        <v/>
      </c>
    </row>
    <row r="3960" spans="9:14" x14ac:dyDescent="0.25">
      <c r="I3960" s="11" t="b">
        <f t="shared" si="202"/>
        <v>0</v>
      </c>
      <c r="M3960" s="17" t="str">
        <f t="shared" si="200"/>
        <v/>
      </c>
      <c r="N3960" s="11" t="str">
        <f t="shared" si="201"/>
        <v/>
      </c>
    </row>
    <row r="3961" spans="9:14" x14ac:dyDescent="0.25">
      <c r="I3961" s="11" t="b">
        <f t="shared" si="202"/>
        <v>0</v>
      </c>
      <c r="M3961" s="17" t="str">
        <f t="shared" si="200"/>
        <v/>
      </c>
      <c r="N3961" s="11" t="str">
        <f t="shared" si="201"/>
        <v/>
      </c>
    </row>
    <row r="3962" spans="9:14" x14ac:dyDescent="0.25">
      <c r="I3962" s="11" t="b">
        <f t="shared" si="202"/>
        <v>0</v>
      </c>
      <c r="M3962" s="17" t="str">
        <f t="shared" si="200"/>
        <v/>
      </c>
      <c r="N3962" s="11" t="str">
        <f t="shared" si="201"/>
        <v/>
      </c>
    </row>
    <row r="3963" spans="9:14" x14ac:dyDescent="0.25">
      <c r="I3963" s="11" t="b">
        <f t="shared" si="202"/>
        <v>0</v>
      </c>
      <c r="M3963" s="17" t="str">
        <f t="shared" si="200"/>
        <v/>
      </c>
      <c r="N3963" s="11" t="str">
        <f t="shared" si="201"/>
        <v/>
      </c>
    </row>
    <row r="3964" spans="9:14" x14ac:dyDescent="0.25">
      <c r="I3964" s="11" t="b">
        <f t="shared" si="202"/>
        <v>0</v>
      </c>
      <c r="M3964" s="17" t="str">
        <f t="shared" si="200"/>
        <v/>
      </c>
      <c r="N3964" s="11" t="str">
        <f t="shared" si="201"/>
        <v/>
      </c>
    </row>
    <row r="3965" spans="9:14" x14ac:dyDescent="0.25">
      <c r="I3965" s="11" t="b">
        <f t="shared" si="202"/>
        <v>0</v>
      </c>
      <c r="M3965" s="17" t="str">
        <f t="shared" si="200"/>
        <v/>
      </c>
      <c r="N3965" s="11" t="str">
        <f t="shared" si="201"/>
        <v/>
      </c>
    </row>
    <row r="3966" spans="9:14" x14ac:dyDescent="0.25">
      <c r="I3966" s="11" t="b">
        <f t="shared" si="202"/>
        <v>0</v>
      </c>
      <c r="M3966" s="17" t="str">
        <f t="shared" si="200"/>
        <v/>
      </c>
      <c r="N3966" s="11" t="str">
        <f t="shared" si="201"/>
        <v/>
      </c>
    </row>
    <row r="3967" spans="9:14" x14ac:dyDescent="0.25">
      <c r="I3967" s="11" t="b">
        <f t="shared" si="202"/>
        <v>0</v>
      </c>
      <c r="M3967" s="17" t="str">
        <f t="shared" si="200"/>
        <v/>
      </c>
      <c r="N3967" s="11" t="str">
        <f t="shared" si="201"/>
        <v/>
      </c>
    </row>
    <row r="3968" spans="9:14" x14ac:dyDescent="0.25">
      <c r="I3968" s="11" t="b">
        <f t="shared" si="202"/>
        <v>0</v>
      </c>
      <c r="M3968" s="17" t="str">
        <f t="shared" si="200"/>
        <v/>
      </c>
      <c r="N3968" s="11" t="str">
        <f t="shared" si="201"/>
        <v/>
      </c>
    </row>
    <row r="3969" spans="9:14" x14ac:dyDescent="0.25">
      <c r="I3969" s="11" t="b">
        <f t="shared" si="202"/>
        <v>0</v>
      </c>
      <c r="M3969" s="17" t="str">
        <f t="shared" ref="M3969:M4032" si="203">IF(B3969=0, "",M3968+ J3969-K3969)</f>
        <v/>
      </c>
      <c r="N3969" s="11" t="str">
        <f t="shared" ref="N3969:N4032" si="204">IF(B3969=0, "", MONTH(B3969))</f>
        <v/>
      </c>
    </row>
    <row r="3970" spans="9:14" x14ac:dyDescent="0.25">
      <c r="I3970" s="11" t="b">
        <f t="shared" si="202"/>
        <v>0</v>
      </c>
      <c r="M3970" s="17" t="str">
        <f t="shared" si="203"/>
        <v/>
      </c>
      <c r="N3970" s="11" t="str">
        <f t="shared" si="204"/>
        <v/>
      </c>
    </row>
    <row r="3971" spans="9:14" x14ac:dyDescent="0.25">
      <c r="I3971" s="11" t="b">
        <f t="shared" si="202"/>
        <v>0</v>
      </c>
      <c r="M3971" s="17" t="str">
        <f t="shared" si="203"/>
        <v/>
      </c>
      <c r="N3971" s="11" t="str">
        <f t="shared" si="204"/>
        <v/>
      </c>
    </row>
    <row r="3972" spans="9:14" x14ac:dyDescent="0.25">
      <c r="I3972" s="11" t="b">
        <f t="shared" si="202"/>
        <v>0</v>
      </c>
      <c r="M3972" s="17" t="str">
        <f t="shared" si="203"/>
        <v/>
      </c>
      <c r="N3972" s="11" t="str">
        <f t="shared" si="204"/>
        <v/>
      </c>
    </row>
    <row r="3973" spans="9:14" x14ac:dyDescent="0.25">
      <c r="I3973" s="11" t="b">
        <f t="shared" si="202"/>
        <v>0</v>
      </c>
      <c r="M3973" s="17" t="str">
        <f t="shared" si="203"/>
        <v/>
      </c>
      <c r="N3973" s="11" t="str">
        <f t="shared" si="204"/>
        <v/>
      </c>
    </row>
    <row r="3974" spans="9:14" x14ac:dyDescent="0.25">
      <c r="I3974" s="11" t="b">
        <f t="shared" si="202"/>
        <v>0</v>
      </c>
      <c r="M3974" s="17" t="str">
        <f t="shared" si="203"/>
        <v/>
      </c>
      <c r="N3974" s="11" t="str">
        <f t="shared" si="204"/>
        <v/>
      </c>
    </row>
    <row r="3975" spans="9:14" x14ac:dyDescent="0.25">
      <c r="I3975" s="11" t="b">
        <f t="shared" si="202"/>
        <v>0</v>
      </c>
      <c r="M3975" s="17" t="str">
        <f t="shared" si="203"/>
        <v/>
      </c>
      <c r="N3975" s="11" t="str">
        <f t="shared" si="204"/>
        <v/>
      </c>
    </row>
    <row r="3976" spans="9:14" x14ac:dyDescent="0.25">
      <c r="I3976" s="11" t="b">
        <f t="shared" si="202"/>
        <v>0</v>
      </c>
      <c r="M3976" s="17" t="str">
        <f t="shared" si="203"/>
        <v/>
      </c>
      <c r="N3976" s="11" t="str">
        <f t="shared" si="204"/>
        <v/>
      </c>
    </row>
    <row r="3977" spans="9:14" x14ac:dyDescent="0.25">
      <c r="I3977" s="11" t="b">
        <f t="shared" si="202"/>
        <v>0</v>
      </c>
      <c r="M3977" s="17" t="str">
        <f t="shared" si="203"/>
        <v/>
      </c>
      <c r="N3977" s="11" t="str">
        <f t="shared" si="204"/>
        <v/>
      </c>
    </row>
    <row r="3978" spans="9:14" x14ac:dyDescent="0.25">
      <c r="I3978" s="11" t="b">
        <f t="shared" si="202"/>
        <v>0</v>
      </c>
      <c r="M3978" s="17" t="str">
        <f t="shared" si="203"/>
        <v/>
      </c>
      <c r="N3978" s="11" t="str">
        <f t="shared" si="204"/>
        <v/>
      </c>
    </row>
    <row r="3979" spans="9:14" x14ac:dyDescent="0.25">
      <c r="I3979" s="11" t="b">
        <f t="shared" si="202"/>
        <v>0</v>
      </c>
      <c r="M3979" s="17" t="str">
        <f t="shared" si="203"/>
        <v/>
      </c>
      <c r="N3979" s="11" t="str">
        <f t="shared" si="204"/>
        <v/>
      </c>
    </row>
    <row r="3980" spans="9:14" x14ac:dyDescent="0.25">
      <c r="I3980" s="11" t="b">
        <f t="shared" si="202"/>
        <v>0</v>
      </c>
      <c r="M3980" s="17" t="str">
        <f t="shared" si="203"/>
        <v/>
      </c>
      <c r="N3980" s="11" t="str">
        <f t="shared" si="204"/>
        <v/>
      </c>
    </row>
    <row r="3981" spans="9:14" x14ac:dyDescent="0.25">
      <c r="I3981" s="11" t="b">
        <f t="shared" si="202"/>
        <v>0</v>
      </c>
      <c r="M3981" s="17" t="str">
        <f t="shared" si="203"/>
        <v/>
      </c>
      <c r="N3981" s="11" t="str">
        <f t="shared" si="204"/>
        <v/>
      </c>
    </row>
    <row r="3982" spans="9:14" x14ac:dyDescent="0.25">
      <c r="I3982" s="11" t="b">
        <f t="shared" si="202"/>
        <v>0</v>
      </c>
      <c r="M3982" s="17" t="str">
        <f t="shared" si="203"/>
        <v/>
      </c>
      <c r="N3982" s="11" t="str">
        <f t="shared" si="204"/>
        <v/>
      </c>
    </row>
    <row r="3983" spans="9:14" x14ac:dyDescent="0.25">
      <c r="I3983" s="11" t="b">
        <f t="shared" si="202"/>
        <v>0</v>
      </c>
      <c r="M3983" s="17" t="str">
        <f t="shared" si="203"/>
        <v/>
      </c>
      <c r="N3983" s="11" t="str">
        <f t="shared" si="204"/>
        <v/>
      </c>
    </row>
    <row r="3984" spans="9:14" x14ac:dyDescent="0.25">
      <c r="I3984" s="11" t="b">
        <f t="shared" si="202"/>
        <v>0</v>
      </c>
      <c r="M3984" s="17" t="str">
        <f t="shared" si="203"/>
        <v/>
      </c>
      <c r="N3984" s="11" t="str">
        <f t="shared" si="204"/>
        <v/>
      </c>
    </row>
    <row r="3985" spans="9:14" x14ac:dyDescent="0.25">
      <c r="I3985" s="11" t="b">
        <f t="shared" si="202"/>
        <v>0</v>
      </c>
      <c r="M3985" s="17" t="str">
        <f t="shared" si="203"/>
        <v/>
      </c>
      <c r="N3985" s="11" t="str">
        <f t="shared" si="204"/>
        <v/>
      </c>
    </row>
    <row r="3986" spans="9:14" x14ac:dyDescent="0.25">
      <c r="I3986" s="11" t="b">
        <f t="shared" si="202"/>
        <v>0</v>
      </c>
      <c r="M3986" s="17" t="str">
        <f t="shared" si="203"/>
        <v/>
      </c>
      <c r="N3986" s="11" t="str">
        <f t="shared" si="204"/>
        <v/>
      </c>
    </row>
    <row r="3987" spans="9:14" x14ac:dyDescent="0.25">
      <c r="I3987" s="11" t="b">
        <f t="shared" si="202"/>
        <v>0</v>
      </c>
      <c r="M3987" s="17" t="str">
        <f t="shared" si="203"/>
        <v/>
      </c>
      <c r="N3987" s="11" t="str">
        <f t="shared" si="204"/>
        <v/>
      </c>
    </row>
    <row r="3988" spans="9:14" x14ac:dyDescent="0.25">
      <c r="I3988" s="11" t="b">
        <f t="shared" si="202"/>
        <v>0</v>
      </c>
      <c r="M3988" s="17" t="str">
        <f t="shared" si="203"/>
        <v/>
      </c>
      <c r="N3988" s="11" t="str">
        <f t="shared" si="204"/>
        <v/>
      </c>
    </row>
    <row r="3989" spans="9:14" x14ac:dyDescent="0.25">
      <c r="I3989" s="11" t="b">
        <f t="shared" si="202"/>
        <v>0</v>
      </c>
      <c r="M3989" s="17" t="str">
        <f t="shared" si="203"/>
        <v/>
      </c>
      <c r="N3989" s="11" t="str">
        <f t="shared" si="204"/>
        <v/>
      </c>
    </row>
    <row r="3990" spans="9:14" x14ac:dyDescent="0.25">
      <c r="I3990" s="11" t="b">
        <f t="shared" si="202"/>
        <v>0</v>
      </c>
      <c r="M3990" s="17" t="str">
        <f t="shared" si="203"/>
        <v/>
      </c>
      <c r="N3990" s="11" t="str">
        <f t="shared" si="204"/>
        <v/>
      </c>
    </row>
    <row r="3991" spans="9:14" x14ac:dyDescent="0.25">
      <c r="I3991" s="11" t="b">
        <f t="shared" si="202"/>
        <v>0</v>
      </c>
      <c r="M3991" s="17" t="str">
        <f t="shared" si="203"/>
        <v/>
      </c>
      <c r="N3991" s="11" t="str">
        <f t="shared" si="204"/>
        <v/>
      </c>
    </row>
    <row r="3992" spans="9:14" x14ac:dyDescent="0.25">
      <c r="I3992" s="11" t="b">
        <f t="shared" si="202"/>
        <v>0</v>
      </c>
      <c r="M3992" s="17" t="str">
        <f t="shared" si="203"/>
        <v/>
      </c>
      <c r="N3992" s="11" t="str">
        <f t="shared" si="204"/>
        <v/>
      </c>
    </row>
    <row r="3993" spans="9:14" x14ac:dyDescent="0.25">
      <c r="I3993" s="11" t="b">
        <f t="shared" si="202"/>
        <v>0</v>
      </c>
      <c r="M3993" s="17" t="str">
        <f t="shared" si="203"/>
        <v/>
      </c>
      <c r="N3993" s="11" t="str">
        <f t="shared" si="204"/>
        <v/>
      </c>
    </row>
    <row r="3994" spans="9:14" x14ac:dyDescent="0.25">
      <c r="I3994" s="11" t="b">
        <f t="shared" si="202"/>
        <v>0</v>
      </c>
      <c r="M3994" s="17" t="str">
        <f t="shared" si="203"/>
        <v/>
      </c>
      <c r="N3994" s="11" t="str">
        <f t="shared" si="204"/>
        <v/>
      </c>
    </row>
    <row r="3995" spans="9:14" x14ac:dyDescent="0.25">
      <c r="I3995" s="11" t="b">
        <f t="shared" si="202"/>
        <v>0</v>
      </c>
      <c r="M3995" s="17" t="str">
        <f t="shared" si="203"/>
        <v/>
      </c>
      <c r="N3995" s="11" t="str">
        <f t="shared" si="204"/>
        <v/>
      </c>
    </row>
    <row r="3996" spans="9:14" x14ac:dyDescent="0.25">
      <c r="I3996" s="11" t="b">
        <f t="shared" si="202"/>
        <v>0</v>
      </c>
      <c r="M3996" s="17" t="str">
        <f t="shared" si="203"/>
        <v/>
      </c>
      <c r="N3996" s="11" t="str">
        <f t="shared" si="204"/>
        <v/>
      </c>
    </row>
    <row r="3997" spans="9:14" x14ac:dyDescent="0.25">
      <c r="I3997" s="11" t="b">
        <f t="shared" ref="I3997:I4060" si="205">IF(AND(G3997="MERCADO PAGO",A3997="FATURAMENTO"),1,IF(AND(OR(G3997="MERCADO PAGO",G3997="pix mercado pago",G3997= "débito automático mercado pago", G3997= "boleto mercado pago"),A3997="DESPESAS"),4,IF(AND(G3997="SAFRA",A3997="FATURAMENTO"),2,IF(AND(OR(G3997="SAFRA",G3997="PIX SAFRA", G3997="DÉBITO AUTOMÁTICO SAFRA", G3997= "BOLETO SAFRA", G3997= "transferência safra"), A3997="DESPESAS"),5,IF(AND(G3997="espécie",A3997="FATURAMENTO"),3,IF(AND(G3997="espécie",A3997="DESPESAS"),6))))))</f>
        <v>0</v>
      </c>
      <c r="M3997" s="17" t="str">
        <f t="shared" si="203"/>
        <v/>
      </c>
      <c r="N3997" s="11" t="str">
        <f t="shared" si="204"/>
        <v/>
      </c>
    </row>
    <row r="3998" spans="9:14" x14ac:dyDescent="0.25">
      <c r="I3998" s="11" t="b">
        <f t="shared" si="205"/>
        <v>0</v>
      </c>
      <c r="M3998" s="17" t="str">
        <f t="shared" si="203"/>
        <v/>
      </c>
      <c r="N3998" s="11" t="str">
        <f t="shared" si="204"/>
        <v/>
      </c>
    </row>
    <row r="3999" spans="9:14" x14ac:dyDescent="0.25">
      <c r="I3999" s="11" t="b">
        <f t="shared" si="205"/>
        <v>0</v>
      </c>
      <c r="M3999" s="17" t="str">
        <f t="shared" si="203"/>
        <v/>
      </c>
      <c r="N3999" s="11" t="str">
        <f t="shared" si="204"/>
        <v/>
      </c>
    </row>
    <row r="4000" spans="9:14" x14ac:dyDescent="0.25">
      <c r="I4000" s="11" t="b">
        <f t="shared" si="205"/>
        <v>0</v>
      </c>
      <c r="M4000" s="17" t="str">
        <f t="shared" si="203"/>
        <v/>
      </c>
      <c r="N4000" s="11" t="str">
        <f t="shared" si="204"/>
        <v/>
      </c>
    </row>
    <row r="4001" spans="9:14" x14ac:dyDescent="0.25">
      <c r="I4001" s="11" t="b">
        <f t="shared" si="205"/>
        <v>0</v>
      </c>
      <c r="M4001" s="17" t="str">
        <f t="shared" si="203"/>
        <v/>
      </c>
      <c r="N4001" s="11" t="str">
        <f t="shared" si="204"/>
        <v/>
      </c>
    </row>
    <row r="4002" spans="9:14" x14ac:dyDescent="0.25">
      <c r="I4002" s="11" t="b">
        <f t="shared" si="205"/>
        <v>0</v>
      </c>
      <c r="M4002" s="17" t="str">
        <f t="shared" si="203"/>
        <v/>
      </c>
      <c r="N4002" s="11" t="str">
        <f t="shared" si="204"/>
        <v/>
      </c>
    </row>
    <row r="4003" spans="9:14" x14ac:dyDescent="0.25">
      <c r="I4003" s="11" t="b">
        <f t="shared" si="205"/>
        <v>0</v>
      </c>
      <c r="M4003" s="17" t="str">
        <f t="shared" si="203"/>
        <v/>
      </c>
      <c r="N4003" s="11" t="str">
        <f t="shared" si="204"/>
        <v/>
      </c>
    </row>
    <row r="4004" spans="9:14" x14ac:dyDescent="0.25">
      <c r="I4004" s="11" t="b">
        <f t="shared" si="205"/>
        <v>0</v>
      </c>
      <c r="M4004" s="17" t="str">
        <f t="shared" si="203"/>
        <v/>
      </c>
      <c r="N4004" s="11" t="str">
        <f t="shared" si="204"/>
        <v/>
      </c>
    </row>
    <row r="4005" spans="9:14" x14ac:dyDescent="0.25">
      <c r="I4005" s="11" t="b">
        <f t="shared" si="205"/>
        <v>0</v>
      </c>
      <c r="M4005" s="17" t="str">
        <f t="shared" si="203"/>
        <v/>
      </c>
      <c r="N4005" s="11" t="str">
        <f t="shared" si="204"/>
        <v/>
      </c>
    </row>
    <row r="4006" spans="9:14" x14ac:dyDescent="0.25">
      <c r="I4006" s="11" t="b">
        <f t="shared" si="205"/>
        <v>0</v>
      </c>
      <c r="M4006" s="17" t="str">
        <f t="shared" si="203"/>
        <v/>
      </c>
      <c r="N4006" s="11" t="str">
        <f t="shared" si="204"/>
        <v/>
      </c>
    </row>
    <row r="4007" spans="9:14" x14ac:dyDescent="0.25">
      <c r="I4007" s="11" t="b">
        <f t="shared" si="205"/>
        <v>0</v>
      </c>
      <c r="M4007" s="17" t="str">
        <f t="shared" si="203"/>
        <v/>
      </c>
      <c r="N4007" s="11" t="str">
        <f t="shared" si="204"/>
        <v/>
      </c>
    </row>
    <row r="4008" spans="9:14" x14ac:dyDescent="0.25">
      <c r="I4008" s="11" t="b">
        <f t="shared" si="205"/>
        <v>0</v>
      </c>
      <c r="M4008" s="17" t="str">
        <f t="shared" si="203"/>
        <v/>
      </c>
      <c r="N4008" s="11" t="str">
        <f t="shared" si="204"/>
        <v/>
      </c>
    </row>
    <row r="4009" spans="9:14" x14ac:dyDescent="0.25">
      <c r="I4009" s="11" t="b">
        <f t="shared" si="205"/>
        <v>0</v>
      </c>
      <c r="M4009" s="17" t="str">
        <f t="shared" si="203"/>
        <v/>
      </c>
      <c r="N4009" s="11" t="str">
        <f t="shared" si="204"/>
        <v/>
      </c>
    </row>
    <row r="4010" spans="9:14" x14ac:dyDescent="0.25">
      <c r="I4010" s="11" t="b">
        <f t="shared" si="205"/>
        <v>0</v>
      </c>
      <c r="M4010" s="17" t="str">
        <f t="shared" si="203"/>
        <v/>
      </c>
      <c r="N4010" s="11" t="str">
        <f t="shared" si="204"/>
        <v/>
      </c>
    </row>
    <row r="4011" spans="9:14" x14ac:dyDescent="0.25">
      <c r="I4011" s="11" t="b">
        <f t="shared" si="205"/>
        <v>0</v>
      </c>
      <c r="M4011" s="17" t="str">
        <f t="shared" si="203"/>
        <v/>
      </c>
      <c r="N4011" s="11" t="str">
        <f t="shared" si="204"/>
        <v/>
      </c>
    </row>
    <row r="4012" spans="9:14" x14ac:dyDescent="0.25">
      <c r="I4012" s="11" t="b">
        <f t="shared" si="205"/>
        <v>0</v>
      </c>
      <c r="M4012" s="17" t="str">
        <f t="shared" si="203"/>
        <v/>
      </c>
      <c r="N4012" s="11" t="str">
        <f t="shared" si="204"/>
        <v/>
      </c>
    </row>
    <row r="4013" spans="9:14" x14ac:dyDescent="0.25">
      <c r="I4013" s="11" t="b">
        <f t="shared" si="205"/>
        <v>0</v>
      </c>
      <c r="M4013" s="17" t="str">
        <f t="shared" si="203"/>
        <v/>
      </c>
      <c r="N4013" s="11" t="str">
        <f t="shared" si="204"/>
        <v/>
      </c>
    </row>
    <row r="4014" spans="9:14" x14ac:dyDescent="0.25">
      <c r="I4014" s="11" t="b">
        <f t="shared" si="205"/>
        <v>0</v>
      </c>
      <c r="M4014" s="17" t="str">
        <f t="shared" si="203"/>
        <v/>
      </c>
      <c r="N4014" s="11" t="str">
        <f t="shared" si="204"/>
        <v/>
      </c>
    </row>
    <row r="4015" spans="9:14" x14ac:dyDescent="0.25">
      <c r="I4015" s="11" t="b">
        <f t="shared" si="205"/>
        <v>0</v>
      </c>
      <c r="M4015" s="17" t="str">
        <f t="shared" si="203"/>
        <v/>
      </c>
      <c r="N4015" s="11" t="str">
        <f t="shared" si="204"/>
        <v/>
      </c>
    </row>
    <row r="4016" spans="9:14" x14ac:dyDescent="0.25">
      <c r="I4016" s="11" t="b">
        <f t="shared" si="205"/>
        <v>0</v>
      </c>
      <c r="M4016" s="17" t="str">
        <f t="shared" si="203"/>
        <v/>
      </c>
      <c r="N4016" s="11" t="str">
        <f t="shared" si="204"/>
        <v/>
      </c>
    </row>
    <row r="4017" spans="9:14" x14ac:dyDescent="0.25">
      <c r="I4017" s="11" t="b">
        <f t="shared" si="205"/>
        <v>0</v>
      </c>
      <c r="M4017" s="17" t="str">
        <f t="shared" si="203"/>
        <v/>
      </c>
      <c r="N4017" s="11" t="str">
        <f t="shared" si="204"/>
        <v/>
      </c>
    </row>
    <row r="4018" spans="9:14" x14ac:dyDescent="0.25">
      <c r="I4018" s="11" t="b">
        <f t="shared" si="205"/>
        <v>0</v>
      </c>
      <c r="M4018" s="17" t="str">
        <f t="shared" si="203"/>
        <v/>
      </c>
      <c r="N4018" s="11" t="str">
        <f t="shared" si="204"/>
        <v/>
      </c>
    </row>
    <row r="4019" spans="9:14" x14ac:dyDescent="0.25">
      <c r="I4019" s="11" t="b">
        <f t="shared" si="205"/>
        <v>0</v>
      </c>
      <c r="M4019" s="17" t="str">
        <f t="shared" si="203"/>
        <v/>
      </c>
      <c r="N4019" s="11" t="str">
        <f t="shared" si="204"/>
        <v/>
      </c>
    </row>
    <row r="4020" spans="9:14" x14ac:dyDescent="0.25">
      <c r="I4020" s="11" t="b">
        <f t="shared" si="205"/>
        <v>0</v>
      </c>
      <c r="M4020" s="17" t="str">
        <f t="shared" si="203"/>
        <v/>
      </c>
      <c r="N4020" s="11" t="str">
        <f t="shared" si="204"/>
        <v/>
      </c>
    </row>
    <row r="4021" spans="9:14" x14ac:dyDescent="0.25">
      <c r="I4021" s="11" t="b">
        <f t="shared" si="205"/>
        <v>0</v>
      </c>
      <c r="M4021" s="17" t="str">
        <f t="shared" si="203"/>
        <v/>
      </c>
      <c r="N4021" s="11" t="str">
        <f t="shared" si="204"/>
        <v/>
      </c>
    </row>
    <row r="4022" spans="9:14" x14ac:dyDescent="0.25">
      <c r="I4022" s="11" t="b">
        <f t="shared" si="205"/>
        <v>0</v>
      </c>
      <c r="M4022" s="17" t="str">
        <f t="shared" si="203"/>
        <v/>
      </c>
      <c r="N4022" s="11" t="str">
        <f t="shared" si="204"/>
        <v/>
      </c>
    </row>
    <row r="4023" spans="9:14" x14ac:dyDescent="0.25">
      <c r="I4023" s="11" t="b">
        <f t="shared" si="205"/>
        <v>0</v>
      </c>
      <c r="M4023" s="17" t="str">
        <f t="shared" si="203"/>
        <v/>
      </c>
      <c r="N4023" s="11" t="str">
        <f t="shared" si="204"/>
        <v/>
      </c>
    </row>
    <row r="4024" spans="9:14" x14ac:dyDescent="0.25">
      <c r="I4024" s="11" t="b">
        <f t="shared" si="205"/>
        <v>0</v>
      </c>
      <c r="M4024" s="17" t="str">
        <f t="shared" si="203"/>
        <v/>
      </c>
      <c r="N4024" s="11" t="str">
        <f t="shared" si="204"/>
        <v/>
      </c>
    </row>
    <row r="4025" spans="9:14" x14ac:dyDescent="0.25">
      <c r="I4025" s="11" t="b">
        <f t="shared" si="205"/>
        <v>0</v>
      </c>
      <c r="M4025" s="17" t="str">
        <f t="shared" si="203"/>
        <v/>
      </c>
      <c r="N4025" s="11" t="str">
        <f t="shared" si="204"/>
        <v/>
      </c>
    </row>
    <row r="4026" spans="9:14" x14ac:dyDescent="0.25">
      <c r="I4026" s="11" t="b">
        <f t="shared" si="205"/>
        <v>0</v>
      </c>
      <c r="M4026" s="17" t="str">
        <f t="shared" si="203"/>
        <v/>
      </c>
      <c r="N4026" s="11" t="str">
        <f t="shared" si="204"/>
        <v/>
      </c>
    </row>
    <row r="4027" spans="9:14" x14ac:dyDescent="0.25">
      <c r="I4027" s="11" t="b">
        <f t="shared" si="205"/>
        <v>0</v>
      </c>
      <c r="M4027" s="17" t="str">
        <f t="shared" si="203"/>
        <v/>
      </c>
      <c r="N4027" s="11" t="str">
        <f t="shared" si="204"/>
        <v/>
      </c>
    </row>
    <row r="4028" spans="9:14" x14ac:dyDescent="0.25">
      <c r="I4028" s="11" t="b">
        <f t="shared" si="205"/>
        <v>0</v>
      </c>
      <c r="M4028" s="17" t="str">
        <f t="shared" si="203"/>
        <v/>
      </c>
      <c r="N4028" s="11" t="str">
        <f t="shared" si="204"/>
        <v/>
      </c>
    </row>
    <row r="4029" spans="9:14" x14ac:dyDescent="0.25">
      <c r="I4029" s="11" t="b">
        <f t="shared" si="205"/>
        <v>0</v>
      </c>
      <c r="M4029" s="17" t="str">
        <f t="shared" si="203"/>
        <v/>
      </c>
      <c r="N4029" s="11" t="str">
        <f t="shared" si="204"/>
        <v/>
      </c>
    </row>
    <row r="4030" spans="9:14" x14ac:dyDescent="0.25">
      <c r="I4030" s="11" t="b">
        <f t="shared" si="205"/>
        <v>0</v>
      </c>
      <c r="M4030" s="17" t="str">
        <f t="shared" si="203"/>
        <v/>
      </c>
      <c r="N4030" s="11" t="str">
        <f t="shared" si="204"/>
        <v/>
      </c>
    </row>
    <row r="4031" spans="9:14" x14ac:dyDescent="0.25">
      <c r="I4031" s="11" t="b">
        <f t="shared" si="205"/>
        <v>0</v>
      </c>
      <c r="M4031" s="17" t="str">
        <f t="shared" si="203"/>
        <v/>
      </c>
      <c r="N4031" s="11" t="str">
        <f t="shared" si="204"/>
        <v/>
      </c>
    </row>
    <row r="4032" spans="9:14" x14ac:dyDescent="0.25">
      <c r="I4032" s="11" t="b">
        <f t="shared" si="205"/>
        <v>0</v>
      </c>
      <c r="M4032" s="17" t="str">
        <f t="shared" si="203"/>
        <v/>
      </c>
      <c r="N4032" s="11" t="str">
        <f t="shared" si="204"/>
        <v/>
      </c>
    </row>
    <row r="4033" spans="9:14" x14ac:dyDescent="0.25">
      <c r="I4033" s="11" t="b">
        <f t="shared" si="205"/>
        <v>0</v>
      </c>
      <c r="M4033" s="17" t="str">
        <f t="shared" ref="M4033:M4096" si="206">IF(B4033=0, "",M4032+ J4033-K4033)</f>
        <v/>
      </c>
      <c r="N4033" s="11" t="str">
        <f t="shared" ref="N4033:N4096" si="207">IF(B4033=0, "", MONTH(B4033))</f>
        <v/>
      </c>
    </row>
    <row r="4034" spans="9:14" x14ac:dyDescent="0.25">
      <c r="I4034" s="11" t="b">
        <f t="shared" si="205"/>
        <v>0</v>
      </c>
      <c r="M4034" s="17" t="str">
        <f t="shared" si="206"/>
        <v/>
      </c>
      <c r="N4034" s="11" t="str">
        <f t="shared" si="207"/>
        <v/>
      </c>
    </row>
    <row r="4035" spans="9:14" x14ac:dyDescent="0.25">
      <c r="I4035" s="11" t="b">
        <f t="shared" si="205"/>
        <v>0</v>
      </c>
      <c r="M4035" s="17" t="str">
        <f t="shared" si="206"/>
        <v/>
      </c>
      <c r="N4035" s="11" t="str">
        <f t="shared" si="207"/>
        <v/>
      </c>
    </row>
    <row r="4036" spans="9:14" x14ac:dyDescent="0.25">
      <c r="I4036" s="11" t="b">
        <f t="shared" si="205"/>
        <v>0</v>
      </c>
      <c r="M4036" s="17" t="str">
        <f t="shared" si="206"/>
        <v/>
      </c>
      <c r="N4036" s="11" t="str">
        <f t="shared" si="207"/>
        <v/>
      </c>
    </row>
    <row r="4037" spans="9:14" x14ac:dyDescent="0.25">
      <c r="I4037" s="11" t="b">
        <f t="shared" si="205"/>
        <v>0</v>
      </c>
      <c r="M4037" s="17" t="str">
        <f t="shared" si="206"/>
        <v/>
      </c>
      <c r="N4037" s="11" t="str">
        <f t="shared" si="207"/>
        <v/>
      </c>
    </row>
    <row r="4038" spans="9:14" x14ac:dyDescent="0.25">
      <c r="I4038" s="11" t="b">
        <f t="shared" si="205"/>
        <v>0</v>
      </c>
      <c r="M4038" s="17" t="str">
        <f t="shared" si="206"/>
        <v/>
      </c>
      <c r="N4038" s="11" t="str">
        <f t="shared" si="207"/>
        <v/>
      </c>
    </row>
    <row r="4039" spans="9:14" x14ac:dyDescent="0.25">
      <c r="I4039" s="11" t="b">
        <f t="shared" si="205"/>
        <v>0</v>
      </c>
      <c r="M4039" s="17" t="str">
        <f t="shared" si="206"/>
        <v/>
      </c>
      <c r="N4039" s="11" t="str">
        <f t="shared" si="207"/>
        <v/>
      </c>
    </row>
    <row r="4040" spans="9:14" x14ac:dyDescent="0.25">
      <c r="I4040" s="11" t="b">
        <f t="shared" si="205"/>
        <v>0</v>
      </c>
      <c r="M4040" s="17" t="str">
        <f t="shared" si="206"/>
        <v/>
      </c>
      <c r="N4040" s="11" t="str">
        <f t="shared" si="207"/>
        <v/>
      </c>
    </row>
    <row r="4041" spans="9:14" x14ac:dyDescent="0.25">
      <c r="I4041" s="11" t="b">
        <f t="shared" si="205"/>
        <v>0</v>
      </c>
      <c r="M4041" s="17" t="str">
        <f t="shared" si="206"/>
        <v/>
      </c>
      <c r="N4041" s="11" t="str">
        <f t="shared" si="207"/>
        <v/>
      </c>
    </row>
    <row r="4042" spans="9:14" x14ac:dyDescent="0.25">
      <c r="I4042" s="11" t="b">
        <f t="shared" si="205"/>
        <v>0</v>
      </c>
      <c r="M4042" s="17" t="str">
        <f t="shared" si="206"/>
        <v/>
      </c>
      <c r="N4042" s="11" t="str">
        <f t="shared" si="207"/>
        <v/>
      </c>
    </row>
    <row r="4043" spans="9:14" x14ac:dyDescent="0.25">
      <c r="I4043" s="11" t="b">
        <f t="shared" si="205"/>
        <v>0</v>
      </c>
      <c r="M4043" s="17" t="str">
        <f t="shared" si="206"/>
        <v/>
      </c>
      <c r="N4043" s="11" t="str">
        <f t="shared" si="207"/>
        <v/>
      </c>
    </row>
    <row r="4044" spans="9:14" x14ac:dyDescent="0.25">
      <c r="I4044" s="11" t="b">
        <f t="shared" si="205"/>
        <v>0</v>
      </c>
      <c r="M4044" s="17" t="str">
        <f t="shared" si="206"/>
        <v/>
      </c>
      <c r="N4044" s="11" t="str">
        <f t="shared" si="207"/>
        <v/>
      </c>
    </row>
    <row r="4045" spans="9:14" x14ac:dyDescent="0.25">
      <c r="I4045" s="11" t="b">
        <f t="shared" si="205"/>
        <v>0</v>
      </c>
      <c r="M4045" s="17" t="str">
        <f t="shared" si="206"/>
        <v/>
      </c>
      <c r="N4045" s="11" t="str">
        <f t="shared" si="207"/>
        <v/>
      </c>
    </row>
    <row r="4046" spans="9:14" x14ac:dyDescent="0.25">
      <c r="I4046" s="11" t="b">
        <f t="shared" si="205"/>
        <v>0</v>
      </c>
      <c r="M4046" s="17" t="str">
        <f t="shared" si="206"/>
        <v/>
      </c>
      <c r="N4046" s="11" t="str">
        <f t="shared" si="207"/>
        <v/>
      </c>
    </row>
    <row r="4047" spans="9:14" x14ac:dyDescent="0.25">
      <c r="I4047" s="11" t="b">
        <f t="shared" si="205"/>
        <v>0</v>
      </c>
      <c r="M4047" s="17" t="str">
        <f t="shared" si="206"/>
        <v/>
      </c>
      <c r="N4047" s="11" t="str">
        <f t="shared" si="207"/>
        <v/>
      </c>
    </row>
    <row r="4048" spans="9:14" x14ac:dyDescent="0.25">
      <c r="I4048" s="11" t="b">
        <f t="shared" si="205"/>
        <v>0</v>
      </c>
      <c r="M4048" s="17" t="str">
        <f t="shared" si="206"/>
        <v/>
      </c>
      <c r="N4048" s="11" t="str">
        <f t="shared" si="207"/>
        <v/>
      </c>
    </row>
    <row r="4049" spans="9:14" x14ac:dyDescent="0.25">
      <c r="I4049" s="11" t="b">
        <f t="shared" si="205"/>
        <v>0</v>
      </c>
      <c r="M4049" s="17" t="str">
        <f t="shared" si="206"/>
        <v/>
      </c>
      <c r="N4049" s="11" t="str">
        <f t="shared" si="207"/>
        <v/>
      </c>
    </row>
    <row r="4050" spans="9:14" x14ac:dyDescent="0.25">
      <c r="I4050" s="11" t="b">
        <f t="shared" si="205"/>
        <v>0</v>
      </c>
      <c r="M4050" s="17" t="str">
        <f t="shared" si="206"/>
        <v/>
      </c>
      <c r="N4050" s="11" t="str">
        <f t="shared" si="207"/>
        <v/>
      </c>
    </row>
    <row r="4051" spans="9:14" x14ac:dyDescent="0.25">
      <c r="I4051" s="11" t="b">
        <f t="shared" si="205"/>
        <v>0</v>
      </c>
      <c r="M4051" s="17" t="str">
        <f t="shared" si="206"/>
        <v/>
      </c>
      <c r="N4051" s="11" t="str">
        <f t="shared" si="207"/>
        <v/>
      </c>
    </row>
    <row r="4052" spans="9:14" x14ac:dyDescent="0.25">
      <c r="I4052" s="11" t="b">
        <f t="shared" si="205"/>
        <v>0</v>
      </c>
      <c r="M4052" s="17" t="str">
        <f t="shared" si="206"/>
        <v/>
      </c>
      <c r="N4052" s="11" t="str">
        <f t="shared" si="207"/>
        <v/>
      </c>
    </row>
    <row r="4053" spans="9:14" x14ac:dyDescent="0.25">
      <c r="I4053" s="11" t="b">
        <f t="shared" si="205"/>
        <v>0</v>
      </c>
      <c r="M4053" s="17" t="str">
        <f t="shared" si="206"/>
        <v/>
      </c>
      <c r="N4053" s="11" t="str">
        <f t="shared" si="207"/>
        <v/>
      </c>
    </row>
    <row r="4054" spans="9:14" x14ac:dyDescent="0.25">
      <c r="I4054" s="11" t="b">
        <f t="shared" si="205"/>
        <v>0</v>
      </c>
      <c r="M4054" s="17" t="str">
        <f t="shared" si="206"/>
        <v/>
      </c>
      <c r="N4054" s="11" t="str">
        <f t="shared" si="207"/>
        <v/>
      </c>
    </row>
    <row r="4055" spans="9:14" x14ac:dyDescent="0.25">
      <c r="I4055" s="11" t="b">
        <f t="shared" si="205"/>
        <v>0</v>
      </c>
      <c r="M4055" s="17" t="str">
        <f t="shared" si="206"/>
        <v/>
      </c>
      <c r="N4055" s="11" t="str">
        <f t="shared" si="207"/>
        <v/>
      </c>
    </row>
    <row r="4056" spans="9:14" x14ac:dyDescent="0.25">
      <c r="I4056" s="11" t="b">
        <f t="shared" si="205"/>
        <v>0</v>
      </c>
      <c r="M4056" s="17" t="str">
        <f t="shared" si="206"/>
        <v/>
      </c>
      <c r="N4056" s="11" t="str">
        <f t="shared" si="207"/>
        <v/>
      </c>
    </row>
    <row r="4057" spans="9:14" x14ac:dyDescent="0.25">
      <c r="I4057" s="11" t="b">
        <f t="shared" si="205"/>
        <v>0</v>
      </c>
      <c r="M4057" s="17" t="str">
        <f t="shared" si="206"/>
        <v/>
      </c>
      <c r="N4057" s="11" t="str">
        <f t="shared" si="207"/>
        <v/>
      </c>
    </row>
    <row r="4058" spans="9:14" x14ac:dyDescent="0.25">
      <c r="I4058" s="11" t="b">
        <f t="shared" si="205"/>
        <v>0</v>
      </c>
      <c r="M4058" s="17" t="str">
        <f t="shared" si="206"/>
        <v/>
      </c>
      <c r="N4058" s="11" t="str">
        <f t="shared" si="207"/>
        <v/>
      </c>
    </row>
    <row r="4059" spans="9:14" x14ac:dyDescent="0.25">
      <c r="I4059" s="11" t="b">
        <f t="shared" si="205"/>
        <v>0</v>
      </c>
      <c r="M4059" s="17" t="str">
        <f t="shared" si="206"/>
        <v/>
      </c>
      <c r="N4059" s="11" t="str">
        <f t="shared" si="207"/>
        <v/>
      </c>
    </row>
    <row r="4060" spans="9:14" x14ac:dyDescent="0.25">
      <c r="I4060" s="11" t="b">
        <f t="shared" si="205"/>
        <v>0</v>
      </c>
      <c r="M4060" s="17" t="str">
        <f t="shared" si="206"/>
        <v/>
      </c>
      <c r="N4060" s="11" t="str">
        <f t="shared" si="207"/>
        <v/>
      </c>
    </row>
    <row r="4061" spans="9:14" x14ac:dyDescent="0.25">
      <c r="I4061" s="11" t="b">
        <f t="shared" ref="I4061:I4124" si="208">IF(AND(G4061="MERCADO PAGO",A4061="FATURAMENTO"),1,IF(AND(OR(G4061="MERCADO PAGO",G4061="pix mercado pago",G4061= "débito automático mercado pago", G4061= "boleto mercado pago"),A4061="DESPESAS"),4,IF(AND(G4061="SAFRA",A4061="FATURAMENTO"),2,IF(AND(OR(G4061="SAFRA",G4061="PIX SAFRA", G4061="DÉBITO AUTOMÁTICO SAFRA", G4061= "BOLETO SAFRA", G4061= "transferência safra"), A4061="DESPESAS"),5,IF(AND(G4061="espécie",A4061="FATURAMENTO"),3,IF(AND(G4061="espécie",A4061="DESPESAS"),6))))))</f>
        <v>0</v>
      </c>
      <c r="M4061" s="17" t="str">
        <f t="shared" si="206"/>
        <v/>
      </c>
      <c r="N4061" s="11" t="str">
        <f t="shared" si="207"/>
        <v/>
      </c>
    </row>
    <row r="4062" spans="9:14" x14ac:dyDescent="0.25">
      <c r="I4062" s="11" t="b">
        <f t="shared" si="208"/>
        <v>0</v>
      </c>
      <c r="M4062" s="17" t="str">
        <f t="shared" si="206"/>
        <v/>
      </c>
      <c r="N4062" s="11" t="str">
        <f t="shared" si="207"/>
        <v/>
      </c>
    </row>
    <row r="4063" spans="9:14" x14ac:dyDescent="0.25">
      <c r="I4063" s="11" t="b">
        <f t="shared" si="208"/>
        <v>0</v>
      </c>
      <c r="M4063" s="17" t="str">
        <f t="shared" si="206"/>
        <v/>
      </c>
      <c r="N4063" s="11" t="str">
        <f t="shared" si="207"/>
        <v/>
      </c>
    </row>
    <row r="4064" spans="9:14" x14ac:dyDescent="0.25">
      <c r="I4064" s="11" t="b">
        <f t="shared" si="208"/>
        <v>0</v>
      </c>
      <c r="M4064" s="17" t="str">
        <f t="shared" si="206"/>
        <v/>
      </c>
      <c r="N4064" s="11" t="str">
        <f t="shared" si="207"/>
        <v/>
      </c>
    </row>
    <row r="4065" spans="9:14" x14ac:dyDescent="0.25">
      <c r="I4065" s="11" t="b">
        <f t="shared" si="208"/>
        <v>0</v>
      </c>
      <c r="M4065" s="17" t="str">
        <f t="shared" si="206"/>
        <v/>
      </c>
      <c r="N4065" s="11" t="str">
        <f t="shared" si="207"/>
        <v/>
      </c>
    </row>
    <row r="4066" spans="9:14" x14ac:dyDescent="0.25">
      <c r="I4066" s="11" t="b">
        <f t="shared" si="208"/>
        <v>0</v>
      </c>
      <c r="M4066" s="17" t="str">
        <f t="shared" si="206"/>
        <v/>
      </c>
      <c r="N4066" s="11" t="str">
        <f t="shared" si="207"/>
        <v/>
      </c>
    </row>
    <row r="4067" spans="9:14" x14ac:dyDescent="0.25">
      <c r="I4067" s="11" t="b">
        <f t="shared" si="208"/>
        <v>0</v>
      </c>
      <c r="M4067" s="17" t="str">
        <f t="shared" si="206"/>
        <v/>
      </c>
      <c r="N4067" s="11" t="str">
        <f t="shared" si="207"/>
        <v/>
      </c>
    </row>
    <row r="4068" spans="9:14" x14ac:dyDescent="0.25">
      <c r="I4068" s="11" t="b">
        <f t="shared" si="208"/>
        <v>0</v>
      </c>
      <c r="M4068" s="17" t="str">
        <f t="shared" si="206"/>
        <v/>
      </c>
      <c r="N4068" s="11" t="str">
        <f t="shared" si="207"/>
        <v/>
      </c>
    </row>
    <row r="4069" spans="9:14" x14ac:dyDescent="0.25">
      <c r="I4069" s="11" t="b">
        <f t="shared" si="208"/>
        <v>0</v>
      </c>
      <c r="M4069" s="17" t="str">
        <f t="shared" si="206"/>
        <v/>
      </c>
      <c r="N4069" s="11" t="str">
        <f t="shared" si="207"/>
        <v/>
      </c>
    </row>
    <row r="4070" spans="9:14" x14ac:dyDescent="0.25">
      <c r="I4070" s="11" t="b">
        <f t="shared" si="208"/>
        <v>0</v>
      </c>
      <c r="M4070" s="17" t="str">
        <f t="shared" si="206"/>
        <v/>
      </c>
      <c r="N4070" s="11" t="str">
        <f t="shared" si="207"/>
        <v/>
      </c>
    </row>
    <row r="4071" spans="9:14" x14ac:dyDescent="0.25">
      <c r="I4071" s="11" t="b">
        <f t="shared" si="208"/>
        <v>0</v>
      </c>
      <c r="M4071" s="17" t="str">
        <f t="shared" si="206"/>
        <v/>
      </c>
      <c r="N4071" s="11" t="str">
        <f t="shared" si="207"/>
        <v/>
      </c>
    </row>
    <row r="4072" spans="9:14" x14ac:dyDescent="0.25">
      <c r="I4072" s="11" t="b">
        <f t="shared" si="208"/>
        <v>0</v>
      </c>
      <c r="M4072" s="17" t="str">
        <f t="shared" si="206"/>
        <v/>
      </c>
      <c r="N4072" s="11" t="str">
        <f t="shared" si="207"/>
        <v/>
      </c>
    </row>
    <row r="4073" spans="9:14" x14ac:dyDescent="0.25">
      <c r="I4073" s="11" t="b">
        <f t="shared" si="208"/>
        <v>0</v>
      </c>
      <c r="M4073" s="17" t="str">
        <f t="shared" si="206"/>
        <v/>
      </c>
      <c r="N4073" s="11" t="str">
        <f t="shared" si="207"/>
        <v/>
      </c>
    </row>
    <row r="4074" spans="9:14" x14ac:dyDescent="0.25">
      <c r="I4074" s="11" t="b">
        <f t="shared" si="208"/>
        <v>0</v>
      </c>
      <c r="M4074" s="17" t="str">
        <f t="shared" si="206"/>
        <v/>
      </c>
      <c r="N4074" s="11" t="str">
        <f t="shared" si="207"/>
        <v/>
      </c>
    </row>
    <row r="4075" spans="9:14" x14ac:dyDescent="0.25">
      <c r="I4075" s="11" t="b">
        <f t="shared" si="208"/>
        <v>0</v>
      </c>
      <c r="M4075" s="17" t="str">
        <f t="shared" si="206"/>
        <v/>
      </c>
      <c r="N4075" s="11" t="str">
        <f t="shared" si="207"/>
        <v/>
      </c>
    </row>
    <row r="4076" spans="9:14" x14ac:dyDescent="0.25">
      <c r="I4076" s="11" t="b">
        <f t="shared" si="208"/>
        <v>0</v>
      </c>
      <c r="M4076" s="17" t="str">
        <f t="shared" si="206"/>
        <v/>
      </c>
      <c r="N4076" s="11" t="str">
        <f t="shared" si="207"/>
        <v/>
      </c>
    </row>
    <row r="4077" spans="9:14" x14ac:dyDescent="0.25">
      <c r="I4077" s="11" t="b">
        <f t="shared" si="208"/>
        <v>0</v>
      </c>
      <c r="M4077" s="17" t="str">
        <f t="shared" si="206"/>
        <v/>
      </c>
      <c r="N4077" s="11" t="str">
        <f t="shared" si="207"/>
        <v/>
      </c>
    </row>
    <row r="4078" spans="9:14" x14ac:dyDescent="0.25">
      <c r="I4078" s="11" t="b">
        <f t="shared" si="208"/>
        <v>0</v>
      </c>
      <c r="M4078" s="17" t="str">
        <f t="shared" si="206"/>
        <v/>
      </c>
      <c r="N4078" s="11" t="str">
        <f t="shared" si="207"/>
        <v/>
      </c>
    </row>
    <row r="4079" spans="9:14" x14ac:dyDescent="0.25">
      <c r="I4079" s="11" t="b">
        <f t="shared" si="208"/>
        <v>0</v>
      </c>
      <c r="M4079" s="17" t="str">
        <f t="shared" si="206"/>
        <v/>
      </c>
      <c r="N4079" s="11" t="str">
        <f t="shared" si="207"/>
        <v/>
      </c>
    </row>
    <row r="4080" spans="9:14" x14ac:dyDescent="0.25">
      <c r="I4080" s="11" t="b">
        <f t="shared" si="208"/>
        <v>0</v>
      </c>
      <c r="M4080" s="17" t="str">
        <f t="shared" si="206"/>
        <v/>
      </c>
      <c r="N4080" s="11" t="str">
        <f t="shared" si="207"/>
        <v/>
      </c>
    </row>
    <row r="4081" spans="9:14" x14ac:dyDescent="0.25">
      <c r="I4081" s="11" t="b">
        <f t="shared" si="208"/>
        <v>0</v>
      </c>
      <c r="M4081" s="17" t="str">
        <f t="shared" si="206"/>
        <v/>
      </c>
      <c r="N4081" s="11" t="str">
        <f t="shared" si="207"/>
        <v/>
      </c>
    </row>
    <row r="4082" spans="9:14" x14ac:dyDescent="0.25">
      <c r="I4082" s="11" t="b">
        <f t="shared" si="208"/>
        <v>0</v>
      </c>
      <c r="M4082" s="17" t="str">
        <f t="shared" si="206"/>
        <v/>
      </c>
      <c r="N4082" s="11" t="str">
        <f t="shared" si="207"/>
        <v/>
      </c>
    </row>
    <row r="4083" spans="9:14" x14ac:dyDescent="0.25">
      <c r="I4083" s="11" t="b">
        <f t="shared" si="208"/>
        <v>0</v>
      </c>
      <c r="M4083" s="17" t="str">
        <f t="shared" si="206"/>
        <v/>
      </c>
      <c r="N4083" s="11" t="str">
        <f t="shared" si="207"/>
        <v/>
      </c>
    </row>
    <row r="4084" spans="9:14" x14ac:dyDescent="0.25">
      <c r="I4084" s="11" t="b">
        <f t="shared" si="208"/>
        <v>0</v>
      </c>
      <c r="M4084" s="17" t="str">
        <f t="shared" si="206"/>
        <v/>
      </c>
      <c r="N4084" s="11" t="str">
        <f t="shared" si="207"/>
        <v/>
      </c>
    </row>
    <row r="4085" spans="9:14" x14ac:dyDescent="0.25">
      <c r="I4085" s="11" t="b">
        <f t="shared" si="208"/>
        <v>0</v>
      </c>
      <c r="M4085" s="17" t="str">
        <f t="shared" si="206"/>
        <v/>
      </c>
      <c r="N4085" s="11" t="str">
        <f t="shared" si="207"/>
        <v/>
      </c>
    </row>
    <row r="4086" spans="9:14" x14ac:dyDescent="0.25">
      <c r="I4086" s="11" t="b">
        <f t="shared" si="208"/>
        <v>0</v>
      </c>
      <c r="M4086" s="17" t="str">
        <f t="shared" si="206"/>
        <v/>
      </c>
      <c r="N4086" s="11" t="str">
        <f t="shared" si="207"/>
        <v/>
      </c>
    </row>
    <row r="4087" spans="9:14" x14ac:dyDescent="0.25">
      <c r="I4087" s="11" t="b">
        <f t="shared" si="208"/>
        <v>0</v>
      </c>
      <c r="M4087" s="17" t="str">
        <f t="shared" si="206"/>
        <v/>
      </c>
      <c r="N4087" s="11" t="str">
        <f t="shared" si="207"/>
        <v/>
      </c>
    </row>
    <row r="4088" spans="9:14" x14ac:dyDescent="0.25">
      <c r="I4088" s="11" t="b">
        <f t="shared" si="208"/>
        <v>0</v>
      </c>
      <c r="M4088" s="17" t="str">
        <f t="shared" si="206"/>
        <v/>
      </c>
      <c r="N4088" s="11" t="str">
        <f t="shared" si="207"/>
        <v/>
      </c>
    </row>
    <row r="4089" spans="9:14" x14ac:dyDescent="0.25">
      <c r="I4089" s="11" t="b">
        <f t="shared" si="208"/>
        <v>0</v>
      </c>
      <c r="M4089" s="17" t="str">
        <f t="shared" si="206"/>
        <v/>
      </c>
      <c r="N4089" s="11" t="str">
        <f t="shared" si="207"/>
        <v/>
      </c>
    </row>
    <row r="4090" spans="9:14" x14ac:dyDescent="0.25">
      <c r="I4090" s="11" t="b">
        <f t="shared" si="208"/>
        <v>0</v>
      </c>
      <c r="M4090" s="17" t="str">
        <f t="shared" si="206"/>
        <v/>
      </c>
      <c r="N4090" s="11" t="str">
        <f t="shared" si="207"/>
        <v/>
      </c>
    </row>
    <row r="4091" spans="9:14" x14ac:dyDescent="0.25">
      <c r="I4091" s="11" t="b">
        <f t="shared" si="208"/>
        <v>0</v>
      </c>
      <c r="M4091" s="17" t="str">
        <f t="shared" si="206"/>
        <v/>
      </c>
      <c r="N4091" s="11" t="str">
        <f t="shared" si="207"/>
        <v/>
      </c>
    </row>
    <row r="4092" spans="9:14" x14ac:dyDescent="0.25">
      <c r="I4092" s="11" t="b">
        <f t="shared" si="208"/>
        <v>0</v>
      </c>
      <c r="M4092" s="17" t="str">
        <f t="shared" si="206"/>
        <v/>
      </c>
      <c r="N4092" s="11" t="str">
        <f t="shared" si="207"/>
        <v/>
      </c>
    </row>
    <row r="4093" spans="9:14" x14ac:dyDescent="0.25">
      <c r="I4093" s="11" t="b">
        <f t="shared" si="208"/>
        <v>0</v>
      </c>
      <c r="M4093" s="17" t="str">
        <f t="shared" si="206"/>
        <v/>
      </c>
      <c r="N4093" s="11" t="str">
        <f t="shared" si="207"/>
        <v/>
      </c>
    </row>
    <row r="4094" spans="9:14" x14ac:dyDescent="0.25">
      <c r="I4094" s="11" t="b">
        <f t="shared" si="208"/>
        <v>0</v>
      </c>
      <c r="M4094" s="17" t="str">
        <f t="shared" si="206"/>
        <v/>
      </c>
      <c r="N4094" s="11" t="str">
        <f t="shared" si="207"/>
        <v/>
      </c>
    </row>
    <row r="4095" spans="9:14" x14ac:dyDescent="0.25">
      <c r="I4095" s="11" t="b">
        <f t="shared" si="208"/>
        <v>0</v>
      </c>
      <c r="M4095" s="17" t="str">
        <f t="shared" si="206"/>
        <v/>
      </c>
      <c r="N4095" s="11" t="str">
        <f t="shared" si="207"/>
        <v/>
      </c>
    </row>
    <row r="4096" spans="9:14" x14ac:dyDescent="0.25">
      <c r="I4096" s="11" t="b">
        <f t="shared" si="208"/>
        <v>0</v>
      </c>
      <c r="M4096" s="17" t="str">
        <f t="shared" si="206"/>
        <v/>
      </c>
      <c r="N4096" s="11" t="str">
        <f t="shared" si="207"/>
        <v/>
      </c>
    </row>
    <row r="4097" spans="9:14" x14ac:dyDescent="0.25">
      <c r="I4097" s="11" t="b">
        <f t="shared" si="208"/>
        <v>0</v>
      </c>
      <c r="M4097" s="17" t="str">
        <f t="shared" ref="M4097:M4160" si="209">IF(B4097=0, "",M4096+ J4097-K4097)</f>
        <v/>
      </c>
      <c r="N4097" s="11" t="str">
        <f t="shared" ref="N4097:N4160" si="210">IF(B4097=0, "", MONTH(B4097))</f>
        <v/>
      </c>
    </row>
    <row r="4098" spans="9:14" x14ac:dyDescent="0.25">
      <c r="I4098" s="11" t="b">
        <f t="shared" si="208"/>
        <v>0</v>
      </c>
      <c r="M4098" s="17" t="str">
        <f t="shared" si="209"/>
        <v/>
      </c>
      <c r="N4098" s="11" t="str">
        <f t="shared" si="210"/>
        <v/>
      </c>
    </row>
    <row r="4099" spans="9:14" x14ac:dyDescent="0.25">
      <c r="I4099" s="11" t="b">
        <f t="shared" si="208"/>
        <v>0</v>
      </c>
      <c r="M4099" s="17" t="str">
        <f t="shared" si="209"/>
        <v/>
      </c>
      <c r="N4099" s="11" t="str">
        <f t="shared" si="210"/>
        <v/>
      </c>
    </row>
    <row r="4100" spans="9:14" x14ac:dyDescent="0.25">
      <c r="I4100" s="11" t="b">
        <f t="shared" si="208"/>
        <v>0</v>
      </c>
      <c r="M4100" s="17" t="str">
        <f t="shared" si="209"/>
        <v/>
      </c>
      <c r="N4100" s="11" t="str">
        <f t="shared" si="210"/>
        <v/>
      </c>
    </row>
    <row r="4101" spans="9:14" x14ac:dyDescent="0.25">
      <c r="I4101" s="11" t="b">
        <f t="shared" si="208"/>
        <v>0</v>
      </c>
      <c r="M4101" s="17" t="str">
        <f t="shared" si="209"/>
        <v/>
      </c>
      <c r="N4101" s="11" t="str">
        <f t="shared" si="210"/>
        <v/>
      </c>
    </row>
    <row r="4102" spans="9:14" x14ac:dyDescent="0.25">
      <c r="I4102" s="11" t="b">
        <f t="shared" si="208"/>
        <v>0</v>
      </c>
      <c r="M4102" s="17" t="str">
        <f t="shared" si="209"/>
        <v/>
      </c>
      <c r="N4102" s="11" t="str">
        <f t="shared" si="210"/>
        <v/>
      </c>
    </row>
    <row r="4103" spans="9:14" x14ac:dyDescent="0.25">
      <c r="I4103" s="11" t="b">
        <f t="shared" si="208"/>
        <v>0</v>
      </c>
      <c r="M4103" s="17" t="str">
        <f t="shared" si="209"/>
        <v/>
      </c>
      <c r="N4103" s="11" t="str">
        <f t="shared" si="210"/>
        <v/>
      </c>
    </row>
    <row r="4104" spans="9:14" x14ac:dyDescent="0.25">
      <c r="I4104" s="11" t="b">
        <f t="shared" si="208"/>
        <v>0</v>
      </c>
      <c r="M4104" s="17" t="str">
        <f t="shared" si="209"/>
        <v/>
      </c>
      <c r="N4104" s="11" t="str">
        <f t="shared" si="210"/>
        <v/>
      </c>
    </row>
    <row r="4105" spans="9:14" x14ac:dyDescent="0.25">
      <c r="I4105" s="11" t="b">
        <f t="shared" si="208"/>
        <v>0</v>
      </c>
      <c r="M4105" s="17" t="str">
        <f t="shared" si="209"/>
        <v/>
      </c>
      <c r="N4105" s="11" t="str">
        <f t="shared" si="210"/>
        <v/>
      </c>
    </row>
    <row r="4106" spans="9:14" x14ac:dyDescent="0.25">
      <c r="I4106" s="11" t="b">
        <f t="shared" si="208"/>
        <v>0</v>
      </c>
      <c r="M4106" s="17" t="str">
        <f t="shared" si="209"/>
        <v/>
      </c>
      <c r="N4106" s="11" t="str">
        <f t="shared" si="210"/>
        <v/>
      </c>
    </row>
    <row r="4107" spans="9:14" x14ac:dyDescent="0.25">
      <c r="I4107" s="11" t="b">
        <f t="shared" si="208"/>
        <v>0</v>
      </c>
      <c r="M4107" s="17" t="str">
        <f t="shared" si="209"/>
        <v/>
      </c>
      <c r="N4107" s="11" t="str">
        <f t="shared" si="210"/>
        <v/>
      </c>
    </row>
    <row r="4108" spans="9:14" x14ac:dyDescent="0.25">
      <c r="I4108" s="11" t="b">
        <f t="shared" si="208"/>
        <v>0</v>
      </c>
      <c r="M4108" s="17" t="str">
        <f t="shared" si="209"/>
        <v/>
      </c>
      <c r="N4108" s="11" t="str">
        <f t="shared" si="210"/>
        <v/>
      </c>
    </row>
    <row r="4109" spans="9:14" x14ac:dyDescent="0.25">
      <c r="I4109" s="11" t="b">
        <f t="shared" si="208"/>
        <v>0</v>
      </c>
      <c r="M4109" s="17" t="str">
        <f t="shared" si="209"/>
        <v/>
      </c>
      <c r="N4109" s="11" t="str">
        <f t="shared" si="210"/>
        <v/>
      </c>
    </row>
    <row r="4110" spans="9:14" x14ac:dyDescent="0.25">
      <c r="I4110" s="11" t="b">
        <f t="shared" si="208"/>
        <v>0</v>
      </c>
      <c r="M4110" s="17" t="str">
        <f t="shared" si="209"/>
        <v/>
      </c>
      <c r="N4110" s="11" t="str">
        <f t="shared" si="210"/>
        <v/>
      </c>
    </row>
    <row r="4111" spans="9:14" x14ac:dyDescent="0.25">
      <c r="I4111" s="11" t="b">
        <f t="shared" si="208"/>
        <v>0</v>
      </c>
      <c r="M4111" s="17" t="str">
        <f t="shared" si="209"/>
        <v/>
      </c>
      <c r="N4111" s="11" t="str">
        <f t="shared" si="210"/>
        <v/>
      </c>
    </row>
    <row r="4112" spans="9:14" x14ac:dyDescent="0.25">
      <c r="I4112" s="11" t="b">
        <f t="shared" si="208"/>
        <v>0</v>
      </c>
      <c r="M4112" s="17" t="str">
        <f t="shared" si="209"/>
        <v/>
      </c>
      <c r="N4112" s="11" t="str">
        <f t="shared" si="210"/>
        <v/>
      </c>
    </row>
    <row r="4113" spans="9:14" x14ac:dyDescent="0.25">
      <c r="I4113" s="11" t="b">
        <f t="shared" si="208"/>
        <v>0</v>
      </c>
      <c r="M4113" s="17" t="str">
        <f t="shared" si="209"/>
        <v/>
      </c>
      <c r="N4113" s="11" t="str">
        <f t="shared" si="210"/>
        <v/>
      </c>
    </row>
    <row r="4114" spans="9:14" x14ac:dyDescent="0.25">
      <c r="I4114" s="11" t="b">
        <f t="shared" si="208"/>
        <v>0</v>
      </c>
      <c r="M4114" s="17" t="str">
        <f t="shared" si="209"/>
        <v/>
      </c>
      <c r="N4114" s="11" t="str">
        <f t="shared" si="210"/>
        <v/>
      </c>
    </row>
    <row r="4115" spans="9:14" x14ac:dyDescent="0.25">
      <c r="I4115" s="11" t="b">
        <f t="shared" si="208"/>
        <v>0</v>
      </c>
      <c r="M4115" s="17" t="str">
        <f t="shared" si="209"/>
        <v/>
      </c>
      <c r="N4115" s="11" t="str">
        <f t="shared" si="210"/>
        <v/>
      </c>
    </row>
    <row r="4116" spans="9:14" x14ac:dyDescent="0.25">
      <c r="I4116" s="11" t="b">
        <f t="shared" si="208"/>
        <v>0</v>
      </c>
      <c r="M4116" s="17" t="str">
        <f t="shared" si="209"/>
        <v/>
      </c>
      <c r="N4116" s="11" t="str">
        <f t="shared" si="210"/>
        <v/>
      </c>
    </row>
    <row r="4117" spans="9:14" x14ac:dyDescent="0.25">
      <c r="I4117" s="11" t="b">
        <f t="shared" si="208"/>
        <v>0</v>
      </c>
      <c r="M4117" s="17" t="str">
        <f t="shared" si="209"/>
        <v/>
      </c>
      <c r="N4117" s="11" t="str">
        <f t="shared" si="210"/>
        <v/>
      </c>
    </row>
    <row r="4118" spans="9:14" x14ac:dyDescent="0.25">
      <c r="I4118" s="11" t="b">
        <f t="shared" si="208"/>
        <v>0</v>
      </c>
      <c r="M4118" s="17" t="str">
        <f t="shared" si="209"/>
        <v/>
      </c>
      <c r="N4118" s="11" t="str">
        <f t="shared" si="210"/>
        <v/>
      </c>
    </row>
    <row r="4119" spans="9:14" x14ac:dyDescent="0.25">
      <c r="I4119" s="11" t="b">
        <f t="shared" si="208"/>
        <v>0</v>
      </c>
      <c r="M4119" s="17" t="str">
        <f t="shared" si="209"/>
        <v/>
      </c>
      <c r="N4119" s="11" t="str">
        <f t="shared" si="210"/>
        <v/>
      </c>
    </row>
    <row r="4120" spans="9:14" x14ac:dyDescent="0.25">
      <c r="I4120" s="11" t="b">
        <f t="shared" si="208"/>
        <v>0</v>
      </c>
      <c r="M4120" s="17" t="str">
        <f t="shared" si="209"/>
        <v/>
      </c>
      <c r="N4120" s="11" t="str">
        <f t="shared" si="210"/>
        <v/>
      </c>
    </row>
    <row r="4121" spans="9:14" x14ac:dyDescent="0.25">
      <c r="I4121" s="11" t="b">
        <f t="shared" si="208"/>
        <v>0</v>
      </c>
      <c r="M4121" s="17" t="str">
        <f t="shared" si="209"/>
        <v/>
      </c>
      <c r="N4121" s="11" t="str">
        <f t="shared" si="210"/>
        <v/>
      </c>
    </row>
    <row r="4122" spans="9:14" x14ac:dyDescent="0.25">
      <c r="I4122" s="11" t="b">
        <f t="shared" si="208"/>
        <v>0</v>
      </c>
      <c r="M4122" s="17" t="str">
        <f t="shared" si="209"/>
        <v/>
      </c>
      <c r="N4122" s="11" t="str">
        <f t="shared" si="210"/>
        <v/>
      </c>
    </row>
    <row r="4123" spans="9:14" x14ac:dyDescent="0.25">
      <c r="I4123" s="11" t="b">
        <f t="shared" si="208"/>
        <v>0</v>
      </c>
      <c r="M4123" s="17" t="str">
        <f t="shared" si="209"/>
        <v/>
      </c>
      <c r="N4123" s="11" t="str">
        <f t="shared" si="210"/>
        <v/>
      </c>
    </row>
    <row r="4124" spans="9:14" x14ac:dyDescent="0.25">
      <c r="I4124" s="11" t="b">
        <f t="shared" si="208"/>
        <v>0</v>
      </c>
      <c r="M4124" s="17" t="str">
        <f t="shared" si="209"/>
        <v/>
      </c>
      <c r="N4124" s="11" t="str">
        <f t="shared" si="210"/>
        <v/>
      </c>
    </row>
    <row r="4125" spans="9:14" x14ac:dyDescent="0.25">
      <c r="I4125" s="11" t="b">
        <f t="shared" ref="I4125:I4188" si="211">IF(AND(G4125="MERCADO PAGO",A4125="FATURAMENTO"),1,IF(AND(OR(G4125="MERCADO PAGO",G4125="pix mercado pago",G4125= "débito automático mercado pago", G4125= "boleto mercado pago"),A4125="DESPESAS"),4,IF(AND(G4125="SAFRA",A4125="FATURAMENTO"),2,IF(AND(OR(G4125="SAFRA",G4125="PIX SAFRA", G4125="DÉBITO AUTOMÁTICO SAFRA", G4125= "BOLETO SAFRA", G4125= "transferência safra"), A4125="DESPESAS"),5,IF(AND(G4125="espécie",A4125="FATURAMENTO"),3,IF(AND(G4125="espécie",A4125="DESPESAS"),6))))))</f>
        <v>0</v>
      </c>
      <c r="M4125" s="17" t="str">
        <f t="shared" si="209"/>
        <v/>
      </c>
      <c r="N4125" s="11" t="str">
        <f t="shared" si="210"/>
        <v/>
      </c>
    </row>
    <row r="4126" spans="9:14" x14ac:dyDescent="0.25">
      <c r="I4126" s="11" t="b">
        <f t="shared" si="211"/>
        <v>0</v>
      </c>
      <c r="M4126" s="17" t="str">
        <f t="shared" si="209"/>
        <v/>
      </c>
      <c r="N4126" s="11" t="str">
        <f t="shared" si="210"/>
        <v/>
      </c>
    </row>
    <row r="4127" spans="9:14" x14ac:dyDescent="0.25">
      <c r="I4127" s="11" t="b">
        <f t="shared" si="211"/>
        <v>0</v>
      </c>
      <c r="M4127" s="17" t="str">
        <f t="shared" si="209"/>
        <v/>
      </c>
      <c r="N4127" s="11" t="str">
        <f t="shared" si="210"/>
        <v/>
      </c>
    </row>
    <row r="4128" spans="9:14" x14ac:dyDescent="0.25">
      <c r="I4128" s="11" t="b">
        <f t="shared" si="211"/>
        <v>0</v>
      </c>
      <c r="M4128" s="17" t="str">
        <f t="shared" si="209"/>
        <v/>
      </c>
      <c r="N4128" s="11" t="str">
        <f t="shared" si="210"/>
        <v/>
      </c>
    </row>
    <row r="4129" spans="9:14" x14ac:dyDescent="0.25">
      <c r="I4129" s="11" t="b">
        <f t="shared" si="211"/>
        <v>0</v>
      </c>
      <c r="M4129" s="17" t="str">
        <f t="shared" si="209"/>
        <v/>
      </c>
      <c r="N4129" s="11" t="str">
        <f t="shared" si="210"/>
        <v/>
      </c>
    </row>
    <row r="4130" spans="9:14" x14ac:dyDescent="0.25">
      <c r="I4130" s="11" t="b">
        <f t="shared" si="211"/>
        <v>0</v>
      </c>
      <c r="M4130" s="17" t="str">
        <f t="shared" si="209"/>
        <v/>
      </c>
      <c r="N4130" s="11" t="str">
        <f t="shared" si="210"/>
        <v/>
      </c>
    </row>
    <row r="4131" spans="9:14" x14ac:dyDescent="0.25">
      <c r="I4131" s="11" t="b">
        <f t="shared" si="211"/>
        <v>0</v>
      </c>
      <c r="M4131" s="17" t="str">
        <f t="shared" si="209"/>
        <v/>
      </c>
      <c r="N4131" s="11" t="str">
        <f t="shared" si="210"/>
        <v/>
      </c>
    </row>
    <row r="4132" spans="9:14" x14ac:dyDescent="0.25">
      <c r="I4132" s="11" t="b">
        <f t="shared" si="211"/>
        <v>0</v>
      </c>
      <c r="M4132" s="17" t="str">
        <f t="shared" si="209"/>
        <v/>
      </c>
      <c r="N4132" s="11" t="str">
        <f t="shared" si="210"/>
        <v/>
      </c>
    </row>
    <row r="4133" spans="9:14" x14ac:dyDescent="0.25">
      <c r="I4133" s="11" t="b">
        <f t="shared" si="211"/>
        <v>0</v>
      </c>
      <c r="M4133" s="17" t="str">
        <f t="shared" si="209"/>
        <v/>
      </c>
      <c r="N4133" s="11" t="str">
        <f t="shared" si="210"/>
        <v/>
      </c>
    </row>
    <row r="4134" spans="9:14" x14ac:dyDescent="0.25">
      <c r="I4134" s="11" t="b">
        <f t="shared" si="211"/>
        <v>0</v>
      </c>
      <c r="M4134" s="17" t="str">
        <f t="shared" si="209"/>
        <v/>
      </c>
      <c r="N4134" s="11" t="str">
        <f t="shared" si="210"/>
        <v/>
      </c>
    </row>
    <row r="4135" spans="9:14" x14ac:dyDescent="0.25">
      <c r="I4135" s="11" t="b">
        <f t="shared" si="211"/>
        <v>0</v>
      </c>
      <c r="M4135" s="17" t="str">
        <f t="shared" si="209"/>
        <v/>
      </c>
      <c r="N4135" s="11" t="str">
        <f t="shared" si="210"/>
        <v/>
      </c>
    </row>
    <row r="4136" spans="9:14" x14ac:dyDescent="0.25">
      <c r="I4136" s="11" t="b">
        <f t="shared" si="211"/>
        <v>0</v>
      </c>
      <c r="M4136" s="17" t="str">
        <f t="shared" si="209"/>
        <v/>
      </c>
      <c r="N4136" s="11" t="str">
        <f t="shared" si="210"/>
        <v/>
      </c>
    </row>
    <row r="4137" spans="9:14" x14ac:dyDescent="0.25">
      <c r="I4137" s="11" t="b">
        <f t="shared" si="211"/>
        <v>0</v>
      </c>
      <c r="M4137" s="17" t="str">
        <f t="shared" si="209"/>
        <v/>
      </c>
      <c r="N4137" s="11" t="str">
        <f t="shared" si="210"/>
        <v/>
      </c>
    </row>
    <row r="4138" spans="9:14" x14ac:dyDescent="0.25">
      <c r="I4138" s="11" t="b">
        <f t="shared" si="211"/>
        <v>0</v>
      </c>
      <c r="M4138" s="17" t="str">
        <f t="shared" si="209"/>
        <v/>
      </c>
      <c r="N4138" s="11" t="str">
        <f t="shared" si="210"/>
        <v/>
      </c>
    </row>
    <row r="4139" spans="9:14" x14ac:dyDescent="0.25">
      <c r="I4139" s="11" t="b">
        <f t="shared" si="211"/>
        <v>0</v>
      </c>
      <c r="M4139" s="17" t="str">
        <f t="shared" si="209"/>
        <v/>
      </c>
      <c r="N4139" s="11" t="str">
        <f t="shared" si="210"/>
        <v/>
      </c>
    </row>
    <row r="4140" spans="9:14" x14ac:dyDescent="0.25">
      <c r="I4140" s="11" t="b">
        <f t="shared" si="211"/>
        <v>0</v>
      </c>
      <c r="M4140" s="17" t="str">
        <f t="shared" si="209"/>
        <v/>
      </c>
      <c r="N4140" s="11" t="str">
        <f t="shared" si="210"/>
        <v/>
      </c>
    </row>
    <row r="4141" spans="9:14" x14ac:dyDescent="0.25">
      <c r="I4141" s="11" t="b">
        <f t="shared" si="211"/>
        <v>0</v>
      </c>
      <c r="M4141" s="17" t="str">
        <f t="shared" si="209"/>
        <v/>
      </c>
      <c r="N4141" s="11" t="str">
        <f t="shared" si="210"/>
        <v/>
      </c>
    </row>
    <row r="4142" spans="9:14" x14ac:dyDescent="0.25">
      <c r="I4142" s="11" t="b">
        <f t="shared" si="211"/>
        <v>0</v>
      </c>
      <c r="M4142" s="17" t="str">
        <f t="shared" si="209"/>
        <v/>
      </c>
      <c r="N4142" s="11" t="str">
        <f t="shared" si="210"/>
        <v/>
      </c>
    </row>
    <row r="4143" spans="9:14" x14ac:dyDescent="0.25">
      <c r="I4143" s="11" t="b">
        <f t="shared" si="211"/>
        <v>0</v>
      </c>
      <c r="M4143" s="17" t="str">
        <f t="shared" si="209"/>
        <v/>
      </c>
      <c r="N4143" s="11" t="str">
        <f t="shared" si="210"/>
        <v/>
      </c>
    </row>
    <row r="4144" spans="9:14" x14ac:dyDescent="0.25">
      <c r="I4144" s="11" t="b">
        <f t="shared" si="211"/>
        <v>0</v>
      </c>
      <c r="M4144" s="17" t="str">
        <f t="shared" si="209"/>
        <v/>
      </c>
      <c r="N4144" s="11" t="str">
        <f t="shared" si="210"/>
        <v/>
      </c>
    </row>
    <row r="4145" spans="9:14" x14ac:dyDescent="0.25">
      <c r="I4145" s="11" t="b">
        <f t="shared" si="211"/>
        <v>0</v>
      </c>
      <c r="M4145" s="17" t="str">
        <f t="shared" si="209"/>
        <v/>
      </c>
      <c r="N4145" s="11" t="str">
        <f t="shared" si="210"/>
        <v/>
      </c>
    </row>
    <row r="4146" spans="9:14" x14ac:dyDescent="0.25">
      <c r="I4146" s="11" t="b">
        <f t="shared" si="211"/>
        <v>0</v>
      </c>
      <c r="M4146" s="17" t="str">
        <f t="shared" si="209"/>
        <v/>
      </c>
      <c r="N4146" s="11" t="str">
        <f t="shared" si="210"/>
        <v/>
      </c>
    </row>
    <row r="4147" spans="9:14" x14ac:dyDescent="0.25">
      <c r="I4147" s="11" t="b">
        <f t="shared" si="211"/>
        <v>0</v>
      </c>
      <c r="M4147" s="17" t="str">
        <f t="shared" si="209"/>
        <v/>
      </c>
      <c r="N4147" s="11" t="str">
        <f t="shared" si="210"/>
        <v/>
      </c>
    </row>
    <row r="4148" spans="9:14" x14ac:dyDescent="0.25">
      <c r="I4148" s="11" t="b">
        <f t="shared" si="211"/>
        <v>0</v>
      </c>
      <c r="M4148" s="17" t="str">
        <f t="shared" si="209"/>
        <v/>
      </c>
      <c r="N4148" s="11" t="str">
        <f t="shared" si="210"/>
        <v/>
      </c>
    </row>
    <row r="4149" spans="9:14" x14ac:dyDescent="0.25">
      <c r="I4149" s="11" t="b">
        <f t="shared" si="211"/>
        <v>0</v>
      </c>
      <c r="M4149" s="17" t="str">
        <f t="shared" si="209"/>
        <v/>
      </c>
      <c r="N4149" s="11" t="str">
        <f t="shared" si="210"/>
        <v/>
      </c>
    </row>
    <row r="4150" spans="9:14" x14ac:dyDescent="0.25">
      <c r="I4150" s="11" t="b">
        <f t="shared" si="211"/>
        <v>0</v>
      </c>
      <c r="M4150" s="17" t="str">
        <f t="shared" si="209"/>
        <v/>
      </c>
      <c r="N4150" s="11" t="str">
        <f t="shared" si="210"/>
        <v/>
      </c>
    </row>
    <row r="4151" spans="9:14" x14ac:dyDescent="0.25">
      <c r="I4151" s="11" t="b">
        <f t="shared" si="211"/>
        <v>0</v>
      </c>
      <c r="M4151" s="17" t="str">
        <f t="shared" si="209"/>
        <v/>
      </c>
      <c r="N4151" s="11" t="str">
        <f t="shared" si="210"/>
        <v/>
      </c>
    </row>
    <row r="4152" spans="9:14" x14ac:dyDescent="0.25">
      <c r="I4152" s="11" t="b">
        <f t="shared" si="211"/>
        <v>0</v>
      </c>
      <c r="M4152" s="17" t="str">
        <f t="shared" si="209"/>
        <v/>
      </c>
      <c r="N4152" s="11" t="str">
        <f t="shared" si="210"/>
        <v/>
      </c>
    </row>
    <row r="4153" spans="9:14" x14ac:dyDescent="0.25">
      <c r="I4153" s="11" t="b">
        <f t="shared" si="211"/>
        <v>0</v>
      </c>
      <c r="M4153" s="17" t="str">
        <f t="shared" si="209"/>
        <v/>
      </c>
      <c r="N4153" s="11" t="str">
        <f t="shared" si="210"/>
        <v/>
      </c>
    </row>
    <row r="4154" spans="9:14" x14ac:dyDescent="0.25">
      <c r="I4154" s="11" t="b">
        <f t="shared" si="211"/>
        <v>0</v>
      </c>
      <c r="M4154" s="17" t="str">
        <f t="shared" si="209"/>
        <v/>
      </c>
      <c r="N4154" s="11" t="str">
        <f t="shared" si="210"/>
        <v/>
      </c>
    </row>
    <row r="4155" spans="9:14" x14ac:dyDescent="0.25">
      <c r="I4155" s="11" t="b">
        <f t="shared" si="211"/>
        <v>0</v>
      </c>
      <c r="M4155" s="17" t="str">
        <f t="shared" si="209"/>
        <v/>
      </c>
      <c r="N4155" s="11" t="str">
        <f t="shared" si="210"/>
        <v/>
      </c>
    </row>
    <row r="4156" spans="9:14" x14ac:dyDescent="0.25">
      <c r="I4156" s="11" t="b">
        <f t="shared" si="211"/>
        <v>0</v>
      </c>
      <c r="M4156" s="17" t="str">
        <f t="shared" si="209"/>
        <v/>
      </c>
      <c r="N4156" s="11" t="str">
        <f t="shared" si="210"/>
        <v/>
      </c>
    </row>
    <row r="4157" spans="9:14" x14ac:dyDescent="0.25">
      <c r="I4157" s="11" t="b">
        <f t="shared" si="211"/>
        <v>0</v>
      </c>
      <c r="M4157" s="17" t="str">
        <f t="shared" si="209"/>
        <v/>
      </c>
      <c r="N4157" s="11" t="str">
        <f t="shared" si="210"/>
        <v/>
      </c>
    </row>
    <row r="4158" spans="9:14" x14ac:dyDescent="0.25">
      <c r="I4158" s="11" t="b">
        <f t="shared" si="211"/>
        <v>0</v>
      </c>
      <c r="M4158" s="17" t="str">
        <f t="shared" si="209"/>
        <v/>
      </c>
      <c r="N4158" s="11" t="str">
        <f t="shared" si="210"/>
        <v/>
      </c>
    </row>
    <row r="4159" spans="9:14" x14ac:dyDescent="0.25">
      <c r="I4159" s="11" t="b">
        <f t="shared" si="211"/>
        <v>0</v>
      </c>
      <c r="M4159" s="17" t="str">
        <f t="shared" si="209"/>
        <v/>
      </c>
      <c r="N4159" s="11" t="str">
        <f t="shared" si="210"/>
        <v/>
      </c>
    </row>
    <row r="4160" spans="9:14" x14ac:dyDescent="0.25">
      <c r="I4160" s="11" t="b">
        <f t="shared" si="211"/>
        <v>0</v>
      </c>
      <c r="M4160" s="17" t="str">
        <f t="shared" si="209"/>
        <v/>
      </c>
      <c r="N4160" s="11" t="str">
        <f t="shared" si="210"/>
        <v/>
      </c>
    </row>
    <row r="4161" spans="9:14" x14ac:dyDescent="0.25">
      <c r="I4161" s="11" t="b">
        <f t="shared" si="211"/>
        <v>0</v>
      </c>
      <c r="M4161" s="17" t="str">
        <f t="shared" ref="M4161:M4224" si="212">IF(B4161=0, "",M4160+ J4161-K4161)</f>
        <v/>
      </c>
      <c r="N4161" s="11" t="str">
        <f t="shared" ref="N4161:N4224" si="213">IF(B4161=0, "", MONTH(B4161))</f>
        <v/>
      </c>
    </row>
    <row r="4162" spans="9:14" x14ac:dyDescent="0.25">
      <c r="I4162" s="11" t="b">
        <f t="shared" si="211"/>
        <v>0</v>
      </c>
      <c r="M4162" s="17" t="str">
        <f t="shared" si="212"/>
        <v/>
      </c>
      <c r="N4162" s="11" t="str">
        <f t="shared" si="213"/>
        <v/>
      </c>
    </row>
    <row r="4163" spans="9:14" x14ac:dyDescent="0.25">
      <c r="I4163" s="11" t="b">
        <f t="shared" si="211"/>
        <v>0</v>
      </c>
      <c r="M4163" s="17" t="str">
        <f t="shared" si="212"/>
        <v/>
      </c>
      <c r="N4163" s="11" t="str">
        <f t="shared" si="213"/>
        <v/>
      </c>
    </row>
    <row r="4164" spans="9:14" x14ac:dyDescent="0.25">
      <c r="I4164" s="11" t="b">
        <f t="shared" si="211"/>
        <v>0</v>
      </c>
      <c r="M4164" s="17" t="str">
        <f t="shared" si="212"/>
        <v/>
      </c>
      <c r="N4164" s="11" t="str">
        <f t="shared" si="213"/>
        <v/>
      </c>
    </row>
    <row r="4165" spans="9:14" x14ac:dyDescent="0.25">
      <c r="I4165" s="11" t="b">
        <f t="shared" si="211"/>
        <v>0</v>
      </c>
      <c r="M4165" s="17" t="str">
        <f t="shared" si="212"/>
        <v/>
      </c>
      <c r="N4165" s="11" t="str">
        <f t="shared" si="213"/>
        <v/>
      </c>
    </row>
    <row r="4166" spans="9:14" x14ac:dyDescent="0.25">
      <c r="I4166" s="11" t="b">
        <f t="shared" si="211"/>
        <v>0</v>
      </c>
      <c r="M4166" s="17" t="str">
        <f t="shared" si="212"/>
        <v/>
      </c>
      <c r="N4166" s="11" t="str">
        <f t="shared" si="213"/>
        <v/>
      </c>
    </row>
    <row r="4167" spans="9:14" x14ac:dyDescent="0.25">
      <c r="I4167" s="11" t="b">
        <f t="shared" si="211"/>
        <v>0</v>
      </c>
      <c r="M4167" s="17" t="str">
        <f t="shared" si="212"/>
        <v/>
      </c>
      <c r="N4167" s="11" t="str">
        <f t="shared" si="213"/>
        <v/>
      </c>
    </row>
    <row r="4168" spans="9:14" x14ac:dyDescent="0.25">
      <c r="I4168" s="11" t="b">
        <f t="shared" si="211"/>
        <v>0</v>
      </c>
      <c r="M4168" s="17" t="str">
        <f t="shared" si="212"/>
        <v/>
      </c>
      <c r="N4168" s="11" t="str">
        <f t="shared" si="213"/>
        <v/>
      </c>
    </row>
    <row r="4169" spans="9:14" x14ac:dyDescent="0.25">
      <c r="I4169" s="11" t="b">
        <f t="shared" si="211"/>
        <v>0</v>
      </c>
      <c r="M4169" s="17" t="str">
        <f t="shared" si="212"/>
        <v/>
      </c>
      <c r="N4169" s="11" t="str">
        <f t="shared" si="213"/>
        <v/>
      </c>
    </row>
    <row r="4170" spans="9:14" x14ac:dyDescent="0.25">
      <c r="I4170" s="11" t="b">
        <f t="shared" si="211"/>
        <v>0</v>
      </c>
      <c r="M4170" s="17" t="str">
        <f t="shared" si="212"/>
        <v/>
      </c>
      <c r="N4170" s="11" t="str">
        <f t="shared" si="213"/>
        <v/>
      </c>
    </row>
    <row r="4171" spans="9:14" x14ac:dyDescent="0.25">
      <c r="I4171" s="11" t="b">
        <f t="shared" si="211"/>
        <v>0</v>
      </c>
      <c r="M4171" s="17" t="str">
        <f t="shared" si="212"/>
        <v/>
      </c>
      <c r="N4171" s="11" t="str">
        <f t="shared" si="213"/>
        <v/>
      </c>
    </row>
    <row r="4172" spans="9:14" x14ac:dyDescent="0.25">
      <c r="I4172" s="11" t="b">
        <f t="shared" si="211"/>
        <v>0</v>
      </c>
      <c r="M4172" s="17" t="str">
        <f t="shared" si="212"/>
        <v/>
      </c>
      <c r="N4172" s="11" t="str">
        <f t="shared" si="213"/>
        <v/>
      </c>
    </row>
    <row r="4173" spans="9:14" x14ac:dyDescent="0.25">
      <c r="I4173" s="11" t="b">
        <f t="shared" si="211"/>
        <v>0</v>
      </c>
      <c r="M4173" s="17" t="str">
        <f t="shared" si="212"/>
        <v/>
      </c>
      <c r="N4173" s="11" t="str">
        <f t="shared" si="213"/>
        <v/>
      </c>
    </row>
    <row r="4174" spans="9:14" x14ac:dyDescent="0.25">
      <c r="I4174" s="11" t="b">
        <f t="shared" si="211"/>
        <v>0</v>
      </c>
      <c r="M4174" s="17" t="str">
        <f t="shared" si="212"/>
        <v/>
      </c>
      <c r="N4174" s="11" t="str">
        <f t="shared" si="213"/>
        <v/>
      </c>
    </row>
    <row r="4175" spans="9:14" x14ac:dyDescent="0.25">
      <c r="I4175" s="11" t="b">
        <f t="shared" si="211"/>
        <v>0</v>
      </c>
      <c r="M4175" s="17" t="str">
        <f t="shared" si="212"/>
        <v/>
      </c>
      <c r="N4175" s="11" t="str">
        <f t="shared" si="213"/>
        <v/>
      </c>
    </row>
    <row r="4176" spans="9:14" x14ac:dyDescent="0.25">
      <c r="I4176" s="11" t="b">
        <f t="shared" si="211"/>
        <v>0</v>
      </c>
      <c r="M4176" s="17" t="str">
        <f t="shared" si="212"/>
        <v/>
      </c>
      <c r="N4176" s="11" t="str">
        <f t="shared" si="213"/>
        <v/>
      </c>
    </row>
    <row r="4177" spans="9:14" x14ac:dyDescent="0.25">
      <c r="I4177" s="11" t="b">
        <f t="shared" si="211"/>
        <v>0</v>
      </c>
      <c r="M4177" s="17" t="str">
        <f t="shared" si="212"/>
        <v/>
      </c>
      <c r="N4177" s="11" t="str">
        <f t="shared" si="213"/>
        <v/>
      </c>
    </row>
    <row r="4178" spans="9:14" x14ac:dyDescent="0.25">
      <c r="I4178" s="11" t="b">
        <f t="shared" si="211"/>
        <v>0</v>
      </c>
      <c r="M4178" s="17" t="str">
        <f t="shared" si="212"/>
        <v/>
      </c>
      <c r="N4178" s="11" t="str">
        <f t="shared" si="213"/>
        <v/>
      </c>
    </row>
    <row r="4179" spans="9:14" x14ac:dyDescent="0.25">
      <c r="I4179" s="11" t="b">
        <f t="shared" si="211"/>
        <v>0</v>
      </c>
      <c r="M4179" s="17" t="str">
        <f t="shared" si="212"/>
        <v/>
      </c>
      <c r="N4179" s="11" t="str">
        <f t="shared" si="213"/>
        <v/>
      </c>
    </row>
    <row r="4180" spans="9:14" x14ac:dyDescent="0.25">
      <c r="I4180" s="11" t="b">
        <f t="shared" si="211"/>
        <v>0</v>
      </c>
      <c r="M4180" s="17" t="str">
        <f t="shared" si="212"/>
        <v/>
      </c>
      <c r="N4180" s="11" t="str">
        <f t="shared" si="213"/>
        <v/>
      </c>
    </row>
    <row r="4181" spans="9:14" x14ac:dyDescent="0.25">
      <c r="I4181" s="11" t="b">
        <f t="shared" si="211"/>
        <v>0</v>
      </c>
      <c r="M4181" s="17" t="str">
        <f t="shared" si="212"/>
        <v/>
      </c>
      <c r="N4181" s="11" t="str">
        <f t="shared" si="213"/>
        <v/>
      </c>
    </row>
    <row r="4182" spans="9:14" x14ac:dyDescent="0.25">
      <c r="I4182" s="11" t="b">
        <f t="shared" si="211"/>
        <v>0</v>
      </c>
      <c r="M4182" s="17" t="str">
        <f t="shared" si="212"/>
        <v/>
      </c>
      <c r="N4182" s="11" t="str">
        <f t="shared" si="213"/>
        <v/>
      </c>
    </row>
    <row r="4183" spans="9:14" x14ac:dyDescent="0.25">
      <c r="I4183" s="11" t="b">
        <f t="shared" si="211"/>
        <v>0</v>
      </c>
      <c r="M4183" s="17" t="str">
        <f t="shared" si="212"/>
        <v/>
      </c>
      <c r="N4183" s="11" t="str">
        <f t="shared" si="213"/>
        <v/>
      </c>
    </row>
    <row r="4184" spans="9:14" x14ac:dyDescent="0.25">
      <c r="I4184" s="11" t="b">
        <f t="shared" si="211"/>
        <v>0</v>
      </c>
      <c r="M4184" s="17" t="str">
        <f t="shared" si="212"/>
        <v/>
      </c>
      <c r="N4184" s="11" t="str">
        <f t="shared" si="213"/>
        <v/>
      </c>
    </row>
    <row r="4185" spans="9:14" x14ac:dyDescent="0.25">
      <c r="I4185" s="11" t="b">
        <f t="shared" si="211"/>
        <v>0</v>
      </c>
      <c r="M4185" s="17" t="str">
        <f t="shared" si="212"/>
        <v/>
      </c>
      <c r="N4185" s="11" t="str">
        <f t="shared" si="213"/>
        <v/>
      </c>
    </row>
    <row r="4186" spans="9:14" x14ac:dyDescent="0.25">
      <c r="I4186" s="11" t="b">
        <f t="shared" si="211"/>
        <v>0</v>
      </c>
      <c r="M4186" s="17" t="str">
        <f t="shared" si="212"/>
        <v/>
      </c>
      <c r="N4186" s="11" t="str">
        <f t="shared" si="213"/>
        <v/>
      </c>
    </row>
    <row r="4187" spans="9:14" x14ac:dyDescent="0.25">
      <c r="I4187" s="11" t="b">
        <f t="shared" si="211"/>
        <v>0</v>
      </c>
      <c r="M4187" s="17" t="str">
        <f t="shared" si="212"/>
        <v/>
      </c>
      <c r="N4187" s="11" t="str">
        <f t="shared" si="213"/>
        <v/>
      </c>
    </row>
    <row r="4188" spans="9:14" x14ac:dyDescent="0.25">
      <c r="I4188" s="11" t="b">
        <f t="shared" si="211"/>
        <v>0</v>
      </c>
      <c r="M4188" s="17" t="str">
        <f t="shared" si="212"/>
        <v/>
      </c>
      <c r="N4188" s="11" t="str">
        <f t="shared" si="213"/>
        <v/>
      </c>
    </row>
    <row r="4189" spans="9:14" x14ac:dyDescent="0.25">
      <c r="I4189" s="11" t="b">
        <f t="shared" ref="I4189:I4252" si="214">IF(AND(G4189="MERCADO PAGO",A4189="FATURAMENTO"),1,IF(AND(OR(G4189="MERCADO PAGO",G4189="pix mercado pago",G4189= "débito automático mercado pago", G4189= "boleto mercado pago"),A4189="DESPESAS"),4,IF(AND(G4189="SAFRA",A4189="FATURAMENTO"),2,IF(AND(OR(G4189="SAFRA",G4189="PIX SAFRA", G4189="DÉBITO AUTOMÁTICO SAFRA", G4189= "BOLETO SAFRA", G4189= "transferência safra"), A4189="DESPESAS"),5,IF(AND(G4189="espécie",A4189="FATURAMENTO"),3,IF(AND(G4189="espécie",A4189="DESPESAS"),6))))))</f>
        <v>0</v>
      </c>
      <c r="M4189" s="17" t="str">
        <f t="shared" si="212"/>
        <v/>
      </c>
      <c r="N4189" s="11" t="str">
        <f t="shared" si="213"/>
        <v/>
      </c>
    </row>
    <row r="4190" spans="9:14" x14ac:dyDescent="0.25">
      <c r="I4190" s="11" t="b">
        <f t="shared" si="214"/>
        <v>0</v>
      </c>
      <c r="M4190" s="17" t="str">
        <f t="shared" si="212"/>
        <v/>
      </c>
      <c r="N4190" s="11" t="str">
        <f t="shared" si="213"/>
        <v/>
      </c>
    </row>
    <row r="4191" spans="9:14" x14ac:dyDescent="0.25">
      <c r="I4191" s="11" t="b">
        <f t="shared" si="214"/>
        <v>0</v>
      </c>
      <c r="M4191" s="17" t="str">
        <f t="shared" si="212"/>
        <v/>
      </c>
      <c r="N4191" s="11" t="str">
        <f t="shared" si="213"/>
        <v/>
      </c>
    </row>
    <row r="4192" spans="9:14" x14ac:dyDescent="0.25">
      <c r="I4192" s="11" t="b">
        <f t="shared" si="214"/>
        <v>0</v>
      </c>
      <c r="M4192" s="17" t="str">
        <f t="shared" si="212"/>
        <v/>
      </c>
      <c r="N4192" s="11" t="str">
        <f t="shared" si="213"/>
        <v/>
      </c>
    </row>
    <row r="4193" spans="9:14" x14ac:dyDescent="0.25">
      <c r="I4193" s="11" t="b">
        <f t="shared" si="214"/>
        <v>0</v>
      </c>
      <c r="M4193" s="17" t="str">
        <f t="shared" si="212"/>
        <v/>
      </c>
      <c r="N4193" s="11" t="str">
        <f t="shared" si="213"/>
        <v/>
      </c>
    </row>
    <row r="4194" spans="9:14" x14ac:dyDescent="0.25">
      <c r="I4194" s="11" t="b">
        <f t="shared" si="214"/>
        <v>0</v>
      </c>
      <c r="M4194" s="17" t="str">
        <f t="shared" si="212"/>
        <v/>
      </c>
      <c r="N4194" s="11" t="str">
        <f t="shared" si="213"/>
        <v/>
      </c>
    </row>
    <row r="4195" spans="9:14" x14ac:dyDescent="0.25">
      <c r="I4195" s="11" t="b">
        <f t="shared" si="214"/>
        <v>0</v>
      </c>
      <c r="M4195" s="17" t="str">
        <f t="shared" si="212"/>
        <v/>
      </c>
      <c r="N4195" s="11" t="str">
        <f t="shared" si="213"/>
        <v/>
      </c>
    </row>
    <row r="4196" spans="9:14" x14ac:dyDescent="0.25">
      <c r="I4196" s="11" t="b">
        <f t="shared" si="214"/>
        <v>0</v>
      </c>
      <c r="M4196" s="17" t="str">
        <f t="shared" si="212"/>
        <v/>
      </c>
      <c r="N4196" s="11" t="str">
        <f t="shared" si="213"/>
        <v/>
      </c>
    </row>
    <row r="4197" spans="9:14" x14ac:dyDescent="0.25">
      <c r="I4197" s="11" t="b">
        <f t="shared" si="214"/>
        <v>0</v>
      </c>
      <c r="M4197" s="17" t="str">
        <f t="shared" si="212"/>
        <v/>
      </c>
      <c r="N4197" s="11" t="str">
        <f t="shared" si="213"/>
        <v/>
      </c>
    </row>
    <row r="4198" spans="9:14" x14ac:dyDescent="0.25">
      <c r="I4198" s="11" t="b">
        <f t="shared" si="214"/>
        <v>0</v>
      </c>
      <c r="M4198" s="17" t="str">
        <f t="shared" si="212"/>
        <v/>
      </c>
      <c r="N4198" s="11" t="str">
        <f t="shared" si="213"/>
        <v/>
      </c>
    </row>
    <row r="4199" spans="9:14" x14ac:dyDescent="0.25">
      <c r="I4199" s="11" t="b">
        <f t="shared" si="214"/>
        <v>0</v>
      </c>
      <c r="M4199" s="17" t="str">
        <f t="shared" si="212"/>
        <v/>
      </c>
      <c r="N4199" s="11" t="str">
        <f t="shared" si="213"/>
        <v/>
      </c>
    </row>
    <row r="4200" spans="9:14" x14ac:dyDescent="0.25">
      <c r="I4200" s="11" t="b">
        <f t="shared" si="214"/>
        <v>0</v>
      </c>
      <c r="M4200" s="17" t="str">
        <f t="shared" si="212"/>
        <v/>
      </c>
      <c r="N4200" s="11" t="str">
        <f t="shared" si="213"/>
        <v/>
      </c>
    </row>
    <row r="4201" spans="9:14" x14ac:dyDescent="0.25">
      <c r="I4201" s="11" t="b">
        <f t="shared" si="214"/>
        <v>0</v>
      </c>
      <c r="M4201" s="17" t="str">
        <f t="shared" si="212"/>
        <v/>
      </c>
      <c r="N4201" s="11" t="str">
        <f t="shared" si="213"/>
        <v/>
      </c>
    </row>
    <row r="4202" spans="9:14" x14ac:dyDescent="0.25">
      <c r="I4202" s="11" t="b">
        <f t="shared" si="214"/>
        <v>0</v>
      </c>
      <c r="M4202" s="17" t="str">
        <f t="shared" si="212"/>
        <v/>
      </c>
      <c r="N4202" s="11" t="str">
        <f t="shared" si="213"/>
        <v/>
      </c>
    </row>
    <row r="4203" spans="9:14" x14ac:dyDescent="0.25">
      <c r="I4203" s="11" t="b">
        <f t="shared" si="214"/>
        <v>0</v>
      </c>
      <c r="M4203" s="17" t="str">
        <f t="shared" si="212"/>
        <v/>
      </c>
      <c r="N4203" s="11" t="str">
        <f t="shared" si="213"/>
        <v/>
      </c>
    </row>
    <row r="4204" spans="9:14" x14ac:dyDescent="0.25">
      <c r="I4204" s="11" t="b">
        <f t="shared" si="214"/>
        <v>0</v>
      </c>
      <c r="M4204" s="17" t="str">
        <f t="shared" si="212"/>
        <v/>
      </c>
      <c r="N4204" s="11" t="str">
        <f t="shared" si="213"/>
        <v/>
      </c>
    </row>
    <row r="4205" spans="9:14" x14ac:dyDescent="0.25">
      <c r="I4205" s="11" t="b">
        <f t="shared" si="214"/>
        <v>0</v>
      </c>
      <c r="M4205" s="17" t="str">
        <f t="shared" si="212"/>
        <v/>
      </c>
      <c r="N4205" s="11" t="str">
        <f t="shared" si="213"/>
        <v/>
      </c>
    </row>
    <row r="4206" spans="9:14" x14ac:dyDescent="0.25">
      <c r="I4206" s="11" t="b">
        <f t="shared" si="214"/>
        <v>0</v>
      </c>
      <c r="M4206" s="17" t="str">
        <f t="shared" si="212"/>
        <v/>
      </c>
      <c r="N4206" s="11" t="str">
        <f t="shared" si="213"/>
        <v/>
      </c>
    </row>
    <row r="4207" spans="9:14" x14ac:dyDescent="0.25">
      <c r="I4207" s="11" t="b">
        <f t="shared" si="214"/>
        <v>0</v>
      </c>
      <c r="M4207" s="17" t="str">
        <f t="shared" si="212"/>
        <v/>
      </c>
      <c r="N4207" s="11" t="str">
        <f t="shared" si="213"/>
        <v/>
      </c>
    </row>
    <row r="4208" spans="9:14" x14ac:dyDescent="0.25">
      <c r="I4208" s="11" t="b">
        <f t="shared" si="214"/>
        <v>0</v>
      </c>
      <c r="M4208" s="17" t="str">
        <f t="shared" si="212"/>
        <v/>
      </c>
      <c r="N4208" s="11" t="str">
        <f t="shared" si="213"/>
        <v/>
      </c>
    </row>
    <row r="4209" spans="9:14" x14ac:dyDescent="0.25">
      <c r="I4209" s="11" t="b">
        <f t="shared" si="214"/>
        <v>0</v>
      </c>
      <c r="M4209" s="17" t="str">
        <f t="shared" si="212"/>
        <v/>
      </c>
      <c r="N4209" s="11" t="str">
        <f t="shared" si="213"/>
        <v/>
      </c>
    </row>
    <row r="4210" spans="9:14" x14ac:dyDescent="0.25">
      <c r="I4210" s="11" t="b">
        <f t="shared" si="214"/>
        <v>0</v>
      </c>
      <c r="M4210" s="17" t="str">
        <f t="shared" si="212"/>
        <v/>
      </c>
      <c r="N4210" s="11" t="str">
        <f t="shared" si="213"/>
        <v/>
      </c>
    </row>
    <row r="4211" spans="9:14" x14ac:dyDescent="0.25">
      <c r="I4211" s="11" t="b">
        <f t="shared" si="214"/>
        <v>0</v>
      </c>
      <c r="M4211" s="17" t="str">
        <f t="shared" si="212"/>
        <v/>
      </c>
      <c r="N4211" s="11" t="str">
        <f t="shared" si="213"/>
        <v/>
      </c>
    </row>
    <row r="4212" spans="9:14" x14ac:dyDescent="0.25">
      <c r="I4212" s="11" t="b">
        <f t="shared" si="214"/>
        <v>0</v>
      </c>
      <c r="M4212" s="17" t="str">
        <f t="shared" si="212"/>
        <v/>
      </c>
      <c r="N4212" s="11" t="str">
        <f t="shared" si="213"/>
        <v/>
      </c>
    </row>
    <row r="4213" spans="9:14" x14ac:dyDescent="0.25">
      <c r="I4213" s="11" t="b">
        <f t="shared" si="214"/>
        <v>0</v>
      </c>
      <c r="M4213" s="17" t="str">
        <f t="shared" si="212"/>
        <v/>
      </c>
      <c r="N4213" s="11" t="str">
        <f t="shared" si="213"/>
        <v/>
      </c>
    </row>
    <row r="4214" spans="9:14" x14ac:dyDescent="0.25">
      <c r="I4214" s="11" t="b">
        <f t="shared" si="214"/>
        <v>0</v>
      </c>
      <c r="M4214" s="17" t="str">
        <f t="shared" si="212"/>
        <v/>
      </c>
      <c r="N4214" s="11" t="str">
        <f t="shared" si="213"/>
        <v/>
      </c>
    </row>
    <row r="4215" spans="9:14" x14ac:dyDescent="0.25">
      <c r="I4215" s="11" t="b">
        <f t="shared" si="214"/>
        <v>0</v>
      </c>
      <c r="M4215" s="17" t="str">
        <f t="shared" si="212"/>
        <v/>
      </c>
      <c r="N4215" s="11" t="str">
        <f t="shared" si="213"/>
        <v/>
      </c>
    </row>
    <row r="4216" spans="9:14" x14ac:dyDescent="0.25">
      <c r="I4216" s="11" t="b">
        <f t="shared" si="214"/>
        <v>0</v>
      </c>
      <c r="M4216" s="17" t="str">
        <f t="shared" si="212"/>
        <v/>
      </c>
      <c r="N4216" s="11" t="str">
        <f t="shared" si="213"/>
        <v/>
      </c>
    </row>
    <row r="4217" spans="9:14" x14ac:dyDescent="0.25">
      <c r="I4217" s="11" t="b">
        <f t="shared" si="214"/>
        <v>0</v>
      </c>
      <c r="M4217" s="17" t="str">
        <f t="shared" si="212"/>
        <v/>
      </c>
      <c r="N4217" s="11" t="str">
        <f t="shared" si="213"/>
        <v/>
      </c>
    </row>
    <row r="4218" spans="9:14" x14ac:dyDescent="0.25">
      <c r="I4218" s="11" t="b">
        <f t="shared" si="214"/>
        <v>0</v>
      </c>
      <c r="M4218" s="17" t="str">
        <f t="shared" si="212"/>
        <v/>
      </c>
      <c r="N4218" s="11" t="str">
        <f t="shared" si="213"/>
        <v/>
      </c>
    </row>
    <row r="4219" spans="9:14" x14ac:dyDescent="0.25">
      <c r="I4219" s="11" t="b">
        <f t="shared" si="214"/>
        <v>0</v>
      </c>
      <c r="M4219" s="17" t="str">
        <f t="shared" si="212"/>
        <v/>
      </c>
      <c r="N4219" s="11" t="str">
        <f t="shared" si="213"/>
        <v/>
      </c>
    </row>
    <row r="4220" spans="9:14" x14ac:dyDescent="0.25">
      <c r="I4220" s="11" t="b">
        <f t="shared" si="214"/>
        <v>0</v>
      </c>
      <c r="M4220" s="17" t="str">
        <f t="shared" si="212"/>
        <v/>
      </c>
      <c r="N4220" s="11" t="str">
        <f t="shared" si="213"/>
        <v/>
      </c>
    </row>
    <row r="4221" spans="9:14" x14ac:dyDescent="0.25">
      <c r="I4221" s="11" t="b">
        <f t="shared" si="214"/>
        <v>0</v>
      </c>
      <c r="M4221" s="17" t="str">
        <f t="shared" si="212"/>
        <v/>
      </c>
      <c r="N4221" s="11" t="str">
        <f t="shared" si="213"/>
        <v/>
      </c>
    </row>
    <row r="4222" spans="9:14" x14ac:dyDescent="0.25">
      <c r="I4222" s="11" t="b">
        <f t="shared" si="214"/>
        <v>0</v>
      </c>
      <c r="M4222" s="17" t="str">
        <f t="shared" si="212"/>
        <v/>
      </c>
      <c r="N4222" s="11" t="str">
        <f t="shared" si="213"/>
        <v/>
      </c>
    </row>
    <row r="4223" spans="9:14" x14ac:dyDescent="0.25">
      <c r="I4223" s="11" t="b">
        <f t="shared" si="214"/>
        <v>0</v>
      </c>
      <c r="M4223" s="17" t="str">
        <f t="shared" si="212"/>
        <v/>
      </c>
      <c r="N4223" s="11" t="str">
        <f t="shared" si="213"/>
        <v/>
      </c>
    </row>
    <row r="4224" spans="9:14" x14ac:dyDescent="0.25">
      <c r="I4224" s="11" t="b">
        <f t="shared" si="214"/>
        <v>0</v>
      </c>
      <c r="M4224" s="17" t="str">
        <f t="shared" si="212"/>
        <v/>
      </c>
      <c r="N4224" s="11" t="str">
        <f t="shared" si="213"/>
        <v/>
      </c>
    </row>
    <row r="4225" spans="9:14" x14ac:dyDescent="0.25">
      <c r="I4225" s="11" t="b">
        <f t="shared" si="214"/>
        <v>0</v>
      </c>
      <c r="M4225" s="17" t="str">
        <f t="shared" ref="M4225:M4288" si="215">IF(B4225=0, "",M4224+ J4225-K4225)</f>
        <v/>
      </c>
      <c r="N4225" s="11" t="str">
        <f t="shared" ref="N4225:N4288" si="216">IF(B4225=0, "", MONTH(B4225))</f>
        <v/>
      </c>
    </row>
    <row r="4226" spans="9:14" x14ac:dyDescent="0.25">
      <c r="I4226" s="11" t="b">
        <f t="shared" si="214"/>
        <v>0</v>
      </c>
      <c r="M4226" s="17" t="str">
        <f t="shared" si="215"/>
        <v/>
      </c>
      <c r="N4226" s="11" t="str">
        <f t="shared" si="216"/>
        <v/>
      </c>
    </row>
    <row r="4227" spans="9:14" x14ac:dyDescent="0.25">
      <c r="I4227" s="11" t="b">
        <f t="shared" si="214"/>
        <v>0</v>
      </c>
      <c r="M4227" s="17" t="str">
        <f t="shared" si="215"/>
        <v/>
      </c>
      <c r="N4227" s="11" t="str">
        <f t="shared" si="216"/>
        <v/>
      </c>
    </row>
    <row r="4228" spans="9:14" x14ac:dyDescent="0.25">
      <c r="I4228" s="11" t="b">
        <f t="shared" si="214"/>
        <v>0</v>
      </c>
      <c r="M4228" s="17" t="str">
        <f t="shared" si="215"/>
        <v/>
      </c>
      <c r="N4228" s="11" t="str">
        <f t="shared" si="216"/>
        <v/>
      </c>
    </row>
    <row r="4229" spans="9:14" x14ac:dyDescent="0.25">
      <c r="I4229" s="11" t="b">
        <f t="shared" si="214"/>
        <v>0</v>
      </c>
      <c r="M4229" s="17" t="str">
        <f t="shared" si="215"/>
        <v/>
      </c>
      <c r="N4229" s="11" t="str">
        <f t="shared" si="216"/>
        <v/>
      </c>
    </row>
    <row r="4230" spans="9:14" x14ac:dyDescent="0.25">
      <c r="I4230" s="11" t="b">
        <f t="shared" si="214"/>
        <v>0</v>
      </c>
      <c r="M4230" s="17" t="str">
        <f t="shared" si="215"/>
        <v/>
      </c>
      <c r="N4230" s="11" t="str">
        <f t="shared" si="216"/>
        <v/>
      </c>
    </row>
    <row r="4231" spans="9:14" x14ac:dyDescent="0.25">
      <c r="I4231" s="11" t="b">
        <f t="shared" si="214"/>
        <v>0</v>
      </c>
      <c r="M4231" s="17" t="str">
        <f t="shared" si="215"/>
        <v/>
      </c>
      <c r="N4231" s="11" t="str">
        <f t="shared" si="216"/>
        <v/>
      </c>
    </row>
    <row r="4232" spans="9:14" x14ac:dyDescent="0.25">
      <c r="I4232" s="11" t="b">
        <f t="shared" si="214"/>
        <v>0</v>
      </c>
      <c r="M4232" s="17" t="str">
        <f t="shared" si="215"/>
        <v/>
      </c>
      <c r="N4232" s="11" t="str">
        <f t="shared" si="216"/>
        <v/>
      </c>
    </row>
    <row r="4233" spans="9:14" x14ac:dyDescent="0.25">
      <c r="I4233" s="11" t="b">
        <f t="shared" si="214"/>
        <v>0</v>
      </c>
      <c r="M4233" s="17" t="str">
        <f t="shared" si="215"/>
        <v/>
      </c>
      <c r="N4233" s="11" t="str">
        <f t="shared" si="216"/>
        <v/>
      </c>
    </row>
    <row r="4234" spans="9:14" x14ac:dyDescent="0.25">
      <c r="I4234" s="11" t="b">
        <f t="shared" si="214"/>
        <v>0</v>
      </c>
      <c r="M4234" s="17" t="str">
        <f t="shared" si="215"/>
        <v/>
      </c>
      <c r="N4234" s="11" t="str">
        <f t="shared" si="216"/>
        <v/>
      </c>
    </row>
    <row r="4235" spans="9:14" x14ac:dyDescent="0.25">
      <c r="I4235" s="11" t="b">
        <f t="shared" si="214"/>
        <v>0</v>
      </c>
      <c r="M4235" s="17" t="str">
        <f t="shared" si="215"/>
        <v/>
      </c>
      <c r="N4235" s="11" t="str">
        <f t="shared" si="216"/>
        <v/>
      </c>
    </row>
    <row r="4236" spans="9:14" x14ac:dyDescent="0.25">
      <c r="I4236" s="11" t="b">
        <f t="shared" si="214"/>
        <v>0</v>
      </c>
      <c r="M4236" s="17" t="str">
        <f t="shared" si="215"/>
        <v/>
      </c>
      <c r="N4236" s="11" t="str">
        <f t="shared" si="216"/>
        <v/>
      </c>
    </row>
    <row r="4237" spans="9:14" x14ac:dyDescent="0.25">
      <c r="I4237" s="11" t="b">
        <f t="shared" si="214"/>
        <v>0</v>
      </c>
      <c r="M4237" s="17" t="str">
        <f t="shared" si="215"/>
        <v/>
      </c>
      <c r="N4237" s="11" t="str">
        <f t="shared" si="216"/>
        <v/>
      </c>
    </row>
    <row r="4238" spans="9:14" x14ac:dyDescent="0.25">
      <c r="I4238" s="11" t="b">
        <f t="shared" si="214"/>
        <v>0</v>
      </c>
      <c r="M4238" s="17" t="str">
        <f t="shared" si="215"/>
        <v/>
      </c>
      <c r="N4238" s="11" t="str">
        <f t="shared" si="216"/>
        <v/>
      </c>
    </row>
    <row r="4239" spans="9:14" x14ac:dyDescent="0.25">
      <c r="I4239" s="11" t="b">
        <f t="shared" si="214"/>
        <v>0</v>
      </c>
      <c r="M4239" s="17" t="str">
        <f t="shared" si="215"/>
        <v/>
      </c>
      <c r="N4239" s="11" t="str">
        <f t="shared" si="216"/>
        <v/>
      </c>
    </row>
    <row r="4240" spans="9:14" x14ac:dyDescent="0.25">
      <c r="I4240" s="11" t="b">
        <f t="shared" si="214"/>
        <v>0</v>
      </c>
      <c r="M4240" s="17" t="str">
        <f t="shared" si="215"/>
        <v/>
      </c>
      <c r="N4240" s="11" t="str">
        <f t="shared" si="216"/>
        <v/>
      </c>
    </row>
    <row r="4241" spans="9:14" x14ac:dyDescent="0.25">
      <c r="I4241" s="11" t="b">
        <f t="shared" si="214"/>
        <v>0</v>
      </c>
      <c r="M4241" s="17" t="str">
        <f t="shared" si="215"/>
        <v/>
      </c>
      <c r="N4241" s="11" t="str">
        <f t="shared" si="216"/>
        <v/>
      </c>
    </row>
    <row r="4242" spans="9:14" x14ac:dyDescent="0.25">
      <c r="I4242" s="11" t="b">
        <f t="shared" si="214"/>
        <v>0</v>
      </c>
      <c r="M4242" s="17" t="str">
        <f t="shared" si="215"/>
        <v/>
      </c>
      <c r="N4242" s="11" t="str">
        <f t="shared" si="216"/>
        <v/>
      </c>
    </row>
    <row r="4243" spans="9:14" x14ac:dyDescent="0.25">
      <c r="I4243" s="11" t="b">
        <f t="shared" si="214"/>
        <v>0</v>
      </c>
      <c r="M4243" s="17" t="str">
        <f t="shared" si="215"/>
        <v/>
      </c>
      <c r="N4243" s="11" t="str">
        <f t="shared" si="216"/>
        <v/>
      </c>
    </row>
    <row r="4244" spans="9:14" x14ac:dyDescent="0.25">
      <c r="I4244" s="11" t="b">
        <f t="shared" si="214"/>
        <v>0</v>
      </c>
      <c r="M4244" s="17" t="str">
        <f t="shared" si="215"/>
        <v/>
      </c>
      <c r="N4244" s="11" t="str">
        <f t="shared" si="216"/>
        <v/>
      </c>
    </row>
    <row r="4245" spans="9:14" x14ac:dyDescent="0.25">
      <c r="I4245" s="11" t="b">
        <f t="shared" si="214"/>
        <v>0</v>
      </c>
      <c r="M4245" s="17" t="str">
        <f t="shared" si="215"/>
        <v/>
      </c>
      <c r="N4245" s="11" t="str">
        <f t="shared" si="216"/>
        <v/>
      </c>
    </row>
    <row r="4246" spans="9:14" x14ac:dyDescent="0.25">
      <c r="I4246" s="11" t="b">
        <f t="shared" si="214"/>
        <v>0</v>
      </c>
      <c r="M4246" s="17" t="str">
        <f t="shared" si="215"/>
        <v/>
      </c>
      <c r="N4246" s="11" t="str">
        <f t="shared" si="216"/>
        <v/>
      </c>
    </row>
    <row r="4247" spans="9:14" x14ac:dyDescent="0.25">
      <c r="I4247" s="11" t="b">
        <f t="shared" si="214"/>
        <v>0</v>
      </c>
      <c r="M4247" s="17" t="str">
        <f t="shared" si="215"/>
        <v/>
      </c>
      <c r="N4247" s="11" t="str">
        <f t="shared" si="216"/>
        <v/>
      </c>
    </row>
    <row r="4248" spans="9:14" x14ac:dyDescent="0.25">
      <c r="I4248" s="11" t="b">
        <f t="shared" si="214"/>
        <v>0</v>
      </c>
      <c r="M4248" s="17" t="str">
        <f t="shared" si="215"/>
        <v/>
      </c>
      <c r="N4248" s="11" t="str">
        <f t="shared" si="216"/>
        <v/>
      </c>
    </row>
    <row r="4249" spans="9:14" x14ac:dyDescent="0.25">
      <c r="I4249" s="11" t="b">
        <f t="shared" si="214"/>
        <v>0</v>
      </c>
      <c r="M4249" s="17" t="str">
        <f t="shared" si="215"/>
        <v/>
      </c>
      <c r="N4249" s="11" t="str">
        <f t="shared" si="216"/>
        <v/>
      </c>
    </row>
    <row r="4250" spans="9:14" x14ac:dyDescent="0.25">
      <c r="I4250" s="11" t="b">
        <f t="shared" si="214"/>
        <v>0</v>
      </c>
      <c r="M4250" s="17" t="str">
        <f t="shared" si="215"/>
        <v/>
      </c>
      <c r="N4250" s="11" t="str">
        <f t="shared" si="216"/>
        <v/>
      </c>
    </row>
    <row r="4251" spans="9:14" x14ac:dyDescent="0.25">
      <c r="I4251" s="11" t="b">
        <f t="shared" si="214"/>
        <v>0</v>
      </c>
      <c r="M4251" s="17" t="str">
        <f t="shared" si="215"/>
        <v/>
      </c>
      <c r="N4251" s="11" t="str">
        <f t="shared" si="216"/>
        <v/>
      </c>
    </row>
    <row r="4252" spans="9:14" x14ac:dyDescent="0.25">
      <c r="I4252" s="11" t="b">
        <f t="shared" si="214"/>
        <v>0</v>
      </c>
      <c r="M4252" s="17" t="str">
        <f t="shared" si="215"/>
        <v/>
      </c>
      <c r="N4252" s="11" t="str">
        <f t="shared" si="216"/>
        <v/>
      </c>
    </row>
    <row r="4253" spans="9:14" x14ac:dyDescent="0.25">
      <c r="I4253" s="11" t="b">
        <f t="shared" ref="I4253:I4316" si="217">IF(AND(G4253="MERCADO PAGO",A4253="FATURAMENTO"),1,IF(AND(OR(G4253="MERCADO PAGO",G4253="pix mercado pago",G4253= "débito automático mercado pago", G4253= "boleto mercado pago"),A4253="DESPESAS"),4,IF(AND(G4253="SAFRA",A4253="FATURAMENTO"),2,IF(AND(OR(G4253="SAFRA",G4253="PIX SAFRA", G4253="DÉBITO AUTOMÁTICO SAFRA", G4253= "BOLETO SAFRA", G4253= "transferência safra"), A4253="DESPESAS"),5,IF(AND(G4253="espécie",A4253="FATURAMENTO"),3,IF(AND(G4253="espécie",A4253="DESPESAS"),6))))))</f>
        <v>0</v>
      </c>
      <c r="M4253" s="17" t="str">
        <f t="shared" si="215"/>
        <v/>
      </c>
      <c r="N4253" s="11" t="str">
        <f t="shared" si="216"/>
        <v/>
      </c>
    </row>
    <row r="4254" spans="9:14" x14ac:dyDescent="0.25">
      <c r="I4254" s="11" t="b">
        <f t="shared" si="217"/>
        <v>0</v>
      </c>
      <c r="M4254" s="17" t="str">
        <f t="shared" si="215"/>
        <v/>
      </c>
      <c r="N4254" s="11" t="str">
        <f t="shared" si="216"/>
        <v/>
      </c>
    </row>
    <row r="4255" spans="9:14" x14ac:dyDescent="0.25">
      <c r="I4255" s="11" t="b">
        <f t="shared" si="217"/>
        <v>0</v>
      </c>
      <c r="M4255" s="17" t="str">
        <f t="shared" si="215"/>
        <v/>
      </c>
      <c r="N4255" s="11" t="str">
        <f t="shared" si="216"/>
        <v/>
      </c>
    </row>
    <row r="4256" spans="9:14" x14ac:dyDescent="0.25">
      <c r="I4256" s="11" t="b">
        <f t="shared" si="217"/>
        <v>0</v>
      </c>
      <c r="M4256" s="17" t="str">
        <f t="shared" si="215"/>
        <v/>
      </c>
      <c r="N4256" s="11" t="str">
        <f t="shared" si="216"/>
        <v/>
      </c>
    </row>
    <row r="4257" spans="9:14" x14ac:dyDescent="0.25">
      <c r="I4257" s="11" t="b">
        <f t="shared" si="217"/>
        <v>0</v>
      </c>
      <c r="M4257" s="17" t="str">
        <f t="shared" si="215"/>
        <v/>
      </c>
      <c r="N4257" s="11" t="str">
        <f t="shared" si="216"/>
        <v/>
      </c>
    </row>
    <row r="4258" spans="9:14" x14ac:dyDescent="0.25">
      <c r="I4258" s="11" t="b">
        <f t="shared" si="217"/>
        <v>0</v>
      </c>
      <c r="M4258" s="17" t="str">
        <f t="shared" si="215"/>
        <v/>
      </c>
      <c r="N4258" s="11" t="str">
        <f t="shared" si="216"/>
        <v/>
      </c>
    </row>
    <row r="4259" spans="9:14" x14ac:dyDescent="0.25">
      <c r="I4259" s="11" t="b">
        <f t="shared" si="217"/>
        <v>0</v>
      </c>
      <c r="M4259" s="17" t="str">
        <f t="shared" si="215"/>
        <v/>
      </c>
      <c r="N4259" s="11" t="str">
        <f t="shared" si="216"/>
        <v/>
      </c>
    </row>
    <row r="4260" spans="9:14" x14ac:dyDescent="0.25">
      <c r="I4260" s="11" t="b">
        <f t="shared" si="217"/>
        <v>0</v>
      </c>
      <c r="M4260" s="17" t="str">
        <f t="shared" si="215"/>
        <v/>
      </c>
      <c r="N4260" s="11" t="str">
        <f t="shared" si="216"/>
        <v/>
      </c>
    </row>
    <row r="4261" spans="9:14" x14ac:dyDescent="0.25">
      <c r="I4261" s="11" t="b">
        <f t="shared" si="217"/>
        <v>0</v>
      </c>
      <c r="M4261" s="17" t="str">
        <f t="shared" si="215"/>
        <v/>
      </c>
      <c r="N4261" s="11" t="str">
        <f t="shared" si="216"/>
        <v/>
      </c>
    </row>
    <row r="4262" spans="9:14" x14ac:dyDescent="0.25">
      <c r="I4262" s="11" t="b">
        <f t="shared" si="217"/>
        <v>0</v>
      </c>
      <c r="M4262" s="17" t="str">
        <f t="shared" si="215"/>
        <v/>
      </c>
      <c r="N4262" s="11" t="str">
        <f t="shared" si="216"/>
        <v/>
      </c>
    </row>
    <row r="4263" spans="9:14" x14ac:dyDescent="0.25">
      <c r="I4263" s="11" t="b">
        <f t="shared" si="217"/>
        <v>0</v>
      </c>
      <c r="M4263" s="17" t="str">
        <f t="shared" si="215"/>
        <v/>
      </c>
      <c r="N4263" s="11" t="str">
        <f t="shared" si="216"/>
        <v/>
      </c>
    </row>
    <row r="4264" spans="9:14" x14ac:dyDescent="0.25">
      <c r="I4264" s="11" t="b">
        <f t="shared" si="217"/>
        <v>0</v>
      </c>
      <c r="M4264" s="17" t="str">
        <f t="shared" si="215"/>
        <v/>
      </c>
      <c r="N4264" s="11" t="str">
        <f t="shared" si="216"/>
        <v/>
      </c>
    </row>
    <row r="4265" spans="9:14" x14ac:dyDescent="0.25">
      <c r="I4265" s="11" t="b">
        <f t="shared" si="217"/>
        <v>0</v>
      </c>
      <c r="M4265" s="17" t="str">
        <f t="shared" si="215"/>
        <v/>
      </c>
      <c r="N4265" s="11" t="str">
        <f t="shared" si="216"/>
        <v/>
      </c>
    </row>
    <row r="4266" spans="9:14" x14ac:dyDescent="0.25">
      <c r="I4266" s="11" t="b">
        <f t="shared" si="217"/>
        <v>0</v>
      </c>
      <c r="M4266" s="17" t="str">
        <f t="shared" si="215"/>
        <v/>
      </c>
      <c r="N4266" s="11" t="str">
        <f t="shared" si="216"/>
        <v/>
      </c>
    </row>
    <row r="4267" spans="9:14" x14ac:dyDescent="0.25">
      <c r="I4267" s="11" t="b">
        <f t="shared" si="217"/>
        <v>0</v>
      </c>
      <c r="M4267" s="17" t="str">
        <f t="shared" si="215"/>
        <v/>
      </c>
      <c r="N4267" s="11" t="str">
        <f t="shared" si="216"/>
        <v/>
      </c>
    </row>
    <row r="4268" spans="9:14" x14ac:dyDescent="0.25">
      <c r="I4268" s="11" t="b">
        <f t="shared" si="217"/>
        <v>0</v>
      </c>
      <c r="M4268" s="17" t="str">
        <f t="shared" si="215"/>
        <v/>
      </c>
      <c r="N4268" s="11" t="str">
        <f t="shared" si="216"/>
        <v/>
      </c>
    </row>
    <row r="4269" spans="9:14" x14ac:dyDescent="0.25">
      <c r="I4269" s="11" t="b">
        <f t="shared" si="217"/>
        <v>0</v>
      </c>
      <c r="M4269" s="17" t="str">
        <f t="shared" si="215"/>
        <v/>
      </c>
      <c r="N4269" s="11" t="str">
        <f t="shared" si="216"/>
        <v/>
      </c>
    </row>
    <row r="4270" spans="9:14" x14ac:dyDescent="0.25">
      <c r="I4270" s="11" t="b">
        <f t="shared" si="217"/>
        <v>0</v>
      </c>
      <c r="M4270" s="17" t="str">
        <f t="shared" si="215"/>
        <v/>
      </c>
      <c r="N4270" s="11" t="str">
        <f t="shared" si="216"/>
        <v/>
      </c>
    </row>
    <row r="4271" spans="9:14" x14ac:dyDescent="0.25">
      <c r="I4271" s="11" t="b">
        <f t="shared" si="217"/>
        <v>0</v>
      </c>
      <c r="M4271" s="17" t="str">
        <f t="shared" si="215"/>
        <v/>
      </c>
      <c r="N4271" s="11" t="str">
        <f t="shared" si="216"/>
        <v/>
      </c>
    </row>
    <row r="4272" spans="9:14" x14ac:dyDescent="0.25">
      <c r="I4272" s="11" t="b">
        <f t="shared" si="217"/>
        <v>0</v>
      </c>
      <c r="M4272" s="17" t="str">
        <f t="shared" si="215"/>
        <v/>
      </c>
      <c r="N4272" s="11" t="str">
        <f t="shared" si="216"/>
        <v/>
      </c>
    </row>
    <row r="4273" spans="9:14" x14ac:dyDescent="0.25">
      <c r="I4273" s="11" t="b">
        <f t="shared" si="217"/>
        <v>0</v>
      </c>
      <c r="M4273" s="17" t="str">
        <f t="shared" si="215"/>
        <v/>
      </c>
      <c r="N4273" s="11" t="str">
        <f t="shared" si="216"/>
        <v/>
      </c>
    </row>
    <row r="4274" spans="9:14" x14ac:dyDescent="0.25">
      <c r="I4274" s="11" t="b">
        <f t="shared" si="217"/>
        <v>0</v>
      </c>
      <c r="M4274" s="17" t="str">
        <f t="shared" si="215"/>
        <v/>
      </c>
      <c r="N4274" s="11" t="str">
        <f t="shared" si="216"/>
        <v/>
      </c>
    </row>
    <row r="4275" spans="9:14" x14ac:dyDescent="0.25">
      <c r="I4275" s="11" t="b">
        <f t="shared" si="217"/>
        <v>0</v>
      </c>
      <c r="M4275" s="17" t="str">
        <f t="shared" si="215"/>
        <v/>
      </c>
      <c r="N4275" s="11" t="str">
        <f t="shared" si="216"/>
        <v/>
      </c>
    </row>
    <row r="4276" spans="9:14" x14ac:dyDescent="0.25">
      <c r="I4276" s="11" t="b">
        <f t="shared" si="217"/>
        <v>0</v>
      </c>
      <c r="M4276" s="17" t="str">
        <f t="shared" si="215"/>
        <v/>
      </c>
      <c r="N4276" s="11" t="str">
        <f t="shared" si="216"/>
        <v/>
      </c>
    </row>
    <row r="4277" spans="9:14" x14ac:dyDescent="0.25">
      <c r="I4277" s="11" t="b">
        <f t="shared" si="217"/>
        <v>0</v>
      </c>
      <c r="M4277" s="17" t="str">
        <f t="shared" si="215"/>
        <v/>
      </c>
      <c r="N4277" s="11" t="str">
        <f t="shared" si="216"/>
        <v/>
      </c>
    </row>
    <row r="4278" spans="9:14" x14ac:dyDescent="0.25">
      <c r="I4278" s="11" t="b">
        <f t="shared" si="217"/>
        <v>0</v>
      </c>
      <c r="M4278" s="17" t="str">
        <f t="shared" si="215"/>
        <v/>
      </c>
      <c r="N4278" s="11" t="str">
        <f t="shared" si="216"/>
        <v/>
      </c>
    </row>
    <row r="4279" spans="9:14" x14ac:dyDescent="0.25">
      <c r="I4279" s="11" t="b">
        <f t="shared" si="217"/>
        <v>0</v>
      </c>
      <c r="M4279" s="17" t="str">
        <f t="shared" si="215"/>
        <v/>
      </c>
      <c r="N4279" s="11" t="str">
        <f t="shared" si="216"/>
        <v/>
      </c>
    </row>
    <row r="4280" spans="9:14" x14ac:dyDescent="0.25">
      <c r="I4280" s="11" t="b">
        <f t="shared" si="217"/>
        <v>0</v>
      </c>
      <c r="M4280" s="17" t="str">
        <f t="shared" si="215"/>
        <v/>
      </c>
      <c r="N4280" s="11" t="str">
        <f t="shared" si="216"/>
        <v/>
      </c>
    </row>
    <row r="4281" spans="9:14" x14ac:dyDescent="0.25">
      <c r="I4281" s="11" t="b">
        <f t="shared" si="217"/>
        <v>0</v>
      </c>
      <c r="M4281" s="17" t="str">
        <f t="shared" si="215"/>
        <v/>
      </c>
      <c r="N4281" s="11" t="str">
        <f t="shared" si="216"/>
        <v/>
      </c>
    </row>
    <row r="4282" spans="9:14" x14ac:dyDescent="0.25">
      <c r="I4282" s="11" t="b">
        <f t="shared" si="217"/>
        <v>0</v>
      </c>
      <c r="M4282" s="17" t="str">
        <f t="shared" si="215"/>
        <v/>
      </c>
      <c r="N4282" s="11" t="str">
        <f t="shared" si="216"/>
        <v/>
      </c>
    </row>
    <row r="4283" spans="9:14" x14ac:dyDescent="0.25">
      <c r="I4283" s="11" t="b">
        <f t="shared" si="217"/>
        <v>0</v>
      </c>
      <c r="M4283" s="17" t="str">
        <f t="shared" si="215"/>
        <v/>
      </c>
      <c r="N4283" s="11" t="str">
        <f t="shared" si="216"/>
        <v/>
      </c>
    </row>
    <row r="4284" spans="9:14" x14ac:dyDescent="0.25">
      <c r="I4284" s="11" t="b">
        <f t="shared" si="217"/>
        <v>0</v>
      </c>
      <c r="M4284" s="17" t="str">
        <f t="shared" si="215"/>
        <v/>
      </c>
      <c r="N4284" s="11" t="str">
        <f t="shared" si="216"/>
        <v/>
      </c>
    </row>
    <row r="4285" spans="9:14" x14ac:dyDescent="0.25">
      <c r="I4285" s="11" t="b">
        <f t="shared" si="217"/>
        <v>0</v>
      </c>
      <c r="M4285" s="17" t="str">
        <f t="shared" si="215"/>
        <v/>
      </c>
      <c r="N4285" s="11" t="str">
        <f t="shared" si="216"/>
        <v/>
      </c>
    </row>
    <row r="4286" spans="9:14" x14ac:dyDescent="0.25">
      <c r="I4286" s="11" t="b">
        <f t="shared" si="217"/>
        <v>0</v>
      </c>
      <c r="M4286" s="17" t="str">
        <f t="shared" si="215"/>
        <v/>
      </c>
      <c r="N4286" s="11" t="str">
        <f t="shared" si="216"/>
        <v/>
      </c>
    </row>
    <row r="4287" spans="9:14" x14ac:dyDescent="0.25">
      <c r="I4287" s="11" t="b">
        <f t="shared" si="217"/>
        <v>0</v>
      </c>
      <c r="M4287" s="17" t="str">
        <f t="shared" si="215"/>
        <v/>
      </c>
      <c r="N4287" s="11" t="str">
        <f t="shared" si="216"/>
        <v/>
      </c>
    </row>
    <row r="4288" spans="9:14" x14ac:dyDescent="0.25">
      <c r="I4288" s="11" t="b">
        <f t="shared" si="217"/>
        <v>0</v>
      </c>
      <c r="M4288" s="17" t="str">
        <f t="shared" si="215"/>
        <v/>
      </c>
      <c r="N4288" s="11" t="str">
        <f t="shared" si="216"/>
        <v/>
      </c>
    </row>
    <row r="4289" spans="9:14" x14ac:dyDescent="0.25">
      <c r="I4289" s="11" t="b">
        <f t="shared" si="217"/>
        <v>0</v>
      </c>
      <c r="M4289" s="17" t="str">
        <f t="shared" ref="M4289:M4352" si="218">IF(B4289=0, "",M4288+ J4289-K4289)</f>
        <v/>
      </c>
      <c r="N4289" s="11" t="str">
        <f t="shared" ref="N4289:N4352" si="219">IF(B4289=0, "", MONTH(B4289))</f>
        <v/>
      </c>
    </row>
    <row r="4290" spans="9:14" x14ac:dyDescent="0.25">
      <c r="I4290" s="11" t="b">
        <f t="shared" si="217"/>
        <v>0</v>
      </c>
      <c r="M4290" s="17" t="str">
        <f t="shared" si="218"/>
        <v/>
      </c>
      <c r="N4290" s="11" t="str">
        <f t="shared" si="219"/>
        <v/>
      </c>
    </row>
    <row r="4291" spans="9:14" x14ac:dyDescent="0.25">
      <c r="I4291" s="11" t="b">
        <f t="shared" si="217"/>
        <v>0</v>
      </c>
      <c r="M4291" s="17" t="str">
        <f t="shared" si="218"/>
        <v/>
      </c>
      <c r="N4291" s="11" t="str">
        <f t="shared" si="219"/>
        <v/>
      </c>
    </row>
    <row r="4292" spans="9:14" x14ac:dyDescent="0.25">
      <c r="I4292" s="11" t="b">
        <f t="shared" si="217"/>
        <v>0</v>
      </c>
      <c r="M4292" s="17" t="str">
        <f t="shared" si="218"/>
        <v/>
      </c>
      <c r="N4292" s="11" t="str">
        <f t="shared" si="219"/>
        <v/>
      </c>
    </row>
    <row r="4293" spans="9:14" x14ac:dyDescent="0.25">
      <c r="I4293" s="11" t="b">
        <f t="shared" si="217"/>
        <v>0</v>
      </c>
      <c r="M4293" s="17" t="str">
        <f t="shared" si="218"/>
        <v/>
      </c>
      <c r="N4293" s="11" t="str">
        <f t="shared" si="219"/>
        <v/>
      </c>
    </row>
    <row r="4294" spans="9:14" x14ac:dyDescent="0.25">
      <c r="I4294" s="11" t="b">
        <f t="shared" si="217"/>
        <v>0</v>
      </c>
      <c r="M4294" s="17" t="str">
        <f t="shared" si="218"/>
        <v/>
      </c>
      <c r="N4294" s="11" t="str">
        <f t="shared" si="219"/>
        <v/>
      </c>
    </row>
    <row r="4295" spans="9:14" x14ac:dyDescent="0.25">
      <c r="I4295" s="11" t="b">
        <f t="shared" si="217"/>
        <v>0</v>
      </c>
      <c r="M4295" s="17" t="str">
        <f t="shared" si="218"/>
        <v/>
      </c>
      <c r="N4295" s="11" t="str">
        <f t="shared" si="219"/>
        <v/>
      </c>
    </row>
    <row r="4296" spans="9:14" x14ac:dyDescent="0.25">
      <c r="I4296" s="11" t="b">
        <f t="shared" si="217"/>
        <v>0</v>
      </c>
      <c r="M4296" s="17" t="str">
        <f t="shared" si="218"/>
        <v/>
      </c>
      <c r="N4296" s="11" t="str">
        <f t="shared" si="219"/>
        <v/>
      </c>
    </row>
    <row r="4297" spans="9:14" x14ac:dyDescent="0.25">
      <c r="I4297" s="11" t="b">
        <f t="shared" si="217"/>
        <v>0</v>
      </c>
      <c r="M4297" s="17" t="str">
        <f t="shared" si="218"/>
        <v/>
      </c>
      <c r="N4297" s="11" t="str">
        <f t="shared" si="219"/>
        <v/>
      </c>
    </row>
    <row r="4298" spans="9:14" x14ac:dyDescent="0.25">
      <c r="I4298" s="11" t="b">
        <f t="shared" si="217"/>
        <v>0</v>
      </c>
      <c r="M4298" s="17" t="str">
        <f t="shared" si="218"/>
        <v/>
      </c>
      <c r="N4298" s="11" t="str">
        <f t="shared" si="219"/>
        <v/>
      </c>
    </row>
    <row r="4299" spans="9:14" x14ac:dyDescent="0.25">
      <c r="I4299" s="11" t="b">
        <f t="shared" si="217"/>
        <v>0</v>
      </c>
      <c r="M4299" s="17" t="str">
        <f t="shared" si="218"/>
        <v/>
      </c>
      <c r="N4299" s="11" t="str">
        <f t="shared" si="219"/>
        <v/>
      </c>
    </row>
    <row r="4300" spans="9:14" x14ac:dyDescent="0.25">
      <c r="I4300" s="11" t="b">
        <f t="shared" si="217"/>
        <v>0</v>
      </c>
      <c r="M4300" s="17" t="str">
        <f t="shared" si="218"/>
        <v/>
      </c>
      <c r="N4300" s="11" t="str">
        <f t="shared" si="219"/>
        <v/>
      </c>
    </row>
    <row r="4301" spans="9:14" x14ac:dyDescent="0.25">
      <c r="I4301" s="11" t="b">
        <f t="shared" si="217"/>
        <v>0</v>
      </c>
      <c r="M4301" s="17" t="str">
        <f t="shared" si="218"/>
        <v/>
      </c>
      <c r="N4301" s="11" t="str">
        <f t="shared" si="219"/>
        <v/>
      </c>
    </row>
    <row r="4302" spans="9:14" x14ac:dyDescent="0.25">
      <c r="I4302" s="11" t="b">
        <f t="shared" si="217"/>
        <v>0</v>
      </c>
      <c r="M4302" s="17" t="str">
        <f t="shared" si="218"/>
        <v/>
      </c>
      <c r="N4302" s="11" t="str">
        <f t="shared" si="219"/>
        <v/>
      </c>
    </row>
    <row r="4303" spans="9:14" x14ac:dyDescent="0.25">
      <c r="I4303" s="11" t="b">
        <f t="shared" si="217"/>
        <v>0</v>
      </c>
      <c r="M4303" s="17" t="str">
        <f t="shared" si="218"/>
        <v/>
      </c>
      <c r="N4303" s="11" t="str">
        <f t="shared" si="219"/>
        <v/>
      </c>
    </row>
    <row r="4304" spans="9:14" x14ac:dyDescent="0.25">
      <c r="I4304" s="11" t="b">
        <f t="shared" si="217"/>
        <v>0</v>
      </c>
      <c r="M4304" s="17" t="str">
        <f t="shared" si="218"/>
        <v/>
      </c>
      <c r="N4304" s="11" t="str">
        <f t="shared" si="219"/>
        <v/>
      </c>
    </row>
    <row r="4305" spans="9:14" x14ac:dyDescent="0.25">
      <c r="I4305" s="11" t="b">
        <f t="shared" si="217"/>
        <v>0</v>
      </c>
      <c r="M4305" s="17" t="str">
        <f t="shared" si="218"/>
        <v/>
      </c>
      <c r="N4305" s="11" t="str">
        <f t="shared" si="219"/>
        <v/>
      </c>
    </row>
    <row r="4306" spans="9:14" x14ac:dyDescent="0.25">
      <c r="I4306" s="11" t="b">
        <f t="shared" si="217"/>
        <v>0</v>
      </c>
      <c r="M4306" s="17" t="str">
        <f t="shared" si="218"/>
        <v/>
      </c>
      <c r="N4306" s="11" t="str">
        <f t="shared" si="219"/>
        <v/>
      </c>
    </row>
    <row r="4307" spans="9:14" x14ac:dyDescent="0.25">
      <c r="I4307" s="11" t="b">
        <f t="shared" si="217"/>
        <v>0</v>
      </c>
      <c r="M4307" s="17" t="str">
        <f t="shared" si="218"/>
        <v/>
      </c>
      <c r="N4307" s="11" t="str">
        <f t="shared" si="219"/>
        <v/>
      </c>
    </row>
    <row r="4308" spans="9:14" x14ac:dyDescent="0.25">
      <c r="I4308" s="11" t="b">
        <f t="shared" si="217"/>
        <v>0</v>
      </c>
      <c r="M4308" s="17" t="str">
        <f t="shared" si="218"/>
        <v/>
      </c>
      <c r="N4308" s="11" t="str">
        <f t="shared" si="219"/>
        <v/>
      </c>
    </row>
    <row r="4309" spans="9:14" x14ac:dyDescent="0.25">
      <c r="I4309" s="11" t="b">
        <f t="shared" si="217"/>
        <v>0</v>
      </c>
      <c r="M4309" s="17" t="str">
        <f t="shared" si="218"/>
        <v/>
      </c>
      <c r="N4309" s="11" t="str">
        <f t="shared" si="219"/>
        <v/>
      </c>
    </row>
    <row r="4310" spans="9:14" x14ac:dyDescent="0.25">
      <c r="I4310" s="11" t="b">
        <f t="shared" si="217"/>
        <v>0</v>
      </c>
      <c r="M4310" s="17" t="str">
        <f t="shared" si="218"/>
        <v/>
      </c>
      <c r="N4310" s="11" t="str">
        <f t="shared" si="219"/>
        <v/>
      </c>
    </row>
    <row r="4311" spans="9:14" x14ac:dyDescent="0.25">
      <c r="I4311" s="11" t="b">
        <f t="shared" si="217"/>
        <v>0</v>
      </c>
      <c r="M4311" s="17" t="str">
        <f t="shared" si="218"/>
        <v/>
      </c>
      <c r="N4311" s="11" t="str">
        <f t="shared" si="219"/>
        <v/>
      </c>
    </row>
    <row r="4312" spans="9:14" x14ac:dyDescent="0.25">
      <c r="I4312" s="11" t="b">
        <f t="shared" si="217"/>
        <v>0</v>
      </c>
      <c r="M4312" s="17" t="str">
        <f t="shared" si="218"/>
        <v/>
      </c>
      <c r="N4312" s="11" t="str">
        <f t="shared" si="219"/>
        <v/>
      </c>
    </row>
    <row r="4313" spans="9:14" x14ac:dyDescent="0.25">
      <c r="I4313" s="11" t="b">
        <f t="shared" si="217"/>
        <v>0</v>
      </c>
      <c r="M4313" s="17" t="str">
        <f t="shared" si="218"/>
        <v/>
      </c>
      <c r="N4313" s="11" t="str">
        <f t="shared" si="219"/>
        <v/>
      </c>
    </row>
    <row r="4314" spans="9:14" x14ac:dyDescent="0.25">
      <c r="I4314" s="11" t="b">
        <f t="shared" si="217"/>
        <v>0</v>
      </c>
      <c r="M4314" s="17" t="str">
        <f t="shared" si="218"/>
        <v/>
      </c>
      <c r="N4314" s="11" t="str">
        <f t="shared" si="219"/>
        <v/>
      </c>
    </row>
    <row r="4315" spans="9:14" x14ac:dyDescent="0.25">
      <c r="I4315" s="11" t="b">
        <f t="shared" si="217"/>
        <v>0</v>
      </c>
      <c r="M4315" s="17" t="str">
        <f t="shared" si="218"/>
        <v/>
      </c>
      <c r="N4315" s="11" t="str">
        <f t="shared" si="219"/>
        <v/>
      </c>
    </row>
    <row r="4316" spans="9:14" x14ac:dyDescent="0.25">
      <c r="I4316" s="11" t="b">
        <f t="shared" si="217"/>
        <v>0</v>
      </c>
      <c r="M4316" s="17" t="str">
        <f t="shared" si="218"/>
        <v/>
      </c>
      <c r="N4316" s="11" t="str">
        <f t="shared" si="219"/>
        <v/>
      </c>
    </row>
    <row r="4317" spans="9:14" x14ac:dyDescent="0.25">
      <c r="I4317" s="11" t="b">
        <f t="shared" ref="I4317:I4380" si="220">IF(AND(G4317="MERCADO PAGO",A4317="FATURAMENTO"),1,IF(AND(OR(G4317="MERCADO PAGO",G4317="pix mercado pago",G4317= "débito automático mercado pago", G4317= "boleto mercado pago"),A4317="DESPESAS"),4,IF(AND(G4317="SAFRA",A4317="FATURAMENTO"),2,IF(AND(OR(G4317="SAFRA",G4317="PIX SAFRA", G4317="DÉBITO AUTOMÁTICO SAFRA", G4317= "BOLETO SAFRA", G4317= "transferência safra"), A4317="DESPESAS"),5,IF(AND(G4317="espécie",A4317="FATURAMENTO"),3,IF(AND(G4317="espécie",A4317="DESPESAS"),6))))))</f>
        <v>0</v>
      </c>
      <c r="M4317" s="17" t="str">
        <f t="shared" si="218"/>
        <v/>
      </c>
      <c r="N4317" s="11" t="str">
        <f t="shared" si="219"/>
        <v/>
      </c>
    </row>
    <row r="4318" spans="9:14" x14ac:dyDescent="0.25">
      <c r="I4318" s="11" t="b">
        <f t="shared" si="220"/>
        <v>0</v>
      </c>
      <c r="M4318" s="17" t="str">
        <f t="shared" si="218"/>
        <v/>
      </c>
      <c r="N4318" s="11" t="str">
        <f t="shared" si="219"/>
        <v/>
      </c>
    </row>
    <row r="4319" spans="9:14" x14ac:dyDescent="0.25">
      <c r="I4319" s="11" t="b">
        <f t="shared" si="220"/>
        <v>0</v>
      </c>
      <c r="M4319" s="17" t="str">
        <f t="shared" si="218"/>
        <v/>
      </c>
      <c r="N4319" s="11" t="str">
        <f t="shared" si="219"/>
        <v/>
      </c>
    </row>
    <row r="4320" spans="9:14" x14ac:dyDescent="0.25">
      <c r="I4320" s="11" t="b">
        <f t="shared" si="220"/>
        <v>0</v>
      </c>
      <c r="M4320" s="17" t="str">
        <f t="shared" si="218"/>
        <v/>
      </c>
      <c r="N4320" s="11" t="str">
        <f t="shared" si="219"/>
        <v/>
      </c>
    </row>
    <row r="4321" spans="9:14" x14ac:dyDescent="0.25">
      <c r="I4321" s="11" t="b">
        <f t="shared" si="220"/>
        <v>0</v>
      </c>
      <c r="M4321" s="17" t="str">
        <f t="shared" si="218"/>
        <v/>
      </c>
      <c r="N4321" s="11" t="str">
        <f t="shared" si="219"/>
        <v/>
      </c>
    </row>
    <row r="4322" spans="9:14" x14ac:dyDescent="0.25">
      <c r="I4322" s="11" t="b">
        <f t="shared" si="220"/>
        <v>0</v>
      </c>
      <c r="M4322" s="17" t="str">
        <f t="shared" si="218"/>
        <v/>
      </c>
      <c r="N4322" s="11" t="str">
        <f t="shared" si="219"/>
        <v/>
      </c>
    </row>
    <row r="4323" spans="9:14" x14ac:dyDescent="0.25">
      <c r="I4323" s="11" t="b">
        <f t="shared" si="220"/>
        <v>0</v>
      </c>
      <c r="M4323" s="17" t="str">
        <f t="shared" si="218"/>
        <v/>
      </c>
      <c r="N4323" s="11" t="str">
        <f t="shared" si="219"/>
        <v/>
      </c>
    </row>
    <row r="4324" spans="9:14" x14ac:dyDescent="0.25">
      <c r="I4324" s="11" t="b">
        <f t="shared" si="220"/>
        <v>0</v>
      </c>
      <c r="M4324" s="17" t="str">
        <f t="shared" si="218"/>
        <v/>
      </c>
      <c r="N4324" s="11" t="str">
        <f t="shared" si="219"/>
        <v/>
      </c>
    </row>
    <row r="4325" spans="9:14" x14ac:dyDescent="0.25">
      <c r="I4325" s="11" t="b">
        <f t="shared" si="220"/>
        <v>0</v>
      </c>
      <c r="M4325" s="17" t="str">
        <f t="shared" si="218"/>
        <v/>
      </c>
      <c r="N4325" s="11" t="str">
        <f t="shared" si="219"/>
        <v/>
      </c>
    </row>
    <row r="4326" spans="9:14" x14ac:dyDescent="0.25">
      <c r="I4326" s="11" t="b">
        <f t="shared" si="220"/>
        <v>0</v>
      </c>
      <c r="M4326" s="17" t="str">
        <f t="shared" si="218"/>
        <v/>
      </c>
      <c r="N4326" s="11" t="str">
        <f t="shared" si="219"/>
        <v/>
      </c>
    </row>
    <row r="4327" spans="9:14" x14ac:dyDescent="0.25">
      <c r="I4327" s="11" t="b">
        <f t="shared" si="220"/>
        <v>0</v>
      </c>
      <c r="M4327" s="17" t="str">
        <f t="shared" si="218"/>
        <v/>
      </c>
      <c r="N4327" s="11" t="str">
        <f t="shared" si="219"/>
        <v/>
      </c>
    </row>
    <row r="4328" spans="9:14" x14ac:dyDescent="0.25">
      <c r="I4328" s="11" t="b">
        <f t="shared" si="220"/>
        <v>0</v>
      </c>
      <c r="M4328" s="17" t="str">
        <f t="shared" si="218"/>
        <v/>
      </c>
      <c r="N4328" s="11" t="str">
        <f t="shared" si="219"/>
        <v/>
      </c>
    </row>
    <row r="4329" spans="9:14" x14ac:dyDescent="0.25">
      <c r="I4329" s="11" t="b">
        <f t="shared" si="220"/>
        <v>0</v>
      </c>
      <c r="M4329" s="17" t="str">
        <f t="shared" si="218"/>
        <v/>
      </c>
      <c r="N4329" s="11" t="str">
        <f t="shared" si="219"/>
        <v/>
      </c>
    </row>
    <row r="4330" spans="9:14" x14ac:dyDescent="0.25">
      <c r="I4330" s="11" t="b">
        <f t="shared" si="220"/>
        <v>0</v>
      </c>
      <c r="M4330" s="17" t="str">
        <f t="shared" si="218"/>
        <v/>
      </c>
      <c r="N4330" s="11" t="str">
        <f t="shared" si="219"/>
        <v/>
      </c>
    </row>
    <row r="4331" spans="9:14" x14ac:dyDescent="0.25">
      <c r="I4331" s="11" t="b">
        <f t="shared" si="220"/>
        <v>0</v>
      </c>
      <c r="M4331" s="17" t="str">
        <f t="shared" si="218"/>
        <v/>
      </c>
      <c r="N4331" s="11" t="str">
        <f t="shared" si="219"/>
        <v/>
      </c>
    </row>
    <row r="4332" spans="9:14" x14ac:dyDescent="0.25">
      <c r="I4332" s="11" t="b">
        <f t="shared" si="220"/>
        <v>0</v>
      </c>
      <c r="M4332" s="17" t="str">
        <f t="shared" si="218"/>
        <v/>
      </c>
      <c r="N4332" s="11" t="str">
        <f t="shared" si="219"/>
        <v/>
      </c>
    </row>
    <row r="4333" spans="9:14" x14ac:dyDescent="0.25">
      <c r="I4333" s="11" t="b">
        <f t="shared" si="220"/>
        <v>0</v>
      </c>
      <c r="M4333" s="17" t="str">
        <f t="shared" si="218"/>
        <v/>
      </c>
      <c r="N4333" s="11" t="str">
        <f t="shared" si="219"/>
        <v/>
      </c>
    </row>
    <row r="4334" spans="9:14" x14ac:dyDescent="0.25">
      <c r="I4334" s="11" t="b">
        <f t="shared" si="220"/>
        <v>0</v>
      </c>
      <c r="M4334" s="17" t="str">
        <f t="shared" si="218"/>
        <v/>
      </c>
      <c r="N4334" s="11" t="str">
        <f t="shared" si="219"/>
        <v/>
      </c>
    </row>
    <row r="4335" spans="9:14" x14ac:dyDescent="0.25">
      <c r="I4335" s="11" t="b">
        <f t="shared" si="220"/>
        <v>0</v>
      </c>
      <c r="M4335" s="17" t="str">
        <f t="shared" si="218"/>
        <v/>
      </c>
      <c r="N4335" s="11" t="str">
        <f t="shared" si="219"/>
        <v/>
      </c>
    </row>
    <row r="4336" spans="9:14" x14ac:dyDescent="0.25">
      <c r="I4336" s="11" t="b">
        <f t="shared" si="220"/>
        <v>0</v>
      </c>
      <c r="M4336" s="17" t="str">
        <f t="shared" si="218"/>
        <v/>
      </c>
      <c r="N4336" s="11" t="str">
        <f t="shared" si="219"/>
        <v/>
      </c>
    </row>
    <row r="4337" spans="9:14" x14ac:dyDescent="0.25">
      <c r="I4337" s="11" t="b">
        <f t="shared" si="220"/>
        <v>0</v>
      </c>
      <c r="M4337" s="17" t="str">
        <f t="shared" si="218"/>
        <v/>
      </c>
      <c r="N4337" s="11" t="str">
        <f t="shared" si="219"/>
        <v/>
      </c>
    </row>
    <row r="4338" spans="9:14" x14ac:dyDescent="0.25">
      <c r="I4338" s="11" t="b">
        <f t="shared" si="220"/>
        <v>0</v>
      </c>
      <c r="M4338" s="17" t="str">
        <f t="shared" si="218"/>
        <v/>
      </c>
      <c r="N4338" s="11" t="str">
        <f t="shared" si="219"/>
        <v/>
      </c>
    </row>
    <row r="4339" spans="9:14" x14ac:dyDescent="0.25">
      <c r="I4339" s="11" t="b">
        <f t="shared" si="220"/>
        <v>0</v>
      </c>
      <c r="M4339" s="17" t="str">
        <f t="shared" si="218"/>
        <v/>
      </c>
      <c r="N4339" s="11" t="str">
        <f t="shared" si="219"/>
        <v/>
      </c>
    </row>
    <row r="4340" spans="9:14" x14ac:dyDescent="0.25">
      <c r="I4340" s="11" t="b">
        <f t="shared" si="220"/>
        <v>0</v>
      </c>
      <c r="M4340" s="17" t="str">
        <f t="shared" si="218"/>
        <v/>
      </c>
      <c r="N4340" s="11" t="str">
        <f t="shared" si="219"/>
        <v/>
      </c>
    </row>
    <row r="4341" spans="9:14" x14ac:dyDescent="0.25">
      <c r="I4341" s="11" t="b">
        <f t="shared" si="220"/>
        <v>0</v>
      </c>
      <c r="M4341" s="17" t="str">
        <f t="shared" si="218"/>
        <v/>
      </c>
      <c r="N4341" s="11" t="str">
        <f t="shared" si="219"/>
        <v/>
      </c>
    </row>
    <row r="4342" spans="9:14" x14ac:dyDescent="0.25">
      <c r="I4342" s="11" t="b">
        <f t="shared" si="220"/>
        <v>0</v>
      </c>
      <c r="M4342" s="17" t="str">
        <f t="shared" si="218"/>
        <v/>
      </c>
      <c r="N4342" s="11" t="str">
        <f t="shared" si="219"/>
        <v/>
      </c>
    </row>
    <row r="4343" spans="9:14" x14ac:dyDescent="0.25">
      <c r="I4343" s="11" t="b">
        <f t="shared" si="220"/>
        <v>0</v>
      </c>
      <c r="M4343" s="17" t="str">
        <f t="shared" si="218"/>
        <v/>
      </c>
      <c r="N4343" s="11" t="str">
        <f t="shared" si="219"/>
        <v/>
      </c>
    </row>
    <row r="4344" spans="9:14" x14ac:dyDescent="0.25">
      <c r="I4344" s="11" t="b">
        <f t="shared" si="220"/>
        <v>0</v>
      </c>
      <c r="M4344" s="17" t="str">
        <f t="shared" si="218"/>
        <v/>
      </c>
      <c r="N4344" s="11" t="str">
        <f t="shared" si="219"/>
        <v/>
      </c>
    </row>
    <row r="4345" spans="9:14" x14ac:dyDescent="0.25">
      <c r="I4345" s="11" t="b">
        <f t="shared" si="220"/>
        <v>0</v>
      </c>
      <c r="M4345" s="17" t="str">
        <f t="shared" si="218"/>
        <v/>
      </c>
      <c r="N4345" s="11" t="str">
        <f t="shared" si="219"/>
        <v/>
      </c>
    </row>
    <row r="4346" spans="9:14" x14ac:dyDescent="0.25">
      <c r="I4346" s="11" t="b">
        <f t="shared" si="220"/>
        <v>0</v>
      </c>
      <c r="M4346" s="17" t="str">
        <f t="shared" si="218"/>
        <v/>
      </c>
      <c r="N4346" s="11" t="str">
        <f t="shared" si="219"/>
        <v/>
      </c>
    </row>
    <row r="4347" spans="9:14" x14ac:dyDescent="0.25">
      <c r="I4347" s="11" t="b">
        <f t="shared" si="220"/>
        <v>0</v>
      </c>
      <c r="M4347" s="17" t="str">
        <f t="shared" si="218"/>
        <v/>
      </c>
      <c r="N4347" s="11" t="str">
        <f t="shared" si="219"/>
        <v/>
      </c>
    </row>
    <row r="4348" spans="9:14" x14ac:dyDescent="0.25">
      <c r="I4348" s="11" t="b">
        <f t="shared" si="220"/>
        <v>0</v>
      </c>
      <c r="M4348" s="17" t="str">
        <f t="shared" si="218"/>
        <v/>
      </c>
      <c r="N4348" s="11" t="str">
        <f t="shared" si="219"/>
        <v/>
      </c>
    </row>
    <row r="4349" spans="9:14" x14ac:dyDescent="0.25">
      <c r="I4349" s="11" t="b">
        <f t="shared" si="220"/>
        <v>0</v>
      </c>
      <c r="M4349" s="17" t="str">
        <f t="shared" si="218"/>
        <v/>
      </c>
      <c r="N4349" s="11" t="str">
        <f t="shared" si="219"/>
        <v/>
      </c>
    </row>
    <row r="4350" spans="9:14" x14ac:dyDescent="0.25">
      <c r="I4350" s="11" t="b">
        <f t="shared" si="220"/>
        <v>0</v>
      </c>
      <c r="M4350" s="17" t="str">
        <f t="shared" si="218"/>
        <v/>
      </c>
      <c r="N4350" s="11" t="str">
        <f t="shared" si="219"/>
        <v/>
      </c>
    </row>
    <row r="4351" spans="9:14" x14ac:dyDescent="0.25">
      <c r="I4351" s="11" t="b">
        <f t="shared" si="220"/>
        <v>0</v>
      </c>
      <c r="M4351" s="17" t="str">
        <f t="shared" si="218"/>
        <v/>
      </c>
      <c r="N4351" s="11" t="str">
        <f t="shared" si="219"/>
        <v/>
      </c>
    </row>
    <row r="4352" spans="9:14" x14ac:dyDescent="0.25">
      <c r="I4352" s="11" t="b">
        <f t="shared" si="220"/>
        <v>0</v>
      </c>
      <c r="M4352" s="17" t="str">
        <f t="shared" si="218"/>
        <v/>
      </c>
      <c r="N4352" s="11" t="str">
        <f t="shared" si="219"/>
        <v/>
      </c>
    </row>
    <row r="4353" spans="9:14" x14ac:dyDescent="0.25">
      <c r="I4353" s="11" t="b">
        <f t="shared" si="220"/>
        <v>0</v>
      </c>
      <c r="M4353" s="17" t="str">
        <f t="shared" ref="M4353:M4416" si="221">IF(B4353=0, "",M4352+ J4353-K4353)</f>
        <v/>
      </c>
      <c r="N4353" s="11" t="str">
        <f t="shared" ref="N4353:N4416" si="222">IF(B4353=0, "", MONTH(B4353))</f>
        <v/>
      </c>
    </row>
    <row r="4354" spans="9:14" x14ac:dyDescent="0.25">
      <c r="I4354" s="11" t="b">
        <f t="shared" si="220"/>
        <v>0</v>
      </c>
      <c r="M4354" s="17" t="str">
        <f t="shared" si="221"/>
        <v/>
      </c>
      <c r="N4354" s="11" t="str">
        <f t="shared" si="222"/>
        <v/>
      </c>
    </row>
    <row r="4355" spans="9:14" x14ac:dyDescent="0.25">
      <c r="I4355" s="11" t="b">
        <f t="shared" si="220"/>
        <v>0</v>
      </c>
      <c r="M4355" s="17" t="str">
        <f t="shared" si="221"/>
        <v/>
      </c>
      <c r="N4355" s="11" t="str">
        <f t="shared" si="222"/>
        <v/>
      </c>
    </row>
    <row r="4356" spans="9:14" x14ac:dyDescent="0.25">
      <c r="I4356" s="11" t="b">
        <f t="shared" si="220"/>
        <v>0</v>
      </c>
      <c r="M4356" s="17" t="str">
        <f t="shared" si="221"/>
        <v/>
      </c>
      <c r="N4356" s="11" t="str">
        <f t="shared" si="222"/>
        <v/>
      </c>
    </row>
    <row r="4357" spans="9:14" x14ac:dyDescent="0.25">
      <c r="I4357" s="11" t="b">
        <f t="shared" si="220"/>
        <v>0</v>
      </c>
      <c r="M4357" s="17" t="str">
        <f t="shared" si="221"/>
        <v/>
      </c>
      <c r="N4357" s="11" t="str">
        <f t="shared" si="222"/>
        <v/>
      </c>
    </row>
    <row r="4358" spans="9:14" x14ac:dyDescent="0.25">
      <c r="I4358" s="11" t="b">
        <f t="shared" si="220"/>
        <v>0</v>
      </c>
      <c r="M4358" s="17" t="str">
        <f t="shared" si="221"/>
        <v/>
      </c>
      <c r="N4358" s="11" t="str">
        <f t="shared" si="222"/>
        <v/>
      </c>
    </row>
    <row r="4359" spans="9:14" x14ac:dyDescent="0.25">
      <c r="I4359" s="11" t="b">
        <f t="shared" si="220"/>
        <v>0</v>
      </c>
      <c r="M4359" s="17" t="str">
        <f t="shared" si="221"/>
        <v/>
      </c>
      <c r="N4359" s="11" t="str">
        <f t="shared" si="222"/>
        <v/>
      </c>
    </row>
    <row r="4360" spans="9:14" x14ac:dyDescent="0.25">
      <c r="I4360" s="11" t="b">
        <f t="shared" si="220"/>
        <v>0</v>
      </c>
      <c r="M4360" s="17" t="str">
        <f t="shared" si="221"/>
        <v/>
      </c>
      <c r="N4360" s="11" t="str">
        <f t="shared" si="222"/>
        <v/>
      </c>
    </row>
    <row r="4361" spans="9:14" x14ac:dyDescent="0.25">
      <c r="I4361" s="11" t="b">
        <f t="shared" si="220"/>
        <v>0</v>
      </c>
      <c r="M4361" s="17" t="str">
        <f t="shared" si="221"/>
        <v/>
      </c>
      <c r="N4361" s="11" t="str">
        <f t="shared" si="222"/>
        <v/>
      </c>
    </row>
    <row r="4362" spans="9:14" x14ac:dyDescent="0.25">
      <c r="I4362" s="11" t="b">
        <f t="shared" si="220"/>
        <v>0</v>
      </c>
      <c r="M4362" s="17" t="str">
        <f t="shared" si="221"/>
        <v/>
      </c>
      <c r="N4362" s="11" t="str">
        <f t="shared" si="222"/>
        <v/>
      </c>
    </row>
    <row r="4363" spans="9:14" x14ac:dyDescent="0.25">
      <c r="I4363" s="11" t="b">
        <f t="shared" si="220"/>
        <v>0</v>
      </c>
      <c r="M4363" s="17" t="str">
        <f t="shared" si="221"/>
        <v/>
      </c>
      <c r="N4363" s="11" t="str">
        <f t="shared" si="222"/>
        <v/>
      </c>
    </row>
    <row r="4364" spans="9:14" x14ac:dyDescent="0.25">
      <c r="I4364" s="11" t="b">
        <f t="shared" si="220"/>
        <v>0</v>
      </c>
      <c r="M4364" s="17" t="str">
        <f t="shared" si="221"/>
        <v/>
      </c>
      <c r="N4364" s="11" t="str">
        <f t="shared" si="222"/>
        <v/>
      </c>
    </row>
    <row r="4365" spans="9:14" x14ac:dyDescent="0.25">
      <c r="I4365" s="11" t="b">
        <f t="shared" si="220"/>
        <v>0</v>
      </c>
      <c r="M4365" s="17" t="str">
        <f t="shared" si="221"/>
        <v/>
      </c>
      <c r="N4365" s="11" t="str">
        <f t="shared" si="222"/>
        <v/>
      </c>
    </row>
    <row r="4366" spans="9:14" x14ac:dyDescent="0.25">
      <c r="I4366" s="11" t="b">
        <f t="shared" si="220"/>
        <v>0</v>
      </c>
      <c r="M4366" s="17" t="str">
        <f t="shared" si="221"/>
        <v/>
      </c>
      <c r="N4366" s="11" t="str">
        <f t="shared" si="222"/>
        <v/>
      </c>
    </row>
    <row r="4367" spans="9:14" x14ac:dyDescent="0.25">
      <c r="I4367" s="11" t="b">
        <f t="shared" si="220"/>
        <v>0</v>
      </c>
      <c r="M4367" s="17" t="str">
        <f t="shared" si="221"/>
        <v/>
      </c>
      <c r="N4367" s="11" t="str">
        <f t="shared" si="222"/>
        <v/>
      </c>
    </row>
    <row r="4368" spans="9:14" x14ac:dyDescent="0.25">
      <c r="I4368" s="11" t="b">
        <f t="shared" si="220"/>
        <v>0</v>
      </c>
      <c r="M4368" s="17" t="str">
        <f t="shared" si="221"/>
        <v/>
      </c>
      <c r="N4368" s="11" t="str">
        <f t="shared" si="222"/>
        <v/>
      </c>
    </row>
    <row r="4369" spans="9:14" x14ac:dyDescent="0.25">
      <c r="I4369" s="11" t="b">
        <f t="shared" si="220"/>
        <v>0</v>
      </c>
      <c r="M4369" s="17" t="str">
        <f t="shared" si="221"/>
        <v/>
      </c>
      <c r="N4369" s="11" t="str">
        <f t="shared" si="222"/>
        <v/>
      </c>
    </row>
    <row r="4370" spans="9:14" x14ac:dyDescent="0.25">
      <c r="I4370" s="11" t="b">
        <f t="shared" si="220"/>
        <v>0</v>
      </c>
      <c r="M4370" s="17" t="str">
        <f t="shared" si="221"/>
        <v/>
      </c>
      <c r="N4370" s="11" t="str">
        <f t="shared" si="222"/>
        <v/>
      </c>
    </row>
    <row r="4371" spans="9:14" x14ac:dyDescent="0.25">
      <c r="I4371" s="11" t="b">
        <f t="shared" si="220"/>
        <v>0</v>
      </c>
      <c r="M4371" s="17" t="str">
        <f t="shared" si="221"/>
        <v/>
      </c>
      <c r="N4371" s="11" t="str">
        <f t="shared" si="222"/>
        <v/>
      </c>
    </row>
    <row r="4372" spans="9:14" x14ac:dyDescent="0.25">
      <c r="I4372" s="11" t="b">
        <f t="shared" si="220"/>
        <v>0</v>
      </c>
      <c r="M4372" s="17" t="str">
        <f t="shared" si="221"/>
        <v/>
      </c>
      <c r="N4372" s="11" t="str">
        <f t="shared" si="222"/>
        <v/>
      </c>
    </row>
    <row r="4373" spans="9:14" x14ac:dyDescent="0.25">
      <c r="I4373" s="11" t="b">
        <f t="shared" si="220"/>
        <v>0</v>
      </c>
      <c r="M4373" s="17" t="str">
        <f t="shared" si="221"/>
        <v/>
      </c>
      <c r="N4373" s="11" t="str">
        <f t="shared" si="222"/>
        <v/>
      </c>
    </row>
    <row r="4374" spans="9:14" x14ac:dyDescent="0.25">
      <c r="I4374" s="11" t="b">
        <f t="shared" si="220"/>
        <v>0</v>
      </c>
      <c r="M4374" s="17" t="str">
        <f t="shared" si="221"/>
        <v/>
      </c>
      <c r="N4374" s="11" t="str">
        <f t="shared" si="222"/>
        <v/>
      </c>
    </row>
    <row r="4375" spans="9:14" x14ac:dyDescent="0.25">
      <c r="I4375" s="11" t="b">
        <f t="shared" si="220"/>
        <v>0</v>
      </c>
      <c r="M4375" s="17" t="str">
        <f t="shared" si="221"/>
        <v/>
      </c>
      <c r="N4375" s="11" t="str">
        <f t="shared" si="222"/>
        <v/>
      </c>
    </row>
    <row r="4376" spans="9:14" x14ac:dyDescent="0.25">
      <c r="I4376" s="11" t="b">
        <f t="shared" si="220"/>
        <v>0</v>
      </c>
      <c r="M4376" s="17" t="str">
        <f t="shared" si="221"/>
        <v/>
      </c>
      <c r="N4376" s="11" t="str">
        <f t="shared" si="222"/>
        <v/>
      </c>
    </row>
    <row r="4377" spans="9:14" x14ac:dyDescent="0.25">
      <c r="I4377" s="11" t="b">
        <f t="shared" si="220"/>
        <v>0</v>
      </c>
      <c r="M4377" s="17" t="str">
        <f t="shared" si="221"/>
        <v/>
      </c>
      <c r="N4377" s="11" t="str">
        <f t="shared" si="222"/>
        <v/>
      </c>
    </row>
    <row r="4378" spans="9:14" x14ac:dyDescent="0.25">
      <c r="I4378" s="11" t="b">
        <f t="shared" si="220"/>
        <v>0</v>
      </c>
      <c r="M4378" s="17" t="str">
        <f t="shared" si="221"/>
        <v/>
      </c>
      <c r="N4378" s="11" t="str">
        <f t="shared" si="222"/>
        <v/>
      </c>
    </row>
    <row r="4379" spans="9:14" x14ac:dyDescent="0.25">
      <c r="I4379" s="11" t="b">
        <f t="shared" si="220"/>
        <v>0</v>
      </c>
      <c r="M4379" s="17" t="str">
        <f t="shared" si="221"/>
        <v/>
      </c>
      <c r="N4379" s="11" t="str">
        <f t="shared" si="222"/>
        <v/>
      </c>
    </row>
    <row r="4380" spans="9:14" x14ac:dyDescent="0.25">
      <c r="I4380" s="11" t="b">
        <f t="shared" si="220"/>
        <v>0</v>
      </c>
      <c r="M4380" s="17" t="str">
        <f t="shared" si="221"/>
        <v/>
      </c>
      <c r="N4380" s="11" t="str">
        <f t="shared" si="222"/>
        <v/>
      </c>
    </row>
    <row r="4381" spans="9:14" x14ac:dyDescent="0.25">
      <c r="I4381" s="11" t="b">
        <f t="shared" ref="I4381:I4444" si="223">IF(AND(G4381="MERCADO PAGO",A4381="FATURAMENTO"),1,IF(AND(OR(G4381="MERCADO PAGO",G4381="pix mercado pago",G4381= "débito automático mercado pago", G4381= "boleto mercado pago"),A4381="DESPESAS"),4,IF(AND(G4381="SAFRA",A4381="FATURAMENTO"),2,IF(AND(OR(G4381="SAFRA",G4381="PIX SAFRA", G4381="DÉBITO AUTOMÁTICO SAFRA", G4381= "BOLETO SAFRA", G4381= "transferência safra"), A4381="DESPESAS"),5,IF(AND(G4381="espécie",A4381="FATURAMENTO"),3,IF(AND(G4381="espécie",A4381="DESPESAS"),6))))))</f>
        <v>0</v>
      </c>
      <c r="M4381" s="17" t="str">
        <f t="shared" si="221"/>
        <v/>
      </c>
      <c r="N4381" s="11" t="str">
        <f t="shared" si="222"/>
        <v/>
      </c>
    </row>
    <row r="4382" spans="9:14" x14ac:dyDescent="0.25">
      <c r="I4382" s="11" t="b">
        <f t="shared" si="223"/>
        <v>0</v>
      </c>
      <c r="M4382" s="17" t="str">
        <f t="shared" si="221"/>
        <v/>
      </c>
      <c r="N4382" s="11" t="str">
        <f t="shared" si="222"/>
        <v/>
      </c>
    </row>
    <row r="4383" spans="9:14" x14ac:dyDescent="0.25">
      <c r="I4383" s="11" t="b">
        <f t="shared" si="223"/>
        <v>0</v>
      </c>
      <c r="M4383" s="17" t="str">
        <f t="shared" si="221"/>
        <v/>
      </c>
      <c r="N4383" s="11" t="str">
        <f t="shared" si="222"/>
        <v/>
      </c>
    </row>
    <row r="4384" spans="9:14" x14ac:dyDescent="0.25">
      <c r="I4384" s="11" t="b">
        <f t="shared" si="223"/>
        <v>0</v>
      </c>
      <c r="M4384" s="17" t="str">
        <f t="shared" si="221"/>
        <v/>
      </c>
      <c r="N4384" s="11" t="str">
        <f t="shared" si="222"/>
        <v/>
      </c>
    </row>
    <row r="4385" spans="9:14" x14ac:dyDescent="0.25">
      <c r="I4385" s="11" t="b">
        <f t="shared" si="223"/>
        <v>0</v>
      </c>
      <c r="M4385" s="17" t="str">
        <f t="shared" si="221"/>
        <v/>
      </c>
      <c r="N4385" s="11" t="str">
        <f t="shared" si="222"/>
        <v/>
      </c>
    </row>
    <row r="4386" spans="9:14" x14ac:dyDescent="0.25">
      <c r="I4386" s="11" t="b">
        <f t="shared" si="223"/>
        <v>0</v>
      </c>
      <c r="M4386" s="17" t="str">
        <f t="shared" si="221"/>
        <v/>
      </c>
      <c r="N4386" s="11" t="str">
        <f t="shared" si="222"/>
        <v/>
      </c>
    </row>
    <row r="4387" spans="9:14" x14ac:dyDescent="0.25">
      <c r="I4387" s="11" t="b">
        <f t="shared" si="223"/>
        <v>0</v>
      </c>
      <c r="M4387" s="17" t="str">
        <f t="shared" si="221"/>
        <v/>
      </c>
      <c r="N4387" s="11" t="str">
        <f t="shared" si="222"/>
        <v/>
      </c>
    </row>
    <row r="4388" spans="9:14" x14ac:dyDescent="0.25">
      <c r="I4388" s="11" t="b">
        <f t="shared" si="223"/>
        <v>0</v>
      </c>
      <c r="M4388" s="17" t="str">
        <f t="shared" si="221"/>
        <v/>
      </c>
      <c r="N4388" s="11" t="str">
        <f t="shared" si="222"/>
        <v/>
      </c>
    </row>
    <row r="4389" spans="9:14" x14ac:dyDescent="0.25">
      <c r="I4389" s="11" t="b">
        <f t="shared" si="223"/>
        <v>0</v>
      </c>
      <c r="M4389" s="17" t="str">
        <f t="shared" si="221"/>
        <v/>
      </c>
      <c r="N4389" s="11" t="str">
        <f t="shared" si="222"/>
        <v/>
      </c>
    </row>
    <row r="4390" spans="9:14" x14ac:dyDescent="0.25">
      <c r="I4390" s="11" t="b">
        <f t="shared" si="223"/>
        <v>0</v>
      </c>
      <c r="M4390" s="17" t="str">
        <f t="shared" si="221"/>
        <v/>
      </c>
      <c r="N4390" s="11" t="str">
        <f t="shared" si="222"/>
        <v/>
      </c>
    </row>
    <row r="4391" spans="9:14" x14ac:dyDescent="0.25">
      <c r="I4391" s="11" t="b">
        <f t="shared" si="223"/>
        <v>0</v>
      </c>
      <c r="M4391" s="17" t="str">
        <f t="shared" si="221"/>
        <v/>
      </c>
      <c r="N4391" s="11" t="str">
        <f t="shared" si="222"/>
        <v/>
      </c>
    </row>
    <row r="4392" spans="9:14" x14ac:dyDescent="0.25">
      <c r="I4392" s="11" t="b">
        <f t="shared" si="223"/>
        <v>0</v>
      </c>
      <c r="M4392" s="17" t="str">
        <f t="shared" si="221"/>
        <v/>
      </c>
      <c r="N4392" s="11" t="str">
        <f t="shared" si="222"/>
        <v/>
      </c>
    </row>
    <row r="4393" spans="9:14" x14ac:dyDescent="0.25">
      <c r="I4393" s="11" t="b">
        <f t="shared" si="223"/>
        <v>0</v>
      </c>
      <c r="M4393" s="17" t="str">
        <f t="shared" si="221"/>
        <v/>
      </c>
      <c r="N4393" s="11" t="str">
        <f t="shared" si="222"/>
        <v/>
      </c>
    </row>
    <row r="4394" spans="9:14" x14ac:dyDescent="0.25">
      <c r="I4394" s="11" t="b">
        <f t="shared" si="223"/>
        <v>0</v>
      </c>
      <c r="M4394" s="17" t="str">
        <f t="shared" si="221"/>
        <v/>
      </c>
      <c r="N4394" s="11" t="str">
        <f t="shared" si="222"/>
        <v/>
      </c>
    </row>
    <row r="4395" spans="9:14" x14ac:dyDescent="0.25">
      <c r="I4395" s="11" t="b">
        <f t="shared" si="223"/>
        <v>0</v>
      </c>
      <c r="M4395" s="17" t="str">
        <f t="shared" si="221"/>
        <v/>
      </c>
      <c r="N4395" s="11" t="str">
        <f t="shared" si="222"/>
        <v/>
      </c>
    </row>
    <row r="4396" spans="9:14" x14ac:dyDescent="0.25">
      <c r="I4396" s="11" t="b">
        <f t="shared" si="223"/>
        <v>0</v>
      </c>
      <c r="M4396" s="17" t="str">
        <f t="shared" si="221"/>
        <v/>
      </c>
      <c r="N4396" s="11" t="str">
        <f t="shared" si="222"/>
        <v/>
      </c>
    </row>
    <row r="4397" spans="9:14" x14ac:dyDescent="0.25">
      <c r="I4397" s="11" t="b">
        <f t="shared" si="223"/>
        <v>0</v>
      </c>
      <c r="M4397" s="17" t="str">
        <f t="shared" si="221"/>
        <v/>
      </c>
      <c r="N4397" s="11" t="str">
        <f t="shared" si="222"/>
        <v/>
      </c>
    </row>
    <row r="4398" spans="9:14" x14ac:dyDescent="0.25">
      <c r="I4398" s="11" t="b">
        <f t="shared" si="223"/>
        <v>0</v>
      </c>
      <c r="M4398" s="17" t="str">
        <f t="shared" si="221"/>
        <v/>
      </c>
      <c r="N4398" s="11" t="str">
        <f t="shared" si="222"/>
        <v/>
      </c>
    </row>
    <row r="4399" spans="9:14" x14ac:dyDescent="0.25">
      <c r="I4399" s="11" t="b">
        <f t="shared" si="223"/>
        <v>0</v>
      </c>
      <c r="M4399" s="17" t="str">
        <f t="shared" si="221"/>
        <v/>
      </c>
      <c r="N4399" s="11" t="str">
        <f t="shared" si="222"/>
        <v/>
      </c>
    </row>
    <row r="4400" spans="9:14" x14ac:dyDescent="0.25">
      <c r="I4400" s="11" t="b">
        <f t="shared" si="223"/>
        <v>0</v>
      </c>
      <c r="M4400" s="17" t="str">
        <f t="shared" si="221"/>
        <v/>
      </c>
      <c r="N4400" s="11" t="str">
        <f t="shared" si="222"/>
        <v/>
      </c>
    </row>
    <row r="4401" spans="9:14" x14ac:dyDescent="0.25">
      <c r="I4401" s="11" t="b">
        <f t="shared" si="223"/>
        <v>0</v>
      </c>
      <c r="M4401" s="17" t="str">
        <f t="shared" si="221"/>
        <v/>
      </c>
      <c r="N4401" s="11" t="str">
        <f t="shared" si="222"/>
        <v/>
      </c>
    </row>
    <row r="4402" spans="9:14" x14ac:dyDescent="0.25">
      <c r="I4402" s="11" t="b">
        <f t="shared" si="223"/>
        <v>0</v>
      </c>
      <c r="M4402" s="17" t="str">
        <f t="shared" si="221"/>
        <v/>
      </c>
      <c r="N4402" s="11" t="str">
        <f t="shared" si="222"/>
        <v/>
      </c>
    </row>
    <row r="4403" spans="9:14" x14ac:dyDescent="0.25">
      <c r="I4403" s="11" t="b">
        <f t="shared" si="223"/>
        <v>0</v>
      </c>
      <c r="M4403" s="17" t="str">
        <f t="shared" si="221"/>
        <v/>
      </c>
      <c r="N4403" s="11" t="str">
        <f t="shared" si="222"/>
        <v/>
      </c>
    </row>
    <row r="4404" spans="9:14" x14ac:dyDescent="0.25">
      <c r="I4404" s="11" t="b">
        <f t="shared" si="223"/>
        <v>0</v>
      </c>
      <c r="M4404" s="17" t="str">
        <f t="shared" si="221"/>
        <v/>
      </c>
      <c r="N4404" s="11" t="str">
        <f t="shared" si="222"/>
        <v/>
      </c>
    </row>
    <row r="4405" spans="9:14" x14ac:dyDescent="0.25">
      <c r="I4405" s="11" t="b">
        <f t="shared" si="223"/>
        <v>0</v>
      </c>
      <c r="M4405" s="17" t="str">
        <f t="shared" si="221"/>
        <v/>
      </c>
      <c r="N4405" s="11" t="str">
        <f t="shared" si="222"/>
        <v/>
      </c>
    </row>
    <row r="4406" spans="9:14" x14ac:dyDescent="0.25">
      <c r="I4406" s="11" t="b">
        <f t="shared" si="223"/>
        <v>0</v>
      </c>
      <c r="M4406" s="17" t="str">
        <f t="shared" si="221"/>
        <v/>
      </c>
      <c r="N4406" s="11" t="str">
        <f t="shared" si="222"/>
        <v/>
      </c>
    </row>
    <row r="4407" spans="9:14" x14ac:dyDescent="0.25">
      <c r="I4407" s="11" t="b">
        <f t="shared" si="223"/>
        <v>0</v>
      </c>
      <c r="M4407" s="17" t="str">
        <f t="shared" si="221"/>
        <v/>
      </c>
      <c r="N4407" s="11" t="str">
        <f t="shared" si="222"/>
        <v/>
      </c>
    </row>
    <row r="4408" spans="9:14" x14ac:dyDescent="0.25">
      <c r="I4408" s="11" t="b">
        <f t="shared" si="223"/>
        <v>0</v>
      </c>
      <c r="M4408" s="17" t="str">
        <f t="shared" si="221"/>
        <v/>
      </c>
      <c r="N4408" s="11" t="str">
        <f t="shared" si="222"/>
        <v/>
      </c>
    </row>
    <row r="4409" spans="9:14" x14ac:dyDescent="0.25">
      <c r="I4409" s="11" t="b">
        <f t="shared" si="223"/>
        <v>0</v>
      </c>
      <c r="M4409" s="17" t="str">
        <f t="shared" si="221"/>
        <v/>
      </c>
      <c r="N4409" s="11" t="str">
        <f t="shared" si="222"/>
        <v/>
      </c>
    </row>
    <row r="4410" spans="9:14" x14ac:dyDescent="0.25">
      <c r="I4410" s="11" t="b">
        <f t="shared" si="223"/>
        <v>0</v>
      </c>
      <c r="M4410" s="17" t="str">
        <f t="shared" si="221"/>
        <v/>
      </c>
      <c r="N4410" s="11" t="str">
        <f t="shared" si="222"/>
        <v/>
      </c>
    </row>
    <row r="4411" spans="9:14" x14ac:dyDescent="0.25">
      <c r="I4411" s="11" t="b">
        <f t="shared" si="223"/>
        <v>0</v>
      </c>
      <c r="M4411" s="17" t="str">
        <f t="shared" si="221"/>
        <v/>
      </c>
      <c r="N4411" s="11" t="str">
        <f t="shared" si="222"/>
        <v/>
      </c>
    </row>
    <row r="4412" spans="9:14" x14ac:dyDescent="0.25">
      <c r="I4412" s="11" t="b">
        <f t="shared" si="223"/>
        <v>0</v>
      </c>
      <c r="M4412" s="17" t="str">
        <f t="shared" si="221"/>
        <v/>
      </c>
      <c r="N4412" s="11" t="str">
        <f t="shared" si="222"/>
        <v/>
      </c>
    </row>
    <row r="4413" spans="9:14" x14ac:dyDescent="0.25">
      <c r="I4413" s="11" t="b">
        <f t="shared" si="223"/>
        <v>0</v>
      </c>
      <c r="M4413" s="17" t="str">
        <f t="shared" si="221"/>
        <v/>
      </c>
      <c r="N4413" s="11" t="str">
        <f t="shared" si="222"/>
        <v/>
      </c>
    </row>
    <row r="4414" spans="9:14" x14ac:dyDescent="0.25">
      <c r="I4414" s="11" t="b">
        <f t="shared" si="223"/>
        <v>0</v>
      </c>
      <c r="M4414" s="17" t="str">
        <f t="shared" si="221"/>
        <v/>
      </c>
      <c r="N4414" s="11" t="str">
        <f t="shared" si="222"/>
        <v/>
      </c>
    </row>
    <row r="4415" spans="9:14" x14ac:dyDescent="0.25">
      <c r="I4415" s="11" t="b">
        <f t="shared" si="223"/>
        <v>0</v>
      </c>
      <c r="M4415" s="17" t="str">
        <f t="shared" si="221"/>
        <v/>
      </c>
      <c r="N4415" s="11" t="str">
        <f t="shared" si="222"/>
        <v/>
      </c>
    </row>
    <row r="4416" spans="9:14" x14ac:dyDescent="0.25">
      <c r="I4416" s="11" t="b">
        <f t="shared" si="223"/>
        <v>0</v>
      </c>
      <c r="M4416" s="17" t="str">
        <f t="shared" si="221"/>
        <v/>
      </c>
      <c r="N4416" s="11" t="str">
        <f t="shared" si="222"/>
        <v/>
      </c>
    </row>
    <row r="4417" spans="9:14" x14ac:dyDescent="0.25">
      <c r="I4417" s="11" t="b">
        <f t="shared" si="223"/>
        <v>0</v>
      </c>
      <c r="M4417" s="17" t="str">
        <f t="shared" ref="M4417:M4480" si="224">IF(B4417=0, "",M4416+ J4417-K4417)</f>
        <v/>
      </c>
      <c r="N4417" s="11" t="str">
        <f t="shared" ref="N4417:N4480" si="225">IF(B4417=0, "", MONTH(B4417))</f>
        <v/>
      </c>
    </row>
    <row r="4418" spans="9:14" x14ac:dyDescent="0.25">
      <c r="I4418" s="11" t="b">
        <f t="shared" si="223"/>
        <v>0</v>
      </c>
      <c r="M4418" s="17" t="str">
        <f t="shared" si="224"/>
        <v/>
      </c>
      <c r="N4418" s="11" t="str">
        <f t="shared" si="225"/>
        <v/>
      </c>
    </row>
    <row r="4419" spans="9:14" x14ac:dyDescent="0.25">
      <c r="I4419" s="11" t="b">
        <f t="shared" si="223"/>
        <v>0</v>
      </c>
      <c r="M4419" s="17" t="str">
        <f t="shared" si="224"/>
        <v/>
      </c>
      <c r="N4419" s="11" t="str">
        <f t="shared" si="225"/>
        <v/>
      </c>
    </row>
    <row r="4420" spans="9:14" x14ac:dyDescent="0.25">
      <c r="I4420" s="11" t="b">
        <f t="shared" si="223"/>
        <v>0</v>
      </c>
      <c r="M4420" s="17" t="str">
        <f t="shared" si="224"/>
        <v/>
      </c>
      <c r="N4420" s="11" t="str">
        <f t="shared" si="225"/>
        <v/>
      </c>
    </row>
    <row r="4421" spans="9:14" x14ac:dyDescent="0.25">
      <c r="I4421" s="11" t="b">
        <f t="shared" si="223"/>
        <v>0</v>
      </c>
      <c r="M4421" s="17" t="str">
        <f t="shared" si="224"/>
        <v/>
      </c>
      <c r="N4421" s="11" t="str">
        <f t="shared" si="225"/>
        <v/>
      </c>
    </row>
    <row r="4422" spans="9:14" x14ac:dyDescent="0.25">
      <c r="I4422" s="11" t="b">
        <f t="shared" si="223"/>
        <v>0</v>
      </c>
      <c r="M4422" s="17" t="str">
        <f t="shared" si="224"/>
        <v/>
      </c>
      <c r="N4422" s="11" t="str">
        <f t="shared" si="225"/>
        <v/>
      </c>
    </row>
    <row r="4423" spans="9:14" x14ac:dyDescent="0.25">
      <c r="I4423" s="11" t="b">
        <f t="shared" si="223"/>
        <v>0</v>
      </c>
      <c r="M4423" s="17" t="str">
        <f t="shared" si="224"/>
        <v/>
      </c>
      <c r="N4423" s="11" t="str">
        <f t="shared" si="225"/>
        <v/>
      </c>
    </row>
    <row r="4424" spans="9:14" x14ac:dyDescent="0.25">
      <c r="I4424" s="11" t="b">
        <f t="shared" si="223"/>
        <v>0</v>
      </c>
      <c r="M4424" s="17" t="str">
        <f t="shared" si="224"/>
        <v/>
      </c>
      <c r="N4424" s="11" t="str">
        <f t="shared" si="225"/>
        <v/>
      </c>
    </row>
    <row r="4425" spans="9:14" x14ac:dyDescent="0.25">
      <c r="I4425" s="11" t="b">
        <f t="shared" si="223"/>
        <v>0</v>
      </c>
      <c r="M4425" s="17" t="str">
        <f t="shared" si="224"/>
        <v/>
      </c>
      <c r="N4425" s="11" t="str">
        <f t="shared" si="225"/>
        <v/>
      </c>
    </row>
    <row r="4426" spans="9:14" x14ac:dyDescent="0.25">
      <c r="I4426" s="11" t="b">
        <f t="shared" si="223"/>
        <v>0</v>
      </c>
      <c r="M4426" s="17" t="str">
        <f t="shared" si="224"/>
        <v/>
      </c>
      <c r="N4426" s="11" t="str">
        <f t="shared" si="225"/>
        <v/>
      </c>
    </row>
    <row r="4427" spans="9:14" x14ac:dyDescent="0.25">
      <c r="I4427" s="11" t="b">
        <f t="shared" si="223"/>
        <v>0</v>
      </c>
      <c r="M4427" s="17" t="str">
        <f t="shared" si="224"/>
        <v/>
      </c>
      <c r="N4427" s="11" t="str">
        <f t="shared" si="225"/>
        <v/>
      </c>
    </row>
    <row r="4428" spans="9:14" x14ac:dyDescent="0.25">
      <c r="I4428" s="11" t="b">
        <f t="shared" si="223"/>
        <v>0</v>
      </c>
      <c r="M4428" s="17" t="str">
        <f t="shared" si="224"/>
        <v/>
      </c>
      <c r="N4428" s="11" t="str">
        <f t="shared" si="225"/>
        <v/>
      </c>
    </row>
    <row r="4429" spans="9:14" x14ac:dyDescent="0.25">
      <c r="I4429" s="11" t="b">
        <f t="shared" si="223"/>
        <v>0</v>
      </c>
      <c r="M4429" s="17" t="str">
        <f t="shared" si="224"/>
        <v/>
      </c>
      <c r="N4429" s="11" t="str">
        <f t="shared" si="225"/>
        <v/>
      </c>
    </row>
    <row r="4430" spans="9:14" x14ac:dyDescent="0.25">
      <c r="I4430" s="11" t="b">
        <f t="shared" si="223"/>
        <v>0</v>
      </c>
      <c r="M4430" s="17" t="str">
        <f t="shared" si="224"/>
        <v/>
      </c>
      <c r="N4430" s="11" t="str">
        <f t="shared" si="225"/>
        <v/>
      </c>
    </row>
    <row r="4431" spans="9:14" x14ac:dyDescent="0.25">
      <c r="I4431" s="11" t="b">
        <f t="shared" si="223"/>
        <v>0</v>
      </c>
      <c r="M4431" s="17" t="str">
        <f t="shared" si="224"/>
        <v/>
      </c>
      <c r="N4431" s="11" t="str">
        <f t="shared" si="225"/>
        <v/>
      </c>
    </row>
    <row r="4432" spans="9:14" x14ac:dyDescent="0.25">
      <c r="I4432" s="11" t="b">
        <f t="shared" si="223"/>
        <v>0</v>
      </c>
      <c r="M4432" s="17" t="str">
        <f t="shared" si="224"/>
        <v/>
      </c>
      <c r="N4432" s="11" t="str">
        <f t="shared" si="225"/>
        <v/>
      </c>
    </row>
    <row r="4433" spans="9:14" x14ac:dyDescent="0.25">
      <c r="I4433" s="11" t="b">
        <f t="shared" si="223"/>
        <v>0</v>
      </c>
      <c r="M4433" s="17" t="str">
        <f t="shared" si="224"/>
        <v/>
      </c>
      <c r="N4433" s="11" t="str">
        <f t="shared" si="225"/>
        <v/>
      </c>
    </row>
    <row r="4434" spans="9:14" x14ac:dyDescent="0.25">
      <c r="I4434" s="11" t="b">
        <f t="shared" si="223"/>
        <v>0</v>
      </c>
      <c r="M4434" s="17" t="str">
        <f t="shared" si="224"/>
        <v/>
      </c>
      <c r="N4434" s="11" t="str">
        <f t="shared" si="225"/>
        <v/>
      </c>
    </row>
    <row r="4435" spans="9:14" x14ac:dyDescent="0.25">
      <c r="I4435" s="11" t="b">
        <f t="shared" si="223"/>
        <v>0</v>
      </c>
      <c r="M4435" s="17" t="str">
        <f t="shared" si="224"/>
        <v/>
      </c>
      <c r="N4435" s="11" t="str">
        <f t="shared" si="225"/>
        <v/>
      </c>
    </row>
    <row r="4436" spans="9:14" x14ac:dyDescent="0.25">
      <c r="I4436" s="11" t="b">
        <f t="shared" si="223"/>
        <v>0</v>
      </c>
      <c r="M4436" s="17" t="str">
        <f t="shared" si="224"/>
        <v/>
      </c>
      <c r="N4436" s="11" t="str">
        <f t="shared" si="225"/>
        <v/>
      </c>
    </row>
    <row r="4437" spans="9:14" x14ac:dyDescent="0.25">
      <c r="I4437" s="11" t="b">
        <f t="shared" si="223"/>
        <v>0</v>
      </c>
      <c r="M4437" s="17" t="str">
        <f t="shared" si="224"/>
        <v/>
      </c>
      <c r="N4437" s="11" t="str">
        <f t="shared" si="225"/>
        <v/>
      </c>
    </row>
    <row r="4438" spans="9:14" x14ac:dyDescent="0.25">
      <c r="I4438" s="11" t="b">
        <f t="shared" si="223"/>
        <v>0</v>
      </c>
      <c r="M4438" s="17" t="str">
        <f t="shared" si="224"/>
        <v/>
      </c>
      <c r="N4438" s="11" t="str">
        <f t="shared" si="225"/>
        <v/>
      </c>
    </row>
    <row r="4439" spans="9:14" x14ac:dyDescent="0.25">
      <c r="I4439" s="11" t="b">
        <f t="shared" si="223"/>
        <v>0</v>
      </c>
      <c r="M4439" s="17" t="str">
        <f t="shared" si="224"/>
        <v/>
      </c>
      <c r="N4439" s="11" t="str">
        <f t="shared" si="225"/>
        <v/>
      </c>
    </row>
    <row r="4440" spans="9:14" x14ac:dyDescent="0.25">
      <c r="I4440" s="11" t="b">
        <f t="shared" si="223"/>
        <v>0</v>
      </c>
      <c r="M4440" s="17" t="str">
        <f t="shared" si="224"/>
        <v/>
      </c>
      <c r="N4440" s="11" t="str">
        <f t="shared" si="225"/>
        <v/>
      </c>
    </row>
    <row r="4441" spans="9:14" x14ac:dyDescent="0.25">
      <c r="I4441" s="11" t="b">
        <f t="shared" si="223"/>
        <v>0</v>
      </c>
      <c r="M4441" s="17" t="str">
        <f t="shared" si="224"/>
        <v/>
      </c>
      <c r="N4441" s="11" t="str">
        <f t="shared" si="225"/>
        <v/>
      </c>
    </row>
    <row r="4442" spans="9:14" x14ac:dyDescent="0.25">
      <c r="I4442" s="11" t="b">
        <f t="shared" si="223"/>
        <v>0</v>
      </c>
      <c r="M4442" s="17" t="str">
        <f t="shared" si="224"/>
        <v/>
      </c>
      <c r="N4442" s="11" t="str">
        <f t="shared" si="225"/>
        <v/>
      </c>
    </row>
    <row r="4443" spans="9:14" x14ac:dyDescent="0.25">
      <c r="I4443" s="11" t="b">
        <f t="shared" si="223"/>
        <v>0</v>
      </c>
      <c r="M4443" s="17" t="str">
        <f t="shared" si="224"/>
        <v/>
      </c>
      <c r="N4443" s="11" t="str">
        <f t="shared" si="225"/>
        <v/>
      </c>
    </row>
    <row r="4444" spans="9:14" x14ac:dyDescent="0.25">
      <c r="I4444" s="11" t="b">
        <f t="shared" si="223"/>
        <v>0</v>
      </c>
      <c r="M4444" s="17" t="str">
        <f t="shared" si="224"/>
        <v/>
      </c>
      <c r="N4444" s="11" t="str">
        <f t="shared" si="225"/>
        <v/>
      </c>
    </row>
    <row r="4445" spans="9:14" x14ac:dyDescent="0.25">
      <c r="I4445" s="11" t="b">
        <f t="shared" ref="I4445:I4508" si="226">IF(AND(G4445="MERCADO PAGO",A4445="FATURAMENTO"),1,IF(AND(OR(G4445="MERCADO PAGO",G4445="pix mercado pago",G4445= "débito automático mercado pago", G4445= "boleto mercado pago"),A4445="DESPESAS"),4,IF(AND(G4445="SAFRA",A4445="FATURAMENTO"),2,IF(AND(OR(G4445="SAFRA",G4445="PIX SAFRA", G4445="DÉBITO AUTOMÁTICO SAFRA", G4445= "BOLETO SAFRA", G4445= "transferência safra"), A4445="DESPESAS"),5,IF(AND(G4445="espécie",A4445="FATURAMENTO"),3,IF(AND(G4445="espécie",A4445="DESPESAS"),6))))))</f>
        <v>0</v>
      </c>
      <c r="M4445" s="17" t="str">
        <f t="shared" si="224"/>
        <v/>
      </c>
      <c r="N4445" s="11" t="str">
        <f t="shared" si="225"/>
        <v/>
      </c>
    </row>
    <row r="4446" spans="9:14" x14ac:dyDescent="0.25">
      <c r="I4446" s="11" t="b">
        <f t="shared" si="226"/>
        <v>0</v>
      </c>
      <c r="M4446" s="17" t="str">
        <f t="shared" si="224"/>
        <v/>
      </c>
      <c r="N4446" s="11" t="str">
        <f t="shared" si="225"/>
        <v/>
      </c>
    </row>
    <row r="4447" spans="9:14" x14ac:dyDescent="0.25">
      <c r="I4447" s="11" t="b">
        <f t="shared" si="226"/>
        <v>0</v>
      </c>
      <c r="M4447" s="17" t="str">
        <f t="shared" si="224"/>
        <v/>
      </c>
      <c r="N4447" s="11" t="str">
        <f t="shared" si="225"/>
        <v/>
      </c>
    </row>
    <row r="4448" spans="9:14" x14ac:dyDescent="0.25">
      <c r="I4448" s="11" t="b">
        <f t="shared" si="226"/>
        <v>0</v>
      </c>
      <c r="M4448" s="17" t="str">
        <f t="shared" si="224"/>
        <v/>
      </c>
      <c r="N4448" s="11" t="str">
        <f t="shared" si="225"/>
        <v/>
      </c>
    </row>
    <row r="4449" spans="9:14" x14ac:dyDescent="0.25">
      <c r="I4449" s="11" t="b">
        <f t="shared" si="226"/>
        <v>0</v>
      </c>
      <c r="M4449" s="17" t="str">
        <f t="shared" si="224"/>
        <v/>
      </c>
      <c r="N4449" s="11" t="str">
        <f t="shared" si="225"/>
        <v/>
      </c>
    </row>
    <row r="4450" spans="9:14" x14ac:dyDescent="0.25">
      <c r="I4450" s="11" t="b">
        <f t="shared" si="226"/>
        <v>0</v>
      </c>
      <c r="M4450" s="17" t="str">
        <f t="shared" si="224"/>
        <v/>
      </c>
      <c r="N4450" s="11" t="str">
        <f t="shared" si="225"/>
        <v/>
      </c>
    </row>
    <row r="4451" spans="9:14" x14ac:dyDescent="0.25">
      <c r="I4451" s="11" t="b">
        <f t="shared" si="226"/>
        <v>0</v>
      </c>
      <c r="M4451" s="17" t="str">
        <f t="shared" si="224"/>
        <v/>
      </c>
      <c r="N4451" s="11" t="str">
        <f t="shared" si="225"/>
        <v/>
      </c>
    </row>
    <row r="4452" spans="9:14" x14ac:dyDescent="0.25">
      <c r="I4452" s="11" t="b">
        <f t="shared" si="226"/>
        <v>0</v>
      </c>
      <c r="M4452" s="17" t="str">
        <f t="shared" si="224"/>
        <v/>
      </c>
      <c r="N4452" s="11" t="str">
        <f t="shared" si="225"/>
        <v/>
      </c>
    </row>
    <row r="4453" spans="9:14" x14ac:dyDescent="0.25">
      <c r="I4453" s="11" t="b">
        <f t="shared" si="226"/>
        <v>0</v>
      </c>
      <c r="M4453" s="17" t="str">
        <f t="shared" si="224"/>
        <v/>
      </c>
      <c r="N4453" s="11" t="str">
        <f t="shared" si="225"/>
        <v/>
      </c>
    </row>
    <row r="4454" spans="9:14" x14ac:dyDescent="0.25">
      <c r="I4454" s="11" t="b">
        <f t="shared" si="226"/>
        <v>0</v>
      </c>
      <c r="M4454" s="17" t="str">
        <f t="shared" si="224"/>
        <v/>
      </c>
      <c r="N4454" s="11" t="str">
        <f t="shared" si="225"/>
        <v/>
      </c>
    </row>
    <row r="4455" spans="9:14" x14ac:dyDescent="0.25">
      <c r="I4455" s="11" t="b">
        <f t="shared" si="226"/>
        <v>0</v>
      </c>
      <c r="M4455" s="17" t="str">
        <f t="shared" si="224"/>
        <v/>
      </c>
      <c r="N4455" s="11" t="str">
        <f t="shared" si="225"/>
        <v/>
      </c>
    </row>
    <row r="4456" spans="9:14" x14ac:dyDescent="0.25">
      <c r="I4456" s="11" t="b">
        <f t="shared" si="226"/>
        <v>0</v>
      </c>
      <c r="M4456" s="17" t="str">
        <f t="shared" si="224"/>
        <v/>
      </c>
      <c r="N4456" s="11" t="str">
        <f t="shared" si="225"/>
        <v/>
      </c>
    </row>
    <row r="4457" spans="9:14" x14ac:dyDescent="0.25">
      <c r="I4457" s="11" t="b">
        <f t="shared" si="226"/>
        <v>0</v>
      </c>
      <c r="M4457" s="17" t="str">
        <f t="shared" si="224"/>
        <v/>
      </c>
      <c r="N4457" s="11" t="str">
        <f t="shared" si="225"/>
        <v/>
      </c>
    </row>
    <row r="4458" spans="9:14" x14ac:dyDescent="0.25">
      <c r="I4458" s="11" t="b">
        <f t="shared" si="226"/>
        <v>0</v>
      </c>
      <c r="M4458" s="17" t="str">
        <f t="shared" si="224"/>
        <v/>
      </c>
      <c r="N4458" s="11" t="str">
        <f t="shared" si="225"/>
        <v/>
      </c>
    </row>
    <row r="4459" spans="9:14" x14ac:dyDescent="0.25">
      <c r="I4459" s="11" t="b">
        <f t="shared" si="226"/>
        <v>0</v>
      </c>
      <c r="M4459" s="17" t="str">
        <f t="shared" si="224"/>
        <v/>
      </c>
      <c r="N4459" s="11" t="str">
        <f t="shared" si="225"/>
        <v/>
      </c>
    </row>
    <row r="4460" spans="9:14" x14ac:dyDescent="0.25">
      <c r="I4460" s="11" t="b">
        <f t="shared" si="226"/>
        <v>0</v>
      </c>
      <c r="M4460" s="17" t="str">
        <f t="shared" si="224"/>
        <v/>
      </c>
      <c r="N4460" s="11" t="str">
        <f t="shared" si="225"/>
        <v/>
      </c>
    </row>
    <row r="4461" spans="9:14" x14ac:dyDescent="0.25">
      <c r="I4461" s="11" t="b">
        <f t="shared" si="226"/>
        <v>0</v>
      </c>
      <c r="M4461" s="17" t="str">
        <f t="shared" si="224"/>
        <v/>
      </c>
      <c r="N4461" s="11" t="str">
        <f t="shared" si="225"/>
        <v/>
      </c>
    </row>
    <row r="4462" spans="9:14" x14ac:dyDescent="0.25">
      <c r="I4462" s="11" t="b">
        <f t="shared" si="226"/>
        <v>0</v>
      </c>
      <c r="M4462" s="17" t="str">
        <f t="shared" si="224"/>
        <v/>
      </c>
      <c r="N4462" s="11" t="str">
        <f t="shared" si="225"/>
        <v/>
      </c>
    </row>
    <row r="4463" spans="9:14" x14ac:dyDescent="0.25">
      <c r="I4463" s="11" t="b">
        <f t="shared" si="226"/>
        <v>0</v>
      </c>
      <c r="M4463" s="17" t="str">
        <f t="shared" si="224"/>
        <v/>
      </c>
      <c r="N4463" s="11" t="str">
        <f t="shared" si="225"/>
        <v/>
      </c>
    </row>
    <row r="4464" spans="9:14" x14ac:dyDescent="0.25">
      <c r="I4464" s="11" t="b">
        <f t="shared" si="226"/>
        <v>0</v>
      </c>
      <c r="M4464" s="17" t="str">
        <f t="shared" si="224"/>
        <v/>
      </c>
      <c r="N4464" s="11" t="str">
        <f t="shared" si="225"/>
        <v/>
      </c>
    </row>
    <row r="4465" spans="9:14" x14ac:dyDescent="0.25">
      <c r="I4465" s="11" t="b">
        <f t="shared" si="226"/>
        <v>0</v>
      </c>
      <c r="M4465" s="17" t="str">
        <f t="shared" si="224"/>
        <v/>
      </c>
      <c r="N4465" s="11" t="str">
        <f t="shared" si="225"/>
        <v/>
      </c>
    </row>
    <row r="4466" spans="9:14" x14ac:dyDescent="0.25">
      <c r="I4466" s="11" t="b">
        <f t="shared" si="226"/>
        <v>0</v>
      </c>
      <c r="M4466" s="17" t="str">
        <f t="shared" si="224"/>
        <v/>
      </c>
      <c r="N4466" s="11" t="str">
        <f t="shared" si="225"/>
        <v/>
      </c>
    </row>
    <row r="4467" spans="9:14" x14ac:dyDescent="0.25">
      <c r="I4467" s="11" t="b">
        <f t="shared" si="226"/>
        <v>0</v>
      </c>
      <c r="M4467" s="17" t="str">
        <f t="shared" si="224"/>
        <v/>
      </c>
      <c r="N4467" s="11" t="str">
        <f t="shared" si="225"/>
        <v/>
      </c>
    </row>
    <row r="4468" spans="9:14" x14ac:dyDescent="0.25">
      <c r="I4468" s="11" t="b">
        <f t="shared" si="226"/>
        <v>0</v>
      </c>
      <c r="M4468" s="17" t="str">
        <f t="shared" si="224"/>
        <v/>
      </c>
      <c r="N4468" s="11" t="str">
        <f t="shared" si="225"/>
        <v/>
      </c>
    </row>
    <row r="4469" spans="9:14" x14ac:dyDescent="0.25">
      <c r="I4469" s="11" t="b">
        <f t="shared" si="226"/>
        <v>0</v>
      </c>
      <c r="M4469" s="17" t="str">
        <f t="shared" si="224"/>
        <v/>
      </c>
      <c r="N4469" s="11" t="str">
        <f t="shared" si="225"/>
        <v/>
      </c>
    </row>
    <row r="4470" spans="9:14" x14ac:dyDescent="0.25">
      <c r="I4470" s="11" t="b">
        <f t="shared" si="226"/>
        <v>0</v>
      </c>
      <c r="M4470" s="17" t="str">
        <f t="shared" si="224"/>
        <v/>
      </c>
      <c r="N4470" s="11" t="str">
        <f t="shared" si="225"/>
        <v/>
      </c>
    </row>
    <row r="4471" spans="9:14" x14ac:dyDescent="0.25">
      <c r="I4471" s="11" t="b">
        <f t="shared" si="226"/>
        <v>0</v>
      </c>
      <c r="M4471" s="17" t="str">
        <f t="shared" si="224"/>
        <v/>
      </c>
      <c r="N4471" s="11" t="str">
        <f t="shared" si="225"/>
        <v/>
      </c>
    </row>
    <row r="4472" spans="9:14" x14ac:dyDescent="0.25">
      <c r="I4472" s="11" t="b">
        <f t="shared" si="226"/>
        <v>0</v>
      </c>
      <c r="M4472" s="17" t="str">
        <f t="shared" si="224"/>
        <v/>
      </c>
      <c r="N4472" s="11" t="str">
        <f t="shared" si="225"/>
        <v/>
      </c>
    </row>
    <row r="4473" spans="9:14" x14ac:dyDescent="0.25">
      <c r="I4473" s="11" t="b">
        <f t="shared" si="226"/>
        <v>0</v>
      </c>
      <c r="M4473" s="17" t="str">
        <f t="shared" si="224"/>
        <v/>
      </c>
      <c r="N4473" s="11" t="str">
        <f t="shared" si="225"/>
        <v/>
      </c>
    </row>
    <row r="4474" spans="9:14" x14ac:dyDescent="0.25">
      <c r="I4474" s="11" t="b">
        <f t="shared" si="226"/>
        <v>0</v>
      </c>
      <c r="M4474" s="17" t="str">
        <f t="shared" si="224"/>
        <v/>
      </c>
      <c r="N4474" s="11" t="str">
        <f t="shared" si="225"/>
        <v/>
      </c>
    </row>
    <row r="4475" spans="9:14" x14ac:dyDescent="0.25">
      <c r="I4475" s="11" t="b">
        <f t="shared" si="226"/>
        <v>0</v>
      </c>
      <c r="M4475" s="17" t="str">
        <f t="shared" si="224"/>
        <v/>
      </c>
      <c r="N4475" s="11" t="str">
        <f t="shared" si="225"/>
        <v/>
      </c>
    </row>
    <row r="4476" spans="9:14" x14ac:dyDescent="0.25">
      <c r="I4476" s="11" t="b">
        <f t="shared" si="226"/>
        <v>0</v>
      </c>
      <c r="M4476" s="17" t="str">
        <f t="shared" si="224"/>
        <v/>
      </c>
      <c r="N4476" s="11" t="str">
        <f t="shared" si="225"/>
        <v/>
      </c>
    </row>
    <row r="4477" spans="9:14" x14ac:dyDescent="0.25">
      <c r="I4477" s="11" t="b">
        <f t="shared" si="226"/>
        <v>0</v>
      </c>
      <c r="M4477" s="17" t="str">
        <f t="shared" si="224"/>
        <v/>
      </c>
      <c r="N4477" s="11" t="str">
        <f t="shared" si="225"/>
        <v/>
      </c>
    </row>
    <row r="4478" spans="9:14" x14ac:dyDescent="0.25">
      <c r="I4478" s="11" t="b">
        <f t="shared" si="226"/>
        <v>0</v>
      </c>
      <c r="M4478" s="17" t="str">
        <f t="shared" si="224"/>
        <v/>
      </c>
      <c r="N4478" s="11" t="str">
        <f t="shared" si="225"/>
        <v/>
      </c>
    </row>
    <row r="4479" spans="9:14" x14ac:dyDescent="0.25">
      <c r="I4479" s="11" t="b">
        <f t="shared" si="226"/>
        <v>0</v>
      </c>
      <c r="M4479" s="17" t="str">
        <f t="shared" si="224"/>
        <v/>
      </c>
      <c r="N4479" s="11" t="str">
        <f t="shared" si="225"/>
        <v/>
      </c>
    </row>
    <row r="4480" spans="9:14" x14ac:dyDescent="0.25">
      <c r="I4480" s="11" t="b">
        <f t="shared" si="226"/>
        <v>0</v>
      </c>
      <c r="M4480" s="17" t="str">
        <f t="shared" si="224"/>
        <v/>
      </c>
      <c r="N4480" s="11" t="str">
        <f t="shared" si="225"/>
        <v/>
      </c>
    </row>
    <row r="4481" spans="9:14" x14ac:dyDescent="0.25">
      <c r="I4481" s="11" t="b">
        <f t="shared" si="226"/>
        <v>0</v>
      </c>
      <c r="M4481" s="17" t="str">
        <f t="shared" ref="M4481:M4544" si="227">IF(B4481=0, "",M4480+ J4481-K4481)</f>
        <v/>
      </c>
      <c r="N4481" s="11" t="str">
        <f t="shared" ref="N4481:N4544" si="228">IF(B4481=0, "", MONTH(B4481))</f>
        <v/>
      </c>
    </row>
    <row r="4482" spans="9:14" x14ac:dyDescent="0.25">
      <c r="I4482" s="11" t="b">
        <f t="shared" si="226"/>
        <v>0</v>
      </c>
      <c r="M4482" s="17" t="str">
        <f t="shared" si="227"/>
        <v/>
      </c>
      <c r="N4482" s="11" t="str">
        <f t="shared" si="228"/>
        <v/>
      </c>
    </row>
    <row r="4483" spans="9:14" x14ac:dyDescent="0.25">
      <c r="I4483" s="11" t="b">
        <f t="shared" si="226"/>
        <v>0</v>
      </c>
      <c r="M4483" s="17" t="str">
        <f t="shared" si="227"/>
        <v/>
      </c>
      <c r="N4483" s="11" t="str">
        <f t="shared" si="228"/>
        <v/>
      </c>
    </row>
    <row r="4484" spans="9:14" x14ac:dyDescent="0.25">
      <c r="I4484" s="11" t="b">
        <f t="shared" si="226"/>
        <v>0</v>
      </c>
      <c r="M4484" s="17" t="str">
        <f t="shared" si="227"/>
        <v/>
      </c>
      <c r="N4484" s="11" t="str">
        <f t="shared" si="228"/>
        <v/>
      </c>
    </row>
    <row r="4485" spans="9:14" x14ac:dyDescent="0.25">
      <c r="I4485" s="11" t="b">
        <f t="shared" si="226"/>
        <v>0</v>
      </c>
      <c r="M4485" s="17" t="str">
        <f t="shared" si="227"/>
        <v/>
      </c>
      <c r="N4485" s="11" t="str">
        <f t="shared" si="228"/>
        <v/>
      </c>
    </row>
    <row r="4486" spans="9:14" x14ac:dyDescent="0.25">
      <c r="I4486" s="11" t="b">
        <f t="shared" si="226"/>
        <v>0</v>
      </c>
      <c r="M4486" s="17" t="str">
        <f t="shared" si="227"/>
        <v/>
      </c>
      <c r="N4486" s="11" t="str">
        <f t="shared" si="228"/>
        <v/>
      </c>
    </row>
    <row r="4487" spans="9:14" x14ac:dyDescent="0.25">
      <c r="I4487" s="11" t="b">
        <f t="shared" si="226"/>
        <v>0</v>
      </c>
      <c r="M4487" s="17" t="str">
        <f t="shared" si="227"/>
        <v/>
      </c>
      <c r="N4487" s="11" t="str">
        <f t="shared" si="228"/>
        <v/>
      </c>
    </row>
    <row r="4488" spans="9:14" x14ac:dyDescent="0.25">
      <c r="I4488" s="11" t="b">
        <f t="shared" si="226"/>
        <v>0</v>
      </c>
      <c r="M4488" s="17" t="str">
        <f t="shared" si="227"/>
        <v/>
      </c>
      <c r="N4488" s="11" t="str">
        <f t="shared" si="228"/>
        <v/>
      </c>
    </row>
    <row r="4489" spans="9:14" x14ac:dyDescent="0.25">
      <c r="I4489" s="11" t="b">
        <f t="shared" si="226"/>
        <v>0</v>
      </c>
      <c r="M4489" s="17" t="str">
        <f t="shared" si="227"/>
        <v/>
      </c>
      <c r="N4489" s="11" t="str">
        <f t="shared" si="228"/>
        <v/>
      </c>
    </row>
    <row r="4490" spans="9:14" x14ac:dyDescent="0.25">
      <c r="I4490" s="11" t="b">
        <f t="shared" si="226"/>
        <v>0</v>
      </c>
      <c r="M4490" s="17" t="str">
        <f t="shared" si="227"/>
        <v/>
      </c>
      <c r="N4490" s="11" t="str">
        <f t="shared" si="228"/>
        <v/>
      </c>
    </row>
    <row r="4491" spans="9:14" x14ac:dyDescent="0.25">
      <c r="I4491" s="11" t="b">
        <f t="shared" si="226"/>
        <v>0</v>
      </c>
      <c r="M4491" s="17" t="str">
        <f t="shared" si="227"/>
        <v/>
      </c>
      <c r="N4491" s="11" t="str">
        <f t="shared" si="228"/>
        <v/>
      </c>
    </row>
    <row r="4492" spans="9:14" x14ac:dyDescent="0.25">
      <c r="I4492" s="11" t="b">
        <f t="shared" si="226"/>
        <v>0</v>
      </c>
      <c r="M4492" s="17" t="str">
        <f t="shared" si="227"/>
        <v/>
      </c>
      <c r="N4492" s="11" t="str">
        <f t="shared" si="228"/>
        <v/>
      </c>
    </row>
    <row r="4493" spans="9:14" x14ac:dyDescent="0.25">
      <c r="I4493" s="11" t="b">
        <f t="shared" si="226"/>
        <v>0</v>
      </c>
      <c r="M4493" s="17" t="str">
        <f t="shared" si="227"/>
        <v/>
      </c>
      <c r="N4493" s="11" t="str">
        <f t="shared" si="228"/>
        <v/>
      </c>
    </row>
    <row r="4494" spans="9:14" x14ac:dyDescent="0.25">
      <c r="I4494" s="11" t="b">
        <f t="shared" si="226"/>
        <v>0</v>
      </c>
      <c r="M4494" s="17" t="str">
        <f t="shared" si="227"/>
        <v/>
      </c>
      <c r="N4494" s="11" t="str">
        <f t="shared" si="228"/>
        <v/>
      </c>
    </row>
    <row r="4495" spans="9:14" x14ac:dyDescent="0.25">
      <c r="I4495" s="11" t="b">
        <f t="shared" si="226"/>
        <v>0</v>
      </c>
      <c r="M4495" s="17" t="str">
        <f t="shared" si="227"/>
        <v/>
      </c>
      <c r="N4495" s="11" t="str">
        <f t="shared" si="228"/>
        <v/>
      </c>
    </row>
    <row r="4496" spans="9:14" x14ac:dyDescent="0.25">
      <c r="I4496" s="11" t="b">
        <f t="shared" si="226"/>
        <v>0</v>
      </c>
      <c r="M4496" s="17" t="str">
        <f t="shared" si="227"/>
        <v/>
      </c>
      <c r="N4496" s="11" t="str">
        <f t="shared" si="228"/>
        <v/>
      </c>
    </row>
    <row r="4497" spans="9:14" x14ac:dyDescent="0.25">
      <c r="I4497" s="11" t="b">
        <f t="shared" si="226"/>
        <v>0</v>
      </c>
      <c r="M4497" s="17" t="str">
        <f t="shared" si="227"/>
        <v/>
      </c>
      <c r="N4497" s="11" t="str">
        <f t="shared" si="228"/>
        <v/>
      </c>
    </row>
    <row r="4498" spans="9:14" x14ac:dyDescent="0.25">
      <c r="I4498" s="11" t="b">
        <f t="shared" si="226"/>
        <v>0</v>
      </c>
      <c r="M4498" s="17" t="str">
        <f t="shared" si="227"/>
        <v/>
      </c>
      <c r="N4498" s="11" t="str">
        <f t="shared" si="228"/>
        <v/>
      </c>
    </row>
    <row r="4499" spans="9:14" x14ac:dyDescent="0.25">
      <c r="I4499" s="11" t="b">
        <f t="shared" si="226"/>
        <v>0</v>
      </c>
      <c r="M4499" s="17" t="str">
        <f t="shared" si="227"/>
        <v/>
      </c>
      <c r="N4499" s="11" t="str">
        <f t="shared" si="228"/>
        <v/>
      </c>
    </row>
    <row r="4500" spans="9:14" x14ac:dyDescent="0.25">
      <c r="I4500" s="11" t="b">
        <f t="shared" si="226"/>
        <v>0</v>
      </c>
      <c r="M4500" s="17" t="str">
        <f t="shared" si="227"/>
        <v/>
      </c>
      <c r="N4500" s="11" t="str">
        <f t="shared" si="228"/>
        <v/>
      </c>
    </row>
    <row r="4501" spans="9:14" x14ac:dyDescent="0.25">
      <c r="I4501" s="11" t="b">
        <f t="shared" si="226"/>
        <v>0</v>
      </c>
      <c r="M4501" s="17" t="str">
        <f t="shared" si="227"/>
        <v/>
      </c>
      <c r="N4501" s="11" t="str">
        <f t="shared" si="228"/>
        <v/>
      </c>
    </row>
    <row r="4502" spans="9:14" x14ac:dyDescent="0.25">
      <c r="I4502" s="11" t="b">
        <f t="shared" si="226"/>
        <v>0</v>
      </c>
      <c r="M4502" s="17" t="str">
        <f t="shared" si="227"/>
        <v/>
      </c>
      <c r="N4502" s="11" t="str">
        <f t="shared" si="228"/>
        <v/>
      </c>
    </row>
    <row r="4503" spans="9:14" x14ac:dyDescent="0.25">
      <c r="I4503" s="11" t="b">
        <f t="shared" si="226"/>
        <v>0</v>
      </c>
      <c r="M4503" s="17" t="str">
        <f t="shared" si="227"/>
        <v/>
      </c>
      <c r="N4503" s="11" t="str">
        <f t="shared" si="228"/>
        <v/>
      </c>
    </row>
    <row r="4504" spans="9:14" x14ac:dyDescent="0.25">
      <c r="I4504" s="11" t="b">
        <f t="shared" si="226"/>
        <v>0</v>
      </c>
      <c r="M4504" s="17" t="str">
        <f t="shared" si="227"/>
        <v/>
      </c>
      <c r="N4504" s="11" t="str">
        <f t="shared" si="228"/>
        <v/>
      </c>
    </row>
    <row r="4505" spans="9:14" x14ac:dyDescent="0.25">
      <c r="I4505" s="11" t="b">
        <f t="shared" si="226"/>
        <v>0</v>
      </c>
      <c r="M4505" s="17" t="str">
        <f t="shared" si="227"/>
        <v/>
      </c>
      <c r="N4505" s="11" t="str">
        <f t="shared" si="228"/>
        <v/>
      </c>
    </row>
    <row r="4506" spans="9:14" x14ac:dyDescent="0.25">
      <c r="I4506" s="11" t="b">
        <f t="shared" si="226"/>
        <v>0</v>
      </c>
      <c r="M4506" s="17" t="str">
        <f t="shared" si="227"/>
        <v/>
      </c>
      <c r="N4506" s="11" t="str">
        <f t="shared" si="228"/>
        <v/>
      </c>
    </row>
    <row r="4507" spans="9:14" x14ac:dyDescent="0.25">
      <c r="I4507" s="11" t="b">
        <f t="shared" si="226"/>
        <v>0</v>
      </c>
      <c r="M4507" s="17" t="str">
        <f t="shared" si="227"/>
        <v/>
      </c>
      <c r="N4507" s="11" t="str">
        <f t="shared" si="228"/>
        <v/>
      </c>
    </row>
    <row r="4508" spans="9:14" x14ac:dyDescent="0.25">
      <c r="I4508" s="11" t="b">
        <f t="shared" si="226"/>
        <v>0</v>
      </c>
      <c r="M4508" s="17" t="str">
        <f t="shared" si="227"/>
        <v/>
      </c>
      <c r="N4508" s="11" t="str">
        <f t="shared" si="228"/>
        <v/>
      </c>
    </row>
    <row r="4509" spans="9:14" x14ac:dyDescent="0.25">
      <c r="I4509" s="11" t="b">
        <f t="shared" ref="I4509:I4572" si="229">IF(AND(G4509="MERCADO PAGO",A4509="FATURAMENTO"),1,IF(AND(OR(G4509="MERCADO PAGO",G4509="pix mercado pago",G4509= "débito automático mercado pago", G4509= "boleto mercado pago"),A4509="DESPESAS"),4,IF(AND(G4509="SAFRA",A4509="FATURAMENTO"),2,IF(AND(OR(G4509="SAFRA",G4509="PIX SAFRA", G4509="DÉBITO AUTOMÁTICO SAFRA", G4509= "BOLETO SAFRA", G4509= "transferência safra"), A4509="DESPESAS"),5,IF(AND(G4509="espécie",A4509="FATURAMENTO"),3,IF(AND(G4509="espécie",A4509="DESPESAS"),6))))))</f>
        <v>0</v>
      </c>
      <c r="M4509" s="17" t="str">
        <f t="shared" si="227"/>
        <v/>
      </c>
      <c r="N4509" s="11" t="str">
        <f t="shared" si="228"/>
        <v/>
      </c>
    </row>
    <row r="4510" spans="9:14" x14ac:dyDescent="0.25">
      <c r="I4510" s="11" t="b">
        <f t="shared" si="229"/>
        <v>0</v>
      </c>
      <c r="M4510" s="17" t="str">
        <f t="shared" si="227"/>
        <v/>
      </c>
      <c r="N4510" s="11" t="str">
        <f t="shared" si="228"/>
        <v/>
      </c>
    </row>
    <row r="4511" spans="9:14" x14ac:dyDescent="0.25">
      <c r="I4511" s="11" t="b">
        <f t="shared" si="229"/>
        <v>0</v>
      </c>
      <c r="M4511" s="17" t="str">
        <f t="shared" si="227"/>
        <v/>
      </c>
      <c r="N4511" s="11" t="str">
        <f t="shared" si="228"/>
        <v/>
      </c>
    </row>
    <row r="4512" spans="9:14" x14ac:dyDescent="0.25">
      <c r="I4512" s="11" t="b">
        <f t="shared" si="229"/>
        <v>0</v>
      </c>
      <c r="M4512" s="17" t="str">
        <f t="shared" si="227"/>
        <v/>
      </c>
      <c r="N4512" s="11" t="str">
        <f t="shared" si="228"/>
        <v/>
      </c>
    </row>
    <row r="4513" spans="9:14" x14ac:dyDescent="0.25">
      <c r="I4513" s="11" t="b">
        <f t="shared" si="229"/>
        <v>0</v>
      </c>
      <c r="M4513" s="17" t="str">
        <f t="shared" si="227"/>
        <v/>
      </c>
      <c r="N4513" s="11" t="str">
        <f t="shared" si="228"/>
        <v/>
      </c>
    </row>
    <row r="4514" spans="9:14" x14ac:dyDescent="0.25">
      <c r="I4514" s="11" t="b">
        <f t="shared" si="229"/>
        <v>0</v>
      </c>
      <c r="M4514" s="17" t="str">
        <f t="shared" si="227"/>
        <v/>
      </c>
      <c r="N4514" s="11" t="str">
        <f t="shared" si="228"/>
        <v/>
      </c>
    </row>
    <row r="4515" spans="9:14" x14ac:dyDescent="0.25">
      <c r="I4515" s="11" t="b">
        <f t="shared" si="229"/>
        <v>0</v>
      </c>
      <c r="M4515" s="17" t="str">
        <f t="shared" si="227"/>
        <v/>
      </c>
      <c r="N4515" s="11" t="str">
        <f t="shared" si="228"/>
        <v/>
      </c>
    </row>
    <row r="4516" spans="9:14" x14ac:dyDescent="0.25">
      <c r="I4516" s="11" t="b">
        <f t="shared" si="229"/>
        <v>0</v>
      </c>
      <c r="M4516" s="17" t="str">
        <f t="shared" si="227"/>
        <v/>
      </c>
      <c r="N4516" s="11" t="str">
        <f t="shared" si="228"/>
        <v/>
      </c>
    </row>
    <row r="4517" spans="9:14" x14ac:dyDescent="0.25">
      <c r="I4517" s="11" t="b">
        <f t="shared" si="229"/>
        <v>0</v>
      </c>
      <c r="M4517" s="17" t="str">
        <f t="shared" si="227"/>
        <v/>
      </c>
      <c r="N4517" s="11" t="str">
        <f t="shared" si="228"/>
        <v/>
      </c>
    </row>
    <row r="4518" spans="9:14" x14ac:dyDescent="0.25">
      <c r="I4518" s="11" t="b">
        <f t="shared" si="229"/>
        <v>0</v>
      </c>
      <c r="M4518" s="17" t="str">
        <f t="shared" si="227"/>
        <v/>
      </c>
      <c r="N4518" s="11" t="str">
        <f t="shared" si="228"/>
        <v/>
      </c>
    </row>
    <row r="4519" spans="9:14" x14ac:dyDescent="0.25">
      <c r="I4519" s="11" t="b">
        <f t="shared" si="229"/>
        <v>0</v>
      </c>
      <c r="M4519" s="17" t="str">
        <f t="shared" si="227"/>
        <v/>
      </c>
      <c r="N4519" s="11" t="str">
        <f t="shared" si="228"/>
        <v/>
      </c>
    </row>
    <row r="4520" spans="9:14" x14ac:dyDescent="0.25">
      <c r="I4520" s="11" t="b">
        <f t="shared" si="229"/>
        <v>0</v>
      </c>
      <c r="M4520" s="17" t="str">
        <f t="shared" si="227"/>
        <v/>
      </c>
      <c r="N4520" s="11" t="str">
        <f t="shared" si="228"/>
        <v/>
      </c>
    </row>
    <row r="4521" spans="9:14" x14ac:dyDescent="0.25">
      <c r="I4521" s="11" t="b">
        <f t="shared" si="229"/>
        <v>0</v>
      </c>
      <c r="M4521" s="17" t="str">
        <f t="shared" si="227"/>
        <v/>
      </c>
      <c r="N4521" s="11" t="str">
        <f t="shared" si="228"/>
        <v/>
      </c>
    </row>
    <row r="4522" spans="9:14" x14ac:dyDescent="0.25">
      <c r="I4522" s="11" t="b">
        <f t="shared" si="229"/>
        <v>0</v>
      </c>
      <c r="M4522" s="17" t="str">
        <f t="shared" si="227"/>
        <v/>
      </c>
      <c r="N4522" s="11" t="str">
        <f t="shared" si="228"/>
        <v/>
      </c>
    </row>
    <row r="4523" spans="9:14" x14ac:dyDescent="0.25">
      <c r="I4523" s="11" t="b">
        <f t="shared" si="229"/>
        <v>0</v>
      </c>
      <c r="M4523" s="17" t="str">
        <f t="shared" si="227"/>
        <v/>
      </c>
      <c r="N4523" s="11" t="str">
        <f t="shared" si="228"/>
        <v/>
      </c>
    </row>
    <row r="4524" spans="9:14" x14ac:dyDescent="0.25">
      <c r="I4524" s="11" t="b">
        <f t="shared" si="229"/>
        <v>0</v>
      </c>
      <c r="M4524" s="17" t="str">
        <f t="shared" si="227"/>
        <v/>
      </c>
      <c r="N4524" s="11" t="str">
        <f t="shared" si="228"/>
        <v/>
      </c>
    </row>
    <row r="4525" spans="9:14" x14ac:dyDescent="0.25">
      <c r="I4525" s="11" t="b">
        <f t="shared" si="229"/>
        <v>0</v>
      </c>
      <c r="M4525" s="17" t="str">
        <f t="shared" si="227"/>
        <v/>
      </c>
      <c r="N4525" s="11" t="str">
        <f t="shared" si="228"/>
        <v/>
      </c>
    </row>
    <row r="4526" spans="9:14" x14ac:dyDescent="0.25">
      <c r="I4526" s="11" t="b">
        <f t="shared" si="229"/>
        <v>0</v>
      </c>
      <c r="M4526" s="17" t="str">
        <f t="shared" si="227"/>
        <v/>
      </c>
      <c r="N4526" s="11" t="str">
        <f t="shared" si="228"/>
        <v/>
      </c>
    </row>
    <row r="4527" spans="9:14" x14ac:dyDescent="0.25">
      <c r="I4527" s="11" t="b">
        <f t="shared" si="229"/>
        <v>0</v>
      </c>
      <c r="M4527" s="17" t="str">
        <f t="shared" si="227"/>
        <v/>
      </c>
      <c r="N4527" s="11" t="str">
        <f t="shared" si="228"/>
        <v/>
      </c>
    </row>
    <row r="4528" spans="9:14" x14ac:dyDescent="0.25">
      <c r="I4528" s="11" t="b">
        <f t="shared" si="229"/>
        <v>0</v>
      </c>
      <c r="M4528" s="17" t="str">
        <f t="shared" si="227"/>
        <v/>
      </c>
      <c r="N4528" s="11" t="str">
        <f t="shared" si="228"/>
        <v/>
      </c>
    </row>
    <row r="4529" spans="9:14" x14ac:dyDescent="0.25">
      <c r="I4529" s="11" t="b">
        <f t="shared" si="229"/>
        <v>0</v>
      </c>
      <c r="M4529" s="17" t="str">
        <f t="shared" si="227"/>
        <v/>
      </c>
      <c r="N4529" s="11" t="str">
        <f t="shared" si="228"/>
        <v/>
      </c>
    </row>
    <row r="4530" spans="9:14" x14ac:dyDescent="0.25">
      <c r="I4530" s="11" t="b">
        <f t="shared" si="229"/>
        <v>0</v>
      </c>
      <c r="M4530" s="17" t="str">
        <f t="shared" si="227"/>
        <v/>
      </c>
      <c r="N4530" s="11" t="str">
        <f t="shared" si="228"/>
        <v/>
      </c>
    </row>
    <row r="4531" spans="9:14" x14ac:dyDescent="0.25">
      <c r="I4531" s="11" t="b">
        <f t="shared" si="229"/>
        <v>0</v>
      </c>
      <c r="M4531" s="17" t="str">
        <f t="shared" si="227"/>
        <v/>
      </c>
      <c r="N4531" s="11" t="str">
        <f t="shared" si="228"/>
        <v/>
      </c>
    </row>
    <row r="4532" spans="9:14" x14ac:dyDescent="0.25">
      <c r="I4532" s="11" t="b">
        <f t="shared" si="229"/>
        <v>0</v>
      </c>
      <c r="M4532" s="17" t="str">
        <f t="shared" si="227"/>
        <v/>
      </c>
      <c r="N4532" s="11" t="str">
        <f t="shared" si="228"/>
        <v/>
      </c>
    </row>
    <row r="4533" spans="9:14" x14ac:dyDescent="0.25">
      <c r="I4533" s="11" t="b">
        <f t="shared" si="229"/>
        <v>0</v>
      </c>
      <c r="M4533" s="17" t="str">
        <f t="shared" si="227"/>
        <v/>
      </c>
      <c r="N4533" s="11" t="str">
        <f t="shared" si="228"/>
        <v/>
      </c>
    </row>
    <row r="4534" spans="9:14" x14ac:dyDescent="0.25">
      <c r="I4534" s="11" t="b">
        <f t="shared" si="229"/>
        <v>0</v>
      </c>
      <c r="M4534" s="17" t="str">
        <f t="shared" si="227"/>
        <v/>
      </c>
      <c r="N4534" s="11" t="str">
        <f t="shared" si="228"/>
        <v/>
      </c>
    </row>
    <row r="4535" spans="9:14" x14ac:dyDescent="0.25">
      <c r="I4535" s="11" t="b">
        <f t="shared" si="229"/>
        <v>0</v>
      </c>
      <c r="M4535" s="17" t="str">
        <f t="shared" si="227"/>
        <v/>
      </c>
      <c r="N4535" s="11" t="str">
        <f t="shared" si="228"/>
        <v/>
      </c>
    </row>
    <row r="4536" spans="9:14" x14ac:dyDescent="0.25">
      <c r="I4536" s="11" t="b">
        <f t="shared" si="229"/>
        <v>0</v>
      </c>
      <c r="M4536" s="17" t="str">
        <f t="shared" si="227"/>
        <v/>
      </c>
      <c r="N4536" s="11" t="str">
        <f t="shared" si="228"/>
        <v/>
      </c>
    </row>
    <row r="4537" spans="9:14" x14ac:dyDescent="0.25">
      <c r="I4537" s="11" t="b">
        <f t="shared" si="229"/>
        <v>0</v>
      </c>
      <c r="M4537" s="17" t="str">
        <f t="shared" si="227"/>
        <v/>
      </c>
      <c r="N4537" s="11" t="str">
        <f t="shared" si="228"/>
        <v/>
      </c>
    </row>
    <row r="4538" spans="9:14" x14ac:dyDescent="0.25">
      <c r="I4538" s="11" t="b">
        <f t="shared" si="229"/>
        <v>0</v>
      </c>
      <c r="M4538" s="17" t="str">
        <f t="shared" si="227"/>
        <v/>
      </c>
      <c r="N4538" s="11" t="str">
        <f t="shared" si="228"/>
        <v/>
      </c>
    </row>
    <row r="4539" spans="9:14" x14ac:dyDescent="0.25">
      <c r="I4539" s="11" t="b">
        <f t="shared" si="229"/>
        <v>0</v>
      </c>
      <c r="M4539" s="17" t="str">
        <f t="shared" si="227"/>
        <v/>
      </c>
      <c r="N4539" s="11" t="str">
        <f t="shared" si="228"/>
        <v/>
      </c>
    </row>
    <row r="4540" spans="9:14" x14ac:dyDescent="0.25">
      <c r="I4540" s="11" t="b">
        <f t="shared" si="229"/>
        <v>0</v>
      </c>
      <c r="M4540" s="17" t="str">
        <f t="shared" si="227"/>
        <v/>
      </c>
      <c r="N4540" s="11" t="str">
        <f t="shared" si="228"/>
        <v/>
      </c>
    </row>
    <row r="4541" spans="9:14" x14ac:dyDescent="0.25">
      <c r="I4541" s="11" t="b">
        <f t="shared" si="229"/>
        <v>0</v>
      </c>
      <c r="M4541" s="17" t="str">
        <f t="shared" si="227"/>
        <v/>
      </c>
      <c r="N4541" s="11" t="str">
        <f t="shared" si="228"/>
        <v/>
      </c>
    </row>
    <row r="4542" spans="9:14" x14ac:dyDescent="0.25">
      <c r="I4542" s="11" t="b">
        <f t="shared" si="229"/>
        <v>0</v>
      </c>
      <c r="M4542" s="17" t="str">
        <f t="shared" si="227"/>
        <v/>
      </c>
      <c r="N4542" s="11" t="str">
        <f t="shared" si="228"/>
        <v/>
      </c>
    </row>
    <row r="4543" spans="9:14" x14ac:dyDescent="0.25">
      <c r="I4543" s="11" t="b">
        <f t="shared" si="229"/>
        <v>0</v>
      </c>
      <c r="M4543" s="17" t="str">
        <f t="shared" si="227"/>
        <v/>
      </c>
      <c r="N4543" s="11" t="str">
        <f t="shared" si="228"/>
        <v/>
      </c>
    </row>
    <row r="4544" spans="9:14" x14ac:dyDescent="0.25">
      <c r="I4544" s="11" t="b">
        <f t="shared" si="229"/>
        <v>0</v>
      </c>
      <c r="M4544" s="17" t="str">
        <f t="shared" si="227"/>
        <v/>
      </c>
      <c r="N4544" s="11" t="str">
        <f t="shared" si="228"/>
        <v/>
      </c>
    </row>
    <row r="4545" spans="9:14" x14ac:dyDescent="0.25">
      <c r="I4545" s="11" t="b">
        <f t="shared" si="229"/>
        <v>0</v>
      </c>
      <c r="M4545" s="17" t="str">
        <f t="shared" ref="M4545:M4608" si="230">IF(B4545=0, "",M4544+ J4545-K4545)</f>
        <v/>
      </c>
      <c r="N4545" s="11" t="str">
        <f t="shared" ref="N4545:N4608" si="231">IF(B4545=0, "", MONTH(B4545))</f>
        <v/>
      </c>
    </row>
    <row r="4546" spans="9:14" x14ac:dyDescent="0.25">
      <c r="I4546" s="11" t="b">
        <f t="shared" si="229"/>
        <v>0</v>
      </c>
      <c r="M4546" s="17" t="str">
        <f t="shared" si="230"/>
        <v/>
      </c>
      <c r="N4546" s="11" t="str">
        <f t="shared" si="231"/>
        <v/>
      </c>
    </row>
    <row r="4547" spans="9:14" x14ac:dyDescent="0.25">
      <c r="I4547" s="11" t="b">
        <f t="shared" si="229"/>
        <v>0</v>
      </c>
      <c r="M4547" s="17" t="str">
        <f t="shared" si="230"/>
        <v/>
      </c>
      <c r="N4547" s="11" t="str">
        <f t="shared" si="231"/>
        <v/>
      </c>
    </row>
    <row r="4548" spans="9:14" x14ac:dyDescent="0.25">
      <c r="I4548" s="11" t="b">
        <f t="shared" si="229"/>
        <v>0</v>
      </c>
      <c r="M4548" s="17" t="str">
        <f t="shared" si="230"/>
        <v/>
      </c>
      <c r="N4548" s="11" t="str">
        <f t="shared" si="231"/>
        <v/>
      </c>
    </row>
    <row r="4549" spans="9:14" x14ac:dyDescent="0.25">
      <c r="I4549" s="11" t="b">
        <f t="shared" si="229"/>
        <v>0</v>
      </c>
      <c r="M4549" s="17" t="str">
        <f t="shared" si="230"/>
        <v/>
      </c>
      <c r="N4549" s="11" t="str">
        <f t="shared" si="231"/>
        <v/>
      </c>
    </row>
    <row r="4550" spans="9:14" x14ac:dyDescent="0.25">
      <c r="I4550" s="11" t="b">
        <f t="shared" si="229"/>
        <v>0</v>
      </c>
      <c r="M4550" s="17" t="str">
        <f t="shared" si="230"/>
        <v/>
      </c>
      <c r="N4550" s="11" t="str">
        <f t="shared" si="231"/>
        <v/>
      </c>
    </row>
    <row r="4551" spans="9:14" x14ac:dyDescent="0.25">
      <c r="I4551" s="11" t="b">
        <f t="shared" si="229"/>
        <v>0</v>
      </c>
      <c r="M4551" s="17" t="str">
        <f t="shared" si="230"/>
        <v/>
      </c>
      <c r="N4551" s="11" t="str">
        <f t="shared" si="231"/>
        <v/>
      </c>
    </row>
    <row r="4552" spans="9:14" x14ac:dyDescent="0.25">
      <c r="I4552" s="11" t="b">
        <f t="shared" si="229"/>
        <v>0</v>
      </c>
      <c r="M4552" s="17" t="str">
        <f t="shared" si="230"/>
        <v/>
      </c>
      <c r="N4552" s="11" t="str">
        <f t="shared" si="231"/>
        <v/>
      </c>
    </row>
    <row r="4553" spans="9:14" x14ac:dyDescent="0.25">
      <c r="I4553" s="11" t="b">
        <f t="shared" si="229"/>
        <v>0</v>
      </c>
      <c r="M4553" s="17" t="str">
        <f t="shared" si="230"/>
        <v/>
      </c>
      <c r="N4553" s="11" t="str">
        <f t="shared" si="231"/>
        <v/>
      </c>
    </row>
    <row r="4554" spans="9:14" x14ac:dyDescent="0.25">
      <c r="I4554" s="11" t="b">
        <f t="shared" si="229"/>
        <v>0</v>
      </c>
      <c r="M4554" s="17" t="str">
        <f t="shared" si="230"/>
        <v/>
      </c>
      <c r="N4554" s="11" t="str">
        <f t="shared" si="231"/>
        <v/>
      </c>
    </row>
    <row r="4555" spans="9:14" x14ac:dyDescent="0.25">
      <c r="I4555" s="11" t="b">
        <f t="shared" si="229"/>
        <v>0</v>
      </c>
      <c r="M4555" s="17" t="str">
        <f t="shared" si="230"/>
        <v/>
      </c>
      <c r="N4555" s="11" t="str">
        <f t="shared" si="231"/>
        <v/>
      </c>
    </row>
    <row r="4556" spans="9:14" x14ac:dyDescent="0.25">
      <c r="I4556" s="11" t="b">
        <f t="shared" si="229"/>
        <v>0</v>
      </c>
      <c r="M4556" s="17" t="str">
        <f t="shared" si="230"/>
        <v/>
      </c>
      <c r="N4556" s="11" t="str">
        <f t="shared" si="231"/>
        <v/>
      </c>
    </row>
    <row r="4557" spans="9:14" x14ac:dyDescent="0.25">
      <c r="I4557" s="11" t="b">
        <f t="shared" si="229"/>
        <v>0</v>
      </c>
      <c r="M4557" s="17" t="str">
        <f t="shared" si="230"/>
        <v/>
      </c>
      <c r="N4557" s="11" t="str">
        <f t="shared" si="231"/>
        <v/>
      </c>
    </row>
    <row r="4558" spans="9:14" x14ac:dyDescent="0.25">
      <c r="I4558" s="11" t="b">
        <f t="shared" si="229"/>
        <v>0</v>
      </c>
      <c r="M4558" s="17" t="str">
        <f t="shared" si="230"/>
        <v/>
      </c>
      <c r="N4558" s="11" t="str">
        <f t="shared" si="231"/>
        <v/>
      </c>
    </row>
    <row r="4559" spans="9:14" x14ac:dyDescent="0.25">
      <c r="I4559" s="11" t="b">
        <f t="shared" si="229"/>
        <v>0</v>
      </c>
      <c r="M4559" s="17" t="str">
        <f t="shared" si="230"/>
        <v/>
      </c>
      <c r="N4559" s="11" t="str">
        <f t="shared" si="231"/>
        <v/>
      </c>
    </row>
    <row r="4560" spans="9:14" x14ac:dyDescent="0.25">
      <c r="I4560" s="11" t="b">
        <f t="shared" si="229"/>
        <v>0</v>
      </c>
      <c r="M4560" s="17" t="str">
        <f t="shared" si="230"/>
        <v/>
      </c>
      <c r="N4560" s="11" t="str">
        <f t="shared" si="231"/>
        <v/>
      </c>
    </row>
    <row r="4561" spans="9:14" x14ac:dyDescent="0.25">
      <c r="I4561" s="11" t="b">
        <f t="shared" si="229"/>
        <v>0</v>
      </c>
      <c r="M4561" s="17" t="str">
        <f t="shared" si="230"/>
        <v/>
      </c>
      <c r="N4561" s="11" t="str">
        <f t="shared" si="231"/>
        <v/>
      </c>
    </row>
    <row r="4562" spans="9:14" x14ac:dyDescent="0.25">
      <c r="I4562" s="11" t="b">
        <f t="shared" si="229"/>
        <v>0</v>
      </c>
      <c r="M4562" s="17" t="str">
        <f t="shared" si="230"/>
        <v/>
      </c>
      <c r="N4562" s="11" t="str">
        <f t="shared" si="231"/>
        <v/>
      </c>
    </row>
    <row r="4563" spans="9:14" x14ac:dyDescent="0.25">
      <c r="I4563" s="11" t="b">
        <f t="shared" si="229"/>
        <v>0</v>
      </c>
      <c r="M4563" s="17" t="str">
        <f t="shared" si="230"/>
        <v/>
      </c>
      <c r="N4563" s="11" t="str">
        <f t="shared" si="231"/>
        <v/>
      </c>
    </row>
    <row r="4564" spans="9:14" x14ac:dyDescent="0.25">
      <c r="I4564" s="11" t="b">
        <f t="shared" si="229"/>
        <v>0</v>
      </c>
      <c r="M4564" s="17" t="str">
        <f t="shared" si="230"/>
        <v/>
      </c>
      <c r="N4564" s="11" t="str">
        <f t="shared" si="231"/>
        <v/>
      </c>
    </row>
    <row r="4565" spans="9:14" x14ac:dyDescent="0.25">
      <c r="I4565" s="11" t="b">
        <f t="shared" si="229"/>
        <v>0</v>
      </c>
      <c r="M4565" s="17" t="str">
        <f t="shared" si="230"/>
        <v/>
      </c>
      <c r="N4565" s="11" t="str">
        <f t="shared" si="231"/>
        <v/>
      </c>
    </row>
    <row r="4566" spans="9:14" x14ac:dyDescent="0.25">
      <c r="I4566" s="11" t="b">
        <f t="shared" si="229"/>
        <v>0</v>
      </c>
      <c r="M4566" s="17" t="str">
        <f t="shared" si="230"/>
        <v/>
      </c>
      <c r="N4566" s="11" t="str">
        <f t="shared" si="231"/>
        <v/>
      </c>
    </row>
    <row r="4567" spans="9:14" x14ac:dyDescent="0.25">
      <c r="I4567" s="11" t="b">
        <f t="shared" si="229"/>
        <v>0</v>
      </c>
      <c r="M4567" s="17" t="str">
        <f t="shared" si="230"/>
        <v/>
      </c>
      <c r="N4567" s="11" t="str">
        <f t="shared" si="231"/>
        <v/>
      </c>
    </row>
    <row r="4568" spans="9:14" x14ac:dyDescent="0.25">
      <c r="I4568" s="11" t="b">
        <f t="shared" si="229"/>
        <v>0</v>
      </c>
      <c r="M4568" s="17" t="str">
        <f t="shared" si="230"/>
        <v/>
      </c>
      <c r="N4568" s="11" t="str">
        <f t="shared" si="231"/>
        <v/>
      </c>
    </row>
    <row r="4569" spans="9:14" x14ac:dyDescent="0.25">
      <c r="I4569" s="11" t="b">
        <f t="shared" si="229"/>
        <v>0</v>
      </c>
      <c r="M4569" s="17" t="str">
        <f t="shared" si="230"/>
        <v/>
      </c>
      <c r="N4569" s="11" t="str">
        <f t="shared" si="231"/>
        <v/>
      </c>
    </row>
    <row r="4570" spans="9:14" x14ac:dyDescent="0.25">
      <c r="I4570" s="11" t="b">
        <f t="shared" si="229"/>
        <v>0</v>
      </c>
      <c r="M4570" s="17" t="str">
        <f t="shared" si="230"/>
        <v/>
      </c>
      <c r="N4570" s="11" t="str">
        <f t="shared" si="231"/>
        <v/>
      </c>
    </row>
    <row r="4571" spans="9:14" x14ac:dyDescent="0.25">
      <c r="I4571" s="11" t="b">
        <f t="shared" si="229"/>
        <v>0</v>
      </c>
      <c r="M4571" s="17" t="str">
        <f t="shared" si="230"/>
        <v/>
      </c>
      <c r="N4571" s="11" t="str">
        <f t="shared" si="231"/>
        <v/>
      </c>
    </row>
    <row r="4572" spans="9:14" x14ac:dyDescent="0.25">
      <c r="I4572" s="11" t="b">
        <f t="shared" si="229"/>
        <v>0</v>
      </c>
      <c r="M4572" s="17" t="str">
        <f t="shared" si="230"/>
        <v/>
      </c>
      <c r="N4572" s="11" t="str">
        <f t="shared" si="231"/>
        <v/>
      </c>
    </row>
    <row r="4573" spans="9:14" x14ac:dyDescent="0.25">
      <c r="I4573" s="11" t="b">
        <f t="shared" ref="I4573:I4636" si="232">IF(AND(G4573="MERCADO PAGO",A4573="FATURAMENTO"),1,IF(AND(OR(G4573="MERCADO PAGO",G4573="pix mercado pago",G4573= "débito automático mercado pago", G4573= "boleto mercado pago"),A4573="DESPESAS"),4,IF(AND(G4573="SAFRA",A4573="FATURAMENTO"),2,IF(AND(OR(G4573="SAFRA",G4573="PIX SAFRA", G4573="DÉBITO AUTOMÁTICO SAFRA", G4573= "BOLETO SAFRA", G4573= "transferência safra"), A4573="DESPESAS"),5,IF(AND(G4573="espécie",A4573="FATURAMENTO"),3,IF(AND(G4573="espécie",A4573="DESPESAS"),6))))))</f>
        <v>0</v>
      </c>
      <c r="M4573" s="17" t="str">
        <f t="shared" si="230"/>
        <v/>
      </c>
      <c r="N4573" s="11" t="str">
        <f t="shared" si="231"/>
        <v/>
      </c>
    </row>
    <row r="4574" spans="9:14" x14ac:dyDescent="0.25">
      <c r="I4574" s="11" t="b">
        <f t="shared" si="232"/>
        <v>0</v>
      </c>
      <c r="M4574" s="17" t="str">
        <f t="shared" si="230"/>
        <v/>
      </c>
      <c r="N4574" s="11" t="str">
        <f t="shared" si="231"/>
        <v/>
      </c>
    </row>
    <row r="4575" spans="9:14" x14ac:dyDescent="0.25">
      <c r="I4575" s="11" t="b">
        <f t="shared" si="232"/>
        <v>0</v>
      </c>
      <c r="M4575" s="17" t="str">
        <f t="shared" si="230"/>
        <v/>
      </c>
      <c r="N4575" s="11" t="str">
        <f t="shared" si="231"/>
        <v/>
      </c>
    </row>
    <row r="4576" spans="9:14" x14ac:dyDescent="0.25">
      <c r="I4576" s="11" t="b">
        <f t="shared" si="232"/>
        <v>0</v>
      </c>
      <c r="M4576" s="17" t="str">
        <f t="shared" si="230"/>
        <v/>
      </c>
      <c r="N4576" s="11" t="str">
        <f t="shared" si="231"/>
        <v/>
      </c>
    </row>
    <row r="4577" spans="9:14" x14ac:dyDescent="0.25">
      <c r="I4577" s="11" t="b">
        <f t="shared" si="232"/>
        <v>0</v>
      </c>
      <c r="M4577" s="17" t="str">
        <f t="shared" si="230"/>
        <v/>
      </c>
      <c r="N4577" s="11" t="str">
        <f t="shared" si="231"/>
        <v/>
      </c>
    </row>
    <row r="4578" spans="9:14" x14ac:dyDescent="0.25">
      <c r="I4578" s="11" t="b">
        <f t="shared" si="232"/>
        <v>0</v>
      </c>
      <c r="M4578" s="17" t="str">
        <f t="shared" si="230"/>
        <v/>
      </c>
      <c r="N4578" s="11" t="str">
        <f t="shared" si="231"/>
        <v/>
      </c>
    </row>
    <row r="4579" spans="9:14" x14ac:dyDescent="0.25">
      <c r="I4579" s="11" t="b">
        <f t="shared" si="232"/>
        <v>0</v>
      </c>
      <c r="M4579" s="17" t="str">
        <f t="shared" si="230"/>
        <v/>
      </c>
      <c r="N4579" s="11" t="str">
        <f t="shared" si="231"/>
        <v/>
      </c>
    </row>
    <row r="4580" spans="9:14" x14ac:dyDescent="0.25">
      <c r="I4580" s="11" t="b">
        <f t="shared" si="232"/>
        <v>0</v>
      </c>
      <c r="M4580" s="17" t="str">
        <f t="shared" si="230"/>
        <v/>
      </c>
      <c r="N4580" s="11" t="str">
        <f t="shared" si="231"/>
        <v/>
      </c>
    </row>
    <row r="4581" spans="9:14" x14ac:dyDescent="0.25">
      <c r="I4581" s="11" t="b">
        <f t="shared" si="232"/>
        <v>0</v>
      </c>
      <c r="M4581" s="17" t="str">
        <f t="shared" si="230"/>
        <v/>
      </c>
      <c r="N4581" s="11" t="str">
        <f t="shared" si="231"/>
        <v/>
      </c>
    </row>
    <row r="4582" spans="9:14" x14ac:dyDescent="0.25">
      <c r="I4582" s="11" t="b">
        <f t="shared" si="232"/>
        <v>0</v>
      </c>
      <c r="M4582" s="17" t="str">
        <f t="shared" si="230"/>
        <v/>
      </c>
      <c r="N4582" s="11" t="str">
        <f t="shared" si="231"/>
        <v/>
      </c>
    </row>
    <row r="4583" spans="9:14" x14ac:dyDescent="0.25">
      <c r="I4583" s="11" t="b">
        <f t="shared" si="232"/>
        <v>0</v>
      </c>
      <c r="M4583" s="17" t="str">
        <f t="shared" si="230"/>
        <v/>
      </c>
      <c r="N4583" s="11" t="str">
        <f t="shared" si="231"/>
        <v/>
      </c>
    </row>
    <row r="4584" spans="9:14" x14ac:dyDescent="0.25">
      <c r="I4584" s="11" t="b">
        <f t="shared" si="232"/>
        <v>0</v>
      </c>
      <c r="M4584" s="17" t="str">
        <f t="shared" si="230"/>
        <v/>
      </c>
      <c r="N4584" s="11" t="str">
        <f t="shared" si="231"/>
        <v/>
      </c>
    </row>
    <row r="4585" spans="9:14" x14ac:dyDescent="0.25">
      <c r="I4585" s="11" t="b">
        <f t="shared" si="232"/>
        <v>0</v>
      </c>
      <c r="M4585" s="17" t="str">
        <f t="shared" si="230"/>
        <v/>
      </c>
      <c r="N4585" s="11" t="str">
        <f t="shared" si="231"/>
        <v/>
      </c>
    </row>
    <row r="4586" spans="9:14" x14ac:dyDescent="0.25">
      <c r="I4586" s="11" t="b">
        <f t="shared" si="232"/>
        <v>0</v>
      </c>
      <c r="M4586" s="17" t="str">
        <f t="shared" si="230"/>
        <v/>
      </c>
      <c r="N4586" s="11" t="str">
        <f t="shared" si="231"/>
        <v/>
      </c>
    </row>
    <row r="4587" spans="9:14" x14ac:dyDescent="0.25">
      <c r="I4587" s="11" t="b">
        <f t="shared" si="232"/>
        <v>0</v>
      </c>
      <c r="M4587" s="17" t="str">
        <f t="shared" si="230"/>
        <v/>
      </c>
      <c r="N4587" s="11" t="str">
        <f t="shared" si="231"/>
        <v/>
      </c>
    </row>
    <row r="4588" spans="9:14" x14ac:dyDescent="0.25">
      <c r="I4588" s="11" t="b">
        <f t="shared" si="232"/>
        <v>0</v>
      </c>
      <c r="M4588" s="17" t="str">
        <f t="shared" si="230"/>
        <v/>
      </c>
      <c r="N4588" s="11" t="str">
        <f t="shared" si="231"/>
        <v/>
      </c>
    </row>
    <row r="4589" spans="9:14" x14ac:dyDescent="0.25">
      <c r="I4589" s="11" t="b">
        <f t="shared" si="232"/>
        <v>0</v>
      </c>
      <c r="M4589" s="17" t="str">
        <f t="shared" si="230"/>
        <v/>
      </c>
      <c r="N4589" s="11" t="str">
        <f t="shared" si="231"/>
        <v/>
      </c>
    </row>
    <row r="4590" spans="9:14" x14ac:dyDescent="0.25">
      <c r="I4590" s="11" t="b">
        <f t="shared" si="232"/>
        <v>0</v>
      </c>
      <c r="M4590" s="17" t="str">
        <f t="shared" si="230"/>
        <v/>
      </c>
      <c r="N4590" s="11" t="str">
        <f t="shared" si="231"/>
        <v/>
      </c>
    </row>
    <row r="4591" spans="9:14" x14ac:dyDescent="0.25">
      <c r="I4591" s="11" t="b">
        <f t="shared" si="232"/>
        <v>0</v>
      </c>
      <c r="M4591" s="17" t="str">
        <f t="shared" si="230"/>
        <v/>
      </c>
      <c r="N4591" s="11" t="str">
        <f t="shared" si="231"/>
        <v/>
      </c>
    </row>
    <row r="4592" spans="9:14" x14ac:dyDescent="0.25">
      <c r="I4592" s="11" t="b">
        <f t="shared" si="232"/>
        <v>0</v>
      </c>
      <c r="M4592" s="17" t="str">
        <f t="shared" si="230"/>
        <v/>
      </c>
      <c r="N4592" s="11" t="str">
        <f t="shared" si="231"/>
        <v/>
      </c>
    </row>
    <row r="4593" spans="9:14" x14ac:dyDescent="0.25">
      <c r="I4593" s="11" t="b">
        <f t="shared" si="232"/>
        <v>0</v>
      </c>
      <c r="M4593" s="17" t="str">
        <f t="shared" si="230"/>
        <v/>
      </c>
      <c r="N4593" s="11" t="str">
        <f t="shared" si="231"/>
        <v/>
      </c>
    </row>
    <row r="4594" spans="9:14" x14ac:dyDescent="0.25">
      <c r="I4594" s="11" t="b">
        <f t="shared" si="232"/>
        <v>0</v>
      </c>
      <c r="M4594" s="17" t="str">
        <f t="shared" si="230"/>
        <v/>
      </c>
      <c r="N4594" s="11" t="str">
        <f t="shared" si="231"/>
        <v/>
      </c>
    </row>
    <row r="4595" spans="9:14" x14ac:dyDescent="0.25">
      <c r="I4595" s="11" t="b">
        <f t="shared" si="232"/>
        <v>0</v>
      </c>
      <c r="M4595" s="17" t="str">
        <f t="shared" si="230"/>
        <v/>
      </c>
      <c r="N4595" s="11" t="str">
        <f t="shared" si="231"/>
        <v/>
      </c>
    </row>
    <row r="4596" spans="9:14" x14ac:dyDescent="0.25">
      <c r="I4596" s="11" t="b">
        <f t="shared" si="232"/>
        <v>0</v>
      </c>
      <c r="M4596" s="17" t="str">
        <f t="shared" si="230"/>
        <v/>
      </c>
      <c r="N4596" s="11" t="str">
        <f t="shared" si="231"/>
        <v/>
      </c>
    </row>
    <row r="4597" spans="9:14" x14ac:dyDescent="0.25">
      <c r="I4597" s="11" t="b">
        <f t="shared" si="232"/>
        <v>0</v>
      </c>
      <c r="M4597" s="17" t="str">
        <f t="shared" si="230"/>
        <v/>
      </c>
      <c r="N4597" s="11" t="str">
        <f t="shared" si="231"/>
        <v/>
      </c>
    </row>
    <row r="4598" spans="9:14" x14ac:dyDescent="0.25">
      <c r="I4598" s="11" t="b">
        <f t="shared" si="232"/>
        <v>0</v>
      </c>
      <c r="M4598" s="17" t="str">
        <f t="shared" si="230"/>
        <v/>
      </c>
      <c r="N4598" s="11" t="str">
        <f t="shared" si="231"/>
        <v/>
      </c>
    </row>
    <row r="4599" spans="9:14" x14ac:dyDescent="0.25">
      <c r="I4599" s="11" t="b">
        <f t="shared" si="232"/>
        <v>0</v>
      </c>
      <c r="M4599" s="17" t="str">
        <f t="shared" si="230"/>
        <v/>
      </c>
      <c r="N4599" s="11" t="str">
        <f t="shared" si="231"/>
        <v/>
      </c>
    </row>
    <row r="4600" spans="9:14" x14ac:dyDescent="0.25">
      <c r="I4600" s="11" t="b">
        <f t="shared" si="232"/>
        <v>0</v>
      </c>
      <c r="M4600" s="17" t="str">
        <f t="shared" si="230"/>
        <v/>
      </c>
      <c r="N4600" s="11" t="str">
        <f t="shared" si="231"/>
        <v/>
      </c>
    </row>
    <row r="4601" spans="9:14" x14ac:dyDescent="0.25">
      <c r="I4601" s="11" t="b">
        <f t="shared" si="232"/>
        <v>0</v>
      </c>
      <c r="M4601" s="17" t="str">
        <f t="shared" si="230"/>
        <v/>
      </c>
      <c r="N4601" s="11" t="str">
        <f t="shared" si="231"/>
        <v/>
      </c>
    </row>
    <row r="4602" spans="9:14" x14ac:dyDescent="0.25">
      <c r="I4602" s="11" t="b">
        <f t="shared" si="232"/>
        <v>0</v>
      </c>
      <c r="M4602" s="17" t="str">
        <f t="shared" si="230"/>
        <v/>
      </c>
      <c r="N4602" s="11" t="str">
        <f t="shared" si="231"/>
        <v/>
      </c>
    </row>
    <row r="4603" spans="9:14" x14ac:dyDescent="0.25">
      <c r="I4603" s="11" t="b">
        <f t="shared" si="232"/>
        <v>0</v>
      </c>
      <c r="M4603" s="17" t="str">
        <f t="shared" si="230"/>
        <v/>
      </c>
      <c r="N4603" s="11" t="str">
        <f t="shared" si="231"/>
        <v/>
      </c>
    </row>
    <row r="4604" spans="9:14" x14ac:dyDescent="0.25">
      <c r="I4604" s="11" t="b">
        <f t="shared" si="232"/>
        <v>0</v>
      </c>
      <c r="M4604" s="17" t="str">
        <f t="shared" si="230"/>
        <v/>
      </c>
      <c r="N4604" s="11" t="str">
        <f t="shared" si="231"/>
        <v/>
      </c>
    </row>
    <row r="4605" spans="9:14" x14ac:dyDescent="0.25">
      <c r="I4605" s="11" t="b">
        <f t="shared" si="232"/>
        <v>0</v>
      </c>
      <c r="M4605" s="17" t="str">
        <f t="shared" si="230"/>
        <v/>
      </c>
      <c r="N4605" s="11" t="str">
        <f t="shared" si="231"/>
        <v/>
      </c>
    </row>
    <row r="4606" spans="9:14" x14ac:dyDescent="0.25">
      <c r="I4606" s="11" t="b">
        <f t="shared" si="232"/>
        <v>0</v>
      </c>
      <c r="M4606" s="17" t="str">
        <f t="shared" si="230"/>
        <v/>
      </c>
      <c r="N4606" s="11" t="str">
        <f t="shared" si="231"/>
        <v/>
      </c>
    </row>
    <row r="4607" spans="9:14" x14ac:dyDescent="0.25">
      <c r="I4607" s="11" t="b">
        <f t="shared" si="232"/>
        <v>0</v>
      </c>
      <c r="M4607" s="17" t="str">
        <f t="shared" si="230"/>
        <v/>
      </c>
      <c r="N4607" s="11" t="str">
        <f t="shared" si="231"/>
        <v/>
      </c>
    </row>
    <row r="4608" spans="9:14" x14ac:dyDescent="0.25">
      <c r="I4608" s="11" t="b">
        <f t="shared" si="232"/>
        <v>0</v>
      </c>
      <c r="M4608" s="17" t="str">
        <f t="shared" si="230"/>
        <v/>
      </c>
      <c r="N4608" s="11" t="str">
        <f t="shared" si="231"/>
        <v/>
      </c>
    </row>
    <row r="4609" spans="9:14" x14ac:dyDescent="0.25">
      <c r="I4609" s="11" t="b">
        <f t="shared" si="232"/>
        <v>0</v>
      </c>
      <c r="M4609" s="17" t="str">
        <f t="shared" ref="M4609:M4672" si="233">IF(B4609=0, "",M4608+ J4609-K4609)</f>
        <v/>
      </c>
      <c r="N4609" s="11" t="str">
        <f t="shared" ref="N4609:N4672" si="234">IF(B4609=0, "", MONTH(B4609))</f>
        <v/>
      </c>
    </row>
    <row r="4610" spans="9:14" x14ac:dyDescent="0.25">
      <c r="I4610" s="11" t="b">
        <f t="shared" si="232"/>
        <v>0</v>
      </c>
      <c r="M4610" s="17" t="str">
        <f t="shared" si="233"/>
        <v/>
      </c>
      <c r="N4610" s="11" t="str">
        <f t="shared" si="234"/>
        <v/>
      </c>
    </row>
    <row r="4611" spans="9:14" x14ac:dyDescent="0.25">
      <c r="I4611" s="11" t="b">
        <f t="shared" si="232"/>
        <v>0</v>
      </c>
      <c r="M4611" s="17" t="str">
        <f t="shared" si="233"/>
        <v/>
      </c>
      <c r="N4611" s="11" t="str">
        <f t="shared" si="234"/>
        <v/>
      </c>
    </row>
    <row r="4612" spans="9:14" x14ac:dyDescent="0.25">
      <c r="I4612" s="11" t="b">
        <f t="shared" si="232"/>
        <v>0</v>
      </c>
      <c r="M4612" s="17" t="str">
        <f t="shared" si="233"/>
        <v/>
      </c>
      <c r="N4612" s="11" t="str">
        <f t="shared" si="234"/>
        <v/>
      </c>
    </row>
    <row r="4613" spans="9:14" x14ac:dyDescent="0.25">
      <c r="I4613" s="11" t="b">
        <f t="shared" si="232"/>
        <v>0</v>
      </c>
      <c r="M4613" s="17" t="str">
        <f t="shared" si="233"/>
        <v/>
      </c>
      <c r="N4613" s="11" t="str">
        <f t="shared" si="234"/>
        <v/>
      </c>
    </row>
    <row r="4614" spans="9:14" x14ac:dyDescent="0.25">
      <c r="I4614" s="11" t="b">
        <f t="shared" si="232"/>
        <v>0</v>
      </c>
      <c r="M4614" s="17" t="str">
        <f t="shared" si="233"/>
        <v/>
      </c>
      <c r="N4614" s="11" t="str">
        <f t="shared" si="234"/>
        <v/>
      </c>
    </row>
    <row r="4615" spans="9:14" x14ac:dyDescent="0.25">
      <c r="I4615" s="11" t="b">
        <f t="shared" si="232"/>
        <v>0</v>
      </c>
      <c r="M4615" s="17" t="str">
        <f t="shared" si="233"/>
        <v/>
      </c>
      <c r="N4615" s="11" t="str">
        <f t="shared" si="234"/>
        <v/>
      </c>
    </row>
    <row r="4616" spans="9:14" x14ac:dyDescent="0.25">
      <c r="I4616" s="11" t="b">
        <f t="shared" si="232"/>
        <v>0</v>
      </c>
      <c r="M4616" s="17" t="str">
        <f t="shared" si="233"/>
        <v/>
      </c>
      <c r="N4616" s="11" t="str">
        <f t="shared" si="234"/>
        <v/>
      </c>
    </row>
    <row r="4617" spans="9:14" x14ac:dyDescent="0.25">
      <c r="I4617" s="11" t="b">
        <f t="shared" si="232"/>
        <v>0</v>
      </c>
      <c r="M4617" s="17" t="str">
        <f t="shared" si="233"/>
        <v/>
      </c>
      <c r="N4617" s="11" t="str">
        <f t="shared" si="234"/>
        <v/>
      </c>
    </row>
    <row r="4618" spans="9:14" x14ac:dyDescent="0.25">
      <c r="I4618" s="11" t="b">
        <f t="shared" si="232"/>
        <v>0</v>
      </c>
      <c r="M4618" s="17" t="str">
        <f t="shared" si="233"/>
        <v/>
      </c>
      <c r="N4618" s="11" t="str">
        <f t="shared" si="234"/>
        <v/>
      </c>
    </row>
    <row r="4619" spans="9:14" x14ac:dyDescent="0.25">
      <c r="I4619" s="11" t="b">
        <f t="shared" si="232"/>
        <v>0</v>
      </c>
      <c r="M4619" s="17" t="str">
        <f t="shared" si="233"/>
        <v/>
      </c>
      <c r="N4619" s="11" t="str">
        <f t="shared" si="234"/>
        <v/>
      </c>
    </row>
    <row r="4620" spans="9:14" x14ac:dyDescent="0.25">
      <c r="I4620" s="11" t="b">
        <f t="shared" si="232"/>
        <v>0</v>
      </c>
      <c r="M4620" s="17" t="str">
        <f t="shared" si="233"/>
        <v/>
      </c>
      <c r="N4620" s="11" t="str">
        <f t="shared" si="234"/>
        <v/>
      </c>
    </row>
    <row r="4621" spans="9:14" x14ac:dyDescent="0.25">
      <c r="I4621" s="11" t="b">
        <f t="shared" si="232"/>
        <v>0</v>
      </c>
      <c r="M4621" s="17" t="str">
        <f t="shared" si="233"/>
        <v/>
      </c>
      <c r="N4621" s="11" t="str">
        <f t="shared" si="234"/>
        <v/>
      </c>
    </row>
    <row r="4622" spans="9:14" x14ac:dyDescent="0.25">
      <c r="I4622" s="11" t="b">
        <f t="shared" si="232"/>
        <v>0</v>
      </c>
      <c r="M4622" s="17" t="str">
        <f t="shared" si="233"/>
        <v/>
      </c>
      <c r="N4622" s="11" t="str">
        <f t="shared" si="234"/>
        <v/>
      </c>
    </row>
    <row r="4623" spans="9:14" x14ac:dyDescent="0.25">
      <c r="I4623" s="11" t="b">
        <f t="shared" si="232"/>
        <v>0</v>
      </c>
      <c r="M4623" s="17" t="str">
        <f t="shared" si="233"/>
        <v/>
      </c>
      <c r="N4623" s="11" t="str">
        <f t="shared" si="234"/>
        <v/>
      </c>
    </row>
    <row r="4624" spans="9:14" x14ac:dyDescent="0.25">
      <c r="I4624" s="11" t="b">
        <f t="shared" si="232"/>
        <v>0</v>
      </c>
      <c r="M4624" s="17" t="str">
        <f t="shared" si="233"/>
        <v/>
      </c>
      <c r="N4624" s="11" t="str">
        <f t="shared" si="234"/>
        <v/>
      </c>
    </row>
    <row r="4625" spans="9:14" x14ac:dyDescent="0.25">
      <c r="I4625" s="11" t="b">
        <f t="shared" si="232"/>
        <v>0</v>
      </c>
      <c r="M4625" s="17" t="str">
        <f t="shared" si="233"/>
        <v/>
      </c>
      <c r="N4625" s="11" t="str">
        <f t="shared" si="234"/>
        <v/>
      </c>
    </row>
    <row r="4626" spans="9:14" x14ac:dyDescent="0.25">
      <c r="I4626" s="11" t="b">
        <f t="shared" si="232"/>
        <v>0</v>
      </c>
      <c r="M4626" s="17" t="str">
        <f t="shared" si="233"/>
        <v/>
      </c>
      <c r="N4626" s="11" t="str">
        <f t="shared" si="234"/>
        <v/>
      </c>
    </row>
    <row r="4627" spans="9:14" x14ac:dyDescent="0.25">
      <c r="I4627" s="11" t="b">
        <f t="shared" si="232"/>
        <v>0</v>
      </c>
      <c r="M4627" s="17" t="str">
        <f t="shared" si="233"/>
        <v/>
      </c>
      <c r="N4627" s="11" t="str">
        <f t="shared" si="234"/>
        <v/>
      </c>
    </row>
    <row r="4628" spans="9:14" x14ac:dyDescent="0.25">
      <c r="I4628" s="11" t="b">
        <f t="shared" si="232"/>
        <v>0</v>
      </c>
      <c r="M4628" s="17" t="str">
        <f t="shared" si="233"/>
        <v/>
      </c>
      <c r="N4628" s="11" t="str">
        <f t="shared" si="234"/>
        <v/>
      </c>
    </row>
    <row r="4629" spans="9:14" x14ac:dyDescent="0.25">
      <c r="I4629" s="11" t="b">
        <f t="shared" si="232"/>
        <v>0</v>
      </c>
      <c r="M4629" s="17" t="str">
        <f t="shared" si="233"/>
        <v/>
      </c>
      <c r="N4629" s="11" t="str">
        <f t="shared" si="234"/>
        <v/>
      </c>
    </row>
    <row r="4630" spans="9:14" x14ac:dyDescent="0.25">
      <c r="I4630" s="11" t="b">
        <f t="shared" si="232"/>
        <v>0</v>
      </c>
      <c r="M4630" s="17" t="str">
        <f t="shared" si="233"/>
        <v/>
      </c>
      <c r="N4630" s="11" t="str">
        <f t="shared" si="234"/>
        <v/>
      </c>
    </row>
    <row r="4631" spans="9:14" x14ac:dyDescent="0.25">
      <c r="I4631" s="11" t="b">
        <f t="shared" si="232"/>
        <v>0</v>
      </c>
      <c r="M4631" s="17" t="str">
        <f t="shared" si="233"/>
        <v/>
      </c>
      <c r="N4631" s="11" t="str">
        <f t="shared" si="234"/>
        <v/>
      </c>
    </row>
    <row r="4632" spans="9:14" x14ac:dyDescent="0.25">
      <c r="I4632" s="11" t="b">
        <f t="shared" si="232"/>
        <v>0</v>
      </c>
      <c r="M4632" s="17" t="str">
        <f t="shared" si="233"/>
        <v/>
      </c>
      <c r="N4632" s="11" t="str">
        <f t="shared" si="234"/>
        <v/>
      </c>
    </row>
    <row r="4633" spans="9:14" x14ac:dyDescent="0.25">
      <c r="I4633" s="11" t="b">
        <f t="shared" si="232"/>
        <v>0</v>
      </c>
      <c r="M4633" s="17" t="str">
        <f t="shared" si="233"/>
        <v/>
      </c>
      <c r="N4633" s="11" t="str">
        <f t="shared" si="234"/>
        <v/>
      </c>
    </row>
    <row r="4634" spans="9:14" x14ac:dyDescent="0.25">
      <c r="I4634" s="11" t="b">
        <f t="shared" si="232"/>
        <v>0</v>
      </c>
      <c r="M4634" s="17" t="str">
        <f t="shared" si="233"/>
        <v/>
      </c>
      <c r="N4634" s="11" t="str">
        <f t="shared" si="234"/>
        <v/>
      </c>
    </row>
    <row r="4635" spans="9:14" x14ac:dyDescent="0.25">
      <c r="I4635" s="11" t="b">
        <f t="shared" si="232"/>
        <v>0</v>
      </c>
      <c r="M4635" s="17" t="str">
        <f t="shared" si="233"/>
        <v/>
      </c>
      <c r="N4635" s="11" t="str">
        <f t="shared" si="234"/>
        <v/>
      </c>
    </row>
    <row r="4636" spans="9:14" x14ac:dyDescent="0.25">
      <c r="I4636" s="11" t="b">
        <f t="shared" si="232"/>
        <v>0</v>
      </c>
      <c r="M4636" s="17" t="str">
        <f t="shared" si="233"/>
        <v/>
      </c>
      <c r="N4636" s="11" t="str">
        <f t="shared" si="234"/>
        <v/>
      </c>
    </row>
    <row r="4637" spans="9:14" x14ac:dyDescent="0.25">
      <c r="I4637" s="11" t="b">
        <f t="shared" ref="I4637:I4700" si="235">IF(AND(G4637="MERCADO PAGO",A4637="FATURAMENTO"),1,IF(AND(OR(G4637="MERCADO PAGO",G4637="pix mercado pago",G4637= "débito automático mercado pago", G4637= "boleto mercado pago"),A4637="DESPESAS"),4,IF(AND(G4637="SAFRA",A4637="FATURAMENTO"),2,IF(AND(OR(G4637="SAFRA",G4637="PIX SAFRA", G4637="DÉBITO AUTOMÁTICO SAFRA", G4637= "BOLETO SAFRA", G4637= "transferência safra"), A4637="DESPESAS"),5,IF(AND(G4637="espécie",A4637="FATURAMENTO"),3,IF(AND(G4637="espécie",A4637="DESPESAS"),6))))))</f>
        <v>0</v>
      </c>
      <c r="M4637" s="17" t="str">
        <f t="shared" si="233"/>
        <v/>
      </c>
      <c r="N4637" s="11" t="str">
        <f t="shared" si="234"/>
        <v/>
      </c>
    </row>
    <row r="4638" spans="9:14" x14ac:dyDescent="0.25">
      <c r="I4638" s="11" t="b">
        <f t="shared" si="235"/>
        <v>0</v>
      </c>
      <c r="M4638" s="17" t="str">
        <f t="shared" si="233"/>
        <v/>
      </c>
      <c r="N4638" s="11" t="str">
        <f t="shared" si="234"/>
        <v/>
      </c>
    </row>
    <row r="4639" spans="9:14" x14ac:dyDescent="0.25">
      <c r="I4639" s="11" t="b">
        <f t="shared" si="235"/>
        <v>0</v>
      </c>
      <c r="M4639" s="17" t="str">
        <f t="shared" si="233"/>
        <v/>
      </c>
      <c r="N4639" s="11" t="str">
        <f t="shared" si="234"/>
        <v/>
      </c>
    </row>
    <row r="4640" spans="9:14" x14ac:dyDescent="0.25">
      <c r="I4640" s="11" t="b">
        <f t="shared" si="235"/>
        <v>0</v>
      </c>
      <c r="M4640" s="17" t="str">
        <f t="shared" si="233"/>
        <v/>
      </c>
      <c r="N4640" s="11" t="str">
        <f t="shared" si="234"/>
        <v/>
      </c>
    </row>
    <row r="4641" spans="9:14" x14ac:dyDescent="0.25">
      <c r="I4641" s="11" t="b">
        <f t="shared" si="235"/>
        <v>0</v>
      </c>
      <c r="M4641" s="17" t="str">
        <f t="shared" si="233"/>
        <v/>
      </c>
      <c r="N4641" s="11" t="str">
        <f t="shared" si="234"/>
        <v/>
      </c>
    </row>
    <row r="4642" spans="9:14" x14ac:dyDescent="0.25">
      <c r="I4642" s="11" t="b">
        <f t="shared" si="235"/>
        <v>0</v>
      </c>
      <c r="M4642" s="17" t="str">
        <f t="shared" si="233"/>
        <v/>
      </c>
      <c r="N4642" s="11" t="str">
        <f t="shared" si="234"/>
        <v/>
      </c>
    </row>
    <row r="4643" spans="9:14" x14ac:dyDescent="0.25">
      <c r="I4643" s="11" t="b">
        <f t="shared" si="235"/>
        <v>0</v>
      </c>
      <c r="M4643" s="17" t="str">
        <f t="shared" si="233"/>
        <v/>
      </c>
      <c r="N4643" s="11" t="str">
        <f t="shared" si="234"/>
        <v/>
      </c>
    </row>
    <row r="4644" spans="9:14" x14ac:dyDescent="0.25">
      <c r="I4644" s="11" t="b">
        <f t="shared" si="235"/>
        <v>0</v>
      </c>
      <c r="M4644" s="17" t="str">
        <f t="shared" si="233"/>
        <v/>
      </c>
      <c r="N4644" s="11" t="str">
        <f t="shared" si="234"/>
        <v/>
      </c>
    </row>
    <row r="4645" spans="9:14" x14ac:dyDescent="0.25">
      <c r="I4645" s="11" t="b">
        <f t="shared" si="235"/>
        <v>0</v>
      </c>
      <c r="M4645" s="17" t="str">
        <f t="shared" si="233"/>
        <v/>
      </c>
      <c r="N4645" s="11" t="str">
        <f t="shared" si="234"/>
        <v/>
      </c>
    </row>
    <row r="4646" spans="9:14" x14ac:dyDescent="0.25">
      <c r="I4646" s="11" t="b">
        <f t="shared" si="235"/>
        <v>0</v>
      </c>
      <c r="M4646" s="17" t="str">
        <f t="shared" si="233"/>
        <v/>
      </c>
      <c r="N4646" s="11" t="str">
        <f t="shared" si="234"/>
        <v/>
      </c>
    </row>
    <row r="4647" spans="9:14" x14ac:dyDescent="0.25">
      <c r="I4647" s="11" t="b">
        <f t="shared" si="235"/>
        <v>0</v>
      </c>
      <c r="M4647" s="17" t="str">
        <f t="shared" si="233"/>
        <v/>
      </c>
      <c r="N4647" s="11" t="str">
        <f t="shared" si="234"/>
        <v/>
      </c>
    </row>
    <row r="4648" spans="9:14" x14ac:dyDescent="0.25">
      <c r="I4648" s="11" t="b">
        <f t="shared" si="235"/>
        <v>0</v>
      </c>
      <c r="M4648" s="17" t="str">
        <f t="shared" si="233"/>
        <v/>
      </c>
      <c r="N4648" s="11" t="str">
        <f t="shared" si="234"/>
        <v/>
      </c>
    </row>
    <row r="4649" spans="9:14" x14ac:dyDescent="0.25">
      <c r="I4649" s="11" t="b">
        <f t="shared" si="235"/>
        <v>0</v>
      </c>
      <c r="M4649" s="17" t="str">
        <f t="shared" si="233"/>
        <v/>
      </c>
      <c r="N4649" s="11" t="str">
        <f t="shared" si="234"/>
        <v/>
      </c>
    </row>
    <row r="4650" spans="9:14" x14ac:dyDescent="0.25">
      <c r="I4650" s="11" t="b">
        <f t="shared" si="235"/>
        <v>0</v>
      </c>
      <c r="M4650" s="17" t="str">
        <f t="shared" si="233"/>
        <v/>
      </c>
      <c r="N4650" s="11" t="str">
        <f t="shared" si="234"/>
        <v/>
      </c>
    </row>
    <row r="4651" spans="9:14" x14ac:dyDescent="0.25">
      <c r="I4651" s="11" t="b">
        <f t="shared" si="235"/>
        <v>0</v>
      </c>
      <c r="M4651" s="17" t="str">
        <f t="shared" si="233"/>
        <v/>
      </c>
      <c r="N4651" s="11" t="str">
        <f t="shared" si="234"/>
        <v/>
      </c>
    </row>
    <row r="4652" spans="9:14" x14ac:dyDescent="0.25">
      <c r="I4652" s="11" t="b">
        <f t="shared" si="235"/>
        <v>0</v>
      </c>
      <c r="M4652" s="17" t="str">
        <f t="shared" si="233"/>
        <v/>
      </c>
      <c r="N4652" s="11" t="str">
        <f t="shared" si="234"/>
        <v/>
      </c>
    </row>
    <row r="4653" spans="9:14" x14ac:dyDescent="0.25">
      <c r="I4653" s="11" t="b">
        <f t="shared" si="235"/>
        <v>0</v>
      </c>
      <c r="M4653" s="17" t="str">
        <f t="shared" si="233"/>
        <v/>
      </c>
      <c r="N4653" s="11" t="str">
        <f t="shared" si="234"/>
        <v/>
      </c>
    </row>
    <row r="4654" spans="9:14" x14ac:dyDescent="0.25">
      <c r="I4654" s="11" t="b">
        <f t="shared" si="235"/>
        <v>0</v>
      </c>
      <c r="M4654" s="17" t="str">
        <f t="shared" si="233"/>
        <v/>
      </c>
      <c r="N4654" s="11" t="str">
        <f t="shared" si="234"/>
        <v/>
      </c>
    </row>
    <row r="4655" spans="9:14" x14ac:dyDescent="0.25">
      <c r="I4655" s="11" t="b">
        <f t="shared" si="235"/>
        <v>0</v>
      </c>
      <c r="M4655" s="17" t="str">
        <f t="shared" si="233"/>
        <v/>
      </c>
      <c r="N4655" s="11" t="str">
        <f t="shared" si="234"/>
        <v/>
      </c>
    </row>
    <row r="4656" spans="9:14" x14ac:dyDescent="0.25">
      <c r="I4656" s="11" t="b">
        <f t="shared" si="235"/>
        <v>0</v>
      </c>
      <c r="M4656" s="17" t="str">
        <f t="shared" si="233"/>
        <v/>
      </c>
      <c r="N4656" s="11" t="str">
        <f t="shared" si="234"/>
        <v/>
      </c>
    </row>
    <row r="4657" spans="9:14" x14ac:dyDescent="0.25">
      <c r="I4657" s="11" t="b">
        <f t="shared" si="235"/>
        <v>0</v>
      </c>
      <c r="M4657" s="17" t="str">
        <f t="shared" si="233"/>
        <v/>
      </c>
      <c r="N4657" s="11" t="str">
        <f t="shared" si="234"/>
        <v/>
      </c>
    </row>
    <row r="4658" spans="9:14" x14ac:dyDescent="0.25">
      <c r="I4658" s="11" t="b">
        <f t="shared" si="235"/>
        <v>0</v>
      </c>
      <c r="M4658" s="17" t="str">
        <f t="shared" si="233"/>
        <v/>
      </c>
      <c r="N4658" s="11" t="str">
        <f t="shared" si="234"/>
        <v/>
      </c>
    </row>
    <row r="4659" spans="9:14" x14ac:dyDescent="0.25">
      <c r="I4659" s="11" t="b">
        <f t="shared" si="235"/>
        <v>0</v>
      </c>
      <c r="M4659" s="17" t="str">
        <f t="shared" si="233"/>
        <v/>
      </c>
      <c r="N4659" s="11" t="str">
        <f t="shared" si="234"/>
        <v/>
      </c>
    </row>
    <row r="4660" spans="9:14" x14ac:dyDescent="0.25">
      <c r="I4660" s="11" t="b">
        <f t="shared" si="235"/>
        <v>0</v>
      </c>
      <c r="M4660" s="17" t="str">
        <f t="shared" si="233"/>
        <v/>
      </c>
      <c r="N4660" s="11" t="str">
        <f t="shared" si="234"/>
        <v/>
      </c>
    </row>
    <row r="4661" spans="9:14" x14ac:dyDescent="0.25">
      <c r="I4661" s="11" t="b">
        <f t="shared" si="235"/>
        <v>0</v>
      </c>
      <c r="M4661" s="17" t="str">
        <f t="shared" si="233"/>
        <v/>
      </c>
      <c r="N4661" s="11" t="str">
        <f t="shared" si="234"/>
        <v/>
      </c>
    </row>
    <row r="4662" spans="9:14" x14ac:dyDescent="0.25">
      <c r="I4662" s="11" t="b">
        <f t="shared" si="235"/>
        <v>0</v>
      </c>
      <c r="M4662" s="17" t="str">
        <f t="shared" si="233"/>
        <v/>
      </c>
      <c r="N4662" s="11" t="str">
        <f t="shared" si="234"/>
        <v/>
      </c>
    </row>
    <row r="4663" spans="9:14" x14ac:dyDescent="0.25">
      <c r="I4663" s="11" t="b">
        <f t="shared" si="235"/>
        <v>0</v>
      </c>
      <c r="M4663" s="17" t="str">
        <f t="shared" si="233"/>
        <v/>
      </c>
      <c r="N4663" s="11" t="str">
        <f t="shared" si="234"/>
        <v/>
      </c>
    </row>
    <row r="4664" spans="9:14" x14ac:dyDescent="0.25">
      <c r="I4664" s="11" t="b">
        <f t="shared" si="235"/>
        <v>0</v>
      </c>
      <c r="M4664" s="17" t="str">
        <f t="shared" si="233"/>
        <v/>
      </c>
      <c r="N4664" s="11" t="str">
        <f t="shared" si="234"/>
        <v/>
      </c>
    </row>
    <row r="4665" spans="9:14" x14ac:dyDescent="0.25">
      <c r="I4665" s="11" t="b">
        <f t="shared" si="235"/>
        <v>0</v>
      </c>
      <c r="M4665" s="17" t="str">
        <f t="shared" si="233"/>
        <v/>
      </c>
      <c r="N4665" s="11" t="str">
        <f t="shared" si="234"/>
        <v/>
      </c>
    </row>
    <row r="4666" spans="9:14" x14ac:dyDescent="0.25">
      <c r="I4666" s="11" t="b">
        <f t="shared" si="235"/>
        <v>0</v>
      </c>
      <c r="M4666" s="17" t="str">
        <f t="shared" si="233"/>
        <v/>
      </c>
      <c r="N4666" s="11" t="str">
        <f t="shared" si="234"/>
        <v/>
      </c>
    </row>
    <row r="4667" spans="9:14" x14ac:dyDescent="0.25">
      <c r="I4667" s="11" t="b">
        <f t="shared" si="235"/>
        <v>0</v>
      </c>
      <c r="M4667" s="17" t="str">
        <f t="shared" si="233"/>
        <v/>
      </c>
      <c r="N4667" s="11" t="str">
        <f t="shared" si="234"/>
        <v/>
      </c>
    </row>
    <row r="4668" spans="9:14" x14ac:dyDescent="0.25">
      <c r="I4668" s="11" t="b">
        <f t="shared" si="235"/>
        <v>0</v>
      </c>
      <c r="M4668" s="17" t="str">
        <f t="shared" si="233"/>
        <v/>
      </c>
      <c r="N4668" s="11" t="str">
        <f t="shared" si="234"/>
        <v/>
      </c>
    </row>
    <row r="4669" spans="9:14" x14ac:dyDescent="0.25">
      <c r="I4669" s="11" t="b">
        <f t="shared" si="235"/>
        <v>0</v>
      </c>
      <c r="M4669" s="17" t="str">
        <f t="shared" si="233"/>
        <v/>
      </c>
      <c r="N4669" s="11" t="str">
        <f t="shared" si="234"/>
        <v/>
      </c>
    </row>
    <row r="4670" spans="9:14" x14ac:dyDescent="0.25">
      <c r="I4670" s="11" t="b">
        <f t="shared" si="235"/>
        <v>0</v>
      </c>
      <c r="M4670" s="17" t="str">
        <f t="shared" si="233"/>
        <v/>
      </c>
      <c r="N4670" s="11" t="str">
        <f t="shared" si="234"/>
        <v/>
      </c>
    </row>
    <row r="4671" spans="9:14" x14ac:dyDescent="0.25">
      <c r="I4671" s="11" t="b">
        <f t="shared" si="235"/>
        <v>0</v>
      </c>
      <c r="M4671" s="17" t="str">
        <f t="shared" si="233"/>
        <v/>
      </c>
      <c r="N4671" s="11" t="str">
        <f t="shared" si="234"/>
        <v/>
      </c>
    </row>
    <row r="4672" spans="9:14" x14ac:dyDescent="0.25">
      <c r="I4672" s="11" t="b">
        <f t="shared" si="235"/>
        <v>0</v>
      </c>
      <c r="M4672" s="17" t="str">
        <f t="shared" si="233"/>
        <v/>
      </c>
      <c r="N4672" s="11" t="str">
        <f t="shared" si="234"/>
        <v/>
      </c>
    </row>
    <row r="4673" spans="9:14" x14ac:dyDescent="0.25">
      <c r="I4673" s="11" t="b">
        <f t="shared" si="235"/>
        <v>0</v>
      </c>
      <c r="M4673" s="17" t="str">
        <f t="shared" ref="M4673:M4736" si="236">IF(B4673=0, "",M4672+ J4673-K4673)</f>
        <v/>
      </c>
      <c r="N4673" s="11" t="str">
        <f t="shared" ref="N4673:N4736" si="237">IF(B4673=0, "", MONTH(B4673))</f>
        <v/>
      </c>
    </row>
    <row r="4674" spans="9:14" x14ac:dyDescent="0.25">
      <c r="I4674" s="11" t="b">
        <f t="shared" si="235"/>
        <v>0</v>
      </c>
      <c r="M4674" s="17" t="str">
        <f t="shared" si="236"/>
        <v/>
      </c>
      <c r="N4674" s="11" t="str">
        <f t="shared" si="237"/>
        <v/>
      </c>
    </row>
    <row r="4675" spans="9:14" x14ac:dyDescent="0.25">
      <c r="I4675" s="11" t="b">
        <f t="shared" si="235"/>
        <v>0</v>
      </c>
      <c r="M4675" s="17" t="str">
        <f t="shared" si="236"/>
        <v/>
      </c>
      <c r="N4675" s="11" t="str">
        <f t="shared" si="237"/>
        <v/>
      </c>
    </row>
    <row r="4676" spans="9:14" x14ac:dyDescent="0.25">
      <c r="I4676" s="11" t="b">
        <f t="shared" si="235"/>
        <v>0</v>
      </c>
      <c r="M4676" s="17" t="str">
        <f t="shared" si="236"/>
        <v/>
      </c>
      <c r="N4676" s="11" t="str">
        <f t="shared" si="237"/>
        <v/>
      </c>
    </row>
    <row r="4677" spans="9:14" x14ac:dyDescent="0.25">
      <c r="I4677" s="11" t="b">
        <f t="shared" si="235"/>
        <v>0</v>
      </c>
      <c r="M4677" s="17" t="str">
        <f t="shared" si="236"/>
        <v/>
      </c>
      <c r="N4677" s="11" t="str">
        <f t="shared" si="237"/>
        <v/>
      </c>
    </row>
    <row r="4678" spans="9:14" x14ac:dyDescent="0.25">
      <c r="I4678" s="11" t="b">
        <f t="shared" si="235"/>
        <v>0</v>
      </c>
      <c r="M4678" s="17" t="str">
        <f t="shared" si="236"/>
        <v/>
      </c>
      <c r="N4678" s="11" t="str">
        <f t="shared" si="237"/>
        <v/>
      </c>
    </row>
    <row r="4679" spans="9:14" x14ac:dyDescent="0.25">
      <c r="I4679" s="11" t="b">
        <f t="shared" si="235"/>
        <v>0</v>
      </c>
      <c r="M4679" s="17" t="str">
        <f t="shared" si="236"/>
        <v/>
      </c>
      <c r="N4679" s="11" t="str">
        <f t="shared" si="237"/>
        <v/>
      </c>
    </row>
    <row r="4680" spans="9:14" x14ac:dyDescent="0.25">
      <c r="I4680" s="11" t="b">
        <f t="shared" si="235"/>
        <v>0</v>
      </c>
      <c r="M4680" s="17" t="str">
        <f t="shared" si="236"/>
        <v/>
      </c>
      <c r="N4680" s="11" t="str">
        <f t="shared" si="237"/>
        <v/>
      </c>
    </row>
    <row r="4681" spans="9:14" x14ac:dyDescent="0.25">
      <c r="I4681" s="11" t="b">
        <f t="shared" si="235"/>
        <v>0</v>
      </c>
      <c r="M4681" s="17" t="str">
        <f t="shared" si="236"/>
        <v/>
      </c>
      <c r="N4681" s="11" t="str">
        <f t="shared" si="237"/>
        <v/>
      </c>
    </row>
    <row r="4682" spans="9:14" x14ac:dyDescent="0.25">
      <c r="I4682" s="11" t="b">
        <f t="shared" si="235"/>
        <v>0</v>
      </c>
      <c r="M4682" s="17" t="str">
        <f t="shared" si="236"/>
        <v/>
      </c>
      <c r="N4682" s="11" t="str">
        <f t="shared" si="237"/>
        <v/>
      </c>
    </row>
    <row r="4683" spans="9:14" x14ac:dyDescent="0.25">
      <c r="I4683" s="11" t="b">
        <f t="shared" si="235"/>
        <v>0</v>
      </c>
      <c r="M4683" s="17" t="str">
        <f t="shared" si="236"/>
        <v/>
      </c>
      <c r="N4683" s="11" t="str">
        <f t="shared" si="237"/>
        <v/>
      </c>
    </row>
    <row r="4684" spans="9:14" x14ac:dyDescent="0.25">
      <c r="I4684" s="11" t="b">
        <f t="shared" si="235"/>
        <v>0</v>
      </c>
      <c r="M4684" s="17" t="str">
        <f t="shared" si="236"/>
        <v/>
      </c>
      <c r="N4684" s="11" t="str">
        <f t="shared" si="237"/>
        <v/>
      </c>
    </row>
    <row r="4685" spans="9:14" x14ac:dyDescent="0.25">
      <c r="I4685" s="11" t="b">
        <f t="shared" si="235"/>
        <v>0</v>
      </c>
      <c r="M4685" s="17" t="str">
        <f t="shared" si="236"/>
        <v/>
      </c>
      <c r="N4685" s="11" t="str">
        <f t="shared" si="237"/>
        <v/>
      </c>
    </row>
    <row r="4686" spans="9:14" x14ac:dyDescent="0.25">
      <c r="I4686" s="11" t="b">
        <f t="shared" si="235"/>
        <v>0</v>
      </c>
      <c r="M4686" s="17" t="str">
        <f t="shared" si="236"/>
        <v/>
      </c>
      <c r="N4686" s="11" t="str">
        <f t="shared" si="237"/>
        <v/>
      </c>
    </row>
    <row r="4687" spans="9:14" x14ac:dyDescent="0.25">
      <c r="I4687" s="11" t="b">
        <f t="shared" si="235"/>
        <v>0</v>
      </c>
      <c r="M4687" s="17" t="str">
        <f t="shared" si="236"/>
        <v/>
      </c>
      <c r="N4687" s="11" t="str">
        <f t="shared" si="237"/>
        <v/>
      </c>
    </row>
    <row r="4688" spans="9:14" x14ac:dyDescent="0.25">
      <c r="I4688" s="11" t="b">
        <f t="shared" si="235"/>
        <v>0</v>
      </c>
      <c r="M4688" s="17" t="str">
        <f t="shared" si="236"/>
        <v/>
      </c>
      <c r="N4688" s="11" t="str">
        <f t="shared" si="237"/>
        <v/>
      </c>
    </row>
    <row r="4689" spans="9:14" x14ac:dyDescent="0.25">
      <c r="I4689" s="11" t="b">
        <f t="shared" si="235"/>
        <v>0</v>
      </c>
      <c r="M4689" s="17" t="str">
        <f t="shared" si="236"/>
        <v/>
      </c>
      <c r="N4689" s="11" t="str">
        <f t="shared" si="237"/>
        <v/>
      </c>
    </row>
    <row r="4690" spans="9:14" x14ac:dyDescent="0.25">
      <c r="I4690" s="11" t="b">
        <f t="shared" si="235"/>
        <v>0</v>
      </c>
      <c r="M4690" s="17" t="str">
        <f t="shared" si="236"/>
        <v/>
      </c>
      <c r="N4690" s="11" t="str">
        <f t="shared" si="237"/>
        <v/>
      </c>
    </row>
    <row r="4691" spans="9:14" x14ac:dyDescent="0.25">
      <c r="I4691" s="11" t="b">
        <f t="shared" si="235"/>
        <v>0</v>
      </c>
      <c r="M4691" s="17" t="str">
        <f t="shared" si="236"/>
        <v/>
      </c>
      <c r="N4691" s="11" t="str">
        <f t="shared" si="237"/>
        <v/>
      </c>
    </row>
    <row r="4692" spans="9:14" x14ac:dyDescent="0.25">
      <c r="I4692" s="11" t="b">
        <f t="shared" si="235"/>
        <v>0</v>
      </c>
      <c r="M4692" s="17" t="str">
        <f t="shared" si="236"/>
        <v/>
      </c>
      <c r="N4692" s="11" t="str">
        <f t="shared" si="237"/>
        <v/>
      </c>
    </row>
    <row r="4693" spans="9:14" x14ac:dyDescent="0.25">
      <c r="I4693" s="11" t="b">
        <f t="shared" si="235"/>
        <v>0</v>
      </c>
      <c r="M4693" s="17" t="str">
        <f t="shared" si="236"/>
        <v/>
      </c>
      <c r="N4693" s="11" t="str">
        <f t="shared" si="237"/>
        <v/>
      </c>
    </row>
    <row r="4694" spans="9:14" x14ac:dyDescent="0.25">
      <c r="I4694" s="11" t="b">
        <f t="shared" si="235"/>
        <v>0</v>
      </c>
      <c r="M4694" s="17" t="str">
        <f t="shared" si="236"/>
        <v/>
      </c>
      <c r="N4694" s="11" t="str">
        <f t="shared" si="237"/>
        <v/>
      </c>
    </row>
    <row r="4695" spans="9:14" x14ac:dyDescent="0.25">
      <c r="I4695" s="11" t="b">
        <f t="shared" si="235"/>
        <v>0</v>
      </c>
      <c r="M4695" s="17" t="str">
        <f t="shared" si="236"/>
        <v/>
      </c>
      <c r="N4695" s="11" t="str">
        <f t="shared" si="237"/>
        <v/>
      </c>
    </row>
    <row r="4696" spans="9:14" x14ac:dyDescent="0.25">
      <c r="I4696" s="11" t="b">
        <f t="shared" si="235"/>
        <v>0</v>
      </c>
      <c r="M4696" s="17" t="str">
        <f t="shared" si="236"/>
        <v/>
      </c>
      <c r="N4696" s="11" t="str">
        <f t="shared" si="237"/>
        <v/>
      </c>
    </row>
    <row r="4697" spans="9:14" x14ac:dyDescent="0.25">
      <c r="I4697" s="11" t="b">
        <f t="shared" si="235"/>
        <v>0</v>
      </c>
      <c r="M4697" s="17" t="str">
        <f t="shared" si="236"/>
        <v/>
      </c>
      <c r="N4697" s="11" t="str">
        <f t="shared" si="237"/>
        <v/>
      </c>
    </row>
    <row r="4698" spans="9:14" x14ac:dyDescent="0.25">
      <c r="I4698" s="11" t="b">
        <f t="shared" si="235"/>
        <v>0</v>
      </c>
      <c r="M4698" s="17" t="str">
        <f t="shared" si="236"/>
        <v/>
      </c>
      <c r="N4698" s="11" t="str">
        <f t="shared" si="237"/>
        <v/>
      </c>
    </row>
    <row r="4699" spans="9:14" x14ac:dyDescent="0.25">
      <c r="I4699" s="11" t="b">
        <f t="shared" si="235"/>
        <v>0</v>
      </c>
      <c r="M4699" s="17" t="str">
        <f t="shared" si="236"/>
        <v/>
      </c>
      <c r="N4699" s="11" t="str">
        <f t="shared" si="237"/>
        <v/>
      </c>
    </row>
    <row r="4700" spans="9:14" x14ac:dyDescent="0.25">
      <c r="I4700" s="11" t="b">
        <f t="shared" si="235"/>
        <v>0</v>
      </c>
      <c r="M4700" s="17" t="str">
        <f t="shared" si="236"/>
        <v/>
      </c>
      <c r="N4700" s="11" t="str">
        <f t="shared" si="237"/>
        <v/>
      </c>
    </row>
    <row r="4701" spans="9:14" x14ac:dyDescent="0.25">
      <c r="I4701" s="11" t="b">
        <f t="shared" ref="I4701:I4764" si="238">IF(AND(G4701="MERCADO PAGO",A4701="FATURAMENTO"),1,IF(AND(OR(G4701="MERCADO PAGO",G4701="pix mercado pago",G4701= "débito automático mercado pago", G4701= "boleto mercado pago"),A4701="DESPESAS"),4,IF(AND(G4701="SAFRA",A4701="FATURAMENTO"),2,IF(AND(OR(G4701="SAFRA",G4701="PIX SAFRA", G4701="DÉBITO AUTOMÁTICO SAFRA", G4701= "BOLETO SAFRA", G4701= "transferência safra"), A4701="DESPESAS"),5,IF(AND(G4701="espécie",A4701="FATURAMENTO"),3,IF(AND(G4701="espécie",A4701="DESPESAS"),6))))))</f>
        <v>0</v>
      </c>
      <c r="M4701" s="17" t="str">
        <f t="shared" si="236"/>
        <v/>
      </c>
      <c r="N4701" s="11" t="str">
        <f t="shared" si="237"/>
        <v/>
      </c>
    </row>
    <row r="4702" spans="9:14" x14ac:dyDescent="0.25">
      <c r="I4702" s="11" t="b">
        <f t="shared" si="238"/>
        <v>0</v>
      </c>
      <c r="M4702" s="17" t="str">
        <f t="shared" si="236"/>
        <v/>
      </c>
      <c r="N4702" s="11" t="str">
        <f t="shared" si="237"/>
        <v/>
      </c>
    </row>
    <row r="4703" spans="9:14" x14ac:dyDescent="0.25">
      <c r="I4703" s="11" t="b">
        <f t="shared" si="238"/>
        <v>0</v>
      </c>
      <c r="M4703" s="17" t="str">
        <f t="shared" si="236"/>
        <v/>
      </c>
      <c r="N4703" s="11" t="str">
        <f t="shared" si="237"/>
        <v/>
      </c>
    </row>
    <row r="4704" spans="9:14" x14ac:dyDescent="0.25">
      <c r="I4704" s="11" t="b">
        <f t="shared" si="238"/>
        <v>0</v>
      </c>
      <c r="M4704" s="17" t="str">
        <f t="shared" si="236"/>
        <v/>
      </c>
      <c r="N4704" s="11" t="str">
        <f t="shared" si="237"/>
        <v/>
      </c>
    </row>
    <row r="4705" spans="9:14" x14ac:dyDescent="0.25">
      <c r="I4705" s="11" t="b">
        <f t="shared" si="238"/>
        <v>0</v>
      </c>
      <c r="M4705" s="17" t="str">
        <f t="shared" si="236"/>
        <v/>
      </c>
      <c r="N4705" s="11" t="str">
        <f t="shared" si="237"/>
        <v/>
      </c>
    </row>
    <row r="4706" spans="9:14" x14ac:dyDescent="0.25">
      <c r="I4706" s="11" t="b">
        <f t="shared" si="238"/>
        <v>0</v>
      </c>
      <c r="M4706" s="17" t="str">
        <f t="shared" si="236"/>
        <v/>
      </c>
      <c r="N4706" s="11" t="str">
        <f t="shared" si="237"/>
        <v/>
      </c>
    </row>
    <row r="4707" spans="9:14" x14ac:dyDescent="0.25">
      <c r="I4707" s="11" t="b">
        <f t="shared" si="238"/>
        <v>0</v>
      </c>
      <c r="M4707" s="17" t="str">
        <f t="shared" si="236"/>
        <v/>
      </c>
      <c r="N4707" s="11" t="str">
        <f t="shared" si="237"/>
        <v/>
      </c>
    </row>
    <row r="4708" spans="9:14" x14ac:dyDescent="0.25">
      <c r="I4708" s="11" t="b">
        <f t="shared" si="238"/>
        <v>0</v>
      </c>
      <c r="M4708" s="17" t="str">
        <f t="shared" si="236"/>
        <v/>
      </c>
      <c r="N4708" s="11" t="str">
        <f t="shared" si="237"/>
        <v/>
      </c>
    </row>
    <row r="4709" spans="9:14" x14ac:dyDescent="0.25">
      <c r="I4709" s="11" t="b">
        <f t="shared" si="238"/>
        <v>0</v>
      </c>
      <c r="M4709" s="17" t="str">
        <f t="shared" si="236"/>
        <v/>
      </c>
      <c r="N4709" s="11" t="str">
        <f t="shared" si="237"/>
        <v/>
      </c>
    </row>
    <row r="4710" spans="9:14" x14ac:dyDescent="0.25">
      <c r="I4710" s="11" t="b">
        <f t="shared" si="238"/>
        <v>0</v>
      </c>
      <c r="M4710" s="17" t="str">
        <f t="shared" si="236"/>
        <v/>
      </c>
      <c r="N4710" s="11" t="str">
        <f t="shared" si="237"/>
        <v/>
      </c>
    </row>
    <row r="4711" spans="9:14" x14ac:dyDescent="0.25">
      <c r="I4711" s="11" t="b">
        <f t="shared" si="238"/>
        <v>0</v>
      </c>
      <c r="M4711" s="17" t="str">
        <f t="shared" si="236"/>
        <v/>
      </c>
      <c r="N4711" s="11" t="str">
        <f t="shared" si="237"/>
        <v/>
      </c>
    </row>
    <row r="4712" spans="9:14" x14ac:dyDescent="0.25">
      <c r="I4712" s="11" t="b">
        <f t="shared" si="238"/>
        <v>0</v>
      </c>
      <c r="M4712" s="17" t="str">
        <f t="shared" si="236"/>
        <v/>
      </c>
      <c r="N4712" s="11" t="str">
        <f t="shared" si="237"/>
        <v/>
      </c>
    </row>
    <row r="4713" spans="9:14" x14ac:dyDescent="0.25">
      <c r="I4713" s="11" t="b">
        <f t="shared" si="238"/>
        <v>0</v>
      </c>
      <c r="M4713" s="17" t="str">
        <f t="shared" si="236"/>
        <v/>
      </c>
      <c r="N4713" s="11" t="str">
        <f t="shared" si="237"/>
        <v/>
      </c>
    </row>
    <row r="4714" spans="9:14" x14ac:dyDescent="0.25">
      <c r="I4714" s="11" t="b">
        <f t="shared" si="238"/>
        <v>0</v>
      </c>
      <c r="M4714" s="17" t="str">
        <f t="shared" si="236"/>
        <v/>
      </c>
      <c r="N4714" s="11" t="str">
        <f t="shared" si="237"/>
        <v/>
      </c>
    </row>
    <row r="4715" spans="9:14" x14ac:dyDescent="0.25">
      <c r="I4715" s="11" t="b">
        <f t="shared" si="238"/>
        <v>0</v>
      </c>
      <c r="M4715" s="17" t="str">
        <f t="shared" si="236"/>
        <v/>
      </c>
      <c r="N4715" s="11" t="str">
        <f t="shared" si="237"/>
        <v/>
      </c>
    </row>
    <row r="4716" spans="9:14" x14ac:dyDescent="0.25">
      <c r="I4716" s="11" t="b">
        <f t="shared" si="238"/>
        <v>0</v>
      </c>
      <c r="M4716" s="17" t="str">
        <f t="shared" si="236"/>
        <v/>
      </c>
      <c r="N4716" s="11" t="str">
        <f t="shared" si="237"/>
        <v/>
      </c>
    </row>
    <row r="4717" spans="9:14" x14ac:dyDescent="0.25">
      <c r="I4717" s="11" t="b">
        <f t="shared" si="238"/>
        <v>0</v>
      </c>
      <c r="M4717" s="17" t="str">
        <f t="shared" si="236"/>
        <v/>
      </c>
      <c r="N4717" s="11" t="str">
        <f t="shared" si="237"/>
        <v/>
      </c>
    </row>
    <row r="4718" spans="9:14" x14ac:dyDescent="0.25">
      <c r="I4718" s="11" t="b">
        <f t="shared" si="238"/>
        <v>0</v>
      </c>
      <c r="M4718" s="17" t="str">
        <f t="shared" si="236"/>
        <v/>
      </c>
      <c r="N4718" s="11" t="str">
        <f t="shared" si="237"/>
        <v/>
      </c>
    </row>
    <row r="4719" spans="9:14" x14ac:dyDescent="0.25">
      <c r="I4719" s="11" t="b">
        <f t="shared" si="238"/>
        <v>0</v>
      </c>
      <c r="M4719" s="17" t="str">
        <f t="shared" si="236"/>
        <v/>
      </c>
      <c r="N4719" s="11" t="str">
        <f t="shared" si="237"/>
        <v/>
      </c>
    </row>
    <row r="4720" spans="9:14" x14ac:dyDescent="0.25">
      <c r="I4720" s="11" t="b">
        <f t="shared" si="238"/>
        <v>0</v>
      </c>
      <c r="M4720" s="17" t="str">
        <f t="shared" si="236"/>
        <v/>
      </c>
      <c r="N4720" s="11" t="str">
        <f t="shared" si="237"/>
        <v/>
      </c>
    </row>
    <row r="4721" spans="9:14" x14ac:dyDescent="0.25">
      <c r="I4721" s="11" t="b">
        <f t="shared" si="238"/>
        <v>0</v>
      </c>
      <c r="M4721" s="17" t="str">
        <f t="shared" si="236"/>
        <v/>
      </c>
      <c r="N4721" s="11" t="str">
        <f t="shared" si="237"/>
        <v/>
      </c>
    </row>
    <row r="4722" spans="9:14" x14ac:dyDescent="0.25">
      <c r="I4722" s="11" t="b">
        <f t="shared" si="238"/>
        <v>0</v>
      </c>
      <c r="M4722" s="17" t="str">
        <f t="shared" si="236"/>
        <v/>
      </c>
      <c r="N4722" s="11" t="str">
        <f t="shared" si="237"/>
        <v/>
      </c>
    </row>
    <row r="4723" spans="9:14" x14ac:dyDescent="0.25">
      <c r="I4723" s="11" t="b">
        <f t="shared" si="238"/>
        <v>0</v>
      </c>
      <c r="M4723" s="17" t="str">
        <f t="shared" si="236"/>
        <v/>
      </c>
      <c r="N4723" s="11" t="str">
        <f t="shared" si="237"/>
        <v/>
      </c>
    </row>
    <row r="4724" spans="9:14" x14ac:dyDescent="0.25">
      <c r="I4724" s="11" t="b">
        <f t="shared" si="238"/>
        <v>0</v>
      </c>
      <c r="M4724" s="17" t="str">
        <f t="shared" si="236"/>
        <v/>
      </c>
      <c r="N4724" s="11" t="str">
        <f t="shared" si="237"/>
        <v/>
      </c>
    </row>
    <row r="4725" spans="9:14" x14ac:dyDescent="0.25">
      <c r="I4725" s="11" t="b">
        <f t="shared" si="238"/>
        <v>0</v>
      </c>
      <c r="M4725" s="17" t="str">
        <f t="shared" si="236"/>
        <v/>
      </c>
      <c r="N4725" s="11" t="str">
        <f t="shared" si="237"/>
        <v/>
      </c>
    </row>
    <row r="4726" spans="9:14" x14ac:dyDescent="0.25">
      <c r="I4726" s="11" t="b">
        <f t="shared" si="238"/>
        <v>0</v>
      </c>
      <c r="M4726" s="17" t="str">
        <f t="shared" si="236"/>
        <v/>
      </c>
      <c r="N4726" s="11" t="str">
        <f t="shared" si="237"/>
        <v/>
      </c>
    </row>
    <row r="4727" spans="9:14" x14ac:dyDescent="0.25">
      <c r="I4727" s="11" t="b">
        <f t="shared" si="238"/>
        <v>0</v>
      </c>
      <c r="M4727" s="17" t="str">
        <f t="shared" si="236"/>
        <v/>
      </c>
      <c r="N4727" s="11" t="str">
        <f t="shared" si="237"/>
        <v/>
      </c>
    </row>
    <row r="4728" spans="9:14" x14ac:dyDescent="0.25">
      <c r="I4728" s="11" t="b">
        <f t="shared" si="238"/>
        <v>0</v>
      </c>
      <c r="M4728" s="17" t="str">
        <f t="shared" si="236"/>
        <v/>
      </c>
      <c r="N4728" s="11" t="str">
        <f t="shared" si="237"/>
        <v/>
      </c>
    </row>
    <row r="4729" spans="9:14" x14ac:dyDescent="0.25">
      <c r="I4729" s="11" t="b">
        <f t="shared" si="238"/>
        <v>0</v>
      </c>
      <c r="M4729" s="17" t="str">
        <f t="shared" si="236"/>
        <v/>
      </c>
      <c r="N4729" s="11" t="str">
        <f t="shared" si="237"/>
        <v/>
      </c>
    </row>
    <row r="4730" spans="9:14" x14ac:dyDescent="0.25">
      <c r="I4730" s="11" t="b">
        <f t="shared" si="238"/>
        <v>0</v>
      </c>
      <c r="M4730" s="17" t="str">
        <f t="shared" si="236"/>
        <v/>
      </c>
      <c r="N4730" s="11" t="str">
        <f t="shared" si="237"/>
        <v/>
      </c>
    </row>
    <row r="4731" spans="9:14" x14ac:dyDescent="0.25">
      <c r="I4731" s="11" t="b">
        <f t="shared" si="238"/>
        <v>0</v>
      </c>
      <c r="M4731" s="17" t="str">
        <f t="shared" si="236"/>
        <v/>
      </c>
      <c r="N4731" s="11" t="str">
        <f t="shared" si="237"/>
        <v/>
      </c>
    </row>
    <row r="4732" spans="9:14" x14ac:dyDescent="0.25">
      <c r="I4732" s="11" t="b">
        <f t="shared" si="238"/>
        <v>0</v>
      </c>
      <c r="M4732" s="17" t="str">
        <f t="shared" si="236"/>
        <v/>
      </c>
      <c r="N4732" s="11" t="str">
        <f t="shared" si="237"/>
        <v/>
      </c>
    </row>
    <row r="4733" spans="9:14" x14ac:dyDescent="0.25">
      <c r="I4733" s="11" t="b">
        <f t="shared" si="238"/>
        <v>0</v>
      </c>
      <c r="M4733" s="17" t="str">
        <f t="shared" si="236"/>
        <v/>
      </c>
      <c r="N4733" s="11" t="str">
        <f t="shared" si="237"/>
        <v/>
      </c>
    </row>
    <row r="4734" spans="9:14" x14ac:dyDescent="0.25">
      <c r="I4734" s="11" t="b">
        <f t="shared" si="238"/>
        <v>0</v>
      </c>
      <c r="M4734" s="17" t="str">
        <f t="shared" si="236"/>
        <v/>
      </c>
      <c r="N4734" s="11" t="str">
        <f t="shared" si="237"/>
        <v/>
      </c>
    </row>
    <row r="4735" spans="9:14" x14ac:dyDescent="0.25">
      <c r="I4735" s="11" t="b">
        <f t="shared" si="238"/>
        <v>0</v>
      </c>
      <c r="M4735" s="17" t="str">
        <f t="shared" si="236"/>
        <v/>
      </c>
      <c r="N4735" s="11" t="str">
        <f t="shared" si="237"/>
        <v/>
      </c>
    </row>
    <row r="4736" spans="9:14" x14ac:dyDescent="0.25">
      <c r="I4736" s="11" t="b">
        <f t="shared" si="238"/>
        <v>0</v>
      </c>
      <c r="M4736" s="17" t="str">
        <f t="shared" si="236"/>
        <v/>
      </c>
      <c r="N4736" s="11" t="str">
        <f t="shared" si="237"/>
        <v/>
      </c>
    </row>
    <row r="4737" spans="9:14" x14ac:dyDescent="0.25">
      <c r="I4737" s="11" t="b">
        <f t="shared" si="238"/>
        <v>0</v>
      </c>
      <c r="M4737" s="17" t="str">
        <f t="shared" ref="M4737:M4800" si="239">IF(B4737=0, "",M4736+ J4737-K4737)</f>
        <v/>
      </c>
      <c r="N4737" s="11" t="str">
        <f t="shared" ref="N4737:N4800" si="240">IF(B4737=0, "", MONTH(B4737))</f>
        <v/>
      </c>
    </row>
    <row r="4738" spans="9:14" x14ac:dyDescent="0.25">
      <c r="I4738" s="11" t="b">
        <f t="shared" si="238"/>
        <v>0</v>
      </c>
      <c r="M4738" s="17" t="str">
        <f t="shared" si="239"/>
        <v/>
      </c>
      <c r="N4738" s="11" t="str">
        <f t="shared" si="240"/>
        <v/>
      </c>
    </row>
    <row r="4739" spans="9:14" x14ac:dyDescent="0.25">
      <c r="I4739" s="11" t="b">
        <f t="shared" si="238"/>
        <v>0</v>
      </c>
      <c r="M4739" s="17" t="str">
        <f t="shared" si="239"/>
        <v/>
      </c>
      <c r="N4739" s="11" t="str">
        <f t="shared" si="240"/>
        <v/>
      </c>
    </row>
    <row r="4740" spans="9:14" x14ac:dyDescent="0.25">
      <c r="I4740" s="11" t="b">
        <f t="shared" si="238"/>
        <v>0</v>
      </c>
      <c r="M4740" s="17" t="str">
        <f t="shared" si="239"/>
        <v/>
      </c>
      <c r="N4740" s="11" t="str">
        <f t="shared" si="240"/>
        <v/>
      </c>
    </row>
    <row r="4741" spans="9:14" x14ac:dyDescent="0.25">
      <c r="I4741" s="11" t="b">
        <f t="shared" si="238"/>
        <v>0</v>
      </c>
      <c r="M4741" s="17" t="str">
        <f t="shared" si="239"/>
        <v/>
      </c>
      <c r="N4741" s="11" t="str">
        <f t="shared" si="240"/>
        <v/>
      </c>
    </row>
    <row r="4742" spans="9:14" x14ac:dyDescent="0.25">
      <c r="I4742" s="11" t="b">
        <f t="shared" si="238"/>
        <v>0</v>
      </c>
      <c r="M4742" s="17" t="str">
        <f t="shared" si="239"/>
        <v/>
      </c>
      <c r="N4742" s="11" t="str">
        <f t="shared" si="240"/>
        <v/>
      </c>
    </row>
    <row r="4743" spans="9:14" x14ac:dyDescent="0.25">
      <c r="I4743" s="11" t="b">
        <f t="shared" si="238"/>
        <v>0</v>
      </c>
      <c r="M4743" s="17" t="str">
        <f t="shared" si="239"/>
        <v/>
      </c>
      <c r="N4743" s="11" t="str">
        <f t="shared" si="240"/>
        <v/>
      </c>
    </row>
    <row r="4744" spans="9:14" x14ac:dyDescent="0.25">
      <c r="I4744" s="11" t="b">
        <f t="shared" si="238"/>
        <v>0</v>
      </c>
      <c r="M4744" s="17" t="str">
        <f t="shared" si="239"/>
        <v/>
      </c>
      <c r="N4744" s="11" t="str">
        <f t="shared" si="240"/>
        <v/>
      </c>
    </row>
    <row r="4745" spans="9:14" x14ac:dyDescent="0.25">
      <c r="I4745" s="11" t="b">
        <f t="shared" si="238"/>
        <v>0</v>
      </c>
      <c r="M4745" s="17" t="str">
        <f t="shared" si="239"/>
        <v/>
      </c>
      <c r="N4745" s="11" t="str">
        <f t="shared" si="240"/>
        <v/>
      </c>
    </row>
    <row r="4746" spans="9:14" x14ac:dyDescent="0.25">
      <c r="I4746" s="11" t="b">
        <f t="shared" si="238"/>
        <v>0</v>
      </c>
      <c r="M4746" s="17" t="str">
        <f t="shared" si="239"/>
        <v/>
      </c>
      <c r="N4746" s="11" t="str">
        <f t="shared" si="240"/>
        <v/>
      </c>
    </row>
    <row r="4747" spans="9:14" x14ac:dyDescent="0.25">
      <c r="I4747" s="11" t="b">
        <f t="shared" si="238"/>
        <v>0</v>
      </c>
      <c r="M4747" s="17" t="str">
        <f t="shared" si="239"/>
        <v/>
      </c>
      <c r="N4747" s="11" t="str">
        <f t="shared" si="240"/>
        <v/>
      </c>
    </row>
    <row r="4748" spans="9:14" x14ac:dyDescent="0.25">
      <c r="I4748" s="11" t="b">
        <f t="shared" si="238"/>
        <v>0</v>
      </c>
      <c r="M4748" s="17" t="str">
        <f t="shared" si="239"/>
        <v/>
      </c>
      <c r="N4748" s="11" t="str">
        <f t="shared" si="240"/>
        <v/>
      </c>
    </row>
    <row r="4749" spans="9:14" x14ac:dyDescent="0.25">
      <c r="I4749" s="11" t="b">
        <f t="shared" si="238"/>
        <v>0</v>
      </c>
      <c r="M4749" s="17" t="str">
        <f t="shared" si="239"/>
        <v/>
      </c>
      <c r="N4749" s="11" t="str">
        <f t="shared" si="240"/>
        <v/>
      </c>
    </row>
    <row r="4750" spans="9:14" x14ac:dyDescent="0.25">
      <c r="I4750" s="11" t="b">
        <f t="shared" si="238"/>
        <v>0</v>
      </c>
      <c r="M4750" s="17" t="str">
        <f t="shared" si="239"/>
        <v/>
      </c>
      <c r="N4750" s="11" t="str">
        <f t="shared" si="240"/>
        <v/>
      </c>
    </row>
    <row r="4751" spans="9:14" x14ac:dyDescent="0.25">
      <c r="I4751" s="11" t="b">
        <f t="shared" si="238"/>
        <v>0</v>
      </c>
      <c r="M4751" s="17" t="str">
        <f t="shared" si="239"/>
        <v/>
      </c>
      <c r="N4751" s="11" t="str">
        <f t="shared" si="240"/>
        <v/>
      </c>
    </row>
    <row r="4752" spans="9:14" x14ac:dyDescent="0.25">
      <c r="I4752" s="11" t="b">
        <f t="shared" si="238"/>
        <v>0</v>
      </c>
      <c r="M4752" s="17" t="str">
        <f t="shared" si="239"/>
        <v/>
      </c>
      <c r="N4752" s="11" t="str">
        <f t="shared" si="240"/>
        <v/>
      </c>
    </row>
    <row r="4753" spans="9:14" x14ac:dyDescent="0.25">
      <c r="I4753" s="11" t="b">
        <f t="shared" si="238"/>
        <v>0</v>
      </c>
      <c r="M4753" s="17" t="str">
        <f t="shared" si="239"/>
        <v/>
      </c>
      <c r="N4753" s="11" t="str">
        <f t="shared" si="240"/>
        <v/>
      </c>
    </row>
    <row r="4754" spans="9:14" x14ac:dyDescent="0.25">
      <c r="I4754" s="11" t="b">
        <f t="shared" si="238"/>
        <v>0</v>
      </c>
      <c r="M4754" s="17" t="str">
        <f t="shared" si="239"/>
        <v/>
      </c>
      <c r="N4754" s="11" t="str">
        <f t="shared" si="240"/>
        <v/>
      </c>
    </row>
    <row r="4755" spans="9:14" x14ac:dyDescent="0.25">
      <c r="I4755" s="11" t="b">
        <f t="shared" si="238"/>
        <v>0</v>
      </c>
      <c r="M4755" s="17" t="str">
        <f t="shared" si="239"/>
        <v/>
      </c>
      <c r="N4755" s="11" t="str">
        <f t="shared" si="240"/>
        <v/>
      </c>
    </row>
    <row r="4756" spans="9:14" x14ac:dyDescent="0.25">
      <c r="I4756" s="11" t="b">
        <f t="shared" si="238"/>
        <v>0</v>
      </c>
      <c r="M4756" s="17" t="str">
        <f t="shared" si="239"/>
        <v/>
      </c>
      <c r="N4756" s="11" t="str">
        <f t="shared" si="240"/>
        <v/>
      </c>
    </row>
    <row r="4757" spans="9:14" x14ac:dyDescent="0.25">
      <c r="I4757" s="11" t="b">
        <f t="shared" si="238"/>
        <v>0</v>
      </c>
      <c r="M4757" s="17" t="str">
        <f t="shared" si="239"/>
        <v/>
      </c>
      <c r="N4757" s="11" t="str">
        <f t="shared" si="240"/>
        <v/>
      </c>
    </row>
    <row r="4758" spans="9:14" x14ac:dyDescent="0.25">
      <c r="I4758" s="11" t="b">
        <f t="shared" si="238"/>
        <v>0</v>
      </c>
      <c r="M4758" s="17" t="str">
        <f t="shared" si="239"/>
        <v/>
      </c>
      <c r="N4758" s="11" t="str">
        <f t="shared" si="240"/>
        <v/>
      </c>
    </row>
    <row r="4759" spans="9:14" x14ac:dyDescent="0.25">
      <c r="I4759" s="11" t="b">
        <f t="shared" si="238"/>
        <v>0</v>
      </c>
      <c r="M4759" s="17" t="str">
        <f t="shared" si="239"/>
        <v/>
      </c>
      <c r="N4759" s="11" t="str">
        <f t="shared" si="240"/>
        <v/>
      </c>
    </row>
    <row r="4760" spans="9:14" x14ac:dyDescent="0.25">
      <c r="I4760" s="11" t="b">
        <f t="shared" si="238"/>
        <v>0</v>
      </c>
      <c r="M4760" s="17" t="str">
        <f t="shared" si="239"/>
        <v/>
      </c>
      <c r="N4760" s="11" t="str">
        <f t="shared" si="240"/>
        <v/>
      </c>
    </row>
    <row r="4761" spans="9:14" x14ac:dyDescent="0.25">
      <c r="I4761" s="11" t="b">
        <f t="shared" si="238"/>
        <v>0</v>
      </c>
      <c r="M4761" s="17" t="str">
        <f t="shared" si="239"/>
        <v/>
      </c>
      <c r="N4761" s="11" t="str">
        <f t="shared" si="240"/>
        <v/>
      </c>
    </row>
    <row r="4762" spans="9:14" x14ac:dyDescent="0.25">
      <c r="I4762" s="11" t="b">
        <f t="shared" si="238"/>
        <v>0</v>
      </c>
      <c r="M4762" s="17" t="str">
        <f t="shared" si="239"/>
        <v/>
      </c>
      <c r="N4762" s="11" t="str">
        <f t="shared" si="240"/>
        <v/>
      </c>
    </row>
    <row r="4763" spans="9:14" x14ac:dyDescent="0.25">
      <c r="I4763" s="11" t="b">
        <f t="shared" si="238"/>
        <v>0</v>
      </c>
      <c r="M4763" s="17" t="str">
        <f t="shared" si="239"/>
        <v/>
      </c>
      <c r="N4763" s="11" t="str">
        <f t="shared" si="240"/>
        <v/>
      </c>
    </row>
    <row r="4764" spans="9:14" x14ac:dyDescent="0.25">
      <c r="I4764" s="11" t="b">
        <f t="shared" si="238"/>
        <v>0</v>
      </c>
      <c r="M4764" s="17" t="str">
        <f t="shared" si="239"/>
        <v/>
      </c>
      <c r="N4764" s="11" t="str">
        <f t="shared" si="240"/>
        <v/>
      </c>
    </row>
    <row r="4765" spans="9:14" x14ac:dyDescent="0.25">
      <c r="I4765" s="11" t="b">
        <f t="shared" ref="I4765:I4828" si="241">IF(AND(G4765="MERCADO PAGO",A4765="FATURAMENTO"),1,IF(AND(OR(G4765="MERCADO PAGO",G4765="pix mercado pago",G4765= "débito automático mercado pago", G4765= "boleto mercado pago"),A4765="DESPESAS"),4,IF(AND(G4765="SAFRA",A4765="FATURAMENTO"),2,IF(AND(OR(G4765="SAFRA",G4765="PIX SAFRA", G4765="DÉBITO AUTOMÁTICO SAFRA", G4765= "BOLETO SAFRA", G4765= "transferência safra"), A4765="DESPESAS"),5,IF(AND(G4765="espécie",A4765="FATURAMENTO"),3,IF(AND(G4765="espécie",A4765="DESPESAS"),6))))))</f>
        <v>0</v>
      </c>
      <c r="M4765" s="17" t="str">
        <f t="shared" si="239"/>
        <v/>
      </c>
      <c r="N4765" s="11" t="str">
        <f t="shared" si="240"/>
        <v/>
      </c>
    </row>
    <row r="4766" spans="9:14" x14ac:dyDescent="0.25">
      <c r="I4766" s="11" t="b">
        <f t="shared" si="241"/>
        <v>0</v>
      </c>
      <c r="M4766" s="17" t="str">
        <f t="shared" si="239"/>
        <v/>
      </c>
      <c r="N4766" s="11" t="str">
        <f t="shared" si="240"/>
        <v/>
      </c>
    </row>
    <row r="4767" spans="9:14" x14ac:dyDescent="0.25">
      <c r="I4767" s="11" t="b">
        <f t="shared" si="241"/>
        <v>0</v>
      </c>
      <c r="M4767" s="17" t="str">
        <f t="shared" si="239"/>
        <v/>
      </c>
      <c r="N4767" s="11" t="str">
        <f t="shared" si="240"/>
        <v/>
      </c>
    </row>
    <row r="4768" spans="9:14" x14ac:dyDescent="0.25">
      <c r="I4768" s="11" t="b">
        <f t="shared" si="241"/>
        <v>0</v>
      </c>
      <c r="M4768" s="17" t="str">
        <f t="shared" si="239"/>
        <v/>
      </c>
      <c r="N4768" s="11" t="str">
        <f t="shared" si="240"/>
        <v/>
      </c>
    </row>
    <row r="4769" spans="9:14" x14ac:dyDescent="0.25">
      <c r="I4769" s="11" t="b">
        <f t="shared" si="241"/>
        <v>0</v>
      </c>
      <c r="M4769" s="17" t="str">
        <f t="shared" si="239"/>
        <v/>
      </c>
      <c r="N4769" s="11" t="str">
        <f t="shared" si="240"/>
        <v/>
      </c>
    </row>
    <row r="4770" spans="9:14" x14ac:dyDescent="0.25">
      <c r="I4770" s="11" t="b">
        <f t="shared" si="241"/>
        <v>0</v>
      </c>
      <c r="M4770" s="17" t="str">
        <f t="shared" si="239"/>
        <v/>
      </c>
      <c r="N4770" s="11" t="str">
        <f t="shared" si="240"/>
        <v/>
      </c>
    </row>
    <row r="4771" spans="9:14" x14ac:dyDescent="0.25">
      <c r="I4771" s="11" t="b">
        <f t="shared" si="241"/>
        <v>0</v>
      </c>
      <c r="M4771" s="17" t="str">
        <f t="shared" si="239"/>
        <v/>
      </c>
      <c r="N4771" s="11" t="str">
        <f t="shared" si="240"/>
        <v/>
      </c>
    </row>
    <row r="4772" spans="9:14" x14ac:dyDescent="0.25">
      <c r="I4772" s="11" t="b">
        <f t="shared" si="241"/>
        <v>0</v>
      </c>
      <c r="M4772" s="17" t="str">
        <f t="shared" si="239"/>
        <v/>
      </c>
      <c r="N4772" s="11" t="str">
        <f t="shared" si="240"/>
        <v/>
      </c>
    </row>
    <row r="4773" spans="9:14" x14ac:dyDescent="0.25">
      <c r="I4773" s="11" t="b">
        <f t="shared" si="241"/>
        <v>0</v>
      </c>
      <c r="M4773" s="17" t="str">
        <f t="shared" si="239"/>
        <v/>
      </c>
      <c r="N4773" s="11" t="str">
        <f t="shared" si="240"/>
        <v/>
      </c>
    </row>
    <row r="4774" spans="9:14" x14ac:dyDescent="0.25">
      <c r="I4774" s="11" t="b">
        <f t="shared" si="241"/>
        <v>0</v>
      </c>
      <c r="M4774" s="17" t="str">
        <f t="shared" si="239"/>
        <v/>
      </c>
      <c r="N4774" s="11" t="str">
        <f t="shared" si="240"/>
        <v/>
      </c>
    </row>
    <row r="4775" spans="9:14" x14ac:dyDescent="0.25">
      <c r="I4775" s="11" t="b">
        <f t="shared" si="241"/>
        <v>0</v>
      </c>
      <c r="M4775" s="17" t="str">
        <f t="shared" si="239"/>
        <v/>
      </c>
      <c r="N4775" s="11" t="str">
        <f t="shared" si="240"/>
        <v/>
      </c>
    </row>
    <row r="4776" spans="9:14" x14ac:dyDescent="0.25">
      <c r="I4776" s="11" t="b">
        <f t="shared" si="241"/>
        <v>0</v>
      </c>
      <c r="M4776" s="17" t="str">
        <f t="shared" si="239"/>
        <v/>
      </c>
      <c r="N4776" s="11" t="str">
        <f t="shared" si="240"/>
        <v/>
      </c>
    </row>
    <row r="4777" spans="9:14" x14ac:dyDescent="0.25">
      <c r="I4777" s="11" t="b">
        <f t="shared" si="241"/>
        <v>0</v>
      </c>
      <c r="M4777" s="17" t="str">
        <f t="shared" si="239"/>
        <v/>
      </c>
      <c r="N4777" s="11" t="str">
        <f t="shared" si="240"/>
        <v/>
      </c>
    </row>
    <row r="4778" spans="9:14" x14ac:dyDescent="0.25">
      <c r="I4778" s="11" t="b">
        <f t="shared" si="241"/>
        <v>0</v>
      </c>
      <c r="M4778" s="17" t="str">
        <f t="shared" si="239"/>
        <v/>
      </c>
      <c r="N4778" s="11" t="str">
        <f t="shared" si="240"/>
        <v/>
      </c>
    </row>
    <row r="4779" spans="9:14" x14ac:dyDescent="0.25">
      <c r="I4779" s="11" t="b">
        <f t="shared" si="241"/>
        <v>0</v>
      </c>
      <c r="M4779" s="17" t="str">
        <f t="shared" si="239"/>
        <v/>
      </c>
      <c r="N4779" s="11" t="str">
        <f t="shared" si="240"/>
        <v/>
      </c>
    </row>
    <row r="4780" spans="9:14" x14ac:dyDescent="0.25">
      <c r="I4780" s="11" t="b">
        <f t="shared" si="241"/>
        <v>0</v>
      </c>
      <c r="M4780" s="17" t="str">
        <f t="shared" si="239"/>
        <v/>
      </c>
      <c r="N4780" s="11" t="str">
        <f t="shared" si="240"/>
        <v/>
      </c>
    </row>
    <row r="4781" spans="9:14" x14ac:dyDescent="0.25">
      <c r="I4781" s="11" t="b">
        <f t="shared" si="241"/>
        <v>0</v>
      </c>
      <c r="M4781" s="17" t="str">
        <f t="shared" si="239"/>
        <v/>
      </c>
      <c r="N4781" s="11" t="str">
        <f t="shared" si="240"/>
        <v/>
      </c>
    </row>
    <row r="4782" spans="9:14" x14ac:dyDescent="0.25">
      <c r="I4782" s="11" t="b">
        <f t="shared" si="241"/>
        <v>0</v>
      </c>
      <c r="M4782" s="17" t="str">
        <f t="shared" si="239"/>
        <v/>
      </c>
      <c r="N4782" s="11" t="str">
        <f t="shared" si="240"/>
        <v/>
      </c>
    </row>
    <row r="4783" spans="9:14" x14ac:dyDescent="0.25">
      <c r="I4783" s="11" t="b">
        <f t="shared" si="241"/>
        <v>0</v>
      </c>
      <c r="M4783" s="17" t="str">
        <f t="shared" si="239"/>
        <v/>
      </c>
      <c r="N4783" s="11" t="str">
        <f t="shared" si="240"/>
        <v/>
      </c>
    </row>
    <row r="4784" spans="9:14" x14ac:dyDescent="0.25">
      <c r="I4784" s="11" t="b">
        <f t="shared" si="241"/>
        <v>0</v>
      </c>
      <c r="M4784" s="17" t="str">
        <f t="shared" si="239"/>
        <v/>
      </c>
      <c r="N4784" s="11" t="str">
        <f t="shared" si="240"/>
        <v/>
      </c>
    </row>
    <row r="4785" spans="9:14" x14ac:dyDescent="0.25">
      <c r="I4785" s="11" t="b">
        <f t="shared" si="241"/>
        <v>0</v>
      </c>
      <c r="M4785" s="17" t="str">
        <f t="shared" si="239"/>
        <v/>
      </c>
      <c r="N4785" s="11" t="str">
        <f t="shared" si="240"/>
        <v/>
      </c>
    </row>
    <row r="4786" spans="9:14" x14ac:dyDescent="0.25">
      <c r="I4786" s="11" t="b">
        <f t="shared" si="241"/>
        <v>0</v>
      </c>
      <c r="M4786" s="17" t="str">
        <f t="shared" si="239"/>
        <v/>
      </c>
      <c r="N4786" s="11" t="str">
        <f t="shared" si="240"/>
        <v/>
      </c>
    </row>
    <row r="4787" spans="9:14" x14ac:dyDescent="0.25">
      <c r="I4787" s="11" t="b">
        <f t="shared" si="241"/>
        <v>0</v>
      </c>
      <c r="M4787" s="17" t="str">
        <f t="shared" si="239"/>
        <v/>
      </c>
      <c r="N4787" s="11" t="str">
        <f t="shared" si="240"/>
        <v/>
      </c>
    </row>
    <row r="4788" spans="9:14" x14ac:dyDescent="0.25">
      <c r="I4788" s="11" t="b">
        <f t="shared" si="241"/>
        <v>0</v>
      </c>
      <c r="M4788" s="17" t="str">
        <f t="shared" si="239"/>
        <v/>
      </c>
      <c r="N4788" s="11" t="str">
        <f t="shared" si="240"/>
        <v/>
      </c>
    </row>
    <row r="4789" spans="9:14" x14ac:dyDescent="0.25">
      <c r="I4789" s="11" t="b">
        <f t="shared" si="241"/>
        <v>0</v>
      </c>
      <c r="M4789" s="17" t="str">
        <f t="shared" si="239"/>
        <v/>
      </c>
      <c r="N4789" s="11" t="str">
        <f t="shared" si="240"/>
        <v/>
      </c>
    </row>
    <row r="4790" spans="9:14" x14ac:dyDescent="0.25">
      <c r="I4790" s="11" t="b">
        <f t="shared" si="241"/>
        <v>0</v>
      </c>
      <c r="M4790" s="17" t="str">
        <f t="shared" si="239"/>
        <v/>
      </c>
      <c r="N4790" s="11" t="str">
        <f t="shared" si="240"/>
        <v/>
      </c>
    </row>
    <row r="4791" spans="9:14" x14ac:dyDescent="0.25">
      <c r="I4791" s="11" t="b">
        <f t="shared" si="241"/>
        <v>0</v>
      </c>
      <c r="M4791" s="17" t="str">
        <f t="shared" si="239"/>
        <v/>
      </c>
      <c r="N4791" s="11" t="str">
        <f t="shared" si="240"/>
        <v/>
      </c>
    </row>
    <row r="4792" spans="9:14" x14ac:dyDescent="0.25">
      <c r="I4792" s="11" t="b">
        <f t="shared" si="241"/>
        <v>0</v>
      </c>
      <c r="M4792" s="17" t="str">
        <f t="shared" si="239"/>
        <v/>
      </c>
      <c r="N4792" s="11" t="str">
        <f t="shared" si="240"/>
        <v/>
      </c>
    </row>
    <row r="4793" spans="9:14" x14ac:dyDescent="0.25">
      <c r="I4793" s="11" t="b">
        <f t="shared" si="241"/>
        <v>0</v>
      </c>
      <c r="M4793" s="17" t="str">
        <f t="shared" si="239"/>
        <v/>
      </c>
      <c r="N4793" s="11" t="str">
        <f t="shared" si="240"/>
        <v/>
      </c>
    </row>
    <row r="4794" spans="9:14" x14ac:dyDescent="0.25">
      <c r="I4794" s="11" t="b">
        <f t="shared" si="241"/>
        <v>0</v>
      </c>
      <c r="M4794" s="17" t="str">
        <f t="shared" si="239"/>
        <v/>
      </c>
      <c r="N4794" s="11" t="str">
        <f t="shared" si="240"/>
        <v/>
      </c>
    </row>
    <row r="4795" spans="9:14" x14ac:dyDescent="0.25">
      <c r="I4795" s="11" t="b">
        <f t="shared" si="241"/>
        <v>0</v>
      </c>
      <c r="M4795" s="17" t="str">
        <f t="shared" si="239"/>
        <v/>
      </c>
      <c r="N4795" s="11" t="str">
        <f t="shared" si="240"/>
        <v/>
      </c>
    </row>
    <row r="4796" spans="9:14" x14ac:dyDescent="0.25">
      <c r="I4796" s="11" t="b">
        <f t="shared" si="241"/>
        <v>0</v>
      </c>
      <c r="M4796" s="17" t="str">
        <f t="shared" si="239"/>
        <v/>
      </c>
      <c r="N4796" s="11" t="str">
        <f t="shared" si="240"/>
        <v/>
      </c>
    </row>
    <row r="4797" spans="9:14" x14ac:dyDescent="0.25">
      <c r="I4797" s="11" t="b">
        <f t="shared" si="241"/>
        <v>0</v>
      </c>
      <c r="M4797" s="17" t="str">
        <f t="shared" si="239"/>
        <v/>
      </c>
      <c r="N4797" s="11" t="str">
        <f t="shared" si="240"/>
        <v/>
      </c>
    </row>
    <row r="4798" spans="9:14" x14ac:dyDescent="0.25">
      <c r="I4798" s="11" t="b">
        <f t="shared" si="241"/>
        <v>0</v>
      </c>
      <c r="M4798" s="17" t="str">
        <f t="shared" si="239"/>
        <v/>
      </c>
      <c r="N4798" s="11" t="str">
        <f t="shared" si="240"/>
        <v/>
      </c>
    </row>
    <row r="4799" spans="9:14" x14ac:dyDescent="0.25">
      <c r="I4799" s="11" t="b">
        <f t="shared" si="241"/>
        <v>0</v>
      </c>
      <c r="M4799" s="17" t="str">
        <f t="shared" si="239"/>
        <v/>
      </c>
      <c r="N4799" s="11" t="str">
        <f t="shared" si="240"/>
        <v/>
      </c>
    </row>
    <row r="4800" spans="9:14" x14ac:dyDescent="0.25">
      <c r="I4800" s="11" t="b">
        <f t="shared" si="241"/>
        <v>0</v>
      </c>
      <c r="M4800" s="17" t="str">
        <f t="shared" si="239"/>
        <v/>
      </c>
      <c r="N4800" s="11" t="str">
        <f t="shared" si="240"/>
        <v/>
      </c>
    </row>
    <row r="4801" spans="9:14" x14ac:dyDescent="0.25">
      <c r="I4801" s="11" t="b">
        <f t="shared" si="241"/>
        <v>0</v>
      </c>
      <c r="M4801" s="17" t="str">
        <f t="shared" ref="M4801:M4864" si="242">IF(B4801=0, "",M4800+ J4801-K4801)</f>
        <v/>
      </c>
      <c r="N4801" s="11" t="str">
        <f t="shared" ref="N4801:N4864" si="243">IF(B4801=0, "", MONTH(B4801))</f>
        <v/>
      </c>
    </row>
    <row r="4802" spans="9:14" x14ac:dyDescent="0.25">
      <c r="I4802" s="11" t="b">
        <f t="shared" si="241"/>
        <v>0</v>
      </c>
      <c r="M4802" s="17" t="str">
        <f t="shared" si="242"/>
        <v/>
      </c>
      <c r="N4802" s="11" t="str">
        <f t="shared" si="243"/>
        <v/>
      </c>
    </row>
    <row r="4803" spans="9:14" x14ac:dyDescent="0.25">
      <c r="I4803" s="11" t="b">
        <f t="shared" si="241"/>
        <v>0</v>
      </c>
      <c r="M4803" s="17" t="str">
        <f t="shared" si="242"/>
        <v/>
      </c>
      <c r="N4803" s="11" t="str">
        <f t="shared" si="243"/>
        <v/>
      </c>
    </row>
    <row r="4804" spans="9:14" x14ac:dyDescent="0.25">
      <c r="I4804" s="11" t="b">
        <f t="shared" si="241"/>
        <v>0</v>
      </c>
      <c r="M4804" s="17" t="str">
        <f t="shared" si="242"/>
        <v/>
      </c>
      <c r="N4804" s="11" t="str">
        <f t="shared" si="243"/>
        <v/>
      </c>
    </row>
    <row r="4805" spans="9:14" x14ac:dyDescent="0.25">
      <c r="I4805" s="11" t="b">
        <f t="shared" si="241"/>
        <v>0</v>
      </c>
      <c r="M4805" s="17" t="str">
        <f t="shared" si="242"/>
        <v/>
      </c>
      <c r="N4805" s="11" t="str">
        <f t="shared" si="243"/>
        <v/>
      </c>
    </row>
    <row r="4806" spans="9:14" x14ac:dyDescent="0.25">
      <c r="I4806" s="11" t="b">
        <f t="shared" si="241"/>
        <v>0</v>
      </c>
      <c r="M4806" s="17" t="str">
        <f t="shared" si="242"/>
        <v/>
      </c>
      <c r="N4806" s="11" t="str">
        <f t="shared" si="243"/>
        <v/>
      </c>
    </row>
    <row r="4807" spans="9:14" x14ac:dyDescent="0.25">
      <c r="I4807" s="11" t="b">
        <f t="shared" si="241"/>
        <v>0</v>
      </c>
      <c r="M4807" s="17" t="str">
        <f t="shared" si="242"/>
        <v/>
      </c>
      <c r="N4807" s="11" t="str">
        <f t="shared" si="243"/>
        <v/>
      </c>
    </row>
    <row r="4808" spans="9:14" x14ac:dyDescent="0.25">
      <c r="I4808" s="11" t="b">
        <f t="shared" si="241"/>
        <v>0</v>
      </c>
      <c r="M4808" s="17" t="str">
        <f t="shared" si="242"/>
        <v/>
      </c>
      <c r="N4808" s="11" t="str">
        <f t="shared" si="243"/>
        <v/>
      </c>
    </row>
    <row r="4809" spans="9:14" x14ac:dyDescent="0.25">
      <c r="I4809" s="11" t="b">
        <f t="shared" si="241"/>
        <v>0</v>
      </c>
      <c r="M4809" s="17" t="str">
        <f t="shared" si="242"/>
        <v/>
      </c>
      <c r="N4809" s="11" t="str">
        <f t="shared" si="243"/>
        <v/>
      </c>
    </row>
    <row r="4810" spans="9:14" x14ac:dyDescent="0.25">
      <c r="I4810" s="11" t="b">
        <f t="shared" si="241"/>
        <v>0</v>
      </c>
      <c r="M4810" s="17" t="str">
        <f t="shared" si="242"/>
        <v/>
      </c>
      <c r="N4810" s="11" t="str">
        <f t="shared" si="243"/>
        <v/>
      </c>
    </row>
    <row r="4811" spans="9:14" x14ac:dyDescent="0.25">
      <c r="I4811" s="11" t="b">
        <f t="shared" si="241"/>
        <v>0</v>
      </c>
      <c r="M4811" s="17" t="str">
        <f t="shared" si="242"/>
        <v/>
      </c>
      <c r="N4811" s="11" t="str">
        <f t="shared" si="243"/>
        <v/>
      </c>
    </row>
    <row r="4812" spans="9:14" x14ac:dyDescent="0.25">
      <c r="I4812" s="11" t="b">
        <f t="shared" si="241"/>
        <v>0</v>
      </c>
      <c r="M4812" s="17" t="str">
        <f t="shared" si="242"/>
        <v/>
      </c>
      <c r="N4812" s="11" t="str">
        <f t="shared" si="243"/>
        <v/>
      </c>
    </row>
    <row r="4813" spans="9:14" x14ac:dyDescent="0.25">
      <c r="I4813" s="11" t="b">
        <f t="shared" si="241"/>
        <v>0</v>
      </c>
      <c r="M4813" s="17" t="str">
        <f t="shared" si="242"/>
        <v/>
      </c>
      <c r="N4813" s="11" t="str">
        <f t="shared" si="243"/>
        <v/>
      </c>
    </row>
    <row r="4814" spans="9:14" x14ac:dyDescent="0.25">
      <c r="I4814" s="11" t="b">
        <f t="shared" si="241"/>
        <v>0</v>
      </c>
      <c r="M4814" s="17" t="str">
        <f t="shared" si="242"/>
        <v/>
      </c>
      <c r="N4814" s="11" t="str">
        <f t="shared" si="243"/>
        <v/>
      </c>
    </row>
    <row r="4815" spans="9:14" x14ac:dyDescent="0.25">
      <c r="I4815" s="11" t="b">
        <f t="shared" si="241"/>
        <v>0</v>
      </c>
      <c r="M4815" s="17" t="str">
        <f t="shared" si="242"/>
        <v/>
      </c>
      <c r="N4815" s="11" t="str">
        <f t="shared" si="243"/>
        <v/>
      </c>
    </row>
    <row r="4816" spans="9:14" x14ac:dyDescent="0.25">
      <c r="I4816" s="11" t="b">
        <f t="shared" si="241"/>
        <v>0</v>
      </c>
      <c r="M4816" s="17" t="str">
        <f t="shared" si="242"/>
        <v/>
      </c>
      <c r="N4816" s="11" t="str">
        <f t="shared" si="243"/>
        <v/>
      </c>
    </row>
    <row r="4817" spans="9:14" x14ac:dyDescent="0.25">
      <c r="I4817" s="11" t="b">
        <f t="shared" si="241"/>
        <v>0</v>
      </c>
      <c r="M4817" s="17" t="str">
        <f t="shared" si="242"/>
        <v/>
      </c>
      <c r="N4817" s="11" t="str">
        <f t="shared" si="243"/>
        <v/>
      </c>
    </row>
    <row r="4818" spans="9:14" x14ac:dyDescent="0.25">
      <c r="I4818" s="11" t="b">
        <f t="shared" si="241"/>
        <v>0</v>
      </c>
      <c r="M4818" s="17" t="str">
        <f t="shared" si="242"/>
        <v/>
      </c>
      <c r="N4818" s="11" t="str">
        <f t="shared" si="243"/>
        <v/>
      </c>
    </row>
    <row r="4819" spans="9:14" x14ac:dyDescent="0.25">
      <c r="I4819" s="11" t="b">
        <f t="shared" si="241"/>
        <v>0</v>
      </c>
      <c r="M4819" s="17" t="str">
        <f t="shared" si="242"/>
        <v/>
      </c>
      <c r="N4819" s="11" t="str">
        <f t="shared" si="243"/>
        <v/>
      </c>
    </row>
    <row r="4820" spans="9:14" x14ac:dyDescent="0.25">
      <c r="I4820" s="11" t="b">
        <f t="shared" si="241"/>
        <v>0</v>
      </c>
      <c r="M4820" s="17" t="str">
        <f t="shared" si="242"/>
        <v/>
      </c>
      <c r="N4820" s="11" t="str">
        <f t="shared" si="243"/>
        <v/>
      </c>
    </row>
    <row r="4821" spans="9:14" x14ac:dyDescent="0.25">
      <c r="I4821" s="11" t="b">
        <f t="shared" si="241"/>
        <v>0</v>
      </c>
      <c r="M4821" s="17" t="str">
        <f t="shared" si="242"/>
        <v/>
      </c>
      <c r="N4821" s="11" t="str">
        <f t="shared" si="243"/>
        <v/>
      </c>
    </row>
    <row r="4822" spans="9:14" x14ac:dyDescent="0.25">
      <c r="I4822" s="11" t="b">
        <f t="shared" si="241"/>
        <v>0</v>
      </c>
      <c r="M4822" s="17" t="str">
        <f t="shared" si="242"/>
        <v/>
      </c>
      <c r="N4822" s="11" t="str">
        <f t="shared" si="243"/>
        <v/>
      </c>
    </row>
    <row r="4823" spans="9:14" x14ac:dyDescent="0.25">
      <c r="I4823" s="11" t="b">
        <f t="shared" si="241"/>
        <v>0</v>
      </c>
      <c r="M4823" s="17" t="str">
        <f t="shared" si="242"/>
        <v/>
      </c>
      <c r="N4823" s="11" t="str">
        <f t="shared" si="243"/>
        <v/>
      </c>
    </row>
    <row r="4824" spans="9:14" x14ac:dyDescent="0.25">
      <c r="I4824" s="11" t="b">
        <f t="shared" si="241"/>
        <v>0</v>
      </c>
      <c r="M4824" s="17" t="str">
        <f t="shared" si="242"/>
        <v/>
      </c>
      <c r="N4824" s="11" t="str">
        <f t="shared" si="243"/>
        <v/>
      </c>
    </row>
    <row r="4825" spans="9:14" x14ac:dyDescent="0.25">
      <c r="I4825" s="11" t="b">
        <f t="shared" si="241"/>
        <v>0</v>
      </c>
      <c r="M4825" s="17" t="str">
        <f t="shared" si="242"/>
        <v/>
      </c>
      <c r="N4825" s="11" t="str">
        <f t="shared" si="243"/>
        <v/>
      </c>
    </row>
    <row r="4826" spans="9:14" x14ac:dyDescent="0.25">
      <c r="I4826" s="11" t="b">
        <f t="shared" si="241"/>
        <v>0</v>
      </c>
      <c r="M4826" s="17" t="str">
        <f t="shared" si="242"/>
        <v/>
      </c>
      <c r="N4826" s="11" t="str">
        <f t="shared" si="243"/>
        <v/>
      </c>
    </row>
    <row r="4827" spans="9:14" x14ac:dyDescent="0.25">
      <c r="I4827" s="11" t="b">
        <f t="shared" si="241"/>
        <v>0</v>
      </c>
      <c r="M4827" s="17" t="str">
        <f t="shared" si="242"/>
        <v/>
      </c>
      <c r="N4827" s="11" t="str">
        <f t="shared" si="243"/>
        <v/>
      </c>
    </row>
    <row r="4828" spans="9:14" x14ac:dyDescent="0.25">
      <c r="I4828" s="11" t="b">
        <f t="shared" si="241"/>
        <v>0</v>
      </c>
      <c r="M4828" s="17" t="str">
        <f t="shared" si="242"/>
        <v/>
      </c>
      <c r="N4828" s="11" t="str">
        <f t="shared" si="243"/>
        <v/>
      </c>
    </row>
    <row r="4829" spans="9:14" x14ac:dyDescent="0.25">
      <c r="I4829" s="11" t="b">
        <f t="shared" ref="I4829:I4892" si="244">IF(AND(G4829="MERCADO PAGO",A4829="FATURAMENTO"),1,IF(AND(OR(G4829="MERCADO PAGO",G4829="pix mercado pago",G4829= "débito automático mercado pago", G4829= "boleto mercado pago"),A4829="DESPESAS"),4,IF(AND(G4829="SAFRA",A4829="FATURAMENTO"),2,IF(AND(OR(G4829="SAFRA",G4829="PIX SAFRA", G4829="DÉBITO AUTOMÁTICO SAFRA", G4829= "BOLETO SAFRA", G4829= "transferência safra"), A4829="DESPESAS"),5,IF(AND(G4829="espécie",A4829="FATURAMENTO"),3,IF(AND(G4829="espécie",A4829="DESPESAS"),6))))))</f>
        <v>0</v>
      </c>
      <c r="M4829" s="17" t="str">
        <f t="shared" si="242"/>
        <v/>
      </c>
      <c r="N4829" s="11" t="str">
        <f t="shared" si="243"/>
        <v/>
      </c>
    </row>
    <row r="4830" spans="9:14" x14ac:dyDescent="0.25">
      <c r="I4830" s="11" t="b">
        <f t="shared" si="244"/>
        <v>0</v>
      </c>
      <c r="M4830" s="17" t="str">
        <f t="shared" si="242"/>
        <v/>
      </c>
      <c r="N4830" s="11" t="str">
        <f t="shared" si="243"/>
        <v/>
      </c>
    </row>
    <row r="4831" spans="9:14" x14ac:dyDescent="0.25">
      <c r="I4831" s="11" t="b">
        <f t="shared" si="244"/>
        <v>0</v>
      </c>
      <c r="M4831" s="17" t="str">
        <f t="shared" si="242"/>
        <v/>
      </c>
      <c r="N4831" s="11" t="str">
        <f t="shared" si="243"/>
        <v/>
      </c>
    </row>
    <row r="4832" spans="9:14" x14ac:dyDescent="0.25">
      <c r="I4832" s="11" t="b">
        <f t="shared" si="244"/>
        <v>0</v>
      </c>
      <c r="M4832" s="17" t="str">
        <f t="shared" si="242"/>
        <v/>
      </c>
      <c r="N4832" s="11" t="str">
        <f t="shared" si="243"/>
        <v/>
      </c>
    </row>
    <row r="4833" spans="9:14" x14ac:dyDescent="0.25">
      <c r="I4833" s="11" t="b">
        <f t="shared" si="244"/>
        <v>0</v>
      </c>
      <c r="M4833" s="17" t="str">
        <f t="shared" si="242"/>
        <v/>
      </c>
      <c r="N4833" s="11" t="str">
        <f t="shared" si="243"/>
        <v/>
      </c>
    </row>
    <row r="4834" spans="9:14" x14ac:dyDescent="0.25">
      <c r="I4834" s="11" t="b">
        <f t="shared" si="244"/>
        <v>0</v>
      </c>
      <c r="M4834" s="17" t="str">
        <f t="shared" si="242"/>
        <v/>
      </c>
      <c r="N4834" s="11" t="str">
        <f t="shared" si="243"/>
        <v/>
      </c>
    </row>
    <row r="4835" spans="9:14" x14ac:dyDescent="0.25">
      <c r="I4835" s="11" t="b">
        <f t="shared" si="244"/>
        <v>0</v>
      </c>
      <c r="M4835" s="17" t="str">
        <f t="shared" si="242"/>
        <v/>
      </c>
      <c r="N4835" s="11" t="str">
        <f t="shared" si="243"/>
        <v/>
      </c>
    </row>
    <row r="4836" spans="9:14" x14ac:dyDescent="0.25">
      <c r="I4836" s="11" t="b">
        <f t="shared" si="244"/>
        <v>0</v>
      </c>
      <c r="M4836" s="17" t="str">
        <f t="shared" si="242"/>
        <v/>
      </c>
      <c r="N4836" s="11" t="str">
        <f t="shared" si="243"/>
        <v/>
      </c>
    </row>
    <row r="4837" spans="9:14" x14ac:dyDescent="0.25">
      <c r="I4837" s="11" t="b">
        <f t="shared" si="244"/>
        <v>0</v>
      </c>
      <c r="M4837" s="17" t="str">
        <f t="shared" si="242"/>
        <v/>
      </c>
      <c r="N4837" s="11" t="str">
        <f t="shared" si="243"/>
        <v/>
      </c>
    </row>
    <row r="4838" spans="9:14" x14ac:dyDescent="0.25">
      <c r="I4838" s="11" t="b">
        <f t="shared" si="244"/>
        <v>0</v>
      </c>
      <c r="M4838" s="17" t="str">
        <f t="shared" si="242"/>
        <v/>
      </c>
      <c r="N4838" s="11" t="str">
        <f t="shared" si="243"/>
        <v/>
      </c>
    </row>
    <row r="4839" spans="9:14" x14ac:dyDescent="0.25">
      <c r="I4839" s="11" t="b">
        <f t="shared" si="244"/>
        <v>0</v>
      </c>
      <c r="M4839" s="17" t="str">
        <f t="shared" si="242"/>
        <v/>
      </c>
      <c r="N4839" s="11" t="str">
        <f t="shared" si="243"/>
        <v/>
      </c>
    </row>
    <row r="4840" spans="9:14" x14ac:dyDescent="0.25">
      <c r="I4840" s="11" t="b">
        <f t="shared" si="244"/>
        <v>0</v>
      </c>
      <c r="M4840" s="17" t="str">
        <f t="shared" si="242"/>
        <v/>
      </c>
      <c r="N4840" s="11" t="str">
        <f t="shared" si="243"/>
        <v/>
      </c>
    </row>
    <row r="4841" spans="9:14" x14ac:dyDescent="0.25">
      <c r="I4841" s="11" t="b">
        <f t="shared" si="244"/>
        <v>0</v>
      </c>
      <c r="M4841" s="17" t="str">
        <f t="shared" si="242"/>
        <v/>
      </c>
      <c r="N4841" s="11" t="str">
        <f t="shared" si="243"/>
        <v/>
      </c>
    </row>
    <row r="4842" spans="9:14" x14ac:dyDescent="0.25">
      <c r="I4842" s="11" t="b">
        <f t="shared" si="244"/>
        <v>0</v>
      </c>
      <c r="M4842" s="17" t="str">
        <f t="shared" si="242"/>
        <v/>
      </c>
      <c r="N4842" s="11" t="str">
        <f t="shared" si="243"/>
        <v/>
      </c>
    </row>
    <row r="4843" spans="9:14" x14ac:dyDescent="0.25">
      <c r="I4843" s="11" t="b">
        <f t="shared" si="244"/>
        <v>0</v>
      </c>
      <c r="M4843" s="17" t="str">
        <f t="shared" si="242"/>
        <v/>
      </c>
      <c r="N4843" s="11" t="str">
        <f t="shared" si="243"/>
        <v/>
      </c>
    </row>
    <row r="4844" spans="9:14" x14ac:dyDescent="0.25">
      <c r="I4844" s="11" t="b">
        <f t="shared" si="244"/>
        <v>0</v>
      </c>
      <c r="M4844" s="17" t="str">
        <f t="shared" si="242"/>
        <v/>
      </c>
      <c r="N4844" s="11" t="str">
        <f t="shared" si="243"/>
        <v/>
      </c>
    </row>
    <row r="4845" spans="9:14" x14ac:dyDescent="0.25">
      <c r="I4845" s="11" t="b">
        <f t="shared" si="244"/>
        <v>0</v>
      </c>
      <c r="M4845" s="17" t="str">
        <f t="shared" si="242"/>
        <v/>
      </c>
      <c r="N4845" s="11" t="str">
        <f t="shared" si="243"/>
        <v/>
      </c>
    </row>
    <row r="4846" spans="9:14" x14ac:dyDescent="0.25">
      <c r="I4846" s="11" t="b">
        <f t="shared" si="244"/>
        <v>0</v>
      </c>
      <c r="M4846" s="17" t="str">
        <f t="shared" si="242"/>
        <v/>
      </c>
      <c r="N4846" s="11" t="str">
        <f t="shared" si="243"/>
        <v/>
      </c>
    </row>
    <row r="4847" spans="9:14" x14ac:dyDescent="0.25">
      <c r="I4847" s="11" t="b">
        <f t="shared" si="244"/>
        <v>0</v>
      </c>
      <c r="M4847" s="17" t="str">
        <f t="shared" si="242"/>
        <v/>
      </c>
      <c r="N4847" s="11" t="str">
        <f t="shared" si="243"/>
        <v/>
      </c>
    </row>
    <row r="4848" spans="9:14" x14ac:dyDescent="0.25">
      <c r="I4848" s="11" t="b">
        <f t="shared" si="244"/>
        <v>0</v>
      </c>
      <c r="M4848" s="17" t="str">
        <f t="shared" si="242"/>
        <v/>
      </c>
      <c r="N4848" s="11" t="str">
        <f t="shared" si="243"/>
        <v/>
      </c>
    </row>
    <row r="4849" spans="9:14" x14ac:dyDescent="0.25">
      <c r="I4849" s="11" t="b">
        <f t="shared" si="244"/>
        <v>0</v>
      </c>
      <c r="M4849" s="17" t="str">
        <f t="shared" si="242"/>
        <v/>
      </c>
      <c r="N4849" s="11" t="str">
        <f t="shared" si="243"/>
        <v/>
      </c>
    </row>
    <row r="4850" spans="9:14" x14ac:dyDescent="0.25">
      <c r="I4850" s="11" t="b">
        <f t="shared" si="244"/>
        <v>0</v>
      </c>
      <c r="M4850" s="17" t="str">
        <f t="shared" si="242"/>
        <v/>
      </c>
      <c r="N4850" s="11" t="str">
        <f t="shared" si="243"/>
        <v/>
      </c>
    </row>
    <row r="4851" spans="9:14" x14ac:dyDescent="0.25">
      <c r="I4851" s="11" t="b">
        <f t="shared" si="244"/>
        <v>0</v>
      </c>
      <c r="M4851" s="17" t="str">
        <f t="shared" si="242"/>
        <v/>
      </c>
      <c r="N4851" s="11" t="str">
        <f t="shared" si="243"/>
        <v/>
      </c>
    </row>
    <row r="4852" spans="9:14" x14ac:dyDescent="0.25">
      <c r="I4852" s="11" t="b">
        <f t="shared" si="244"/>
        <v>0</v>
      </c>
      <c r="M4852" s="17" t="str">
        <f t="shared" si="242"/>
        <v/>
      </c>
      <c r="N4852" s="11" t="str">
        <f t="shared" si="243"/>
        <v/>
      </c>
    </row>
    <row r="4853" spans="9:14" x14ac:dyDescent="0.25">
      <c r="I4853" s="11" t="b">
        <f t="shared" si="244"/>
        <v>0</v>
      </c>
      <c r="M4853" s="17" t="str">
        <f t="shared" si="242"/>
        <v/>
      </c>
      <c r="N4853" s="11" t="str">
        <f t="shared" si="243"/>
        <v/>
      </c>
    </row>
    <row r="4854" spans="9:14" x14ac:dyDescent="0.25">
      <c r="I4854" s="11" t="b">
        <f t="shared" si="244"/>
        <v>0</v>
      </c>
      <c r="M4854" s="17" t="str">
        <f t="shared" si="242"/>
        <v/>
      </c>
      <c r="N4854" s="11" t="str">
        <f t="shared" si="243"/>
        <v/>
      </c>
    </row>
    <row r="4855" spans="9:14" x14ac:dyDescent="0.25">
      <c r="I4855" s="11" t="b">
        <f t="shared" si="244"/>
        <v>0</v>
      </c>
      <c r="M4855" s="17" t="str">
        <f t="shared" si="242"/>
        <v/>
      </c>
      <c r="N4855" s="11" t="str">
        <f t="shared" si="243"/>
        <v/>
      </c>
    </row>
    <row r="4856" spans="9:14" x14ac:dyDescent="0.25">
      <c r="I4856" s="11" t="b">
        <f t="shared" si="244"/>
        <v>0</v>
      </c>
      <c r="M4856" s="17" t="str">
        <f t="shared" si="242"/>
        <v/>
      </c>
      <c r="N4856" s="11" t="str">
        <f t="shared" si="243"/>
        <v/>
      </c>
    </row>
    <row r="4857" spans="9:14" x14ac:dyDescent="0.25">
      <c r="I4857" s="11" t="b">
        <f t="shared" si="244"/>
        <v>0</v>
      </c>
      <c r="M4857" s="17" t="str">
        <f t="shared" si="242"/>
        <v/>
      </c>
      <c r="N4857" s="11" t="str">
        <f t="shared" si="243"/>
        <v/>
      </c>
    </row>
    <row r="4858" spans="9:14" x14ac:dyDescent="0.25">
      <c r="I4858" s="11" t="b">
        <f t="shared" si="244"/>
        <v>0</v>
      </c>
      <c r="M4858" s="17" t="str">
        <f t="shared" si="242"/>
        <v/>
      </c>
      <c r="N4858" s="11" t="str">
        <f t="shared" si="243"/>
        <v/>
      </c>
    </row>
    <row r="4859" spans="9:14" x14ac:dyDescent="0.25">
      <c r="I4859" s="11" t="b">
        <f t="shared" si="244"/>
        <v>0</v>
      </c>
      <c r="M4859" s="17" t="str">
        <f t="shared" si="242"/>
        <v/>
      </c>
      <c r="N4859" s="11" t="str">
        <f t="shared" si="243"/>
        <v/>
      </c>
    </row>
    <row r="4860" spans="9:14" x14ac:dyDescent="0.25">
      <c r="I4860" s="11" t="b">
        <f t="shared" si="244"/>
        <v>0</v>
      </c>
      <c r="M4860" s="17" t="str">
        <f t="shared" si="242"/>
        <v/>
      </c>
      <c r="N4860" s="11" t="str">
        <f t="shared" si="243"/>
        <v/>
      </c>
    </row>
    <row r="4861" spans="9:14" x14ac:dyDescent="0.25">
      <c r="I4861" s="11" t="b">
        <f t="shared" si="244"/>
        <v>0</v>
      </c>
      <c r="M4861" s="17" t="str">
        <f t="shared" si="242"/>
        <v/>
      </c>
      <c r="N4861" s="11" t="str">
        <f t="shared" si="243"/>
        <v/>
      </c>
    </row>
    <row r="4862" spans="9:14" x14ac:dyDescent="0.25">
      <c r="I4862" s="11" t="b">
        <f t="shared" si="244"/>
        <v>0</v>
      </c>
      <c r="M4862" s="17" t="str">
        <f t="shared" si="242"/>
        <v/>
      </c>
      <c r="N4862" s="11" t="str">
        <f t="shared" si="243"/>
        <v/>
      </c>
    </row>
    <row r="4863" spans="9:14" x14ac:dyDescent="0.25">
      <c r="I4863" s="11" t="b">
        <f t="shared" si="244"/>
        <v>0</v>
      </c>
      <c r="M4863" s="17" t="str">
        <f t="shared" si="242"/>
        <v/>
      </c>
      <c r="N4863" s="11" t="str">
        <f t="shared" si="243"/>
        <v/>
      </c>
    </row>
    <row r="4864" spans="9:14" x14ac:dyDescent="0.25">
      <c r="I4864" s="11" t="b">
        <f t="shared" si="244"/>
        <v>0</v>
      </c>
      <c r="M4864" s="17" t="str">
        <f t="shared" si="242"/>
        <v/>
      </c>
      <c r="N4864" s="11" t="str">
        <f t="shared" si="243"/>
        <v/>
      </c>
    </row>
    <row r="4865" spans="9:14" x14ac:dyDescent="0.25">
      <c r="I4865" s="11" t="b">
        <f t="shared" si="244"/>
        <v>0</v>
      </c>
      <c r="M4865" s="17" t="str">
        <f t="shared" ref="M4865:M4928" si="245">IF(B4865=0, "",M4864+ J4865-K4865)</f>
        <v/>
      </c>
      <c r="N4865" s="11" t="str">
        <f t="shared" ref="N4865:N4928" si="246">IF(B4865=0, "", MONTH(B4865))</f>
        <v/>
      </c>
    </row>
    <row r="4866" spans="9:14" x14ac:dyDescent="0.25">
      <c r="I4866" s="11" t="b">
        <f t="shared" si="244"/>
        <v>0</v>
      </c>
      <c r="M4866" s="17" t="str">
        <f t="shared" si="245"/>
        <v/>
      </c>
      <c r="N4866" s="11" t="str">
        <f t="shared" si="246"/>
        <v/>
      </c>
    </row>
    <row r="4867" spans="9:14" x14ac:dyDescent="0.25">
      <c r="I4867" s="11" t="b">
        <f t="shared" si="244"/>
        <v>0</v>
      </c>
      <c r="M4867" s="17" t="str">
        <f t="shared" si="245"/>
        <v/>
      </c>
      <c r="N4867" s="11" t="str">
        <f t="shared" si="246"/>
        <v/>
      </c>
    </row>
    <row r="4868" spans="9:14" x14ac:dyDescent="0.25">
      <c r="I4868" s="11" t="b">
        <f t="shared" si="244"/>
        <v>0</v>
      </c>
      <c r="M4868" s="17" t="str">
        <f t="shared" si="245"/>
        <v/>
      </c>
      <c r="N4868" s="11" t="str">
        <f t="shared" si="246"/>
        <v/>
      </c>
    </row>
    <row r="4869" spans="9:14" x14ac:dyDescent="0.25">
      <c r="I4869" s="11" t="b">
        <f t="shared" si="244"/>
        <v>0</v>
      </c>
      <c r="M4869" s="17" t="str">
        <f t="shared" si="245"/>
        <v/>
      </c>
      <c r="N4869" s="11" t="str">
        <f t="shared" si="246"/>
        <v/>
      </c>
    </row>
    <row r="4870" spans="9:14" x14ac:dyDescent="0.25">
      <c r="I4870" s="11" t="b">
        <f t="shared" si="244"/>
        <v>0</v>
      </c>
      <c r="M4870" s="17" t="str">
        <f t="shared" si="245"/>
        <v/>
      </c>
      <c r="N4870" s="11" t="str">
        <f t="shared" si="246"/>
        <v/>
      </c>
    </row>
    <row r="4871" spans="9:14" x14ac:dyDescent="0.25">
      <c r="I4871" s="11" t="b">
        <f t="shared" si="244"/>
        <v>0</v>
      </c>
      <c r="M4871" s="17" t="str">
        <f t="shared" si="245"/>
        <v/>
      </c>
      <c r="N4871" s="11" t="str">
        <f t="shared" si="246"/>
        <v/>
      </c>
    </row>
    <row r="4872" spans="9:14" x14ac:dyDescent="0.25">
      <c r="I4872" s="11" t="b">
        <f t="shared" si="244"/>
        <v>0</v>
      </c>
      <c r="M4872" s="17" t="str">
        <f t="shared" si="245"/>
        <v/>
      </c>
      <c r="N4872" s="11" t="str">
        <f t="shared" si="246"/>
        <v/>
      </c>
    </row>
    <row r="4873" spans="9:14" x14ac:dyDescent="0.25">
      <c r="I4873" s="11" t="b">
        <f t="shared" si="244"/>
        <v>0</v>
      </c>
      <c r="M4873" s="17" t="str">
        <f t="shared" si="245"/>
        <v/>
      </c>
      <c r="N4873" s="11" t="str">
        <f t="shared" si="246"/>
        <v/>
      </c>
    </row>
    <row r="4874" spans="9:14" x14ac:dyDescent="0.25">
      <c r="I4874" s="11" t="b">
        <f t="shared" si="244"/>
        <v>0</v>
      </c>
      <c r="M4874" s="17" t="str">
        <f t="shared" si="245"/>
        <v/>
      </c>
      <c r="N4874" s="11" t="str">
        <f t="shared" si="246"/>
        <v/>
      </c>
    </row>
    <row r="4875" spans="9:14" x14ac:dyDescent="0.25">
      <c r="I4875" s="11" t="b">
        <f t="shared" si="244"/>
        <v>0</v>
      </c>
      <c r="M4875" s="17" t="str">
        <f t="shared" si="245"/>
        <v/>
      </c>
      <c r="N4875" s="11" t="str">
        <f t="shared" si="246"/>
        <v/>
      </c>
    </row>
    <row r="4876" spans="9:14" x14ac:dyDescent="0.25">
      <c r="I4876" s="11" t="b">
        <f t="shared" si="244"/>
        <v>0</v>
      </c>
      <c r="M4876" s="17" t="str">
        <f t="shared" si="245"/>
        <v/>
      </c>
      <c r="N4876" s="11" t="str">
        <f t="shared" si="246"/>
        <v/>
      </c>
    </row>
    <row r="4877" spans="9:14" x14ac:dyDescent="0.25">
      <c r="I4877" s="11" t="b">
        <f t="shared" si="244"/>
        <v>0</v>
      </c>
      <c r="M4877" s="17" t="str">
        <f t="shared" si="245"/>
        <v/>
      </c>
      <c r="N4877" s="11" t="str">
        <f t="shared" si="246"/>
        <v/>
      </c>
    </row>
    <row r="4878" spans="9:14" x14ac:dyDescent="0.25">
      <c r="I4878" s="11" t="b">
        <f t="shared" si="244"/>
        <v>0</v>
      </c>
      <c r="M4878" s="17" t="str">
        <f t="shared" si="245"/>
        <v/>
      </c>
      <c r="N4878" s="11" t="str">
        <f t="shared" si="246"/>
        <v/>
      </c>
    </row>
    <row r="4879" spans="9:14" x14ac:dyDescent="0.25">
      <c r="I4879" s="11" t="b">
        <f t="shared" si="244"/>
        <v>0</v>
      </c>
      <c r="M4879" s="17" t="str">
        <f t="shared" si="245"/>
        <v/>
      </c>
      <c r="N4879" s="11" t="str">
        <f t="shared" si="246"/>
        <v/>
      </c>
    </row>
    <row r="4880" spans="9:14" x14ac:dyDescent="0.25">
      <c r="I4880" s="11" t="b">
        <f t="shared" si="244"/>
        <v>0</v>
      </c>
      <c r="M4880" s="17" t="str">
        <f t="shared" si="245"/>
        <v/>
      </c>
      <c r="N4880" s="11" t="str">
        <f t="shared" si="246"/>
        <v/>
      </c>
    </row>
    <row r="4881" spans="9:14" x14ac:dyDescent="0.25">
      <c r="I4881" s="11" t="b">
        <f t="shared" si="244"/>
        <v>0</v>
      </c>
      <c r="M4881" s="17" t="str">
        <f t="shared" si="245"/>
        <v/>
      </c>
      <c r="N4881" s="11" t="str">
        <f t="shared" si="246"/>
        <v/>
      </c>
    </row>
    <row r="4882" spans="9:14" x14ac:dyDescent="0.25">
      <c r="I4882" s="11" t="b">
        <f t="shared" si="244"/>
        <v>0</v>
      </c>
      <c r="M4882" s="17" t="str">
        <f t="shared" si="245"/>
        <v/>
      </c>
      <c r="N4882" s="11" t="str">
        <f t="shared" si="246"/>
        <v/>
      </c>
    </row>
    <row r="4883" spans="9:14" x14ac:dyDescent="0.25">
      <c r="I4883" s="11" t="b">
        <f t="shared" si="244"/>
        <v>0</v>
      </c>
      <c r="M4883" s="17" t="str">
        <f t="shared" si="245"/>
        <v/>
      </c>
      <c r="N4883" s="11" t="str">
        <f t="shared" si="246"/>
        <v/>
      </c>
    </row>
    <row r="4884" spans="9:14" x14ac:dyDescent="0.25">
      <c r="I4884" s="11" t="b">
        <f t="shared" si="244"/>
        <v>0</v>
      </c>
      <c r="M4884" s="17" t="str">
        <f t="shared" si="245"/>
        <v/>
      </c>
      <c r="N4884" s="11" t="str">
        <f t="shared" si="246"/>
        <v/>
      </c>
    </row>
    <row r="4885" spans="9:14" x14ac:dyDescent="0.25">
      <c r="I4885" s="11" t="b">
        <f t="shared" si="244"/>
        <v>0</v>
      </c>
      <c r="M4885" s="17" t="str">
        <f t="shared" si="245"/>
        <v/>
      </c>
      <c r="N4885" s="11" t="str">
        <f t="shared" si="246"/>
        <v/>
      </c>
    </row>
    <row r="4886" spans="9:14" x14ac:dyDescent="0.25">
      <c r="I4886" s="11" t="b">
        <f t="shared" si="244"/>
        <v>0</v>
      </c>
      <c r="M4886" s="17" t="str">
        <f t="shared" si="245"/>
        <v/>
      </c>
      <c r="N4886" s="11" t="str">
        <f t="shared" si="246"/>
        <v/>
      </c>
    </row>
    <row r="4887" spans="9:14" x14ac:dyDescent="0.25">
      <c r="I4887" s="11" t="b">
        <f t="shared" si="244"/>
        <v>0</v>
      </c>
      <c r="M4887" s="17" t="str">
        <f t="shared" si="245"/>
        <v/>
      </c>
      <c r="N4887" s="11" t="str">
        <f t="shared" si="246"/>
        <v/>
      </c>
    </row>
    <row r="4888" spans="9:14" x14ac:dyDescent="0.25">
      <c r="I4888" s="11" t="b">
        <f t="shared" si="244"/>
        <v>0</v>
      </c>
      <c r="M4888" s="17" t="str">
        <f t="shared" si="245"/>
        <v/>
      </c>
      <c r="N4888" s="11" t="str">
        <f t="shared" si="246"/>
        <v/>
      </c>
    </row>
    <row r="4889" spans="9:14" x14ac:dyDescent="0.25">
      <c r="I4889" s="11" t="b">
        <f t="shared" si="244"/>
        <v>0</v>
      </c>
      <c r="M4889" s="17" t="str">
        <f t="shared" si="245"/>
        <v/>
      </c>
      <c r="N4889" s="11" t="str">
        <f t="shared" si="246"/>
        <v/>
      </c>
    </row>
    <row r="4890" spans="9:14" x14ac:dyDescent="0.25">
      <c r="I4890" s="11" t="b">
        <f t="shared" si="244"/>
        <v>0</v>
      </c>
      <c r="M4890" s="17" t="str">
        <f t="shared" si="245"/>
        <v/>
      </c>
      <c r="N4890" s="11" t="str">
        <f t="shared" si="246"/>
        <v/>
      </c>
    </row>
    <row r="4891" spans="9:14" x14ac:dyDescent="0.25">
      <c r="I4891" s="11" t="b">
        <f t="shared" si="244"/>
        <v>0</v>
      </c>
      <c r="M4891" s="17" t="str">
        <f t="shared" si="245"/>
        <v/>
      </c>
      <c r="N4891" s="11" t="str">
        <f t="shared" si="246"/>
        <v/>
      </c>
    </row>
    <row r="4892" spans="9:14" x14ac:dyDescent="0.25">
      <c r="I4892" s="11" t="b">
        <f t="shared" si="244"/>
        <v>0</v>
      </c>
      <c r="M4892" s="17" t="str">
        <f t="shared" si="245"/>
        <v/>
      </c>
      <c r="N4892" s="11" t="str">
        <f t="shared" si="246"/>
        <v/>
      </c>
    </row>
    <row r="4893" spans="9:14" x14ac:dyDescent="0.25">
      <c r="I4893" s="11" t="b">
        <f t="shared" ref="I4893:I4956" si="247">IF(AND(G4893="MERCADO PAGO",A4893="FATURAMENTO"),1,IF(AND(OR(G4893="MERCADO PAGO",G4893="pix mercado pago",G4893= "débito automático mercado pago", G4893= "boleto mercado pago"),A4893="DESPESAS"),4,IF(AND(G4893="SAFRA",A4893="FATURAMENTO"),2,IF(AND(OR(G4893="SAFRA",G4893="PIX SAFRA", G4893="DÉBITO AUTOMÁTICO SAFRA", G4893= "BOLETO SAFRA", G4893= "transferência safra"), A4893="DESPESAS"),5,IF(AND(G4893="espécie",A4893="FATURAMENTO"),3,IF(AND(G4893="espécie",A4893="DESPESAS"),6))))))</f>
        <v>0</v>
      </c>
      <c r="M4893" s="17" t="str">
        <f t="shared" si="245"/>
        <v/>
      </c>
      <c r="N4893" s="11" t="str">
        <f t="shared" si="246"/>
        <v/>
      </c>
    </row>
    <row r="4894" spans="9:14" x14ac:dyDescent="0.25">
      <c r="I4894" s="11" t="b">
        <f t="shared" si="247"/>
        <v>0</v>
      </c>
      <c r="M4894" s="17" t="str">
        <f t="shared" si="245"/>
        <v/>
      </c>
      <c r="N4894" s="11" t="str">
        <f t="shared" si="246"/>
        <v/>
      </c>
    </row>
    <row r="4895" spans="9:14" x14ac:dyDescent="0.25">
      <c r="I4895" s="11" t="b">
        <f t="shared" si="247"/>
        <v>0</v>
      </c>
      <c r="M4895" s="17" t="str">
        <f t="shared" si="245"/>
        <v/>
      </c>
      <c r="N4895" s="11" t="str">
        <f t="shared" si="246"/>
        <v/>
      </c>
    </row>
    <row r="4896" spans="9:14" x14ac:dyDescent="0.25">
      <c r="I4896" s="11" t="b">
        <f t="shared" si="247"/>
        <v>0</v>
      </c>
      <c r="M4896" s="17" t="str">
        <f t="shared" si="245"/>
        <v/>
      </c>
      <c r="N4896" s="11" t="str">
        <f t="shared" si="246"/>
        <v/>
      </c>
    </row>
    <row r="4897" spans="9:14" x14ac:dyDescent="0.25">
      <c r="I4897" s="11" t="b">
        <f t="shared" si="247"/>
        <v>0</v>
      </c>
      <c r="M4897" s="17" t="str">
        <f t="shared" si="245"/>
        <v/>
      </c>
      <c r="N4897" s="11" t="str">
        <f t="shared" si="246"/>
        <v/>
      </c>
    </row>
    <row r="4898" spans="9:14" x14ac:dyDescent="0.25">
      <c r="I4898" s="11" t="b">
        <f t="shared" si="247"/>
        <v>0</v>
      </c>
      <c r="M4898" s="17" t="str">
        <f t="shared" si="245"/>
        <v/>
      </c>
      <c r="N4898" s="11" t="str">
        <f t="shared" si="246"/>
        <v/>
      </c>
    </row>
    <row r="4899" spans="9:14" x14ac:dyDescent="0.25">
      <c r="I4899" s="11" t="b">
        <f t="shared" si="247"/>
        <v>0</v>
      </c>
      <c r="M4899" s="17" t="str">
        <f t="shared" si="245"/>
        <v/>
      </c>
      <c r="N4899" s="11" t="str">
        <f t="shared" si="246"/>
        <v/>
      </c>
    </row>
    <row r="4900" spans="9:14" x14ac:dyDescent="0.25">
      <c r="I4900" s="11" t="b">
        <f t="shared" si="247"/>
        <v>0</v>
      </c>
      <c r="M4900" s="17" t="str">
        <f t="shared" si="245"/>
        <v/>
      </c>
      <c r="N4900" s="11" t="str">
        <f t="shared" si="246"/>
        <v/>
      </c>
    </row>
    <row r="4901" spans="9:14" x14ac:dyDescent="0.25">
      <c r="I4901" s="11" t="b">
        <f t="shared" si="247"/>
        <v>0</v>
      </c>
      <c r="M4901" s="17" t="str">
        <f t="shared" si="245"/>
        <v/>
      </c>
      <c r="N4901" s="11" t="str">
        <f t="shared" si="246"/>
        <v/>
      </c>
    </row>
    <row r="4902" spans="9:14" x14ac:dyDescent="0.25">
      <c r="I4902" s="11" t="b">
        <f t="shared" si="247"/>
        <v>0</v>
      </c>
      <c r="M4902" s="17" t="str">
        <f t="shared" si="245"/>
        <v/>
      </c>
      <c r="N4902" s="11" t="str">
        <f t="shared" si="246"/>
        <v/>
      </c>
    </row>
    <row r="4903" spans="9:14" x14ac:dyDescent="0.25">
      <c r="I4903" s="11" t="b">
        <f t="shared" si="247"/>
        <v>0</v>
      </c>
      <c r="M4903" s="17" t="str">
        <f t="shared" si="245"/>
        <v/>
      </c>
      <c r="N4903" s="11" t="str">
        <f t="shared" si="246"/>
        <v/>
      </c>
    </row>
    <row r="4904" spans="9:14" x14ac:dyDescent="0.25">
      <c r="I4904" s="11" t="b">
        <f t="shared" si="247"/>
        <v>0</v>
      </c>
      <c r="M4904" s="17" t="str">
        <f t="shared" si="245"/>
        <v/>
      </c>
      <c r="N4904" s="11" t="str">
        <f t="shared" si="246"/>
        <v/>
      </c>
    </row>
    <row r="4905" spans="9:14" x14ac:dyDescent="0.25">
      <c r="I4905" s="11" t="b">
        <f t="shared" si="247"/>
        <v>0</v>
      </c>
      <c r="M4905" s="17" t="str">
        <f t="shared" si="245"/>
        <v/>
      </c>
      <c r="N4905" s="11" t="str">
        <f t="shared" si="246"/>
        <v/>
      </c>
    </row>
    <row r="4906" spans="9:14" x14ac:dyDescent="0.25">
      <c r="I4906" s="11" t="b">
        <f t="shared" si="247"/>
        <v>0</v>
      </c>
      <c r="M4906" s="17" t="str">
        <f t="shared" si="245"/>
        <v/>
      </c>
      <c r="N4906" s="11" t="str">
        <f t="shared" si="246"/>
        <v/>
      </c>
    </row>
    <row r="4907" spans="9:14" x14ac:dyDescent="0.25">
      <c r="I4907" s="11" t="b">
        <f t="shared" si="247"/>
        <v>0</v>
      </c>
      <c r="M4907" s="17" t="str">
        <f t="shared" si="245"/>
        <v/>
      </c>
      <c r="N4907" s="11" t="str">
        <f t="shared" si="246"/>
        <v/>
      </c>
    </row>
    <row r="4908" spans="9:14" x14ac:dyDescent="0.25">
      <c r="I4908" s="11" t="b">
        <f t="shared" si="247"/>
        <v>0</v>
      </c>
      <c r="M4908" s="17" t="str">
        <f t="shared" si="245"/>
        <v/>
      </c>
      <c r="N4908" s="11" t="str">
        <f t="shared" si="246"/>
        <v/>
      </c>
    </row>
    <row r="4909" spans="9:14" x14ac:dyDescent="0.25">
      <c r="I4909" s="11" t="b">
        <f t="shared" si="247"/>
        <v>0</v>
      </c>
      <c r="M4909" s="17" t="str">
        <f t="shared" si="245"/>
        <v/>
      </c>
      <c r="N4909" s="11" t="str">
        <f t="shared" si="246"/>
        <v/>
      </c>
    </row>
    <row r="4910" spans="9:14" x14ac:dyDescent="0.25">
      <c r="I4910" s="11" t="b">
        <f t="shared" si="247"/>
        <v>0</v>
      </c>
      <c r="M4910" s="17" t="str">
        <f t="shared" si="245"/>
        <v/>
      </c>
      <c r="N4910" s="11" t="str">
        <f t="shared" si="246"/>
        <v/>
      </c>
    </row>
    <row r="4911" spans="9:14" x14ac:dyDescent="0.25">
      <c r="I4911" s="11" t="b">
        <f t="shared" si="247"/>
        <v>0</v>
      </c>
      <c r="M4911" s="17" t="str">
        <f t="shared" si="245"/>
        <v/>
      </c>
      <c r="N4911" s="11" t="str">
        <f t="shared" si="246"/>
        <v/>
      </c>
    </row>
    <row r="4912" spans="9:14" x14ac:dyDescent="0.25">
      <c r="I4912" s="11" t="b">
        <f t="shared" si="247"/>
        <v>0</v>
      </c>
      <c r="M4912" s="17" t="str">
        <f t="shared" si="245"/>
        <v/>
      </c>
      <c r="N4912" s="11" t="str">
        <f t="shared" si="246"/>
        <v/>
      </c>
    </row>
    <row r="4913" spans="9:14" x14ac:dyDescent="0.25">
      <c r="I4913" s="11" t="b">
        <f t="shared" si="247"/>
        <v>0</v>
      </c>
      <c r="M4913" s="17" t="str">
        <f t="shared" si="245"/>
        <v/>
      </c>
      <c r="N4913" s="11" t="str">
        <f t="shared" si="246"/>
        <v/>
      </c>
    </row>
    <row r="4914" spans="9:14" x14ac:dyDescent="0.25">
      <c r="I4914" s="11" t="b">
        <f t="shared" si="247"/>
        <v>0</v>
      </c>
      <c r="M4914" s="17" t="str">
        <f t="shared" si="245"/>
        <v/>
      </c>
      <c r="N4914" s="11" t="str">
        <f t="shared" si="246"/>
        <v/>
      </c>
    </row>
    <row r="4915" spans="9:14" x14ac:dyDescent="0.25">
      <c r="I4915" s="11" t="b">
        <f t="shared" si="247"/>
        <v>0</v>
      </c>
      <c r="M4915" s="17" t="str">
        <f t="shared" si="245"/>
        <v/>
      </c>
      <c r="N4915" s="11" t="str">
        <f t="shared" si="246"/>
        <v/>
      </c>
    </row>
    <row r="4916" spans="9:14" x14ac:dyDescent="0.25">
      <c r="I4916" s="11" t="b">
        <f t="shared" si="247"/>
        <v>0</v>
      </c>
      <c r="M4916" s="17" t="str">
        <f t="shared" si="245"/>
        <v/>
      </c>
      <c r="N4916" s="11" t="str">
        <f t="shared" si="246"/>
        <v/>
      </c>
    </row>
    <row r="4917" spans="9:14" x14ac:dyDescent="0.25">
      <c r="I4917" s="11" t="b">
        <f t="shared" si="247"/>
        <v>0</v>
      </c>
      <c r="M4917" s="17" t="str">
        <f t="shared" si="245"/>
        <v/>
      </c>
      <c r="N4917" s="11" t="str">
        <f t="shared" si="246"/>
        <v/>
      </c>
    </row>
    <row r="4918" spans="9:14" x14ac:dyDescent="0.25">
      <c r="I4918" s="11" t="b">
        <f t="shared" si="247"/>
        <v>0</v>
      </c>
      <c r="M4918" s="17" t="str">
        <f t="shared" si="245"/>
        <v/>
      </c>
      <c r="N4918" s="11" t="str">
        <f t="shared" si="246"/>
        <v/>
      </c>
    </row>
    <row r="4919" spans="9:14" x14ac:dyDescent="0.25">
      <c r="I4919" s="11" t="b">
        <f t="shared" si="247"/>
        <v>0</v>
      </c>
      <c r="M4919" s="17" t="str">
        <f t="shared" si="245"/>
        <v/>
      </c>
      <c r="N4919" s="11" t="str">
        <f t="shared" si="246"/>
        <v/>
      </c>
    </row>
    <row r="4920" spans="9:14" x14ac:dyDescent="0.25">
      <c r="I4920" s="11" t="b">
        <f t="shared" si="247"/>
        <v>0</v>
      </c>
      <c r="M4920" s="17" t="str">
        <f t="shared" si="245"/>
        <v/>
      </c>
      <c r="N4920" s="11" t="str">
        <f t="shared" si="246"/>
        <v/>
      </c>
    </row>
    <row r="4921" spans="9:14" x14ac:dyDescent="0.25">
      <c r="I4921" s="11" t="b">
        <f t="shared" si="247"/>
        <v>0</v>
      </c>
      <c r="M4921" s="17" t="str">
        <f t="shared" si="245"/>
        <v/>
      </c>
      <c r="N4921" s="11" t="str">
        <f t="shared" si="246"/>
        <v/>
      </c>
    </row>
    <row r="4922" spans="9:14" x14ac:dyDescent="0.25">
      <c r="I4922" s="11" t="b">
        <f t="shared" si="247"/>
        <v>0</v>
      </c>
      <c r="M4922" s="17" t="str">
        <f t="shared" si="245"/>
        <v/>
      </c>
      <c r="N4922" s="11" t="str">
        <f t="shared" si="246"/>
        <v/>
      </c>
    </row>
    <row r="4923" spans="9:14" x14ac:dyDescent="0.25">
      <c r="I4923" s="11" t="b">
        <f t="shared" si="247"/>
        <v>0</v>
      </c>
      <c r="M4923" s="17" t="str">
        <f t="shared" si="245"/>
        <v/>
      </c>
      <c r="N4923" s="11" t="str">
        <f t="shared" si="246"/>
        <v/>
      </c>
    </row>
    <row r="4924" spans="9:14" x14ac:dyDescent="0.25">
      <c r="I4924" s="11" t="b">
        <f t="shared" si="247"/>
        <v>0</v>
      </c>
      <c r="M4924" s="17" t="str">
        <f t="shared" si="245"/>
        <v/>
      </c>
      <c r="N4924" s="11" t="str">
        <f t="shared" si="246"/>
        <v/>
      </c>
    </row>
    <row r="4925" spans="9:14" x14ac:dyDescent="0.25">
      <c r="I4925" s="11" t="b">
        <f t="shared" si="247"/>
        <v>0</v>
      </c>
      <c r="M4925" s="17" t="str">
        <f t="shared" si="245"/>
        <v/>
      </c>
      <c r="N4925" s="11" t="str">
        <f t="shared" si="246"/>
        <v/>
      </c>
    </row>
    <row r="4926" spans="9:14" x14ac:dyDescent="0.25">
      <c r="I4926" s="11" t="b">
        <f t="shared" si="247"/>
        <v>0</v>
      </c>
      <c r="M4926" s="17" t="str">
        <f t="shared" si="245"/>
        <v/>
      </c>
      <c r="N4926" s="11" t="str">
        <f t="shared" si="246"/>
        <v/>
      </c>
    </row>
    <row r="4927" spans="9:14" x14ac:dyDescent="0.25">
      <c r="I4927" s="11" t="b">
        <f t="shared" si="247"/>
        <v>0</v>
      </c>
      <c r="M4927" s="17" t="str">
        <f t="shared" si="245"/>
        <v/>
      </c>
      <c r="N4927" s="11" t="str">
        <f t="shared" si="246"/>
        <v/>
      </c>
    </row>
    <row r="4928" spans="9:14" x14ac:dyDescent="0.25">
      <c r="I4928" s="11" t="b">
        <f t="shared" si="247"/>
        <v>0</v>
      </c>
      <c r="M4928" s="17" t="str">
        <f t="shared" si="245"/>
        <v/>
      </c>
      <c r="N4928" s="11" t="str">
        <f t="shared" si="246"/>
        <v/>
      </c>
    </row>
    <row r="4929" spans="9:14" x14ac:dyDescent="0.25">
      <c r="I4929" s="11" t="b">
        <f t="shared" si="247"/>
        <v>0</v>
      </c>
      <c r="M4929" s="17" t="str">
        <f t="shared" ref="M4929:M4992" si="248">IF(B4929=0, "",M4928+ J4929-K4929)</f>
        <v/>
      </c>
      <c r="N4929" s="11" t="str">
        <f t="shared" ref="N4929:N4992" si="249">IF(B4929=0, "", MONTH(B4929))</f>
        <v/>
      </c>
    </row>
    <row r="4930" spans="9:14" x14ac:dyDescent="0.25">
      <c r="I4930" s="11" t="b">
        <f t="shared" si="247"/>
        <v>0</v>
      </c>
      <c r="M4930" s="17" t="str">
        <f t="shared" si="248"/>
        <v/>
      </c>
      <c r="N4930" s="11" t="str">
        <f t="shared" si="249"/>
        <v/>
      </c>
    </row>
    <row r="4931" spans="9:14" x14ac:dyDescent="0.25">
      <c r="I4931" s="11" t="b">
        <f t="shared" si="247"/>
        <v>0</v>
      </c>
      <c r="M4931" s="17" t="str">
        <f t="shared" si="248"/>
        <v/>
      </c>
      <c r="N4931" s="11" t="str">
        <f t="shared" si="249"/>
        <v/>
      </c>
    </row>
    <row r="4932" spans="9:14" x14ac:dyDescent="0.25">
      <c r="I4932" s="11" t="b">
        <f t="shared" si="247"/>
        <v>0</v>
      </c>
      <c r="M4932" s="17" t="str">
        <f t="shared" si="248"/>
        <v/>
      </c>
      <c r="N4932" s="11" t="str">
        <f t="shared" si="249"/>
        <v/>
      </c>
    </row>
    <row r="4933" spans="9:14" x14ac:dyDescent="0.25">
      <c r="I4933" s="11" t="b">
        <f t="shared" si="247"/>
        <v>0</v>
      </c>
      <c r="M4933" s="17" t="str">
        <f t="shared" si="248"/>
        <v/>
      </c>
      <c r="N4933" s="11" t="str">
        <f t="shared" si="249"/>
        <v/>
      </c>
    </row>
    <row r="4934" spans="9:14" x14ac:dyDescent="0.25">
      <c r="I4934" s="11" t="b">
        <f t="shared" si="247"/>
        <v>0</v>
      </c>
      <c r="M4934" s="17" t="str">
        <f t="shared" si="248"/>
        <v/>
      </c>
      <c r="N4934" s="11" t="str">
        <f t="shared" si="249"/>
        <v/>
      </c>
    </row>
    <row r="4935" spans="9:14" x14ac:dyDescent="0.25">
      <c r="I4935" s="11" t="b">
        <f t="shared" si="247"/>
        <v>0</v>
      </c>
      <c r="M4935" s="17" t="str">
        <f t="shared" si="248"/>
        <v/>
      </c>
      <c r="N4935" s="11" t="str">
        <f t="shared" si="249"/>
        <v/>
      </c>
    </row>
    <row r="4936" spans="9:14" x14ac:dyDescent="0.25">
      <c r="I4936" s="11" t="b">
        <f t="shared" si="247"/>
        <v>0</v>
      </c>
      <c r="M4936" s="17" t="str">
        <f t="shared" si="248"/>
        <v/>
      </c>
      <c r="N4936" s="11" t="str">
        <f t="shared" si="249"/>
        <v/>
      </c>
    </row>
    <row r="4937" spans="9:14" x14ac:dyDescent="0.25">
      <c r="I4937" s="11" t="b">
        <f t="shared" si="247"/>
        <v>0</v>
      </c>
      <c r="M4937" s="17" t="str">
        <f t="shared" si="248"/>
        <v/>
      </c>
      <c r="N4937" s="11" t="str">
        <f t="shared" si="249"/>
        <v/>
      </c>
    </row>
    <row r="4938" spans="9:14" x14ac:dyDescent="0.25">
      <c r="I4938" s="11" t="b">
        <f t="shared" si="247"/>
        <v>0</v>
      </c>
      <c r="M4938" s="17" t="str">
        <f t="shared" si="248"/>
        <v/>
      </c>
      <c r="N4938" s="11" t="str">
        <f t="shared" si="249"/>
        <v/>
      </c>
    </row>
    <row r="4939" spans="9:14" x14ac:dyDescent="0.25">
      <c r="I4939" s="11" t="b">
        <f t="shared" si="247"/>
        <v>0</v>
      </c>
      <c r="M4939" s="17" t="str">
        <f t="shared" si="248"/>
        <v/>
      </c>
      <c r="N4939" s="11" t="str">
        <f t="shared" si="249"/>
        <v/>
      </c>
    </row>
    <row r="4940" spans="9:14" x14ac:dyDescent="0.25">
      <c r="I4940" s="11" t="b">
        <f t="shared" si="247"/>
        <v>0</v>
      </c>
      <c r="M4940" s="17" t="str">
        <f t="shared" si="248"/>
        <v/>
      </c>
      <c r="N4940" s="11" t="str">
        <f t="shared" si="249"/>
        <v/>
      </c>
    </row>
    <row r="4941" spans="9:14" x14ac:dyDescent="0.25">
      <c r="I4941" s="11" t="b">
        <f t="shared" si="247"/>
        <v>0</v>
      </c>
      <c r="M4941" s="17" t="str">
        <f t="shared" si="248"/>
        <v/>
      </c>
      <c r="N4941" s="11" t="str">
        <f t="shared" si="249"/>
        <v/>
      </c>
    </row>
    <row r="4942" spans="9:14" x14ac:dyDescent="0.25">
      <c r="I4942" s="11" t="b">
        <f t="shared" si="247"/>
        <v>0</v>
      </c>
      <c r="M4942" s="17" t="str">
        <f t="shared" si="248"/>
        <v/>
      </c>
      <c r="N4942" s="11" t="str">
        <f t="shared" si="249"/>
        <v/>
      </c>
    </row>
    <row r="4943" spans="9:14" x14ac:dyDescent="0.25">
      <c r="I4943" s="11" t="b">
        <f t="shared" si="247"/>
        <v>0</v>
      </c>
      <c r="M4943" s="17" t="str">
        <f t="shared" si="248"/>
        <v/>
      </c>
      <c r="N4943" s="11" t="str">
        <f t="shared" si="249"/>
        <v/>
      </c>
    </row>
    <row r="4944" spans="9:14" x14ac:dyDescent="0.25">
      <c r="I4944" s="11" t="b">
        <f t="shared" si="247"/>
        <v>0</v>
      </c>
      <c r="M4944" s="17" t="str">
        <f t="shared" si="248"/>
        <v/>
      </c>
      <c r="N4944" s="11" t="str">
        <f t="shared" si="249"/>
        <v/>
      </c>
    </row>
    <row r="4945" spans="9:14" x14ac:dyDescent="0.25">
      <c r="I4945" s="11" t="b">
        <f t="shared" si="247"/>
        <v>0</v>
      </c>
      <c r="M4945" s="17" t="str">
        <f t="shared" si="248"/>
        <v/>
      </c>
      <c r="N4945" s="11" t="str">
        <f t="shared" si="249"/>
        <v/>
      </c>
    </row>
    <row r="4946" spans="9:14" x14ac:dyDescent="0.25">
      <c r="I4946" s="11" t="b">
        <f t="shared" si="247"/>
        <v>0</v>
      </c>
      <c r="M4946" s="17" t="str">
        <f t="shared" si="248"/>
        <v/>
      </c>
      <c r="N4946" s="11" t="str">
        <f t="shared" si="249"/>
        <v/>
      </c>
    </row>
    <row r="4947" spans="9:14" x14ac:dyDescent="0.25">
      <c r="I4947" s="11" t="b">
        <f t="shared" si="247"/>
        <v>0</v>
      </c>
      <c r="M4947" s="17" t="str">
        <f t="shared" si="248"/>
        <v/>
      </c>
      <c r="N4947" s="11" t="str">
        <f t="shared" si="249"/>
        <v/>
      </c>
    </row>
    <row r="4948" spans="9:14" x14ac:dyDescent="0.25">
      <c r="I4948" s="11" t="b">
        <f t="shared" si="247"/>
        <v>0</v>
      </c>
      <c r="M4948" s="17" t="str">
        <f t="shared" si="248"/>
        <v/>
      </c>
      <c r="N4948" s="11" t="str">
        <f t="shared" si="249"/>
        <v/>
      </c>
    </row>
    <row r="4949" spans="9:14" x14ac:dyDescent="0.25">
      <c r="I4949" s="11" t="b">
        <f t="shared" si="247"/>
        <v>0</v>
      </c>
      <c r="M4949" s="17" t="str">
        <f t="shared" si="248"/>
        <v/>
      </c>
      <c r="N4949" s="11" t="str">
        <f t="shared" si="249"/>
        <v/>
      </c>
    </row>
    <row r="4950" spans="9:14" x14ac:dyDescent="0.25">
      <c r="I4950" s="11" t="b">
        <f t="shared" si="247"/>
        <v>0</v>
      </c>
      <c r="M4950" s="17" t="str">
        <f t="shared" si="248"/>
        <v/>
      </c>
      <c r="N4950" s="11" t="str">
        <f t="shared" si="249"/>
        <v/>
      </c>
    </row>
    <row r="4951" spans="9:14" x14ac:dyDescent="0.25">
      <c r="I4951" s="11" t="b">
        <f t="shared" si="247"/>
        <v>0</v>
      </c>
      <c r="M4951" s="17" t="str">
        <f t="shared" si="248"/>
        <v/>
      </c>
      <c r="N4951" s="11" t="str">
        <f t="shared" si="249"/>
        <v/>
      </c>
    </row>
    <row r="4952" spans="9:14" x14ac:dyDescent="0.25">
      <c r="I4952" s="11" t="b">
        <f t="shared" si="247"/>
        <v>0</v>
      </c>
      <c r="M4952" s="17" t="str">
        <f t="shared" si="248"/>
        <v/>
      </c>
      <c r="N4952" s="11" t="str">
        <f t="shared" si="249"/>
        <v/>
      </c>
    </row>
    <row r="4953" spans="9:14" x14ac:dyDescent="0.25">
      <c r="I4953" s="11" t="b">
        <f t="shared" si="247"/>
        <v>0</v>
      </c>
      <c r="M4953" s="17" t="str">
        <f t="shared" si="248"/>
        <v/>
      </c>
      <c r="N4953" s="11" t="str">
        <f t="shared" si="249"/>
        <v/>
      </c>
    </row>
    <row r="4954" spans="9:14" x14ac:dyDescent="0.25">
      <c r="I4954" s="11" t="b">
        <f t="shared" si="247"/>
        <v>0</v>
      </c>
      <c r="M4954" s="17" t="str">
        <f t="shared" si="248"/>
        <v/>
      </c>
      <c r="N4954" s="11" t="str">
        <f t="shared" si="249"/>
        <v/>
      </c>
    </row>
    <row r="4955" spans="9:14" x14ac:dyDescent="0.25">
      <c r="I4955" s="11" t="b">
        <f t="shared" si="247"/>
        <v>0</v>
      </c>
      <c r="M4955" s="17" t="str">
        <f t="shared" si="248"/>
        <v/>
      </c>
      <c r="N4955" s="11" t="str">
        <f t="shared" si="249"/>
        <v/>
      </c>
    </row>
    <row r="4956" spans="9:14" x14ac:dyDescent="0.25">
      <c r="I4956" s="11" t="b">
        <f t="shared" si="247"/>
        <v>0</v>
      </c>
      <c r="M4956" s="17" t="str">
        <f t="shared" si="248"/>
        <v/>
      </c>
      <c r="N4956" s="11" t="str">
        <f t="shared" si="249"/>
        <v/>
      </c>
    </row>
    <row r="4957" spans="9:14" x14ac:dyDescent="0.25">
      <c r="I4957" s="11" t="b">
        <f t="shared" ref="I4957:I5020" si="250">IF(AND(G4957="MERCADO PAGO",A4957="FATURAMENTO"),1,IF(AND(OR(G4957="MERCADO PAGO",G4957="pix mercado pago",G4957= "débito automático mercado pago", G4957= "boleto mercado pago"),A4957="DESPESAS"),4,IF(AND(G4957="SAFRA",A4957="FATURAMENTO"),2,IF(AND(OR(G4957="SAFRA",G4957="PIX SAFRA", G4957="DÉBITO AUTOMÁTICO SAFRA", G4957= "BOLETO SAFRA", G4957= "transferência safra"), A4957="DESPESAS"),5,IF(AND(G4957="espécie",A4957="FATURAMENTO"),3,IF(AND(G4957="espécie",A4957="DESPESAS"),6))))))</f>
        <v>0</v>
      </c>
      <c r="M4957" s="17" t="str">
        <f t="shared" si="248"/>
        <v/>
      </c>
      <c r="N4957" s="11" t="str">
        <f t="shared" si="249"/>
        <v/>
      </c>
    </row>
    <row r="4958" spans="9:14" x14ac:dyDescent="0.25">
      <c r="I4958" s="11" t="b">
        <f t="shared" si="250"/>
        <v>0</v>
      </c>
      <c r="M4958" s="17" t="str">
        <f t="shared" si="248"/>
        <v/>
      </c>
      <c r="N4958" s="11" t="str">
        <f t="shared" si="249"/>
        <v/>
      </c>
    </row>
    <row r="4959" spans="9:14" x14ac:dyDescent="0.25">
      <c r="I4959" s="11" t="b">
        <f t="shared" si="250"/>
        <v>0</v>
      </c>
      <c r="M4959" s="17" t="str">
        <f t="shared" si="248"/>
        <v/>
      </c>
      <c r="N4959" s="11" t="str">
        <f t="shared" si="249"/>
        <v/>
      </c>
    </row>
    <row r="4960" spans="9:14" x14ac:dyDescent="0.25">
      <c r="I4960" s="11" t="b">
        <f t="shared" si="250"/>
        <v>0</v>
      </c>
      <c r="M4960" s="17" t="str">
        <f t="shared" si="248"/>
        <v/>
      </c>
      <c r="N4960" s="11" t="str">
        <f t="shared" si="249"/>
        <v/>
      </c>
    </row>
    <row r="4961" spans="9:14" x14ac:dyDescent="0.25">
      <c r="I4961" s="11" t="b">
        <f t="shared" si="250"/>
        <v>0</v>
      </c>
      <c r="M4961" s="17" t="str">
        <f t="shared" si="248"/>
        <v/>
      </c>
      <c r="N4961" s="11" t="str">
        <f t="shared" si="249"/>
        <v/>
      </c>
    </row>
    <row r="4962" spans="9:14" x14ac:dyDescent="0.25">
      <c r="I4962" s="11" t="b">
        <f t="shared" si="250"/>
        <v>0</v>
      </c>
      <c r="M4962" s="17" t="str">
        <f t="shared" si="248"/>
        <v/>
      </c>
      <c r="N4962" s="11" t="str">
        <f t="shared" si="249"/>
        <v/>
      </c>
    </row>
    <row r="4963" spans="9:14" x14ac:dyDescent="0.25">
      <c r="I4963" s="11" t="b">
        <f t="shared" si="250"/>
        <v>0</v>
      </c>
      <c r="M4963" s="17" t="str">
        <f t="shared" si="248"/>
        <v/>
      </c>
      <c r="N4963" s="11" t="str">
        <f t="shared" si="249"/>
        <v/>
      </c>
    </row>
    <row r="4964" spans="9:14" x14ac:dyDescent="0.25">
      <c r="I4964" s="11" t="b">
        <f t="shared" si="250"/>
        <v>0</v>
      </c>
      <c r="M4964" s="17" t="str">
        <f t="shared" si="248"/>
        <v/>
      </c>
      <c r="N4964" s="11" t="str">
        <f t="shared" si="249"/>
        <v/>
      </c>
    </row>
    <row r="4965" spans="9:14" x14ac:dyDescent="0.25">
      <c r="I4965" s="11" t="b">
        <f t="shared" si="250"/>
        <v>0</v>
      </c>
      <c r="M4965" s="17" t="str">
        <f t="shared" si="248"/>
        <v/>
      </c>
      <c r="N4965" s="11" t="str">
        <f t="shared" si="249"/>
        <v/>
      </c>
    </row>
    <row r="4966" spans="9:14" x14ac:dyDescent="0.25">
      <c r="I4966" s="11" t="b">
        <f t="shared" si="250"/>
        <v>0</v>
      </c>
      <c r="M4966" s="17" t="str">
        <f t="shared" si="248"/>
        <v/>
      </c>
      <c r="N4966" s="11" t="str">
        <f t="shared" si="249"/>
        <v/>
      </c>
    </row>
    <row r="4967" spans="9:14" x14ac:dyDescent="0.25">
      <c r="I4967" s="11" t="b">
        <f t="shared" si="250"/>
        <v>0</v>
      </c>
      <c r="M4967" s="17" t="str">
        <f t="shared" si="248"/>
        <v/>
      </c>
      <c r="N4967" s="11" t="str">
        <f t="shared" si="249"/>
        <v/>
      </c>
    </row>
    <row r="4968" spans="9:14" x14ac:dyDescent="0.25">
      <c r="I4968" s="11" t="b">
        <f t="shared" si="250"/>
        <v>0</v>
      </c>
      <c r="M4968" s="17" t="str">
        <f t="shared" si="248"/>
        <v/>
      </c>
      <c r="N4968" s="11" t="str">
        <f t="shared" si="249"/>
        <v/>
      </c>
    </row>
    <row r="4969" spans="9:14" x14ac:dyDescent="0.25">
      <c r="I4969" s="11" t="b">
        <f t="shared" si="250"/>
        <v>0</v>
      </c>
      <c r="M4969" s="17" t="str">
        <f t="shared" si="248"/>
        <v/>
      </c>
      <c r="N4969" s="11" t="str">
        <f t="shared" si="249"/>
        <v/>
      </c>
    </row>
    <row r="4970" spans="9:14" x14ac:dyDescent="0.25">
      <c r="I4970" s="11" t="b">
        <f t="shared" si="250"/>
        <v>0</v>
      </c>
      <c r="M4970" s="17" t="str">
        <f t="shared" si="248"/>
        <v/>
      </c>
      <c r="N4970" s="11" t="str">
        <f t="shared" si="249"/>
        <v/>
      </c>
    </row>
    <row r="4971" spans="9:14" x14ac:dyDescent="0.25">
      <c r="I4971" s="11" t="b">
        <f t="shared" si="250"/>
        <v>0</v>
      </c>
      <c r="M4971" s="17" t="str">
        <f t="shared" si="248"/>
        <v/>
      </c>
      <c r="N4971" s="11" t="str">
        <f t="shared" si="249"/>
        <v/>
      </c>
    </row>
    <row r="4972" spans="9:14" x14ac:dyDescent="0.25">
      <c r="I4972" s="11" t="b">
        <f t="shared" si="250"/>
        <v>0</v>
      </c>
      <c r="M4972" s="17" t="str">
        <f t="shared" si="248"/>
        <v/>
      </c>
      <c r="N4972" s="11" t="str">
        <f t="shared" si="249"/>
        <v/>
      </c>
    </row>
    <row r="4973" spans="9:14" x14ac:dyDescent="0.25">
      <c r="I4973" s="11" t="b">
        <f t="shared" si="250"/>
        <v>0</v>
      </c>
      <c r="M4973" s="17" t="str">
        <f t="shared" si="248"/>
        <v/>
      </c>
      <c r="N4973" s="11" t="str">
        <f t="shared" si="249"/>
        <v/>
      </c>
    </row>
    <row r="4974" spans="9:14" x14ac:dyDescent="0.25">
      <c r="I4974" s="11" t="b">
        <f t="shared" si="250"/>
        <v>0</v>
      </c>
      <c r="M4974" s="17" t="str">
        <f t="shared" si="248"/>
        <v/>
      </c>
      <c r="N4974" s="11" t="str">
        <f t="shared" si="249"/>
        <v/>
      </c>
    </row>
    <row r="4975" spans="9:14" x14ac:dyDescent="0.25">
      <c r="I4975" s="11" t="b">
        <f t="shared" si="250"/>
        <v>0</v>
      </c>
      <c r="M4975" s="17" t="str">
        <f t="shared" si="248"/>
        <v/>
      </c>
      <c r="N4975" s="11" t="str">
        <f t="shared" si="249"/>
        <v/>
      </c>
    </row>
    <row r="4976" spans="9:14" x14ac:dyDescent="0.25">
      <c r="I4976" s="11" t="b">
        <f t="shared" si="250"/>
        <v>0</v>
      </c>
      <c r="M4976" s="17" t="str">
        <f t="shared" si="248"/>
        <v/>
      </c>
      <c r="N4976" s="11" t="str">
        <f t="shared" si="249"/>
        <v/>
      </c>
    </row>
    <row r="4977" spans="9:14" x14ac:dyDescent="0.25">
      <c r="I4977" s="11" t="b">
        <f t="shared" si="250"/>
        <v>0</v>
      </c>
      <c r="M4977" s="17" t="str">
        <f t="shared" si="248"/>
        <v/>
      </c>
      <c r="N4977" s="11" t="str">
        <f t="shared" si="249"/>
        <v/>
      </c>
    </row>
    <row r="4978" spans="9:14" x14ac:dyDescent="0.25">
      <c r="I4978" s="11" t="b">
        <f t="shared" si="250"/>
        <v>0</v>
      </c>
      <c r="M4978" s="17" t="str">
        <f t="shared" si="248"/>
        <v/>
      </c>
      <c r="N4978" s="11" t="str">
        <f t="shared" si="249"/>
        <v/>
      </c>
    </row>
    <row r="4979" spans="9:14" x14ac:dyDescent="0.25">
      <c r="I4979" s="11" t="b">
        <f t="shared" si="250"/>
        <v>0</v>
      </c>
      <c r="M4979" s="17" t="str">
        <f t="shared" si="248"/>
        <v/>
      </c>
      <c r="N4979" s="11" t="str">
        <f t="shared" si="249"/>
        <v/>
      </c>
    </row>
    <row r="4980" spans="9:14" x14ac:dyDescent="0.25">
      <c r="I4980" s="11" t="b">
        <f t="shared" si="250"/>
        <v>0</v>
      </c>
      <c r="M4980" s="17" t="str">
        <f t="shared" si="248"/>
        <v/>
      </c>
      <c r="N4980" s="11" t="str">
        <f t="shared" si="249"/>
        <v/>
      </c>
    </row>
    <row r="4981" spans="9:14" x14ac:dyDescent="0.25">
      <c r="I4981" s="11" t="b">
        <f t="shared" si="250"/>
        <v>0</v>
      </c>
      <c r="M4981" s="17" t="str">
        <f t="shared" si="248"/>
        <v/>
      </c>
      <c r="N4981" s="11" t="str">
        <f t="shared" si="249"/>
        <v/>
      </c>
    </row>
    <row r="4982" spans="9:14" x14ac:dyDescent="0.25">
      <c r="I4982" s="11" t="b">
        <f t="shared" si="250"/>
        <v>0</v>
      </c>
      <c r="M4982" s="17" t="str">
        <f t="shared" si="248"/>
        <v/>
      </c>
      <c r="N4982" s="11" t="str">
        <f t="shared" si="249"/>
        <v/>
      </c>
    </row>
    <row r="4983" spans="9:14" x14ac:dyDescent="0.25">
      <c r="I4983" s="11" t="b">
        <f t="shared" si="250"/>
        <v>0</v>
      </c>
      <c r="M4983" s="17" t="str">
        <f t="shared" si="248"/>
        <v/>
      </c>
      <c r="N4983" s="11" t="str">
        <f t="shared" si="249"/>
        <v/>
      </c>
    </row>
    <row r="4984" spans="9:14" x14ac:dyDescent="0.25">
      <c r="I4984" s="11" t="b">
        <f t="shared" si="250"/>
        <v>0</v>
      </c>
      <c r="M4984" s="17" t="str">
        <f t="shared" si="248"/>
        <v/>
      </c>
      <c r="N4984" s="11" t="str">
        <f t="shared" si="249"/>
        <v/>
      </c>
    </row>
    <row r="4985" spans="9:14" x14ac:dyDescent="0.25">
      <c r="I4985" s="11" t="b">
        <f t="shared" si="250"/>
        <v>0</v>
      </c>
      <c r="M4985" s="17" t="str">
        <f t="shared" si="248"/>
        <v/>
      </c>
      <c r="N4985" s="11" t="str">
        <f t="shared" si="249"/>
        <v/>
      </c>
    </row>
    <row r="4986" spans="9:14" x14ac:dyDescent="0.25">
      <c r="I4986" s="11" t="b">
        <f t="shared" si="250"/>
        <v>0</v>
      </c>
      <c r="M4986" s="17" t="str">
        <f t="shared" si="248"/>
        <v/>
      </c>
      <c r="N4986" s="11" t="str">
        <f t="shared" si="249"/>
        <v/>
      </c>
    </row>
    <row r="4987" spans="9:14" x14ac:dyDescent="0.25">
      <c r="I4987" s="11" t="b">
        <f t="shared" si="250"/>
        <v>0</v>
      </c>
      <c r="M4987" s="17" t="str">
        <f t="shared" si="248"/>
        <v/>
      </c>
      <c r="N4987" s="11" t="str">
        <f t="shared" si="249"/>
        <v/>
      </c>
    </row>
    <row r="4988" spans="9:14" x14ac:dyDescent="0.25">
      <c r="I4988" s="11" t="b">
        <f t="shared" si="250"/>
        <v>0</v>
      </c>
      <c r="M4988" s="17" t="str">
        <f t="shared" si="248"/>
        <v/>
      </c>
      <c r="N4988" s="11" t="str">
        <f t="shared" si="249"/>
        <v/>
      </c>
    </row>
    <row r="4989" spans="9:14" x14ac:dyDescent="0.25">
      <c r="I4989" s="11" t="b">
        <f t="shared" si="250"/>
        <v>0</v>
      </c>
      <c r="M4989" s="17" t="str">
        <f t="shared" si="248"/>
        <v/>
      </c>
      <c r="N4989" s="11" t="str">
        <f t="shared" si="249"/>
        <v/>
      </c>
    </row>
    <row r="4990" spans="9:14" x14ac:dyDescent="0.25">
      <c r="I4990" s="11" t="b">
        <f t="shared" si="250"/>
        <v>0</v>
      </c>
      <c r="M4990" s="17" t="str">
        <f t="shared" si="248"/>
        <v/>
      </c>
      <c r="N4990" s="11" t="str">
        <f t="shared" si="249"/>
        <v/>
      </c>
    </row>
    <row r="4991" spans="9:14" x14ac:dyDescent="0.25">
      <c r="I4991" s="11" t="b">
        <f t="shared" si="250"/>
        <v>0</v>
      </c>
      <c r="M4991" s="17" t="str">
        <f t="shared" si="248"/>
        <v/>
      </c>
      <c r="N4991" s="11" t="str">
        <f t="shared" si="249"/>
        <v/>
      </c>
    </row>
    <row r="4992" spans="9:14" x14ac:dyDescent="0.25">
      <c r="I4992" s="11" t="b">
        <f t="shared" si="250"/>
        <v>0</v>
      </c>
      <c r="M4992" s="17" t="str">
        <f t="shared" si="248"/>
        <v/>
      </c>
      <c r="N4992" s="11" t="str">
        <f t="shared" si="249"/>
        <v/>
      </c>
    </row>
    <row r="4993" spans="9:14" x14ac:dyDescent="0.25">
      <c r="I4993" s="11" t="b">
        <f t="shared" si="250"/>
        <v>0</v>
      </c>
      <c r="M4993" s="17" t="str">
        <f t="shared" ref="M4993:M5056" si="251">IF(B4993=0, "",M4992+ J4993-K4993)</f>
        <v/>
      </c>
      <c r="N4993" s="11" t="str">
        <f t="shared" ref="N4993:N5056" si="252">IF(B4993=0, "", MONTH(B4993))</f>
        <v/>
      </c>
    </row>
    <row r="4994" spans="9:14" x14ac:dyDescent="0.25">
      <c r="I4994" s="11" t="b">
        <f t="shared" si="250"/>
        <v>0</v>
      </c>
      <c r="M4994" s="17" t="str">
        <f t="shared" si="251"/>
        <v/>
      </c>
      <c r="N4994" s="11" t="str">
        <f t="shared" si="252"/>
        <v/>
      </c>
    </row>
    <row r="4995" spans="9:14" x14ac:dyDescent="0.25">
      <c r="I4995" s="11" t="b">
        <f t="shared" si="250"/>
        <v>0</v>
      </c>
      <c r="M4995" s="17" t="str">
        <f t="shared" si="251"/>
        <v/>
      </c>
      <c r="N4995" s="11" t="str">
        <f t="shared" si="252"/>
        <v/>
      </c>
    </row>
    <row r="4996" spans="9:14" x14ac:dyDescent="0.25">
      <c r="I4996" s="11" t="b">
        <f t="shared" si="250"/>
        <v>0</v>
      </c>
      <c r="M4996" s="17" t="str">
        <f t="shared" si="251"/>
        <v/>
      </c>
      <c r="N4996" s="11" t="str">
        <f t="shared" si="252"/>
        <v/>
      </c>
    </row>
    <row r="4997" spans="9:14" x14ac:dyDescent="0.25">
      <c r="I4997" s="11" t="b">
        <f t="shared" si="250"/>
        <v>0</v>
      </c>
      <c r="M4997" s="17" t="str">
        <f t="shared" si="251"/>
        <v/>
      </c>
      <c r="N4997" s="11" t="str">
        <f t="shared" si="252"/>
        <v/>
      </c>
    </row>
    <row r="4998" spans="9:14" x14ac:dyDescent="0.25">
      <c r="I4998" s="11" t="b">
        <f t="shared" si="250"/>
        <v>0</v>
      </c>
      <c r="M4998" s="17" t="str">
        <f t="shared" si="251"/>
        <v/>
      </c>
      <c r="N4998" s="11" t="str">
        <f t="shared" si="252"/>
        <v/>
      </c>
    </row>
    <row r="4999" spans="9:14" x14ac:dyDescent="0.25">
      <c r="I4999" s="11" t="b">
        <f t="shared" si="250"/>
        <v>0</v>
      </c>
      <c r="M4999" s="17" t="str">
        <f t="shared" si="251"/>
        <v/>
      </c>
      <c r="N4999" s="11" t="str">
        <f t="shared" si="252"/>
        <v/>
      </c>
    </row>
    <row r="5000" spans="9:14" x14ac:dyDescent="0.25">
      <c r="I5000" s="11" t="b">
        <f t="shared" si="250"/>
        <v>0</v>
      </c>
      <c r="M5000" s="17" t="str">
        <f t="shared" si="251"/>
        <v/>
      </c>
      <c r="N5000" s="11" t="str">
        <f t="shared" si="252"/>
        <v/>
      </c>
    </row>
    <row r="5001" spans="9:14" x14ac:dyDescent="0.25">
      <c r="I5001" s="11" t="b">
        <f t="shared" si="250"/>
        <v>0</v>
      </c>
      <c r="M5001" s="17" t="str">
        <f t="shared" si="251"/>
        <v/>
      </c>
      <c r="N5001" s="11" t="str">
        <f t="shared" si="252"/>
        <v/>
      </c>
    </row>
    <row r="5002" spans="9:14" x14ac:dyDescent="0.25">
      <c r="I5002" s="11" t="b">
        <f t="shared" si="250"/>
        <v>0</v>
      </c>
      <c r="M5002" s="17" t="str">
        <f t="shared" si="251"/>
        <v/>
      </c>
      <c r="N5002" s="11" t="str">
        <f t="shared" si="252"/>
        <v/>
      </c>
    </row>
    <row r="5003" spans="9:14" x14ac:dyDescent="0.25">
      <c r="I5003" s="11" t="b">
        <f t="shared" si="250"/>
        <v>0</v>
      </c>
      <c r="M5003" s="17" t="str">
        <f t="shared" si="251"/>
        <v/>
      </c>
      <c r="N5003" s="11" t="str">
        <f t="shared" si="252"/>
        <v/>
      </c>
    </row>
    <row r="5004" spans="9:14" x14ac:dyDescent="0.25">
      <c r="I5004" s="11" t="b">
        <f t="shared" si="250"/>
        <v>0</v>
      </c>
      <c r="M5004" s="17" t="str">
        <f t="shared" si="251"/>
        <v/>
      </c>
      <c r="N5004" s="11" t="str">
        <f t="shared" si="252"/>
        <v/>
      </c>
    </row>
    <row r="5005" spans="9:14" x14ac:dyDescent="0.25">
      <c r="I5005" s="11" t="b">
        <f t="shared" si="250"/>
        <v>0</v>
      </c>
      <c r="M5005" s="17" t="str">
        <f t="shared" si="251"/>
        <v/>
      </c>
      <c r="N5005" s="11" t="str">
        <f t="shared" si="252"/>
        <v/>
      </c>
    </row>
    <row r="5006" spans="9:14" x14ac:dyDescent="0.25">
      <c r="I5006" s="11" t="b">
        <f t="shared" si="250"/>
        <v>0</v>
      </c>
      <c r="M5006" s="17" t="str">
        <f t="shared" si="251"/>
        <v/>
      </c>
      <c r="N5006" s="11" t="str">
        <f t="shared" si="252"/>
        <v/>
      </c>
    </row>
    <row r="5007" spans="9:14" x14ac:dyDescent="0.25">
      <c r="I5007" s="11" t="b">
        <f t="shared" si="250"/>
        <v>0</v>
      </c>
      <c r="M5007" s="17" t="str">
        <f t="shared" si="251"/>
        <v/>
      </c>
      <c r="N5007" s="11" t="str">
        <f t="shared" si="252"/>
        <v/>
      </c>
    </row>
    <row r="5008" spans="9:14" x14ac:dyDescent="0.25">
      <c r="I5008" s="11" t="b">
        <f t="shared" si="250"/>
        <v>0</v>
      </c>
      <c r="M5008" s="17" t="str">
        <f t="shared" si="251"/>
        <v/>
      </c>
      <c r="N5008" s="11" t="str">
        <f t="shared" si="252"/>
        <v/>
      </c>
    </row>
    <row r="5009" spans="9:14" x14ac:dyDescent="0.25">
      <c r="I5009" s="11" t="b">
        <f t="shared" si="250"/>
        <v>0</v>
      </c>
      <c r="M5009" s="17" t="str">
        <f t="shared" si="251"/>
        <v/>
      </c>
      <c r="N5009" s="11" t="str">
        <f t="shared" si="252"/>
        <v/>
      </c>
    </row>
    <row r="5010" spans="9:14" x14ac:dyDescent="0.25">
      <c r="I5010" s="11" t="b">
        <f t="shared" si="250"/>
        <v>0</v>
      </c>
      <c r="M5010" s="17" t="str">
        <f t="shared" si="251"/>
        <v/>
      </c>
      <c r="N5010" s="11" t="str">
        <f t="shared" si="252"/>
        <v/>
      </c>
    </row>
    <row r="5011" spans="9:14" x14ac:dyDescent="0.25">
      <c r="I5011" s="11" t="b">
        <f t="shared" si="250"/>
        <v>0</v>
      </c>
      <c r="M5011" s="17" t="str">
        <f t="shared" si="251"/>
        <v/>
      </c>
      <c r="N5011" s="11" t="str">
        <f t="shared" si="252"/>
        <v/>
      </c>
    </row>
    <row r="5012" spans="9:14" x14ac:dyDescent="0.25">
      <c r="I5012" s="11" t="b">
        <f t="shared" si="250"/>
        <v>0</v>
      </c>
      <c r="M5012" s="17" t="str">
        <f t="shared" si="251"/>
        <v/>
      </c>
      <c r="N5012" s="11" t="str">
        <f t="shared" si="252"/>
        <v/>
      </c>
    </row>
    <row r="5013" spans="9:14" x14ac:dyDescent="0.25">
      <c r="I5013" s="11" t="b">
        <f t="shared" si="250"/>
        <v>0</v>
      </c>
      <c r="M5013" s="17" t="str">
        <f t="shared" si="251"/>
        <v/>
      </c>
      <c r="N5013" s="11" t="str">
        <f t="shared" si="252"/>
        <v/>
      </c>
    </row>
    <row r="5014" spans="9:14" x14ac:dyDescent="0.25">
      <c r="I5014" s="11" t="b">
        <f t="shared" si="250"/>
        <v>0</v>
      </c>
      <c r="M5014" s="17" t="str">
        <f t="shared" si="251"/>
        <v/>
      </c>
      <c r="N5014" s="11" t="str">
        <f t="shared" si="252"/>
        <v/>
      </c>
    </row>
    <row r="5015" spans="9:14" x14ac:dyDescent="0.25">
      <c r="I5015" s="11" t="b">
        <f t="shared" si="250"/>
        <v>0</v>
      </c>
      <c r="M5015" s="17" t="str">
        <f t="shared" si="251"/>
        <v/>
      </c>
      <c r="N5015" s="11" t="str">
        <f t="shared" si="252"/>
        <v/>
      </c>
    </row>
    <row r="5016" spans="9:14" x14ac:dyDescent="0.25">
      <c r="I5016" s="11" t="b">
        <f t="shared" si="250"/>
        <v>0</v>
      </c>
      <c r="M5016" s="17" t="str">
        <f t="shared" si="251"/>
        <v/>
      </c>
      <c r="N5016" s="11" t="str">
        <f t="shared" si="252"/>
        <v/>
      </c>
    </row>
    <row r="5017" spans="9:14" x14ac:dyDescent="0.25">
      <c r="I5017" s="11" t="b">
        <f t="shared" si="250"/>
        <v>0</v>
      </c>
      <c r="M5017" s="17" t="str">
        <f t="shared" si="251"/>
        <v/>
      </c>
      <c r="N5017" s="11" t="str">
        <f t="shared" si="252"/>
        <v/>
      </c>
    </row>
    <row r="5018" spans="9:14" x14ac:dyDescent="0.25">
      <c r="I5018" s="11" t="b">
        <f t="shared" si="250"/>
        <v>0</v>
      </c>
      <c r="M5018" s="17" t="str">
        <f t="shared" si="251"/>
        <v/>
      </c>
      <c r="N5018" s="11" t="str">
        <f t="shared" si="252"/>
        <v/>
      </c>
    </row>
    <row r="5019" spans="9:14" x14ac:dyDescent="0.25">
      <c r="I5019" s="11" t="b">
        <f t="shared" si="250"/>
        <v>0</v>
      </c>
      <c r="M5019" s="17" t="str">
        <f t="shared" si="251"/>
        <v/>
      </c>
      <c r="N5019" s="11" t="str">
        <f t="shared" si="252"/>
        <v/>
      </c>
    </row>
    <row r="5020" spans="9:14" x14ac:dyDescent="0.25">
      <c r="I5020" s="11" t="b">
        <f t="shared" si="250"/>
        <v>0</v>
      </c>
      <c r="M5020" s="17" t="str">
        <f t="shared" si="251"/>
        <v/>
      </c>
      <c r="N5020" s="11" t="str">
        <f t="shared" si="252"/>
        <v/>
      </c>
    </row>
    <row r="5021" spans="9:14" x14ac:dyDescent="0.25">
      <c r="I5021" s="11" t="b">
        <f t="shared" ref="I5021:I5084" si="253">IF(AND(G5021="MERCADO PAGO",A5021="FATURAMENTO"),1,IF(AND(OR(G5021="MERCADO PAGO",G5021="pix mercado pago",G5021= "débito automático mercado pago", G5021= "boleto mercado pago"),A5021="DESPESAS"),4,IF(AND(G5021="SAFRA",A5021="FATURAMENTO"),2,IF(AND(OR(G5021="SAFRA",G5021="PIX SAFRA", G5021="DÉBITO AUTOMÁTICO SAFRA", G5021= "BOLETO SAFRA", G5021= "transferência safra"), A5021="DESPESAS"),5,IF(AND(G5021="espécie",A5021="FATURAMENTO"),3,IF(AND(G5021="espécie",A5021="DESPESAS"),6))))))</f>
        <v>0</v>
      </c>
      <c r="M5021" s="17" t="str">
        <f t="shared" si="251"/>
        <v/>
      </c>
      <c r="N5021" s="11" t="str">
        <f t="shared" si="252"/>
        <v/>
      </c>
    </row>
    <row r="5022" spans="9:14" x14ac:dyDescent="0.25">
      <c r="I5022" s="11" t="b">
        <f t="shared" si="253"/>
        <v>0</v>
      </c>
      <c r="M5022" s="17" t="str">
        <f t="shared" si="251"/>
        <v/>
      </c>
      <c r="N5022" s="11" t="str">
        <f t="shared" si="252"/>
        <v/>
      </c>
    </row>
    <row r="5023" spans="9:14" x14ac:dyDescent="0.25">
      <c r="I5023" s="11" t="b">
        <f t="shared" si="253"/>
        <v>0</v>
      </c>
      <c r="M5023" s="17" t="str">
        <f t="shared" si="251"/>
        <v/>
      </c>
      <c r="N5023" s="11" t="str">
        <f t="shared" si="252"/>
        <v/>
      </c>
    </row>
    <row r="5024" spans="9:14" x14ac:dyDescent="0.25">
      <c r="I5024" s="11" t="b">
        <f t="shared" si="253"/>
        <v>0</v>
      </c>
      <c r="M5024" s="17" t="str">
        <f t="shared" si="251"/>
        <v/>
      </c>
      <c r="N5024" s="11" t="str">
        <f t="shared" si="252"/>
        <v/>
      </c>
    </row>
    <row r="5025" spans="9:14" x14ac:dyDescent="0.25">
      <c r="I5025" s="11" t="b">
        <f t="shared" si="253"/>
        <v>0</v>
      </c>
      <c r="M5025" s="17" t="str">
        <f t="shared" si="251"/>
        <v/>
      </c>
      <c r="N5025" s="11" t="str">
        <f t="shared" si="252"/>
        <v/>
      </c>
    </row>
    <row r="5026" spans="9:14" x14ac:dyDescent="0.25">
      <c r="I5026" s="11" t="b">
        <f t="shared" si="253"/>
        <v>0</v>
      </c>
      <c r="M5026" s="17" t="str">
        <f t="shared" si="251"/>
        <v/>
      </c>
      <c r="N5026" s="11" t="str">
        <f t="shared" si="252"/>
        <v/>
      </c>
    </row>
    <row r="5027" spans="9:14" x14ac:dyDescent="0.25">
      <c r="I5027" s="11" t="b">
        <f t="shared" si="253"/>
        <v>0</v>
      </c>
      <c r="M5027" s="17" t="str">
        <f t="shared" si="251"/>
        <v/>
      </c>
      <c r="N5027" s="11" t="str">
        <f t="shared" si="252"/>
        <v/>
      </c>
    </row>
    <row r="5028" spans="9:14" x14ac:dyDescent="0.25">
      <c r="I5028" s="11" t="b">
        <f t="shared" si="253"/>
        <v>0</v>
      </c>
      <c r="M5028" s="17" t="str">
        <f t="shared" si="251"/>
        <v/>
      </c>
      <c r="N5028" s="11" t="str">
        <f t="shared" si="252"/>
        <v/>
      </c>
    </row>
    <row r="5029" spans="9:14" x14ac:dyDescent="0.25">
      <c r="I5029" s="11" t="b">
        <f t="shared" si="253"/>
        <v>0</v>
      </c>
      <c r="M5029" s="17" t="str">
        <f t="shared" si="251"/>
        <v/>
      </c>
      <c r="N5029" s="11" t="str">
        <f t="shared" si="252"/>
        <v/>
      </c>
    </row>
    <row r="5030" spans="9:14" x14ac:dyDescent="0.25">
      <c r="I5030" s="11" t="b">
        <f t="shared" si="253"/>
        <v>0</v>
      </c>
      <c r="M5030" s="17" t="str">
        <f t="shared" si="251"/>
        <v/>
      </c>
      <c r="N5030" s="11" t="str">
        <f t="shared" si="252"/>
        <v/>
      </c>
    </row>
    <row r="5031" spans="9:14" x14ac:dyDescent="0.25">
      <c r="I5031" s="11" t="b">
        <f t="shared" si="253"/>
        <v>0</v>
      </c>
      <c r="M5031" s="17" t="str">
        <f t="shared" si="251"/>
        <v/>
      </c>
      <c r="N5031" s="11" t="str">
        <f t="shared" si="252"/>
        <v/>
      </c>
    </row>
    <row r="5032" spans="9:14" x14ac:dyDescent="0.25">
      <c r="I5032" s="11" t="b">
        <f t="shared" si="253"/>
        <v>0</v>
      </c>
      <c r="M5032" s="17" t="str">
        <f t="shared" si="251"/>
        <v/>
      </c>
      <c r="N5032" s="11" t="str">
        <f t="shared" si="252"/>
        <v/>
      </c>
    </row>
    <row r="5033" spans="9:14" x14ac:dyDescent="0.25">
      <c r="I5033" s="11" t="b">
        <f t="shared" si="253"/>
        <v>0</v>
      </c>
      <c r="M5033" s="17" t="str">
        <f t="shared" si="251"/>
        <v/>
      </c>
      <c r="N5033" s="11" t="str">
        <f t="shared" si="252"/>
        <v/>
      </c>
    </row>
    <row r="5034" spans="9:14" x14ac:dyDescent="0.25">
      <c r="I5034" s="11" t="b">
        <f t="shared" si="253"/>
        <v>0</v>
      </c>
      <c r="M5034" s="17" t="str">
        <f t="shared" si="251"/>
        <v/>
      </c>
      <c r="N5034" s="11" t="str">
        <f t="shared" si="252"/>
        <v/>
      </c>
    </row>
    <row r="5035" spans="9:14" x14ac:dyDescent="0.25">
      <c r="I5035" s="11" t="b">
        <f t="shared" si="253"/>
        <v>0</v>
      </c>
      <c r="M5035" s="17" t="str">
        <f t="shared" si="251"/>
        <v/>
      </c>
      <c r="N5035" s="11" t="str">
        <f t="shared" si="252"/>
        <v/>
      </c>
    </row>
    <row r="5036" spans="9:14" x14ac:dyDescent="0.25">
      <c r="I5036" s="11" t="b">
        <f t="shared" si="253"/>
        <v>0</v>
      </c>
      <c r="M5036" s="17" t="str">
        <f t="shared" si="251"/>
        <v/>
      </c>
      <c r="N5036" s="11" t="str">
        <f t="shared" si="252"/>
        <v/>
      </c>
    </row>
    <row r="5037" spans="9:14" x14ac:dyDescent="0.25">
      <c r="I5037" s="11" t="b">
        <f t="shared" si="253"/>
        <v>0</v>
      </c>
      <c r="M5037" s="17" t="str">
        <f t="shared" si="251"/>
        <v/>
      </c>
      <c r="N5037" s="11" t="str">
        <f t="shared" si="252"/>
        <v/>
      </c>
    </row>
    <row r="5038" spans="9:14" x14ac:dyDescent="0.25">
      <c r="I5038" s="11" t="b">
        <f t="shared" si="253"/>
        <v>0</v>
      </c>
      <c r="M5038" s="17" t="str">
        <f t="shared" si="251"/>
        <v/>
      </c>
      <c r="N5038" s="11" t="str">
        <f t="shared" si="252"/>
        <v/>
      </c>
    </row>
    <row r="5039" spans="9:14" x14ac:dyDescent="0.25">
      <c r="I5039" s="11" t="b">
        <f t="shared" si="253"/>
        <v>0</v>
      </c>
      <c r="M5039" s="17" t="str">
        <f t="shared" si="251"/>
        <v/>
      </c>
      <c r="N5039" s="11" t="str">
        <f t="shared" si="252"/>
        <v/>
      </c>
    </row>
    <row r="5040" spans="9:14" x14ac:dyDescent="0.25">
      <c r="I5040" s="11" t="b">
        <f t="shared" si="253"/>
        <v>0</v>
      </c>
      <c r="M5040" s="17" t="str">
        <f t="shared" si="251"/>
        <v/>
      </c>
      <c r="N5040" s="11" t="str">
        <f t="shared" si="252"/>
        <v/>
      </c>
    </row>
    <row r="5041" spans="9:14" x14ac:dyDescent="0.25">
      <c r="I5041" s="11" t="b">
        <f t="shared" si="253"/>
        <v>0</v>
      </c>
      <c r="M5041" s="17" t="str">
        <f t="shared" si="251"/>
        <v/>
      </c>
      <c r="N5041" s="11" t="str">
        <f t="shared" si="252"/>
        <v/>
      </c>
    </row>
    <row r="5042" spans="9:14" x14ac:dyDescent="0.25">
      <c r="I5042" s="11" t="b">
        <f t="shared" si="253"/>
        <v>0</v>
      </c>
      <c r="M5042" s="17" t="str">
        <f t="shared" si="251"/>
        <v/>
      </c>
      <c r="N5042" s="11" t="str">
        <f t="shared" si="252"/>
        <v/>
      </c>
    </row>
    <row r="5043" spans="9:14" x14ac:dyDescent="0.25">
      <c r="I5043" s="11" t="b">
        <f t="shared" si="253"/>
        <v>0</v>
      </c>
      <c r="M5043" s="17" t="str">
        <f t="shared" si="251"/>
        <v/>
      </c>
      <c r="N5043" s="11" t="str">
        <f t="shared" si="252"/>
        <v/>
      </c>
    </row>
    <row r="5044" spans="9:14" x14ac:dyDescent="0.25">
      <c r="I5044" s="11" t="b">
        <f t="shared" si="253"/>
        <v>0</v>
      </c>
      <c r="M5044" s="17" t="str">
        <f t="shared" si="251"/>
        <v/>
      </c>
      <c r="N5044" s="11" t="str">
        <f t="shared" si="252"/>
        <v/>
      </c>
    </row>
    <row r="5045" spans="9:14" x14ac:dyDescent="0.25">
      <c r="I5045" s="11" t="b">
        <f t="shared" si="253"/>
        <v>0</v>
      </c>
      <c r="M5045" s="17" t="str">
        <f t="shared" si="251"/>
        <v/>
      </c>
      <c r="N5045" s="11" t="str">
        <f t="shared" si="252"/>
        <v/>
      </c>
    </row>
    <row r="5046" spans="9:14" x14ac:dyDescent="0.25">
      <c r="I5046" s="11" t="b">
        <f t="shared" si="253"/>
        <v>0</v>
      </c>
      <c r="M5046" s="17" t="str">
        <f t="shared" si="251"/>
        <v/>
      </c>
      <c r="N5046" s="11" t="str">
        <f t="shared" si="252"/>
        <v/>
      </c>
    </row>
    <row r="5047" spans="9:14" x14ac:dyDescent="0.25">
      <c r="I5047" s="11" t="b">
        <f t="shared" si="253"/>
        <v>0</v>
      </c>
      <c r="M5047" s="17" t="str">
        <f t="shared" si="251"/>
        <v/>
      </c>
      <c r="N5047" s="11" t="str">
        <f t="shared" si="252"/>
        <v/>
      </c>
    </row>
    <row r="5048" spans="9:14" x14ac:dyDescent="0.25">
      <c r="I5048" s="11" t="b">
        <f t="shared" si="253"/>
        <v>0</v>
      </c>
      <c r="M5048" s="17" t="str">
        <f t="shared" si="251"/>
        <v/>
      </c>
      <c r="N5048" s="11" t="str">
        <f t="shared" si="252"/>
        <v/>
      </c>
    </row>
    <row r="5049" spans="9:14" x14ac:dyDescent="0.25">
      <c r="I5049" s="11" t="b">
        <f t="shared" si="253"/>
        <v>0</v>
      </c>
      <c r="M5049" s="17" t="str">
        <f t="shared" si="251"/>
        <v/>
      </c>
      <c r="N5049" s="11" t="str">
        <f t="shared" si="252"/>
        <v/>
      </c>
    </row>
    <row r="5050" spans="9:14" x14ac:dyDescent="0.25">
      <c r="I5050" s="11" t="b">
        <f t="shared" si="253"/>
        <v>0</v>
      </c>
      <c r="M5050" s="17" t="str">
        <f t="shared" si="251"/>
        <v/>
      </c>
      <c r="N5050" s="11" t="str">
        <f t="shared" si="252"/>
        <v/>
      </c>
    </row>
    <row r="5051" spans="9:14" x14ac:dyDescent="0.25">
      <c r="I5051" s="11" t="b">
        <f t="shared" si="253"/>
        <v>0</v>
      </c>
      <c r="M5051" s="17" t="str">
        <f t="shared" si="251"/>
        <v/>
      </c>
      <c r="N5051" s="11" t="str">
        <f t="shared" si="252"/>
        <v/>
      </c>
    </row>
    <row r="5052" spans="9:14" x14ac:dyDescent="0.25">
      <c r="I5052" s="11" t="b">
        <f t="shared" si="253"/>
        <v>0</v>
      </c>
      <c r="M5052" s="17" t="str">
        <f t="shared" si="251"/>
        <v/>
      </c>
      <c r="N5052" s="11" t="str">
        <f t="shared" si="252"/>
        <v/>
      </c>
    </row>
    <row r="5053" spans="9:14" x14ac:dyDescent="0.25">
      <c r="I5053" s="11" t="b">
        <f t="shared" si="253"/>
        <v>0</v>
      </c>
      <c r="M5053" s="17" t="str">
        <f t="shared" si="251"/>
        <v/>
      </c>
      <c r="N5053" s="11" t="str">
        <f t="shared" si="252"/>
        <v/>
      </c>
    </row>
    <row r="5054" spans="9:14" x14ac:dyDescent="0.25">
      <c r="I5054" s="11" t="b">
        <f t="shared" si="253"/>
        <v>0</v>
      </c>
      <c r="M5054" s="17" t="str">
        <f t="shared" si="251"/>
        <v/>
      </c>
      <c r="N5054" s="11" t="str">
        <f t="shared" si="252"/>
        <v/>
      </c>
    </row>
    <row r="5055" spans="9:14" x14ac:dyDescent="0.25">
      <c r="I5055" s="11" t="b">
        <f t="shared" si="253"/>
        <v>0</v>
      </c>
      <c r="M5055" s="17" t="str">
        <f t="shared" si="251"/>
        <v/>
      </c>
      <c r="N5055" s="11" t="str">
        <f t="shared" si="252"/>
        <v/>
      </c>
    </row>
    <row r="5056" spans="9:14" x14ac:dyDescent="0.25">
      <c r="I5056" s="11" t="b">
        <f t="shared" si="253"/>
        <v>0</v>
      </c>
      <c r="M5056" s="17" t="str">
        <f t="shared" si="251"/>
        <v/>
      </c>
      <c r="N5056" s="11" t="str">
        <f t="shared" si="252"/>
        <v/>
      </c>
    </row>
    <row r="5057" spans="9:14" x14ac:dyDescent="0.25">
      <c r="I5057" s="11" t="b">
        <f t="shared" si="253"/>
        <v>0</v>
      </c>
      <c r="M5057" s="17" t="str">
        <f t="shared" ref="M5057:M5120" si="254">IF(B5057=0, "",M5056+ J5057-K5057)</f>
        <v/>
      </c>
      <c r="N5057" s="11" t="str">
        <f t="shared" ref="N5057:N5120" si="255">IF(B5057=0, "", MONTH(B5057))</f>
        <v/>
      </c>
    </row>
    <row r="5058" spans="9:14" x14ac:dyDescent="0.25">
      <c r="I5058" s="11" t="b">
        <f t="shared" si="253"/>
        <v>0</v>
      </c>
      <c r="M5058" s="17" t="str">
        <f t="shared" si="254"/>
        <v/>
      </c>
      <c r="N5058" s="11" t="str">
        <f t="shared" si="255"/>
        <v/>
      </c>
    </row>
    <row r="5059" spans="9:14" x14ac:dyDescent="0.25">
      <c r="I5059" s="11" t="b">
        <f t="shared" si="253"/>
        <v>0</v>
      </c>
      <c r="M5059" s="17" t="str">
        <f t="shared" si="254"/>
        <v/>
      </c>
      <c r="N5059" s="11" t="str">
        <f t="shared" si="255"/>
        <v/>
      </c>
    </row>
    <row r="5060" spans="9:14" x14ac:dyDescent="0.25">
      <c r="I5060" s="11" t="b">
        <f t="shared" si="253"/>
        <v>0</v>
      </c>
      <c r="M5060" s="17" t="str">
        <f t="shared" si="254"/>
        <v/>
      </c>
      <c r="N5060" s="11" t="str">
        <f t="shared" si="255"/>
        <v/>
      </c>
    </row>
    <row r="5061" spans="9:14" x14ac:dyDescent="0.25">
      <c r="I5061" s="11" t="b">
        <f t="shared" si="253"/>
        <v>0</v>
      </c>
      <c r="M5061" s="17" t="str">
        <f t="shared" si="254"/>
        <v/>
      </c>
      <c r="N5061" s="11" t="str">
        <f t="shared" si="255"/>
        <v/>
      </c>
    </row>
    <row r="5062" spans="9:14" x14ac:dyDescent="0.25">
      <c r="I5062" s="11" t="b">
        <f t="shared" si="253"/>
        <v>0</v>
      </c>
      <c r="M5062" s="17" t="str">
        <f t="shared" si="254"/>
        <v/>
      </c>
      <c r="N5062" s="11" t="str">
        <f t="shared" si="255"/>
        <v/>
      </c>
    </row>
    <row r="5063" spans="9:14" x14ac:dyDescent="0.25">
      <c r="I5063" s="11" t="b">
        <f t="shared" si="253"/>
        <v>0</v>
      </c>
      <c r="M5063" s="17" t="str">
        <f t="shared" si="254"/>
        <v/>
      </c>
      <c r="N5063" s="11" t="str">
        <f t="shared" si="255"/>
        <v/>
      </c>
    </row>
    <row r="5064" spans="9:14" x14ac:dyDescent="0.25">
      <c r="I5064" s="11" t="b">
        <f t="shared" si="253"/>
        <v>0</v>
      </c>
      <c r="M5064" s="17" t="str">
        <f t="shared" si="254"/>
        <v/>
      </c>
      <c r="N5064" s="11" t="str">
        <f t="shared" si="255"/>
        <v/>
      </c>
    </row>
    <row r="5065" spans="9:14" x14ac:dyDescent="0.25">
      <c r="I5065" s="11" t="b">
        <f t="shared" si="253"/>
        <v>0</v>
      </c>
      <c r="M5065" s="17" t="str">
        <f t="shared" si="254"/>
        <v/>
      </c>
      <c r="N5065" s="11" t="str">
        <f t="shared" si="255"/>
        <v/>
      </c>
    </row>
    <row r="5066" spans="9:14" x14ac:dyDescent="0.25">
      <c r="I5066" s="11" t="b">
        <f t="shared" si="253"/>
        <v>0</v>
      </c>
      <c r="M5066" s="17" t="str">
        <f t="shared" si="254"/>
        <v/>
      </c>
      <c r="N5066" s="11" t="str">
        <f t="shared" si="255"/>
        <v/>
      </c>
    </row>
    <row r="5067" spans="9:14" x14ac:dyDescent="0.25">
      <c r="I5067" s="11" t="b">
        <f t="shared" si="253"/>
        <v>0</v>
      </c>
      <c r="M5067" s="17" t="str">
        <f t="shared" si="254"/>
        <v/>
      </c>
      <c r="N5067" s="11" t="str">
        <f t="shared" si="255"/>
        <v/>
      </c>
    </row>
    <row r="5068" spans="9:14" x14ac:dyDescent="0.25">
      <c r="I5068" s="11" t="b">
        <f t="shared" si="253"/>
        <v>0</v>
      </c>
      <c r="M5068" s="17" t="str">
        <f t="shared" si="254"/>
        <v/>
      </c>
      <c r="N5068" s="11" t="str">
        <f t="shared" si="255"/>
        <v/>
      </c>
    </row>
    <row r="5069" spans="9:14" x14ac:dyDescent="0.25">
      <c r="I5069" s="11" t="b">
        <f t="shared" si="253"/>
        <v>0</v>
      </c>
      <c r="M5069" s="17" t="str">
        <f t="shared" si="254"/>
        <v/>
      </c>
      <c r="N5069" s="11" t="str">
        <f t="shared" si="255"/>
        <v/>
      </c>
    </row>
    <row r="5070" spans="9:14" x14ac:dyDescent="0.25">
      <c r="I5070" s="11" t="b">
        <f t="shared" si="253"/>
        <v>0</v>
      </c>
      <c r="M5070" s="17" t="str">
        <f t="shared" si="254"/>
        <v/>
      </c>
      <c r="N5070" s="11" t="str">
        <f t="shared" si="255"/>
        <v/>
      </c>
    </row>
    <row r="5071" spans="9:14" x14ac:dyDescent="0.25">
      <c r="I5071" s="11" t="b">
        <f t="shared" si="253"/>
        <v>0</v>
      </c>
      <c r="M5071" s="17" t="str">
        <f t="shared" si="254"/>
        <v/>
      </c>
      <c r="N5071" s="11" t="str">
        <f t="shared" si="255"/>
        <v/>
      </c>
    </row>
    <row r="5072" spans="9:14" x14ac:dyDescent="0.25">
      <c r="I5072" s="11" t="b">
        <f t="shared" si="253"/>
        <v>0</v>
      </c>
      <c r="M5072" s="17" t="str">
        <f t="shared" si="254"/>
        <v/>
      </c>
      <c r="N5072" s="11" t="str">
        <f t="shared" si="255"/>
        <v/>
      </c>
    </row>
    <row r="5073" spans="9:14" x14ac:dyDescent="0.25">
      <c r="I5073" s="11" t="b">
        <f t="shared" si="253"/>
        <v>0</v>
      </c>
      <c r="M5073" s="17" t="str">
        <f t="shared" si="254"/>
        <v/>
      </c>
      <c r="N5073" s="11" t="str">
        <f t="shared" si="255"/>
        <v/>
      </c>
    </row>
    <row r="5074" spans="9:14" x14ac:dyDescent="0.25">
      <c r="I5074" s="11" t="b">
        <f t="shared" si="253"/>
        <v>0</v>
      </c>
      <c r="M5074" s="17" t="str">
        <f t="shared" si="254"/>
        <v/>
      </c>
      <c r="N5074" s="11" t="str">
        <f t="shared" si="255"/>
        <v/>
      </c>
    </row>
    <row r="5075" spans="9:14" x14ac:dyDescent="0.25">
      <c r="I5075" s="11" t="b">
        <f t="shared" si="253"/>
        <v>0</v>
      </c>
      <c r="M5075" s="17" t="str">
        <f t="shared" si="254"/>
        <v/>
      </c>
      <c r="N5075" s="11" t="str">
        <f t="shared" si="255"/>
        <v/>
      </c>
    </row>
    <row r="5076" spans="9:14" x14ac:dyDescent="0.25">
      <c r="I5076" s="11" t="b">
        <f t="shared" si="253"/>
        <v>0</v>
      </c>
      <c r="M5076" s="17" t="str">
        <f t="shared" si="254"/>
        <v/>
      </c>
      <c r="N5076" s="11" t="str">
        <f t="shared" si="255"/>
        <v/>
      </c>
    </row>
    <row r="5077" spans="9:14" x14ac:dyDescent="0.25">
      <c r="I5077" s="11" t="b">
        <f t="shared" si="253"/>
        <v>0</v>
      </c>
      <c r="M5077" s="17" t="str">
        <f t="shared" si="254"/>
        <v/>
      </c>
      <c r="N5077" s="11" t="str">
        <f t="shared" si="255"/>
        <v/>
      </c>
    </row>
    <row r="5078" spans="9:14" x14ac:dyDescent="0.25">
      <c r="I5078" s="11" t="b">
        <f t="shared" si="253"/>
        <v>0</v>
      </c>
      <c r="M5078" s="17" t="str">
        <f t="shared" si="254"/>
        <v/>
      </c>
      <c r="N5078" s="11" t="str">
        <f t="shared" si="255"/>
        <v/>
      </c>
    </row>
    <row r="5079" spans="9:14" x14ac:dyDescent="0.25">
      <c r="I5079" s="11" t="b">
        <f t="shared" si="253"/>
        <v>0</v>
      </c>
      <c r="M5079" s="17" t="str">
        <f t="shared" si="254"/>
        <v/>
      </c>
      <c r="N5079" s="11" t="str">
        <f t="shared" si="255"/>
        <v/>
      </c>
    </row>
    <row r="5080" spans="9:14" x14ac:dyDescent="0.25">
      <c r="I5080" s="11" t="b">
        <f t="shared" si="253"/>
        <v>0</v>
      </c>
      <c r="M5080" s="17" t="str">
        <f t="shared" si="254"/>
        <v/>
      </c>
      <c r="N5080" s="11" t="str">
        <f t="shared" si="255"/>
        <v/>
      </c>
    </row>
    <row r="5081" spans="9:14" x14ac:dyDescent="0.25">
      <c r="I5081" s="11" t="b">
        <f t="shared" si="253"/>
        <v>0</v>
      </c>
      <c r="M5081" s="17" t="str">
        <f t="shared" si="254"/>
        <v/>
      </c>
      <c r="N5081" s="11" t="str">
        <f t="shared" si="255"/>
        <v/>
      </c>
    </row>
    <row r="5082" spans="9:14" x14ac:dyDescent="0.25">
      <c r="I5082" s="11" t="b">
        <f t="shared" si="253"/>
        <v>0</v>
      </c>
      <c r="M5082" s="17" t="str">
        <f t="shared" si="254"/>
        <v/>
      </c>
      <c r="N5082" s="11" t="str">
        <f t="shared" si="255"/>
        <v/>
      </c>
    </row>
    <row r="5083" spans="9:14" x14ac:dyDescent="0.25">
      <c r="I5083" s="11" t="b">
        <f t="shared" si="253"/>
        <v>0</v>
      </c>
      <c r="M5083" s="17" t="str">
        <f t="shared" si="254"/>
        <v/>
      </c>
      <c r="N5083" s="11" t="str">
        <f t="shared" si="255"/>
        <v/>
      </c>
    </row>
    <row r="5084" spans="9:14" x14ac:dyDescent="0.25">
      <c r="I5084" s="11" t="b">
        <f t="shared" si="253"/>
        <v>0</v>
      </c>
      <c r="M5084" s="17" t="str">
        <f t="shared" si="254"/>
        <v/>
      </c>
      <c r="N5084" s="11" t="str">
        <f t="shared" si="255"/>
        <v/>
      </c>
    </row>
    <row r="5085" spans="9:14" x14ac:dyDescent="0.25">
      <c r="I5085" s="11" t="b">
        <f t="shared" ref="I5085:I5148" si="256">IF(AND(G5085="MERCADO PAGO",A5085="FATURAMENTO"),1,IF(AND(OR(G5085="MERCADO PAGO",G5085="pix mercado pago",G5085= "débito automático mercado pago", G5085= "boleto mercado pago"),A5085="DESPESAS"),4,IF(AND(G5085="SAFRA",A5085="FATURAMENTO"),2,IF(AND(OR(G5085="SAFRA",G5085="PIX SAFRA", G5085="DÉBITO AUTOMÁTICO SAFRA", G5085= "BOLETO SAFRA", G5085= "transferência safra"), A5085="DESPESAS"),5,IF(AND(G5085="espécie",A5085="FATURAMENTO"),3,IF(AND(G5085="espécie",A5085="DESPESAS"),6))))))</f>
        <v>0</v>
      </c>
      <c r="M5085" s="17" t="str">
        <f t="shared" si="254"/>
        <v/>
      </c>
      <c r="N5085" s="11" t="str">
        <f t="shared" si="255"/>
        <v/>
      </c>
    </row>
    <row r="5086" spans="9:14" x14ac:dyDescent="0.25">
      <c r="I5086" s="11" t="b">
        <f t="shared" si="256"/>
        <v>0</v>
      </c>
      <c r="M5086" s="17" t="str">
        <f t="shared" si="254"/>
        <v/>
      </c>
      <c r="N5086" s="11" t="str">
        <f t="shared" si="255"/>
        <v/>
      </c>
    </row>
    <row r="5087" spans="9:14" x14ac:dyDescent="0.25">
      <c r="I5087" s="11" t="b">
        <f t="shared" si="256"/>
        <v>0</v>
      </c>
      <c r="M5087" s="17" t="str">
        <f t="shared" si="254"/>
        <v/>
      </c>
      <c r="N5087" s="11" t="str">
        <f t="shared" si="255"/>
        <v/>
      </c>
    </row>
    <row r="5088" spans="9:14" x14ac:dyDescent="0.25">
      <c r="I5088" s="11" t="b">
        <f t="shared" si="256"/>
        <v>0</v>
      </c>
      <c r="M5088" s="17" t="str">
        <f t="shared" si="254"/>
        <v/>
      </c>
      <c r="N5088" s="11" t="str">
        <f t="shared" si="255"/>
        <v/>
      </c>
    </row>
    <row r="5089" spans="9:14" x14ac:dyDescent="0.25">
      <c r="I5089" s="11" t="b">
        <f t="shared" si="256"/>
        <v>0</v>
      </c>
      <c r="M5089" s="17" t="str">
        <f t="shared" si="254"/>
        <v/>
      </c>
      <c r="N5089" s="11" t="str">
        <f t="shared" si="255"/>
        <v/>
      </c>
    </row>
    <row r="5090" spans="9:14" x14ac:dyDescent="0.25">
      <c r="I5090" s="11" t="b">
        <f t="shared" si="256"/>
        <v>0</v>
      </c>
      <c r="M5090" s="17" t="str">
        <f t="shared" si="254"/>
        <v/>
      </c>
      <c r="N5090" s="11" t="str">
        <f t="shared" si="255"/>
        <v/>
      </c>
    </row>
    <row r="5091" spans="9:14" x14ac:dyDescent="0.25">
      <c r="I5091" s="11" t="b">
        <f t="shared" si="256"/>
        <v>0</v>
      </c>
      <c r="M5091" s="17" t="str">
        <f t="shared" si="254"/>
        <v/>
      </c>
      <c r="N5091" s="11" t="str">
        <f t="shared" si="255"/>
        <v/>
      </c>
    </row>
    <row r="5092" spans="9:14" x14ac:dyDescent="0.25">
      <c r="I5092" s="11" t="b">
        <f t="shared" si="256"/>
        <v>0</v>
      </c>
      <c r="M5092" s="17" t="str">
        <f t="shared" si="254"/>
        <v/>
      </c>
      <c r="N5092" s="11" t="str">
        <f t="shared" si="255"/>
        <v/>
      </c>
    </row>
    <row r="5093" spans="9:14" x14ac:dyDescent="0.25">
      <c r="I5093" s="11" t="b">
        <f t="shared" si="256"/>
        <v>0</v>
      </c>
      <c r="M5093" s="17" t="str">
        <f t="shared" si="254"/>
        <v/>
      </c>
      <c r="N5093" s="11" t="str">
        <f t="shared" si="255"/>
        <v/>
      </c>
    </row>
    <row r="5094" spans="9:14" x14ac:dyDescent="0.25">
      <c r="I5094" s="11" t="b">
        <f t="shared" si="256"/>
        <v>0</v>
      </c>
      <c r="M5094" s="17" t="str">
        <f t="shared" si="254"/>
        <v/>
      </c>
      <c r="N5094" s="11" t="str">
        <f t="shared" si="255"/>
        <v/>
      </c>
    </row>
    <row r="5095" spans="9:14" x14ac:dyDescent="0.25">
      <c r="I5095" s="11" t="b">
        <f t="shared" si="256"/>
        <v>0</v>
      </c>
      <c r="M5095" s="17" t="str">
        <f t="shared" si="254"/>
        <v/>
      </c>
      <c r="N5095" s="11" t="str">
        <f t="shared" si="255"/>
        <v/>
      </c>
    </row>
    <row r="5096" spans="9:14" x14ac:dyDescent="0.25">
      <c r="I5096" s="11" t="b">
        <f t="shared" si="256"/>
        <v>0</v>
      </c>
      <c r="M5096" s="17" t="str">
        <f t="shared" si="254"/>
        <v/>
      </c>
      <c r="N5096" s="11" t="str">
        <f t="shared" si="255"/>
        <v/>
      </c>
    </row>
    <row r="5097" spans="9:14" x14ac:dyDescent="0.25">
      <c r="I5097" s="11" t="b">
        <f t="shared" si="256"/>
        <v>0</v>
      </c>
      <c r="M5097" s="17" t="str">
        <f t="shared" si="254"/>
        <v/>
      </c>
      <c r="N5097" s="11" t="str">
        <f t="shared" si="255"/>
        <v/>
      </c>
    </row>
    <row r="5098" spans="9:14" x14ac:dyDescent="0.25">
      <c r="I5098" s="11" t="b">
        <f t="shared" si="256"/>
        <v>0</v>
      </c>
      <c r="M5098" s="17" t="str">
        <f t="shared" si="254"/>
        <v/>
      </c>
      <c r="N5098" s="11" t="str">
        <f t="shared" si="255"/>
        <v/>
      </c>
    </row>
    <row r="5099" spans="9:14" x14ac:dyDescent="0.25">
      <c r="I5099" s="11" t="b">
        <f t="shared" si="256"/>
        <v>0</v>
      </c>
      <c r="M5099" s="17" t="str">
        <f t="shared" si="254"/>
        <v/>
      </c>
      <c r="N5099" s="11" t="str">
        <f t="shared" si="255"/>
        <v/>
      </c>
    </row>
    <row r="5100" spans="9:14" x14ac:dyDescent="0.25">
      <c r="I5100" s="11" t="b">
        <f t="shared" si="256"/>
        <v>0</v>
      </c>
      <c r="M5100" s="17" t="str">
        <f t="shared" si="254"/>
        <v/>
      </c>
      <c r="N5100" s="11" t="str">
        <f t="shared" si="255"/>
        <v/>
      </c>
    </row>
    <row r="5101" spans="9:14" x14ac:dyDescent="0.25">
      <c r="I5101" s="11" t="b">
        <f t="shared" si="256"/>
        <v>0</v>
      </c>
      <c r="M5101" s="17" t="str">
        <f t="shared" si="254"/>
        <v/>
      </c>
      <c r="N5101" s="11" t="str">
        <f t="shared" si="255"/>
        <v/>
      </c>
    </row>
    <row r="5102" spans="9:14" x14ac:dyDescent="0.25">
      <c r="I5102" s="11" t="b">
        <f t="shared" si="256"/>
        <v>0</v>
      </c>
      <c r="M5102" s="17" t="str">
        <f t="shared" si="254"/>
        <v/>
      </c>
      <c r="N5102" s="11" t="str">
        <f t="shared" si="255"/>
        <v/>
      </c>
    </row>
    <row r="5103" spans="9:14" x14ac:dyDescent="0.25">
      <c r="I5103" s="11" t="b">
        <f t="shared" si="256"/>
        <v>0</v>
      </c>
      <c r="M5103" s="17" t="str">
        <f t="shared" si="254"/>
        <v/>
      </c>
      <c r="N5103" s="11" t="str">
        <f t="shared" si="255"/>
        <v/>
      </c>
    </row>
    <row r="5104" spans="9:14" x14ac:dyDescent="0.25">
      <c r="I5104" s="11" t="b">
        <f t="shared" si="256"/>
        <v>0</v>
      </c>
      <c r="M5104" s="17" t="str">
        <f t="shared" si="254"/>
        <v/>
      </c>
      <c r="N5104" s="11" t="str">
        <f t="shared" si="255"/>
        <v/>
      </c>
    </row>
    <row r="5105" spans="9:14" x14ac:dyDescent="0.25">
      <c r="I5105" s="11" t="b">
        <f t="shared" si="256"/>
        <v>0</v>
      </c>
      <c r="M5105" s="17" t="str">
        <f t="shared" si="254"/>
        <v/>
      </c>
      <c r="N5105" s="11" t="str">
        <f t="shared" si="255"/>
        <v/>
      </c>
    </row>
    <row r="5106" spans="9:14" x14ac:dyDescent="0.25">
      <c r="I5106" s="11" t="b">
        <f t="shared" si="256"/>
        <v>0</v>
      </c>
      <c r="M5106" s="17" t="str">
        <f t="shared" si="254"/>
        <v/>
      </c>
      <c r="N5106" s="11" t="str">
        <f t="shared" si="255"/>
        <v/>
      </c>
    </row>
    <row r="5107" spans="9:14" x14ac:dyDescent="0.25">
      <c r="I5107" s="11" t="b">
        <f t="shared" si="256"/>
        <v>0</v>
      </c>
      <c r="M5107" s="17" t="str">
        <f t="shared" si="254"/>
        <v/>
      </c>
      <c r="N5107" s="11" t="str">
        <f t="shared" si="255"/>
        <v/>
      </c>
    </row>
    <row r="5108" spans="9:14" x14ac:dyDescent="0.25">
      <c r="I5108" s="11" t="b">
        <f t="shared" si="256"/>
        <v>0</v>
      </c>
      <c r="M5108" s="17" t="str">
        <f t="shared" si="254"/>
        <v/>
      </c>
      <c r="N5108" s="11" t="str">
        <f t="shared" si="255"/>
        <v/>
      </c>
    </row>
    <row r="5109" spans="9:14" x14ac:dyDescent="0.25">
      <c r="I5109" s="11" t="b">
        <f t="shared" si="256"/>
        <v>0</v>
      </c>
      <c r="M5109" s="17" t="str">
        <f t="shared" si="254"/>
        <v/>
      </c>
      <c r="N5109" s="11" t="str">
        <f t="shared" si="255"/>
        <v/>
      </c>
    </row>
    <row r="5110" spans="9:14" x14ac:dyDescent="0.25">
      <c r="I5110" s="11" t="b">
        <f t="shared" si="256"/>
        <v>0</v>
      </c>
      <c r="M5110" s="17" t="str">
        <f t="shared" si="254"/>
        <v/>
      </c>
      <c r="N5110" s="11" t="str">
        <f t="shared" si="255"/>
        <v/>
      </c>
    </row>
    <row r="5111" spans="9:14" x14ac:dyDescent="0.25">
      <c r="I5111" s="11" t="b">
        <f t="shared" si="256"/>
        <v>0</v>
      </c>
      <c r="M5111" s="17" t="str">
        <f t="shared" si="254"/>
        <v/>
      </c>
      <c r="N5111" s="11" t="str">
        <f t="shared" si="255"/>
        <v/>
      </c>
    </row>
    <row r="5112" spans="9:14" x14ac:dyDescent="0.25">
      <c r="I5112" s="11" t="b">
        <f t="shared" si="256"/>
        <v>0</v>
      </c>
      <c r="M5112" s="17" t="str">
        <f t="shared" si="254"/>
        <v/>
      </c>
      <c r="N5112" s="11" t="str">
        <f t="shared" si="255"/>
        <v/>
      </c>
    </row>
    <row r="5113" spans="9:14" x14ac:dyDescent="0.25">
      <c r="I5113" s="11" t="b">
        <f t="shared" si="256"/>
        <v>0</v>
      </c>
      <c r="M5113" s="17" t="str">
        <f t="shared" si="254"/>
        <v/>
      </c>
      <c r="N5113" s="11" t="str">
        <f t="shared" si="255"/>
        <v/>
      </c>
    </row>
    <row r="5114" spans="9:14" x14ac:dyDescent="0.25">
      <c r="I5114" s="11" t="b">
        <f t="shared" si="256"/>
        <v>0</v>
      </c>
      <c r="M5114" s="17" t="str">
        <f t="shared" si="254"/>
        <v/>
      </c>
      <c r="N5114" s="11" t="str">
        <f t="shared" si="255"/>
        <v/>
      </c>
    </row>
    <row r="5115" spans="9:14" x14ac:dyDescent="0.25">
      <c r="I5115" s="11" t="b">
        <f t="shared" si="256"/>
        <v>0</v>
      </c>
      <c r="M5115" s="17" t="str">
        <f t="shared" si="254"/>
        <v/>
      </c>
      <c r="N5115" s="11" t="str">
        <f t="shared" si="255"/>
        <v/>
      </c>
    </row>
    <row r="5116" spans="9:14" x14ac:dyDescent="0.25">
      <c r="I5116" s="11" t="b">
        <f t="shared" si="256"/>
        <v>0</v>
      </c>
      <c r="M5116" s="17" t="str">
        <f t="shared" si="254"/>
        <v/>
      </c>
      <c r="N5116" s="11" t="str">
        <f t="shared" si="255"/>
        <v/>
      </c>
    </row>
    <row r="5117" spans="9:14" x14ac:dyDescent="0.25">
      <c r="I5117" s="11" t="b">
        <f t="shared" si="256"/>
        <v>0</v>
      </c>
      <c r="M5117" s="17" t="str">
        <f t="shared" si="254"/>
        <v/>
      </c>
      <c r="N5117" s="11" t="str">
        <f t="shared" si="255"/>
        <v/>
      </c>
    </row>
    <row r="5118" spans="9:14" x14ac:dyDescent="0.25">
      <c r="I5118" s="11" t="b">
        <f t="shared" si="256"/>
        <v>0</v>
      </c>
      <c r="M5118" s="17" t="str">
        <f t="shared" si="254"/>
        <v/>
      </c>
      <c r="N5118" s="11" t="str">
        <f t="shared" si="255"/>
        <v/>
      </c>
    </row>
    <row r="5119" spans="9:14" x14ac:dyDescent="0.25">
      <c r="I5119" s="11" t="b">
        <f t="shared" si="256"/>
        <v>0</v>
      </c>
      <c r="M5119" s="17" t="str">
        <f t="shared" si="254"/>
        <v/>
      </c>
      <c r="N5119" s="11" t="str">
        <f t="shared" si="255"/>
        <v/>
      </c>
    </row>
    <row r="5120" spans="9:14" x14ac:dyDescent="0.25">
      <c r="I5120" s="11" t="b">
        <f t="shared" si="256"/>
        <v>0</v>
      </c>
      <c r="M5120" s="17" t="str">
        <f t="shared" si="254"/>
        <v/>
      </c>
      <c r="N5120" s="11" t="str">
        <f t="shared" si="255"/>
        <v/>
      </c>
    </row>
    <row r="5121" spans="9:14" x14ac:dyDescent="0.25">
      <c r="I5121" s="11" t="b">
        <f t="shared" si="256"/>
        <v>0</v>
      </c>
      <c r="M5121" s="17" t="str">
        <f t="shared" ref="M5121:M5184" si="257">IF(B5121=0, "",M5120+ J5121-K5121)</f>
        <v/>
      </c>
      <c r="N5121" s="11" t="str">
        <f t="shared" ref="N5121:N5184" si="258">IF(B5121=0, "", MONTH(B5121))</f>
        <v/>
      </c>
    </row>
    <row r="5122" spans="9:14" x14ac:dyDescent="0.25">
      <c r="I5122" s="11" t="b">
        <f t="shared" si="256"/>
        <v>0</v>
      </c>
      <c r="M5122" s="17" t="str">
        <f t="shared" si="257"/>
        <v/>
      </c>
      <c r="N5122" s="11" t="str">
        <f t="shared" si="258"/>
        <v/>
      </c>
    </row>
    <row r="5123" spans="9:14" x14ac:dyDescent="0.25">
      <c r="I5123" s="11" t="b">
        <f t="shared" si="256"/>
        <v>0</v>
      </c>
      <c r="M5123" s="17" t="str">
        <f t="shared" si="257"/>
        <v/>
      </c>
      <c r="N5123" s="11" t="str">
        <f t="shared" si="258"/>
        <v/>
      </c>
    </row>
    <row r="5124" spans="9:14" x14ac:dyDescent="0.25">
      <c r="I5124" s="11" t="b">
        <f t="shared" si="256"/>
        <v>0</v>
      </c>
      <c r="M5124" s="17" t="str">
        <f t="shared" si="257"/>
        <v/>
      </c>
      <c r="N5124" s="11" t="str">
        <f t="shared" si="258"/>
        <v/>
      </c>
    </row>
    <row r="5125" spans="9:14" x14ac:dyDescent="0.25">
      <c r="I5125" s="11" t="b">
        <f t="shared" si="256"/>
        <v>0</v>
      </c>
      <c r="M5125" s="17" t="str">
        <f t="shared" si="257"/>
        <v/>
      </c>
      <c r="N5125" s="11" t="str">
        <f t="shared" si="258"/>
        <v/>
      </c>
    </row>
    <row r="5126" spans="9:14" x14ac:dyDescent="0.25">
      <c r="I5126" s="11" t="b">
        <f t="shared" si="256"/>
        <v>0</v>
      </c>
      <c r="M5126" s="17" t="str">
        <f t="shared" si="257"/>
        <v/>
      </c>
      <c r="N5126" s="11" t="str">
        <f t="shared" si="258"/>
        <v/>
      </c>
    </row>
    <row r="5127" spans="9:14" x14ac:dyDescent="0.25">
      <c r="I5127" s="11" t="b">
        <f t="shared" si="256"/>
        <v>0</v>
      </c>
      <c r="M5127" s="17" t="str">
        <f t="shared" si="257"/>
        <v/>
      </c>
      <c r="N5127" s="11" t="str">
        <f t="shared" si="258"/>
        <v/>
      </c>
    </row>
    <row r="5128" spans="9:14" x14ac:dyDescent="0.25">
      <c r="I5128" s="11" t="b">
        <f t="shared" si="256"/>
        <v>0</v>
      </c>
      <c r="M5128" s="17" t="str">
        <f t="shared" si="257"/>
        <v/>
      </c>
      <c r="N5128" s="11" t="str">
        <f t="shared" si="258"/>
        <v/>
      </c>
    </row>
    <row r="5129" spans="9:14" x14ac:dyDescent="0.25">
      <c r="I5129" s="11" t="b">
        <f t="shared" si="256"/>
        <v>0</v>
      </c>
      <c r="M5129" s="17" t="str">
        <f t="shared" si="257"/>
        <v/>
      </c>
      <c r="N5129" s="11" t="str">
        <f t="shared" si="258"/>
        <v/>
      </c>
    </row>
    <row r="5130" spans="9:14" x14ac:dyDescent="0.25">
      <c r="I5130" s="11" t="b">
        <f t="shared" si="256"/>
        <v>0</v>
      </c>
      <c r="M5130" s="17" t="str">
        <f t="shared" si="257"/>
        <v/>
      </c>
      <c r="N5130" s="11" t="str">
        <f t="shared" si="258"/>
        <v/>
      </c>
    </row>
    <row r="5131" spans="9:14" x14ac:dyDescent="0.25">
      <c r="I5131" s="11" t="b">
        <f t="shared" si="256"/>
        <v>0</v>
      </c>
      <c r="M5131" s="17" t="str">
        <f t="shared" si="257"/>
        <v/>
      </c>
      <c r="N5131" s="11" t="str">
        <f t="shared" si="258"/>
        <v/>
      </c>
    </row>
    <row r="5132" spans="9:14" x14ac:dyDescent="0.25">
      <c r="I5132" s="11" t="b">
        <f t="shared" si="256"/>
        <v>0</v>
      </c>
      <c r="M5132" s="17" t="str">
        <f t="shared" si="257"/>
        <v/>
      </c>
      <c r="N5132" s="11" t="str">
        <f t="shared" si="258"/>
        <v/>
      </c>
    </row>
    <row r="5133" spans="9:14" x14ac:dyDescent="0.25">
      <c r="I5133" s="11" t="b">
        <f t="shared" si="256"/>
        <v>0</v>
      </c>
      <c r="M5133" s="17" t="str">
        <f t="shared" si="257"/>
        <v/>
      </c>
      <c r="N5133" s="11" t="str">
        <f t="shared" si="258"/>
        <v/>
      </c>
    </row>
    <row r="5134" spans="9:14" x14ac:dyDescent="0.25">
      <c r="I5134" s="11" t="b">
        <f t="shared" si="256"/>
        <v>0</v>
      </c>
      <c r="M5134" s="17" t="str">
        <f t="shared" si="257"/>
        <v/>
      </c>
      <c r="N5134" s="11" t="str">
        <f t="shared" si="258"/>
        <v/>
      </c>
    </row>
    <row r="5135" spans="9:14" x14ac:dyDescent="0.25">
      <c r="I5135" s="11" t="b">
        <f t="shared" si="256"/>
        <v>0</v>
      </c>
      <c r="M5135" s="17" t="str">
        <f t="shared" si="257"/>
        <v/>
      </c>
      <c r="N5135" s="11" t="str">
        <f t="shared" si="258"/>
        <v/>
      </c>
    </row>
    <row r="5136" spans="9:14" x14ac:dyDescent="0.25">
      <c r="I5136" s="11" t="b">
        <f t="shared" si="256"/>
        <v>0</v>
      </c>
      <c r="M5136" s="17" t="str">
        <f t="shared" si="257"/>
        <v/>
      </c>
      <c r="N5136" s="11" t="str">
        <f t="shared" si="258"/>
        <v/>
      </c>
    </row>
    <row r="5137" spans="9:14" x14ac:dyDescent="0.25">
      <c r="I5137" s="11" t="b">
        <f t="shared" si="256"/>
        <v>0</v>
      </c>
      <c r="M5137" s="17" t="str">
        <f t="shared" si="257"/>
        <v/>
      </c>
      <c r="N5137" s="11" t="str">
        <f t="shared" si="258"/>
        <v/>
      </c>
    </row>
    <row r="5138" spans="9:14" x14ac:dyDescent="0.25">
      <c r="I5138" s="11" t="b">
        <f t="shared" si="256"/>
        <v>0</v>
      </c>
      <c r="M5138" s="17" t="str">
        <f t="shared" si="257"/>
        <v/>
      </c>
      <c r="N5138" s="11" t="str">
        <f t="shared" si="258"/>
        <v/>
      </c>
    </row>
    <row r="5139" spans="9:14" x14ac:dyDescent="0.25">
      <c r="I5139" s="11" t="b">
        <f t="shared" si="256"/>
        <v>0</v>
      </c>
      <c r="M5139" s="17" t="str">
        <f t="shared" si="257"/>
        <v/>
      </c>
      <c r="N5139" s="11" t="str">
        <f t="shared" si="258"/>
        <v/>
      </c>
    </row>
    <row r="5140" spans="9:14" x14ac:dyDescent="0.25">
      <c r="I5140" s="11" t="b">
        <f t="shared" si="256"/>
        <v>0</v>
      </c>
      <c r="M5140" s="17" t="str">
        <f t="shared" si="257"/>
        <v/>
      </c>
      <c r="N5140" s="11" t="str">
        <f t="shared" si="258"/>
        <v/>
      </c>
    </row>
    <row r="5141" spans="9:14" x14ac:dyDescent="0.25">
      <c r="I5141" s="11" t="b">
        <f t="shared" si="256"/>
        <v>0</v>
      </c>
      <c r="M5141" s="17" t="str">
        <f t="shared" si="257"/>
        <v/>
      </c>
      <c r="N5141" s="11" t="str">
        <f t="shared" si="258"/>
        <v/>
      </c>
    </row>
    <row r="5142" spans="9:14" x14ac:dyDescent="0.25">
      <c r="I5142" s="11" t="b">
        <f t="shared" si="256"/>
        <v>0</v>
      </c>
      <c r="M5142" s="17" t="str">
        <f t="shared" si="257"/>
        <v/>
      </c>
      <c r="N5142" s="11" t="str">
        <f t="shared" si="258"/>
        <v/>
      </c>
    </row>
    <row r="5143" spans="9:14" x14ac:dyDescent="0.25">
      <c r="I5143" s="11" t="b">
        <f t="shared" si="256"/>
        <v>0</v>
      </c>
      <c r="M5143" s="17" t="str">
        <f t="shared" si="257"/>
        <v/>
      </c>
      <c r="N5143" s="11" t="str">
        <f t="shared" si="258"/>
        <v/>
      </c>
    </row>
    <row r="5144" spans="9:14" x14ac:dyDescent="0.25">
      <c r="I5144" s="11" t="b">
        <f t="shared" si="256"/>
        <v>0</v>
      </c>
      <c r="M5144" s="17" t="str">
        <f t="shared" si="257"/>
        <v/>
      </c>
      <c r="N5144" s="11" t="str">
        <f t="shared" si="258"/>
        <v/>
      </c>
    </row>
    <row r="5145" spans="9:14" x14ac:dyDescent="0.25">
      <c r="I5145" s="11" t="b">
        <f t="shared" si="256"/>
        <v>0</v>
      </c>
      <c r="M5145" s="17" t="str">
        <f t="shared" si="257"/>
        <v/>
      </c>
      <c r="N5145" s="11" t="str">
        <f t="shared" si="258"/>
        <v/>
      </c>
    </row>
    <row r="5146" spans="9:14" x14ac:dyDescent="0.25">
      <c r="I5146" s="11" t="b">
        <f t="shared" si="256"/>
        <v>0</v>
      </c>
      <c r="M5146" s="17" t="str">
        <f t="shared" si="257"/>
        <v/>
      </c>
      <c r="N5146" s="11" t="str">
        <f t="shared" si="258"/>
        <v/>
      </c>
    </row>
    <row r="5147" spans="9:14" x14ac:dyDescent="0.25">
      <c r="I5147" s="11" t="b">
        <f t="shared" si="256"/>
        <v>0</v>
      </c>
      <c r="M5147" s="17" t="str">
        <f t="shared" si="257"/>
        <v/>
      </c>
      <c r="N5147" s="11" t="str">
        <f t="shared" si="258"/>
        <v/>
      </c>
    </row>
    <row r="5148" spans="9:14" x14ac:dyDescent="0.25">
      <c r="I5148" s="11" t="b">
        <f t="shared" si="256"/>
        <v>0</v>
      </c>
      <c r="M5148" s="17" t="str">
        <f t="shared" si="257"/>
        <v/>
      </c>
      <c r="N5148" s="11" t="str">
        <f t="shared" si="258"/>
        <v/>
      </c>
    </row>
    <row r="5149" spans="9:14" x14ac:dyDescent="0.25">
      <c r="I5149" s="11" t="b">
        <f t="shared" ref="I5149:I5212" si="259">IF(AND(G5149="MERCADO PAGO",A5149="FATURAMENTO"),1,IF(AND(OR(G5149="MERCADO PAGO",G5149="pix mercado pago",G5149= "débito automático mercado pago", G5149= "boleto mercado pago"),A5149="DESPESAS"),4,IF(AND(G5149="SAFRA",A5149="FATURAMENTO"),2,IF(AND(OR(G5149="SAFRA",G5149="PIX SAFRA", G5149="DÉBITO AUTOMÁTICO SAFRA", G5149= "BOLETO SAFRA", G5149= "transferência safra"), A5149="DESPESAS"),5,IF(AND(G5149="espécie",A5149="FATURAMENTO"),3,IF(AND(G5149="espécie",A5149="DESPESAS"),6))))))</f>
        <v>0</v>
      </c>
      <c r="M5149" s="17" t="str">
        <f t="shared" si="257"/>
        <v/>
      </c>
      <c r="N5149" s="11" t="str">
        <f t="shared" si="258"/>
        <v/>
      </c>
    </row>
    <row r="5150" spans="9:14" x14ac:dyDescent="0.25">
      <c r="I5150" s="11" t="b">
        <f t="shared" si="259"/>
        <v>0</v>
      </c>
      <c r="M5150" s="17" t="str">
        <f t="shared" si="257"/>
        <v/>
      </c>
      <c r="N5150" s="11" t="str">
        <f t="shared" si="258"/>
        <v/>
      </c>
    </row>
    <row r="5151" spans="9:14" x14ac:dyDescent="0.25">
      <c r="I5151" s="11" t="b">
        <f t="shared" si="259"/>
        <v>0</v>
      </c>
      <c r="M5151" s="17" t="str">
        <f t="shared" si="257"/>
        <v/>
      </c>
      <c r="N5151" s="11" t="str">
        <f t="shared" si="258"/>
        <v/>
      </c>
    </row>
    <row r="5152" spans="9:14" x14ac:dyDescent="0.25">
      <c r="I5152" s="11" t="b">
        <f t="shared" si="259"/>
        <v>0</v>
      </c>
      <c r="M5152" s="17" t="str">
        <f t="shared" si="257"/>
        <v/>
      </c>
      <c r="N5152" s="11" t="str">
        <f t="shared" si="258"/>
        <v/>
      </c>
    </row>
    <row r="5153" spans="9:14" x14ac:dyDescent="0.25">
      <c r="I5153" s="11" t="b">
        <f t="shared" si="259"/>
        <v>0</v>
      </c>
      <c r="M5153" s="17" t="str">
        <f t="shared" si="257"/>
        <v/>
      </c>
      <c r="N5153" s="11" t="str">
        <f t="shared" si="258"/>
        <v/>
      </c>
    </row>
    <row r="5154" spans="9:14" x14ac:dyDescent="0.25">
      <c r="I5154" s="11" t="b">
        <f t="shared" si="259"/>
        <v>0</v>
      </c>
      <c r="M5154" s="17" t="str">
        <f t="shared" si="257"/>
        <v/>
      </c>
      <c r="N5154" s="11" t="str">
        <f t="shared" si="258"/>
        <v/>
      </c>
    </row>
    <row r="5155" spans="9:14" x14ac:dyDescent="0.25">
      <c r="I5155" s="11" t="b">
        <f t="shared" si="259"/>
        <v>0</v>
      </c>
      <c r="M5155" s="17" t="str">
        <f t="shared" si="257"/>
        <v/>
      </c>
      <c r="N5155" s="11" t="str">
        <f t="shared" si="258"/>
        <v/>
      </c>
    </row>
    <row r="5156" spans="9:14" x14ac:dyDescent="0.25">
      <c r="I5156" s="11" t="b">
        <f t="shared" si="259"/>
        <v>0</v>
      </c>
      <c r="M5156" s="17" t="str">
        <f t="shared" si="257"/>
        <v/>
      </c>
      <c r="N5156" s="11" t="str">
        <f t="shared" si="258"/>
        <v/>
      </c>
    </row>
    <row r="5157" spans="9:14" x14ac:dyDescent="0.25">
      <c r="I5157" s="11" t="b">
        <f t="shared" si="259"/>
        <v>0</v>
      </c>
      <c r="M5157" s="17" t="str">
        <f t="shared" si="257"/>
        <v/>
      </c>
      <c r="N5157" s="11" t="str">
        <f t="shared" si="258"/>
        <v/>
      </c>
    </row>
    <row r="5158" spans="9:14" x14ac:dyDescent="0.25">
      <c r="I5158" s="11" t="b">
        <f t="shared" si="259"/>
        <v>0</v>
      </c>
      <c r="M5158" s="17" t="str">
        <f t="shared" si="257"/>
        <v/>
      </c>
      <c r="N5158" s="11" t="str">
        <f t="shared" si="258"/>
        <v/>
      </c>
    </row>
    <row r="5159" spans="9:14" x14ac:dyDescent="0.25">
      <c r="I5159" s="11" t="b">
        <f t="shared" si="259"/>
        <v>0</v>
      </c>
      <c r="M5159" s="17" t="str">
        <f t="shared" si="257"/>
        <v/>
      </c>
      <c r="N5159" s="11" t="str">
        <f t="shared" si="258"/>
        <v/>
      </c>
    </row>
    <row r="5160" spans="9:14" x14ac:dyDescent="0.25">
      <c r="I5160" s="11" t="b">
        <f t="shared" si="259"/>
        <v>0</v>
      </c>
      <c r="M5160" s="17" t="str">
        <f t="shared" si="257"/>
        <v/>
      </c>
      <c r="N5160" s="11" t="str">
        <f t="shared" si="258"/>
        <v/>
      </c>
    </row>
    <row r="5161" spans="9:14" x14ac:dyDescent="0.25">
      <c r="I5161" s="11" t="b">
        <f t="shared" si="259"/>
        <v>0</v>
      </c>
      <c r="M5161" s="17" t="str">
        <f t="shared" si="257"/>
        <v/>
      </c>
      <c r="N5161" s="11" t="str">
        <f t="shared" si="258"/>
        <v/>
      </c>
    </row>
    <row r="5162" spans="9:14" x14ac:dyDescent="0.25">
      <c r="I5162" s="11" t="b">
        <f t="shared" si="259"/>
        <v>0</v>
      </c>
      <c r="M5162" s="17" t="str">
        <f t="shared" si="257"/>
        <v/>
      </c>
      <c r="N5162" s="11" t="str">
        <f t="shared" si="258"/>
        <v/>
      </c>
    </row>
    <row r="5163" spans="9:14" x14ac:dyDescent="0.25">
      <c r="I5163" s="11" t="b">
        <f t="shared" si="259"/>
        <v>0</v>
      </c>
      <c r="M5163" s="17" t="str">
        <f t="shared" si="257"/>
        <v/>
      </c>
      <c r="N5163" s="11" t="str">
        <f t="shared" si="258"/>
        <v/>
      </c>
    </row>
    <row r="5164" spans="9:14" x14ac:dyDescent="0.25">
      <c r="I5164" s="11" t="b">
        <f t="shared" si="259"/>
        <v>0</v>
      </c>
      <c r="M5164" s="17" t="str">
        <f t="shared" si="257"/>
        <v/>
      </c>
      <c r="N5164" s="11" t="str">
        <f t="shared" si="258"/>
        <v/>
      </c>
    </row>
    <row r="5165" spans="9:14" x14ac:dyDescent="0.25">
      <c r="I5165" s="11" t="b">
        <f t="shared" si="259"/>
        <v>0</v>
      </c>
      <c r="M5165" s="17" t="str">
        <f t="shared" si="257"/>
        <v/>
      </c>
      <c r="N5165" s="11" t="str">
        <f t="shared" si="258"/>
        <v/>
      </c>
    </row>
    <row r="5166" spans="9:14" x14ac:dyDescent="0.25">
      <c r="I5166" s="11" t="b">
        <f t="shared" si="259"/>
        <v>0</v>
      </c>
      <c r="M5166" s="17" t="str">
        <f t="shared" si="257"/>
        <v/>
      </c>
      <c r="N5166" s="11" t="str">
        <f t="shared" si="258"/>
        <v/>
      </c>
    </row>
    <row r="5167" spans="9:14" x14ac:dyDescent="0.25">
      <c r="I5167" s="11" t="b">
        <f t="shared" si="259"/>
        <v>0</v>
      </c>
      <c r="M5167" s="17" t="str">
        <f t="shared" si="257"/>
        <v/>
      </c>
      <c r="N5167" s="11" t="str">
        <f t="shared" si="258"/>
        <v/>
      </c>
    </row>
    <row r="5168" spans="9:14" x14ac:dyDescent="0.25">
      <c r="I5168" s="11" t="b">
        <f t="shared" si="259"/>
        <v>0</v>
      </c>
      <c r="M5168" s="17" t="str">
        <f t="shared" si="257"/>
        <v/>
      </c>
      <c r="N5168" s="11" t="str">
        <f t="shared" si="258"/>
        <v/>
      </c>
    </row>
    <row r="5169" spans="9:14" x14ac:dyDescent="0.25">
      <c r="I5169" s="11" t="b">
        <f t="shared" si="259"/>
        <v>0</v>
      </c>
      <c r="M5169" s="17" t="str">
        <f t="shared" si="257"/>
        <v/>
      </c>
      <c r="N5169" s="11" t="str">
        <f t="shared" si="258"/>
        <v/>
      </c>
    </row>
    <row r="5170" spans="9:14" x14ac:dyDescent="0.25">
      <c r="I5170" s="11" t="b">
        <f t="shared" si="259"/>
        <v>0</v>
      </c>
      <c r="M5170" s="17" t="str">
        <f t="shared" si="257"/>
        <v/>
      </c>
      <c r="N5170" s="11" t="str">
        <f t="shared" si="258"/>
        <v/>
      </c>
    </row>
    <row r="5171" spans="9:14" x14ac:dyDescent="0.25">
      <c r="I5171" s="11" t="b">
        <f t="shared" si="259"/>
        <v>0</v>
      </c>
      <c r="M5171" s="17" t="str">
        <f t="shared" si="257"/>
        <v/>
      </c>
      <c r="N5171" s="11" t="str">
        <f t="shared" si="258"/>
        <v/>
      </c>
    </row>
    <row r="5172" spans="9:14" x14ac:dyDescent="0.25">
      <c r="I5172" s="11" t="b">
        <f t="shared" si="259"/>
        <v>0</v>
      </c>
      <c r="M5172" s="17" t="str">
        <f t="shared" si="257"/>
        <v/>
      </c>
      <c r="N5172" s="11" t="str">
        <f t="shared" si="258"/>
        <v/>
      </c>
    </row>
    <row r="5173" spans="9:14" x14ac:dyDescent="0.25">
      <c r="I5173" s="11" t="b">
        <f t="shared" si="259"/>
        <v>0</v>
      </c>
      <c r="M5173" s="17" t="str">
        <f t="shared" si="257"/>
        <v/>
      </c>
      <c r="N5173" s="11" t="str">
        <f t="shared" si="258"/>
        <v/>
      </c>
    </row>
    <row r="5174" spans="9:14" x14ac:dyDescent="0.25">
      <c r="I5174" s="11" t="b">
        <f t="shared" si="259"/>
        <v>0</v>
      </c>
      <c r="M5174" s="17" t="str">
        <f t="shared" si="257"/>
        <v/>
      </c>
      <c r="N5174" s="11" t="str">
        <f t="shared" si="258"/>
        <v/>
      </c>
    </row>
    <row r="5175" spans="9:14" x14ac:dyDescent="0.25">
      <c r="I5175" s="11" t="b">
        <f t="shared" si="259"/>
        <v>0</v>
      </c>
      <c r="M5175" s="17" t="str">
        <f t="shared" si="257"/>
        <v/>
      </c>
      <c r="N5175" s="11" t="str">
        <f t="shared" si="258"/>
        <v/>
      </c>
    </row>
    <row r="5176" spans="9:14" x14ac:dyDescent="0.25">
      <c r="I5176" s="11" t="b">
        <f t="shared" si="259"/>
        <v>0</v>
      </c>
      <c r="M5176" s="17" t="str">
        <f t="shared" si="257"/>
        <v/>
      </c>
      <c r="N5176" s="11" t="str">
        <f t="shared" si="258"/>
        <v/>
      </c>
    </row>
    <row r="5177" spans="9:14" x14ac:dyDescent="0.25">
      <c r="I5177" s="11" t="b">
        <f t="shared" si="259"/>
        <v>0</v>
      </c>
      <c r="M5177" s="17" t="str">
        <f t="shared" si="257"/>
        <v/>
      </c>
      <c r="N5177" s="11" t="str">
        <f t="shared" si="258"/>
        <v/>
      </c>
    </row>
    <row r="5178" spans="9:14" x14ac:dyDescent="0.25">
      <c r="I5178" s="11" t="b">
        <f t="shared" si="259"/>
        <v>0</v>
      </c>
      <c r="M5178" s="17" t="str">
        <f t="shared" si="257"/>
        <v/>
      </c>
      <c r="N5178" s="11" t="str">
        <f t="shared" si="258"/>
        <v/>
      </c>
    </row>
    <row r="5179" spans="9:14" x14ac:dyDescent="0.25">
      <c r="I5179" s="11" t="b">
        <f t="shared" si="259"/>
        <v>0</v>
      </c>
      <c r="M5179" s="17" t="str">
        <f t="shared" si="257"/>
        <v/>
      </c>
      <c r="N5179" s="11" t="str">
        <f t="shared" si="258"/>
        <v/>
      </c>
    </row>
    <row r="5180" spans="9:14" x14ac:dyDescent="0.25">
      <c r="I5180" s="11" t="b">
        <f t="shared" si="259"/>
        <v>0</v>
      </c>
      <c r="M5180" s="17" t="str">
        <f t="shared" si="257"/>
        <v/>
      </c>
      <c r="N5180" s="11" t="str">
        <f t="shared" si="258"/>
        <v/>
      </c>
    </row>
    <row r="5181" spans="9:14" x14ac:dyDescent="0.25">
      <c r="I5181" s="11" t="b">
        <f t="shared" si="259"/>
        <v>0</v>
      </c>
      <c r="M5181" s="17" t="str">
        <f t="shared" si="257"/>
        <v/>
      </c>
      <c r="N5181" s="11" t="str">
        <f t="shared" si="258"/>
        <v/>
      </c>
    </row>
    <row r="5182" spans="9:14" x14ac:dyDescent="0.25">
      <c r="I5182" s="11" t="b">
        <f t="shared" si="259"/>
        <v>0</v>
      </c>
      <c r="M5182" s="17" t="str">
        <f t="shared" si="257"/>
        <v/>
      </c>
      <c r="N5182" s="11" t="str">
        <f t="shared" si="258"/>
        <v/>
      </c>
    </row>
    <row r="5183" spans="9:14" x14ac:dyDescent="0.25">
      <c r="I5183" s="11" t="b">
        <f t="shared" si="259"/>
        <v>0</v>
      </c>
      <c r="M5183" s="17" t="str">
        <f t="shared" si="257"/>
        <v/>
      </c>
      <c r="N5183" s="11" t="str">
        <f t="shared" si="258"/>
        <v/>
      </c>
    </row>
    <row r="5184" spans="9:14" x14ac:dyDescent="0.25">
      <c r="I5184" s="11" t="b">
        <f t="shared" si="259"/>
        <v>0</v>
      </c>
      <c r="M5184" s="17" t="str">
        <f t="shared" si="257"/>
        <v/>
      </c>
      <c r="N5184" s="11" t="str">
        <f t="shared" si="258"/>
        <v/>
      </c>
    </row>
    <row r="5185" spans="9:14" x14ac:dyDescent="0.25">
      <c r="I5185" s="11" t="b">
        <f t="shared" si="259"/>
        <v>0</v>
      </c>
      <c r="M5185" s="17" t="str">
        <f t="shared" ref="M5185:M5248" si="260">IF(B5185=0, "",M5184+ J5185-K5185)</f>
        <v/>
      </c>
      <c r="N5185" s="11" t="str">
        <f t="shared" ref="N5185:N5248" si="261">IF(B5185=0, "", MONTH(B5185))</f>
        <v/>
      </c>
    </row>
    <row r="5186" spans="9:14" x14ac:dyDescent="0.25">
      <c r="I5186" s="11" t="b">
        <f t="shared" si="259"/>
        <v>0</v>
      </c>
      <c r="M5186" s="17" t="str">
        <f t="shared" si="260"/>
        <v/>
      </c>
      <c r="N5186" s="11" t="str">
        <f t="shared" si="261"/>
        <v/>
      </c>
    </row>
    <row r="5187" spans="9:14" x14ac:dyDescent="0.25">
      <c r="I5187" s="11" t="b">
        <f t="shared" si="259"/>
        <v>0</v>
      </c>
      <c r="M5187" s="17" t="str">
        <f t="shared" si="260"/>
        <v/>
      </c>
      <c r="N5187" s="11" t="str">
        <f t="shared" si="261"/>
        <v/>
      </c>
    </row>
    <row r="5188" spans="9:14" x14ac:dyDescent="0.25">
      <c r="I5188" s="11" t="b">
        <f t="shared" si="259"/>
        <v>0</v>
      </c>
      <c r="M5188" s="17" t="str">
        <f t="shared" si="260"/>
        <v/>
      </c>
      <c r="N5188" s="11" t="str">
        <f t="shared" si="261"/>
        <v/>
      </c>
    </row>
    <row r="5189" spans="9:14" x14ac:dyDescent="0.25">
      <c r="I5189" s="11" t="b">
        <f t="shared" si="259"/>
        <v>0</v>
      </c>
      <c r="M5189" s="17" t="str">
        <f t="shared" si="260"/>
        <v/>
      </c>
      <c r="N5189" s="11" t="str">
        <f t="shared" si="261"/>
        <v/>
      </c>
    </row>
    <row r="5190" spans="9:14" x14ac:dyDescent="0.25">
      <c r="I5190" s="11" t="b">
        <f t="shared" si="259"/>
        <v>0</v>
      </c>
      <c r="M5190" s="17" t="str">
        <f t="shared" si="260"/>
        <v/>
      </c>
      <c r="N5190" s="11" t="str">
        <f t="shared" si="261"/>
        <v/>
      </c>
    </row>
    <row r="5191" spans="9:14" x14ac:dyDescent="0.25">
      <c r="I5191" s="11" t="b">
        <f t="shared" si="259"/>
        <v>0</v>
      </c>
      <c r="M5191" s="17" t="str">
        <f t="shared" si="260"/>
        <v/>
      </c>
      <c r="N5191" s="11" t="str">
        <f t="shared" si="261"/>
        <v/>
      </c>
    </row>
    <row r="5192" spans="9:14" x14ac:dyDescent="0.25">
      <c r="I5192" s="11" t="b">
        <f t="shared" si="259"/>
        <v>0</v>
      </c>
      <c r="M5192" s="17" t="str">
        <f t="shared" si="260"/>
        <v/>
      </c>
      <c r="N5192" s="11" t="str">
        <f t="shared" si="261"/>
        <v/>
      </c>
    </row>
    <row r="5193" spans="9:14" x14ac:dyDescent="0.25">
      <c r="I5193" s="11" t="b">
        <f t="shared" si="259"/>
        <v>0</v>
      </c>
      <c r="M5193" s="17" t="str">
        <f t="shared" si="260"/>
        <v/>
      </c>
      <c r="N5193" s="11" t="str">
        <f t="shared" si="261"/>
        <v/>
      </c>
    </row>
    <row r="5194" spans="9:14" x14ac:dyDescent="0.25">
      <c r="I5194" s="11" t="b">
        <f t="shared" si="259"/>
        <v>0</v>
      </c>
      <c r="M5194" s="17" t="str">
        <f t="shared" si="260"/>
        <v/>
      </c>
      <c r="N5194" s="11" t="str">
        <f t="shared" si="261"/>
        <v/>
      </c>
    </row>
    <row r="5195" spans="9:14" x14ac:dyDescent="0.25">
      <c r="I5195" s="11" t="b">
        <f t="shared" si="259"/>
        <v>0</v>
      </c>
      <c r="M5195" s="17" t="str">
        <f t="shared" si="260"/>
        <v/>
      </c>
      <c r="N5195" s="11" t="str">
        <f t="shared" si="261"/>
        <v/>
      </c>
    </row>
    <row r="5196" spans="9:14" x14ac:dyDescent="0.25">
      <c r="I5196" s="11" t="b">
        <f t="shared" si="259"/>
        <v>0</v>
      </c>
      <c r="M5196" s="17" t="str">
        <f t="shared" si="260"/>
        <v/>
      </c>
      <c r="N5196" s="11" t="str">
        <f t="shared" si="261"/>
        <v/>
      </c>
    </row>
    <row r="5197" spans="9:14" x14ac:dyDescent="0.25">
      <c r="I5197" s="11" t="b">
        <f t="shared" si="259"/>
        <v>0</v>
      </c>
      <c r="M5197" s="17" t="str">
        <f t="shared" si="260"/>
        <v/>
      </c>
      <c r="N5197" s="11" t="str">
        <f t="shared" si="261"/>
        <v/>
      </c>
    </row>
    <row r="5198" spans="9:14" x14ac:dyDescent="0.25">
      <c r="I5198" s="11" t="b">
        <f t="shared" si="259"/>
        <v>0</v>
      </c>
      <c r="M5198" s="17" t="str">
        <f t="shared" si="260"/>
        <v/>
      </c>
      <c r="N5198" s="11" t="str">
        <f t="shared" si="261"/>
        <v/>
      </c>
    </row>
    <row r="5199" spans="9:14" x14ac:dyDescent="0.25">
      <c r="I5199" s="11" t="b">
        <f t="shared" si="259"/>
        <v>0</v>
      </c>
      <c r="M5199" s="17" t="str">
        <f t="shared" si="260"/>
        <v/>
      </c>
      <c r="N5199" s="11" t="str">
        <f t="shared" si="261"/>
        <v/>
      </c>
    </row>
    <row r="5200" spans="9:14" x14ac:dyDescent="0.25">
      <c r="I5200" s="11" t="b">
        <f t="shared" si="259"/>
        <v>0</v>
      </c>
      <c r="M5200" s="17" t="str">
        <f t="shared" si="260"/>
        <v/>
      </c>
      <c r="N5200" s="11" t="str">
        <f t="shared" si="261"/>
        <v/>
      </c>
    </row>
    <row r="5201" spans="9:14" x14ac:dyDescent="0.25">
      <c r="I5201" s="11" t="b">
        <f t="shared" si="259"/>
        <v>0</v>
      </c>
      <c r="M5201" s="17" t="str">
        <f t="shared" si="260"/>
        <v/>
      </c>
      <c r="N5201" s="11" t="str">
        <f t="shared" si="261"/>
        <v/>
      </c>
    </row>
    <row r="5202" spans="9:14" x14ac:dyDescent="0.25">
      <c r="I5202" s="11" t="b">
        <f t="shared" si="259"/>
        <v>0</v>
      </c>
      <c r="M5202" s="17" t="str">
        <f t="shared" si="260"/>
        <v/>
      </c>
      <c r="N5202" s="11" t="str">
        <f t="shared" si="261"/>
        <v/>
      </c>
    </row>
    <row r="5203" spans="9:14" x14ac:dyDescent="0.25">
      <c r="I5203" s="11" t="b">
        <f t="shared" si="259"/>
        <v>0</v>
      </c>
      <c r="M5203" s="17" t="str">
        <f t="shared" si="260"/>
        <v/>
      </c>
      <c r="N5203" s="11" t="str">
        <f t="shared" si="261"/>
        <v/>
      </c>
    </row>
    <row r="5204" spans="9:14" x14ac:dyDescent="0.25">
      <c r="I5204" s="11" t="b">
        <f t="shared" si="259"/>
        <v>0</v>
      </c>
      <c r="M5204" s="17" t="str">
        <f t="shared" si="260"/>
        <v/>
      </c>
      <c r="N5204" s="11" t="str">
        <f t="shared" si="261"/>
        <v/>
      </c>
    </row>
    <row r="5205" spans="9:14" x14ac:dyDescent="0.25">
      <c r="I5205" s="11" t="b">
        <f t="shared" si="259"/>
        <v>0</v>
      </c>
      <c r="M5205" s="17" t="str">
        <f t="shared" si="260"/>
        <v/>
      </c>
      <c r="N5205" s="11" t="str">
        <f t="shared" si="261"/>
        <v/>
      </c>
    </row>
    <row r="5206" spans="9:14" x14ac:dyDescent="0.25">
      <c r="I5206" s="11" t="b">
        <f t="shared" si="259"/>
        <v>0</v>
      </c>
      <c r="M5206" s="17" t="str">
        <f t="shared" si="260"/>
        <v/>
      </c>
      <c r="N5206" s="11" t="str">
        <f t="shared" si="261"/>
        <v/>
      </c>
    </row>
    <row r="5207" spans="9:14" x14ac:dyDescent="0.25">
      <c r="I5207" s="11" t="b">
        <f t="shared" si="259"/>
        <v>0</v>
      </c>
      <c r="M5207" s="17" t="str">
        <f t="shared" si="260"/>
        <v/>
      </c>
      <c r="N5207" s="11" t="str">
        <f t="shared" si="261"/>
        <v/>
      </c>
    </row>
    <row r="5208" spans="9:14" x14ac:dyDescent="0.25">
      <c r="I5208" s="11" t="b">
        <f t="shared" si="259"/>
        <v>0</v>
      </c>
      <c r="M5208" s="17" t="str">
        <f t="shared" si="260"/>
        <v/>
      </c>
      <c r="N5208" s="11" t="str">
        <f t="shared" si="261"/>
        <v/>
      </c>
    </row>
    <row r="5209" spans="9:14" x14ac:dyDescent="0.25">
      <c r="I5209" s="11" t="b">
        <f t="shared" si="259"/>
        <v>0</v>
      </c>
      <c r="M5209" s="17" t="str">
        <f t="shared" si="260"/>
        <v/>
      </c>
      <c r="N5209" s="11" t="str">
        <f t="shared" si="261"/>
        <v/>
      </c>
    </row>
    <row r="5210" spans="9:14" x14ac:dyDescent="0.25">
      <c r="I5210" s="11" t="b">
        <f t="shared" si="259"/>
        <v>0</v>
      </c>
      <c r="M5210" s="17" t="str">
        <f t="shared" si="260"/>
        <v/>
      </c>
      <c r="N5210" s="11" t="str">
        <f t="shared" si="261"/>
        <v/>
      </c>
    </row>
    <row r="5211" spans="9:14" x14ac:dyDescent="0.25">
      <c r="I5211" s="11" t="b">
        <f t="shared" si="259"/>
        <v>0</v>
      </c>
      <c r="M5211" s="17" t="str">
        <f t="shared" si="260"/>
        <v/>
      </c>
      <c r="N5211" s="11" t="str">
        <f t="shared" si="261"/>
        <v/>
      </c>
    </row>
    <row r="5212" spans="9:14" x14ac:dyDescent="0.25">
      <c r="I5212" s="11" t="b">
        <f t="shared" si="259"/>
        <v>0</v>
      </c>
      <c r="M5212" s="17" t="str">
        <f t="shared" si="260"/>
        <v/>
      </c>
      <c r="N5212" s="11" t="str">
        <f t="shared" si="261"/>
        <v/>
      </c>
    </row>
    <row r="5213" spans="9:14" x14ac:dyDescent="0.25">
      <c r="I5213" s="11" t="b">
        <f t="shared" ref="I5213:I5276" si="262">IF(AND(G5213="MERCADO PAGO",A5213="FATURAMENTO"),1,IF(AND(OR(G5213="MERCADO PAGO",G5213="pix mercado pago",G5213= "débito automático mercado pago", G5213= "boleto mercado pago"),A5213="DESPESAS"),4,IF(AND(G5213="SAFRA",A5213="FATURAMENTO"),2,IF(AND(OR(G5213="SAFRA",G5213="PIX SAFRA", G5213="DÉBITO AUTOMÁTICO SAFRA", G5213= "BOLETO SAFRA", G5213= "transferência safra"), A5213="DESPESAS"),5,IF(AND(G5213="espécie",A5213="FATURAMENTO"),3,IF(AND(G5213="espécie",A5213="DESPESAS"),6))))))</f>
        <v>0</v>
      </c>
      <c r="M5213" s="17" t="str">
        <f t="shared" si="260"/>
        <v/>
      </c>
      <c r="N5213" s="11" t="str">
        <f t="shared" si="261"/>
        <v/>
      </c>
    </row>
    <row r="5214" spans="9:14" x14ac:dyDescent="0.25">
      <c r="I5214" s="11" t="b">
        <f t="shared" si="262"/>
        <v>0</v>
      </c>
      <c r="M5214" s="17" t="str">
        <f t="shared" si="260"/>
        <v/>
      </c>
      <c r="N5214" s="11" t="str">
        <f t="shared" si="261"/>
        <v/>
      </c>
    </row>
    <row r="5215" spans="9:14" x14ac:dyDescent="0.25">
      <c r="I5215" s="11" t="b">
        <f t="shared" si="262"/>
        <v>0</v>
      </c>
      <c r="M5215" s="17" t="str">
        <f t="shared" si="260"/>
        <v/>
      </c>
      <c r="N5215" s="11" t="str">
        <f t="shared" si="261"/>
        <v/>
      </c>
    </row>
    <row r="5216" spans="9:14" x14ac:dyDescent="0.25">
      <c r="I5216" s="11" t="b">
        <f t="shared" si="262"/>
        <v>0</v>
      </c>
      <c r="M5216" s="17" t="str">
        <f t="shared" si="260"/>
        <v/>
      </c>
      <c r="N5216" s="11" t="str">
        <f t="shared" si="261"/>
        <v/>
      </c>
    </row>
    <row r="5217" spans="9:14" x14ac:dyDescent="0.25">
      <c r="I5217" s="11" t="b">
        <f t="shared" si="262"/>
        <v>0</v>
      </c>
      <c r="M5217" s="17" t="str">
        <f t="shared" si="260"/>
        <v/>
      </c>
      <c r="N5217" s="11" t="str">
        <f t="shared" si="261"/>
        <v/>
      </c>
    </row>
    <row r="5218" spans="9:14" x14ac:dyDescent="0.25">
      <c r="I5218" s="11" t="b">
        <f t="shared" si="262"/>
        <v>0</v>
      </c>
      <c r="M5218" s="17" t="str">
        <f t="shared" si="260"/>
        <v/>
      </c>
      <c r="N5218" s="11" t="str">
        <f t="shared" si="261"/>
        <v/>
      </c>
    </row>
    <row r="5219" spans="9:14" x14ac:dyDescent="0.25">
      <c r="I5219" s="11" t="b">
        <f t="shared" si="262"/>
        <v>0</v>
      </c>
      <c r="M5219" s="17" t="str">
        <f t="shared" si="260"/>
        <v/>
      </c>
      <c r="N5219" s="11" t="str">
        <f t="shared" si="261"/>
        <v/>
      </c>
    </row>
    <row r="5220" spans="9:14" x14ac:dyDescent="0.25">
      <c r="I5220" s="11" t="b">
        <f t="shared" si="262"/>
        <v>0</v>
      </c>
      <c r="M5220" s="17" t="str">
        <f t="shared" si="260"/>
        <v/>
      </c>
      <c r="N5220" s="11" t="str">
        <f t="shared" si="261"/>
        <v/>
      </c>
    </row>
    <row r="5221" spans="9:14" x14ac:dyDescent="0.25">
      <c r="I5221" s="11" t="b">
        <f t="shared" si="262"/>
        <v>0</v>
      </c>
      <c r="M5221" s="17" t="str">
        <f t="shared" si="260"/>
        <v/>
      </c>
      <c r="N5221" s="11" t="str">
        <f t="shared" si="261"/>
        <v/>
      </c>
    </row>
    <row r="5222" spans="9:14" x14ac:dyDescent="0.25">
      <c r="I5222" s="11" t="b">
        <f t="shared" si="262"/>
        <v>0</v>
      </c>
      <c r="M5222" s="17" t="str">
        <f t="shared" si="260"/>
        <v/>
      </c>
      <c r="N5222" s="11" t="str">
        <f t="shared" si="261"/>
        <v/>
      </c>
    </row>
    <row r="5223" spans="9:14" x14ac:dyDescent="0.25">
      <c r="I5223" s="11" t="b">
        <f t="shared" si="262"/>
        <v>0</v>
      </c>
      <c r="M5223" s="17" t="str">
        <f t="shared" si="260"/>
        <v/>
      </c>
      <c r="N5223" s="11" t="str">
        <f t="shared" si="261"/>
        <v/>
      </c>
    </row>
    <row r="5224" spans="9:14" x14ac:dyDescent="0.25">
      <c r="I5224" s="11" t="b">
        <f t="shared" si="262"/>
        <v>0</v>
      </c>
      <c r="M5224" s="17" t="str">
        <f t="shared" si="260"/>
        <v/>
      </c>
      <c r="N5224" s="11" t="str">
        <f t="shared" si="261"/>
        <v/>
      </c>
    </row>
    <row r="5225" spans="9:14" x14ac:dyDescent="0.25">
      <c r="I5225" s="11" t="b">
        <f t="shared" si="262"/>
        <v>0</v>
      </c>
      <c r="M5225" s="17" t="str">
        <f t="shared" si="260"/>
        <v/>
      </c>
      <c r="N5225" s="11" t="str">
        <f t="shared" si="261"/>
        <v/>
      </c>
    </row>
    <row r="5226" spans="9:14" x14ac:dyDescent="0.25">
      <c r="I5226" s="11" t="b">
        <f t="shared" si="262"/>
        <v>0</v>
      </c>
      <c r="M5226" s="17" t="str">
        <f t="shared" si="260"/>
        <v/>
      </c>
      <c r="N5226" s="11" t="str">
        <f t="shared" si="261"/>
        <v/>
      </c>
    </row>
    <row r="5227" spans="9:14" x14ac:dyDescent="0.25">
      <c r="I5227" s="11" t="b">
        <f t="shared" si="262"/>
        <v>0</v>
      </c>
      <c r="M5227" s="17" t="str">
        <f t="shared" si="260"/>
        <v/>
      </c>
      <c r="N5227" s="11" t="str">
        <f t="shared" si="261"/>
        <v/>
      </c>
    </row>
    <row r="5228" spans="9:14" x14ac:dyDescent="0.25">
      <c r="I5228" s="11" t="b">
        <f t="shared" si="262"/>
        <v>0</v>
      </c>
      <c r="M5228" s="17" t="str">
        <f t="shared" si="260"/>
        <v/>
      </c>
      <c r="N5228" s="11" t="str">
        <f t="shared" si="261"/>
        <v/>
      </c>
    </row>
    <row r="5229" spans="9:14" x14ac:dyDescent="0.25">
      <c r="I5229" s="11" t="b">
        <f t="shared" si="262"/>
        <v>0</v>
      </c>
      <c r="M5229" s="17" t="str">
        <f t="shared" si="260"/>
        <v/>
      </c>
      <c r="N5229" s="11" t="str">
        <f t="shared" si="261"/>
        <v/>
      </c>
    </row>
    <row r="5230" spans="9:14" x14ac:dyDescent="0.25">
      <c r="I5230" s="11" t="b">
        <f t="shared" si="262"/>
        <v>0</v>
      </c>
      <c r="M5230" s="17" t="str">
        <f t="shared" si="260"/>
        <v/>
      </c>
      <c r="N5230" s="11" t="str">
        <f t="shared" si="261"/>
        <v/>
      </c>
    </row>
    <row r="5231" spans="9:14" x14ac:dyDescent="0.25">
      <c r="I5231" s="11" t="b">
        <f t="shared" si="262"/>
        <v>0</v>
      </c>
      <c r="M5231" s="17" t="str">
        <f t="shared" si="260"/>
        <v/>
      </c>
      <c r="N5231" s="11" t="str">
        <f t="shared" si="261"/>
        <v/>
      </c>
    </row>
    <row r="5232" spans="9:14" x14ac:dyDescent="0.25">
      <c r="I5232" s="11" t="b">
        <f t="shared" si="262"/>
        <v>0</v>
      </c>
      <c r="M5232" s="17" t="str">
        <f t="shared" si="260"/>
        <v/>
      </c>
      <c r="N5232" s="11" t="str">
        <f t="shared" si="261"/>
        <v/>
      </c>
    </row>
    <row r="5233" spans="9:14" x14ac:dyDescent="0.25">
      <c r="I5233" s="11" t="b">
        <f t="shared" si="262"/>
        <v>0</v>
      </c>
      <c r="M5233" s="17" t="str">
        <f t="shared" si="260"/>
        <v/>
      </c>
      <c r="N5233" s="11" t="str">
        <f t="shared" si="261"/>
        <v/>
      </c>
    </row>
    <row r="5234" spans="9:14" x14ac:dyDescent="0.25">
      <c r="I5234" s="11" t="b">
        <f t="shared" si="262"/>
        <v>0</v>
      </c>
      <c r="M5234" s="17" t="str">
        <f t="shared" si="260"/>
        <v/>
      </c>
      <c r="N5234" s="11" t="str">
        <f t="shared" si="261"/>
        <v/>
      </c>
    </row>
    <row r="5235" spans="9:14" x14ac:dyDescent="0.25">
      <c r="I5235" s="11" t="b">
        <f t="shared" si="262"/>
        <v>0</v>
      </c>
      <c r="M5235" s="17" t="str">
        <f t="shared" si="260"/>
        <v/>
      </c>
      <c r="N5235" s="11" t="str">
        <f t="shared" si="261"/>
        <v/>
      </c>
    </row>
    <row r="5236" spans="9:14" x14ac:dyDescent="0.25">
      <c r="I5236" s="11" t="b">
        <f t="shared" si="262"/>
        <v>0</v>
      </c>
      <c r="M5236" s="17" t="str">
        <f t="shared" si="260"/>
        <v/>
      </c>
      <c r="N5236" s="11" t="str">
        <f t="shared" si="261"/>
        <v/>
      </c>
    </row>
    <row r="5237" spans="9:14" x14ac:dyDescent="0.25">
      <c r="I5237" s="11" t="b">
        <f t="shared" si="262"/>
        <v>0</v>
      </c>
      <c r="M5237" s="17" t="str">
        <f t="shared" si="260"/>
        <v/>
      </c>
      <c r="N5237" s="11" t="str">
        <f t="shared" si="261"/>
        <v/>
      </c>
    </row>
    <row r="5238" spans="9:14" x14ac:dyDescent="0.25">
      <c r="I5238" s="11" t="b">
        <f t="shared" si="262"/>
        <v>0</v>
      </c>
      <c r="M5238" s="17" t="str">
        <f t="shared" si="260"/>
        <v/>
      </c>
      <c r="N5238" s="11" t="str">
        <f t="shared" si="261"/>
        <v/>
      </c>
    </row>
    <row r="5239" spans="9:14" x14ac:dyDescent="0.25">
      <c r="I5239" s="11" t="b">
        <f t="shared" si="262"/>
        <v>0</v>
      </c>
      <c r="M5239" s="17" t="str">
        <f t="shared" si="260"/>
        <v/>
      </c>
      <c r="N5239" s="11" t="str">
        <f t="shared" si="261"/>
        <v/>
      </c>
    </row>
    <row r="5240" spans="9:14" x14ac:dyDescent="0.25">
      <c r="I5240" s="11" t="b">
        <f t="shared" si="262"/>
        <v>0</v>
      </c>
      <c r="M5240" s="17" t="str">
        <f t="shared" si="260"/>
        <v/>
      </c>
      <c r="N5240" s="11" t="str">
        <f t="shared" si="261"/>
        <v/>
      </c>
    </row>
    <row r="5241" spans="9:14" x14ac:dyDescent="0.25">
      <c r="I5241" s="11" t="b">
        <f t="shared" si="262"/>
        <v>0</v>
      </c>
      <c r="M5241" s="17" t="str">
        <f t="shared" si="260"/>
        <v/>
      </c>
      <c r="N5241" s="11" t="str">
        <f t="shared" si="261"/>
        <v/>
      </c>
    </row>
    <row r="5242" spans="9:14" x14ac:dyDescent="0.25">
      <c r="I5242" s="11" t="b">
        <f t="shared" si="262"/>
        <v>0</v>
      </c>
      <c r="M5242" s="17" t="str">
        <f t="shared" si="260"/>
        <v/>
      </c>
      <c r="N5242" s="11" t="str">
        <f t="shared" si="261"/>
        <v/>
      </c>
    </row>
    <row r="5243" spans="9:14" x14ac:dyDescent="0.25">
      <c r="I5243" s="11" t="b">
        <f t="shared" si="262"/>
        <v>0</v>
      </c>
      <c r="M5243" s="17" t="str">
        <f t="shared" si="260"/>
        <v/>
      </c>
      <c r="N5243" s="11" t="str">
        <f t="shared" si="261"/>
        <v/>
      </c>
    </row>
    <row r="5244" spans="9:14" x14ac:dyDescent="0.25">
      <c r="I5244" s="11" t="b">
        <f t="shared" si="262"/>
        <v>0</v>
      </c>
      <c r="M5244" s="17" t="str">
        <f t="shared" si="260"/>
        <v/>
      </c>
      <c r="N5244" s="11" t="str">
        <f t="shared" si="261"/>
        <v/>
      </c>
    </row>
    <row r="5245" spans="9:14" x14ac:dyDescent="0.25">
      <c r="I5245" s="11" t="b">
        <f t="shared" si="262"/>
        <v>0</v>
      </c>
      <c r="M5245" s="17" t="str">
        <f t="shared" si="260"/>
        <v/>
      </c>
      <c r="N5245" s="11" t="str">
        <f t="shared" si="261"/>
        <v/>
      </c>
    </row>
    <row r="5246" spans="9:14" x14ac:dyDescent="0.25">
      <c r="I5246" s="11" t="b">
        <f t="shared" si="262"/>
        <v>0</v>
      </c>
      <c r="M5246" s="17" t="str">
        <f t="shared" si="260"/>
        <v/>
      </c>
      <c r="N5246" s="11" t="str">
        <f t="shared" si="261"/>
        <v/>
      </c>
    </row>
    <row r="5247" spans="9:14" x14ac:dyDescent="0.25">
      <c r="I5247" s="11" t="b">
        <f t="shared" si="262"/>
        <v>0</v>
      </c>
      <c r="M5247" s="17" t="str">
        <f t="shared" si="260"/>
        <v/>
      </c>
      <c r="N5247" s="11" t="str">
        <f t="shared" si="261"/>
        <v/>
      </c>
    </row>
    <row r="5248" spans="9:14" x14ac:dyDescent="0.25">
      <c r="I5248" s="11" t="b">
        <f t="shared" si="262"/>
        <v>0</v>
      </c>
      <c r="M5248" s="17" t="str">
        <f t="shared" si="260"/>
        <v/>
      </c>
      <c r="N5248" s="11" t="str">
        <f t="shared" si="261"/>
        <v/>
      </c>
    </row>
    <row r="5249" spans="9:14" x14ac:dyDescent="0.25">
      <c r="I5249" s="11" t="b">
        <f t="shared" si="262"/>
        <v>0</v>
      </c>
      <c r="M5249" s="17" t="str">
        <f t="shared" ref="M5249:M5312" si="263">IF(B5249=0, "",M5248+ J5249-K5249)</f>
        <v/>
      </c>
      <c r="N5249" s="11" t="str">
        <f t="shared" ref="N5249:N5312" si="264">IF(B5249=0, "", MONTH(B5249))</f>
        <v/>
      </c>
    </row>
    <row r="5250" spans="9:14" x14ac:dyDescent="0.25">
      <c r="I5250" s="11" t="b">
        <f t="shared" si="262"/>
        <v>0</v>
      </c>
      <c r="M5250" s="17" t="str">
        <f t="shared" si="263"/>
        <v/>
      </c>
      <c r="N5250" s="11" t="str">
        <f t="shared" si="264"/>
        <v/>
      </c>
    </row>
    <row r="5251" spans="9:14" x14ac:dyDescent="0.25">
      <c r="I5251" s="11" t="b">
        <f t="shared" si="262"/>
        <v>0</v>
      </c>
      <c r="M5251" s="17" t="str">
        <f t="shared" si="263"/>
        <v/>
      </c>
      <c r="N5251" s="11" t="str">
        <f t="shared" si="264"/>
        <v/>
      </c>
    </row>
    <row r="5252" spans="9:14" x14ac:dyDescent="0.25">
      <c r="I5252" s="11" t="b">
        <f t="shared" si="262"/>
        <v>0</v>
      </c>
      <c r="M5252" s="17" t="str">
        <f t="shared" si="263"/>
        <v/>
      </c>
      <c r="N5252" s="11" t="str">
        <f t="shared" si="264"/>
        <v/>
      </c>
    </row>
    <row r="5253" spans="9:14" x14ac:dyDescent="0.25">
      <c r="I5253" s="11" t="b">
        <f t="shared" si="262"/>
        <v>0</v>
      </c>
      <c r="M5253" s="17" t="str">
        <f t="shared" si="263"/>
        <v/>
      </c>
      <c r="N5253" s="11" t="str">
        <f t="shared" si="264"/>
        <v/>
      </c>
    </row>
    <row r="5254" spans="9:14" x14ac:dyDescent="0.25">
      <c r="I5254" s="11" t="b">
        <f t="shared" si="262"/>
        <v>0</v>
      </c>
      <c r="M5254" s="17" t="str">
        <f t="shared" si="263"/>
        <v/>
      </c>
      <c r="N5254" s="11" t="str">
        <f t="shared" si="264"/>
        <v/>
      </c>
    </row>
    <row r="5255" spans="9:14" x14ac:dyDescent="0.25">
      <c r="I5255" s="11" t="b">
        <f t="shared" si="262"/>
        <v>0</v>
      </c>
      <c r="M5255" s="17" t="str">
        <f t="shared" si="263"/>
        <v/>
      </c>
      <c r="N5255" s="11" t="str">
        <f t="shared" si="264"/>
        <v/>
      </c>
    </row>
    <row r="5256" spans="9:14" x14ac:dyDescent="0.25">
      <c r="I5256" s="11" t="b">
        <f t="shared" si="262"/>
        <v>0</v>
      </c>
      <c r="M5256" s="17" t="str">
        <f t="shared" si="263"/>
        <v/>
      </c>
      <c r="N5256" s="11" t="str">
        <f t="shared" si="264"/>
        <v/>
      </c>
    </row>
    <row r="5257" spans="9:14" x14ac:dyDescent="0.25">
      <c r="I5257" s="11" t="b">
        <f t="shared" si="262"/>
        <v>0</v>
      </c>
      <c r="M5257" s="17" t="str">
        <f t="shared" si="263"/>
        <v/>
      </c>
      <c r="N5257" s="11" t="str">
        <f t="shared" si="264"/>
        <v/>
      </c>
    </row>
    <row r="5258" spans="9:14" x14ac:dyDescent="0.25">
      <c r="I5258" s="11" t="b">
        <f t="shared" si="262"/>
        <v>0</v>
      </c>
      <c r="M5258" s="17" t="str">
        <f t="shared" si="263"/>
        <v/>
      </c>
      <c r="N5258" s="11" t="str">
        <f t="shared" si="264"/>
        <v/>
      </c>
    </row>
    <row r="5259" spans="9:14" x14ac:dyDescent="0.25">
      <c r="I5259" s="11" t="b">
        <f t="shared" si="262"/>
        <v>0</v>
      </c>
      <c r="M5259" s="17" t="str">
        <f t="shared" si="263"/>
        <v/>
      </c>
      <c r="N5259" s="11" t="str">
        <f t="shared" si="264"/>
        <v/>
      </c>
    </row>
    <row r="5260" spans="9:14" x14ac:dyDescent="0.25">
      <c r="I5260" s="11" t="b">
        <f t="shared" si="262"/>
        <v>0</v>
      </c>
      <c r="M5260" s="17" t="str">
        <f t="shared" si="263"/>
        <v/>
      </c>
      <c r="N5260" s="11" t="str">
        <f t="shared" si="264"/>
        <v/>
      </c>
    </row>
    <row r="5261" spans="9:14" x14ac:dyDescent="0.25">
      <c r="I5261" s="11" t="b">
        <f t="shared" si="262"/>
        <v>0</v>
      </c>
      <c r="M5261" s="17" t="str">
        <f t="shared" si="263"/>
        <v/>
      </c>
      <c r="N5261" s="11" t="str">
        <f t="shared" si="264"/>
        <v/>
      </c>
    </row>
    <row r="5262" spans="9:14" x14ac:dyDescent="0.25">
      <c r="I5262" s="11" t="b">
        <f t="shared" si="262"/>
        <v>0</v>
      </c>
      <c r="M5262" s="17" t="str">
        <f t="shared" si="263"/>
        <v/>
      </c>
      <c r="N5262" s="11" t="str">
        <f t="shared" si="264"/>
        <v/>
      </c>
    </row>
    <row r="5263" spans="9:14" x14ac:dyDescent="0.25">
      <c r="I5263" s="11" t="b">
        <f t="shared" si="262"/>
        <v>0</v>
      </c>
      <c r="M5263" s="17" t="str">
        <f t="shared" si="263"/>
        <v/>
      </c>
      <c r="N5263" s="11" t="str">
        <f t="shared" si="264"/>
        <v/>
      </c>
    </row>
    <row r="5264" spans="9:14" x14ac:dyDescent="0.25">
      <c r="I5264" s="11" t="b">
        <f t="shared" si="262"/>
        <v>0</v>
      </c>
      <c r="M5264" s="17" t="str">
        <f t="shared" si="263"/>
        <v/>
      </c>
      <c r="N5264" s="11" t="str">
        <f t="shared" si="264"/>
        <v/>
      </c>
    </row>
    <row r="5265" spans="9:14" x14ac:dyDescent="0.25">
      <c r="I5265" s="11" t="b">
        <f t="shared" si="262"/>
        <v>0</v>
      </c>
      <c r="M5265" s="17" t="str">
        <f t="shared" si="263"/>
        <v/>
      </c>
      <c r="N5265" s="11" t="str">
        <f t="shared" si="264"/>
        <v/>
      </c>
    </row>
    <row r="5266" spans="9:14" x14ac:dyDescent="0.25">
      <c r="I5266" s="11" t="b">
        <f t="shared" si="262"/>
        <v>0</v>
      </c>
      <c r="M5266" s="17" t="str">
        <f t="shared" si="263"/>
        <v/>
      </c>
      <c r="N5266" s="11" t="str">
        <f t="shared" si="264"/>
        <v/>
      </c>
    </row>
    <row r="5267" spans="9:14" x14ac:dyDescent="0.25">
      <c r="I5267" s="11" t="b">
        <f t="shared" si="262"/>
        <v>0</v>
      </c>
      <c r="M5267" s="17" t="str">
        <f t="shared" si="263"/>
        <v/>
      </c>
      <c r="N5267" s="11" t="str">
        <f t="shared" si="264"/>
        <v/>
      </c>
    </row>
    <row r="5268" spans="9:14" x14ac:dyDescent="0.25">
      <c r="I5268" s="11" t="b">
        <f t="shared" si="262"/>
        <v>0</v>
      </c>
      <c r="M5268" s="17" t="str">
        <f t="shared" si="263"/>
        <v/>
      </c>
      <c r="N5268" s="11" t="str">
        <f t="shared" si="264"/>
        <v/>
      </c>
    </row>
    <row r="5269" spans="9:14" x14ac:dyDescent="0.25">
      <c r="I5269" s="11" t="b">
        <f t="shared" si="262"/>
        <v>0</v>
      </c>
      <c r="M5269" s="17" t="str">
        <f t="shared" si="263"/>
        <v/>
      </c>
      <c r="N5269" s="11" t="str">
        <f t="shared" si="264"/>
        <v/>
      </c>
    </row>
    <row r="5270" spans="9:14" x14ac:dyDescent="0.25">
      <c r="I5270" s="11" t="b">
        <f t="shared" si="262"/>
        <v>0</v>
      </c>
      <c r="M5270" s="17" t="str">
        <f t="shared" si="263"/>
        <v/>
      </c>
      <c r="N5270" s="11" t="str">
        <f t="shared" si="264"/>
        <v/>
      </c>
    </row>
    <row r="5271" spans="9:14" x14ac:dyDescent="0.25">
      <c r="I5271" s="11" t="b">
        <f t="shared" si="262"/>
        <v>0</v>
      </c>
      <c r="M5271" s="17" t="str">
        <f t="shared" si="263"/>
        <v/>
      </c>
      <c r="N5271" s="11" t="str">
        <f t="shared" si="264"/>
        <v/>
      </c>
    </row>
    <row r="5272" spans="9:14" x14ac:dyDescent="0.25">
      <c r="I5272" s="11" t="b">
        <f t="shared" si="262"/>
        <v>0</v>
      </c>
      <c r="M5272" s="17" t="str">
        <f t="shared" si="263"/>
        <v/>
      </c>
      <c r="N5272" s="11" t="str">
        <f t="shared" si="264"/>
        <v/>
      </c>
    </row>
    <row r="5273" spans="9:14" x14ac:dyDescent="0.25">
      <c r="I5273" s="11" t="b">
        <f t="shared" si="262"/>
        <v>0</v>
      </c>
      <c r="M5273" s="17" t="str">
        <f t="shared" si="263"/>
        <v/>
      </c>
      <c r="N5273" s="11" t="str">
        <f t="shared" si="264"/>
        <v/>
      </c>
    </row>
    <row r="5274" spans="9:14" x14ac:dyDescent="0.25">
      <c r="I5274" s="11" t="b">
        <f t="shared" si="262"/>
        <v>0</v>
      </c>
      <c r="M5274" s="17" t="str">
        <f t="shared" si="263"/>
        <v/>
      </c>
      <c r="N5274" s="11" t="str">
        <f t="shared" si="264"/>
        <v/>
      </c>
    </row>
    <row r="5275" spans="9:14" x14ac:dyDescent="0.25">
      <c r="I5275" s="11" t="b">
        <f t="shared" si="262"/>
        <v>0</v>
      </c>
      <c r="M5275" s="17" t="str">
        <f t="shared" si="263"/>
        <v/>
      </c>
      <c r="N5275" s="11" t="str">
        <f t="shared" si="264"/>
        <v/>
      </c>
    </row>
    <row r="5276" spans="9:14" x14ac:dyDescent="0.25">
      <c r="I5276" s="11" t="b">
        <f t="shared" si="262"/>
        <v>0</v>
      </c>
      <c r="M5276" s="17" t="str">
        <f t="shared" si="263"/>
        <v/>
      </c>
      <c r="N5276" s="11" t="str">
        <f t="shared" si="264"/>
        <v/>
      </c>
    </row>
    <row r="5277" spans="9:14" x14ac:dyDescent="0.25">
      <c r="I5277" s="11" t="b">
        <f t="shared" ref="I5277:I5340" si="265">IF(AND(G5277="MERCADO PAGO",A5277="FATURAMENTO"),1,IF(AND(OR(G5277="MERCADO PAGO",G5277="pix mercado pago",G5277= "débito automático mercado pago", G5277= "boleto mercado pago"),A5277="DESPESAS"),4,IF(AND(G5277="SAFRA",A5277="FATURAMENTO"),2,IF(AND(OR(G5277="SAFRA",G5277="PIX SAFRA", G5277="DÉBITO AUTOMÁTICO SAFRA", G5277= "BOLETO SAFRA", G5277= "transferência safra"), A5277="DESPESAS"),5,IF(AND(G5277="espécie",A5277="FATURAMENTO"),3,IF(AND(G5277="espécie",A5277="DESPESAS"),6))))))</f>
        <v>0</v>
      </c>
      <c r="M5277" s="17" t="str">
        <f t="shared" si="263"/>
        <v/>
      </c>
      <c r="N5277" s="11" t="str">
        <f t="shared" si="264"/>
        <v/>
      </c>
    </row>
    <row r="5278" spans="9:14" x14ac:dyDescent="0.25">
      <c r="I5278" s="11" t="b">
        <f t="shared" si="265"/>
        <v>0</v>
      </c>
      <c r="M5278" s="17" t="str">
        <f t="shared" si="263"/>
        <v/>
      </c>
      <c r="N5278" s="11" t="str">
        <f t="shared" si="264"/>
        <v/>
      </c>
    </row>
    <row r="5279" spans="9:14" x14ac:dyDescent="0.25">
      <c r="I5279" s="11" t="b">
        <f t="shared" si="265"/>
        <v>0</v>
      </c>
      <c r="M5279" s="17" t="str">
        <f t="shared" si="263"/>
        <v/>
      </c>
      <c r="N5279" s="11" t="str">
        <f t="shared" si="264"/>
        <v/>
      </c>
    </row>
    <row r="5280" spans="9:14" x14ac:dyDescent="0.25">
      <c r="I5280" s="11" t="b">
        <f t="shared" si="265"/>
        <v>0</v>
      </c>
      <c r="M5280" s="17" t="str">
        <f t="shared" si="263"/>
        <v/>
      </c>
      <c r="N5280" s="11" t="str">
        <f t="shared" si="264"/>
        <v/>
      </c>
    </row>
    <row r="5281" spans="9:14" x14ac:dyDescent="0.25">
      <c r="I5281" s="11" t="b">
        <f t="shared" si="265"/>
        <v>0</v>
      </c>
      <c r="M5281" s="17" t="str">
        <f t="shared" si="263"/>
        <v/>
      </c>
      <c r="N5281" s="11" t="str">
        <f t="shared" si="264"/>
        <v/>
      </c>
    </row>
    <row r="5282" spans="9:14" x14ac:dyDescent="0.25">
      <c r="I5282" s="11" t="b">
        <f t="shared" si="265"/>
        <v>0</v>
      </c>
      <c r="M5282" s="17" t="str">
        <f t="shared" si="263"/>
        <v/>
      </c>
      <c r="N5282" s="11" t="str">
        <f t="shared" si="264"/>
        <v/>
      </c>
    </row>
    <row r="5283" spans="9:14" x14ac:dyDescent="0.25">
      <c r="I5283" s="11" t="b">
        <f t="shared" si="265"/>
        <v>0</v>
      </c>
      <c r="M5283" s="17" t="str">
        <f t="shared" si="263"/>
        <v/>
      </c>
      <c r="N5283" s="11" t="str">
        <f t="shared" si="264"/>
        <v/>
      </c>
    </row>
    <row r="5284" spans="9:14" x14ac:dyDescent="0.25">
      <c r="I5284" s="11" t="b">
        <f t="shared" si="265"/>
        <v>0</v>
      </c>
      <c r="M5284" s="17" t="str">
        <f t="shared" si="263"/>
        <v/>
      </c>
      <c r="N5284" s="11" t="str">
        <f t="shared" si="264"/>
        <v/>
      </c>
    </row>
    <row r="5285" spans="9:14" x14ac:dyDescent="0.25">
      <c r="I5285" s="11" t="b">
        <f t="shared" si="265"/>
        <v>0</v>
      </c>
      <c r="M5285" s="17" t="str">
        <f t="shared" si="263"/>
        <v/>
      </c>
      <c r="N5285" s="11" t="str">
        <f t="shared" si="264"/>
        <v/>
      </c>
    </row>
    <row r="5286" spans="9:14" x14ac:dyDescent="0.25">
      <c r="I5286" s="11" t="b">
        <f t="shared" si="265"/>
        <v>0</v>
      </c>
      <c r="M5286" s="17" t="str">
        <f t="shared" si="263"/>
        <v/>
      </c>
      <c r="N5286" s="11" t="str">
        <f t="shared" si="264"/>
        <v/>
      </c>
    </row>
    <row r="5287" spans="9:14" x14ac:dyDescent="0.25">
      <c r="I5287" s="11" t="b">
        <f t="shared" si="265"/>
        <v>0</v>
      </c>
      <c r="M5287" s="17" t="str">
        <f t="shared" si="263"/>
        <v/>
      </c>
      <c r="N5287" s="11" t="str">
        <f t="shared" si="264"/>
        <v/>
      </c>
    </row>
    <row r="5288" spans="9:14" x14ac:dyDescent="0.25">
      <c r="I5288" s="11" t="b">
        <f t="shared" si="265"/>
        <v>0</v>
      </c>
      <c r="M5288" s="17" t="str">
        <f t="shared" si="263"/>
        <v/>
      </c>
      <c r="N5288" s="11" t="str">
        <f t="shared" si="264"/>
        <v/>
      </c>
    </row>
    <row r="5289" spans="9:14" x14ac:dyDescent="0.25">
      <c r="I5289" s="11" t="b">
        <f t="shared" si="265"/>
        <v>0</v>
      </c>
      <c r="M5289" s="17" t="str">
        <f t="shared" si="263"/>
        <v/>
      </c>
      <c r="N5289" s="11" t="str">
        <f t="shared" si="264"/>
        <v/>
      </c>
    </row>
    <row r="5290" spans="9:14" x14ac:dyDescent="0.25">
      <c r="I5290" s="11" t="b">
        <f t="shared" si="265"/>
        <v>0</v>
      </c>
      <c r="M5290" s="17" t="str">
        <f t="shared" si="263"/>
        <v/>
      </c>
      <c r="N5290" s="11" t="str">
        <f t="shared" si="264"/>
        <v/>
      </c>
    </row>
    <row r="5291" spans="9:14" x14ac:dyDescent="0.25">
      <c r="I5291" s="11" t="b">
        <f t="shared" si="265"/>
        <v>0</v>
      </c>
      <c r="M5291" s="17" t="str">
        <f t="shared" si="263"/>
        <v/>
      </c>
      <c r="N5291" s="11" t="str">
        <f t="shared" si="264"/>
        <v/>
      </c>
    </row>
    <row r="5292" spans="9:14" x14ac:dyDescent="0.25">
      <c r="I5292" s="11" t="b">
        <f t="shared" si="265"/>
        <v>0</v>
      </c>
      <c r="M5292" s="17" t="str">
        <f t="shared" si="263"/>
        <v/>
      </c>
      <c r="N5292" s="11" t="str">
        <f t="shared" si="264"/>
        <v/>
      </c>
    </row>
    <row r="5293" spans="9:14" x14ac:dyDescent="0.25">
      <c r="I5293" s="11" t="b">
        <f t="shared" si="265"/>
        <v>0</v>
      </c>
      <c r="M5293" s="17" t="str">
        <f t="shared" si="263"/>
        <v/>
      </c>
      <c r="N5293" s="11" t="str">
        <f t="shared" si="264"/>
        <v/>
      </c>
    </row>
    <row r="5294" spans="9:14" x14ac:dyDescent="0.25">
      <c r="I5294" s="11" t="b">
        <f t="shared" si="265"/>
        <v>0</v>
      </c>
      <c r="M5294" s="17" t="str">
        <f t="shared" si="263"/>
        <v/>
      </c>
      <c r="N5294" s="11" t="str">
        <f t="shared" si="264"/>
        <v/>
      </c>
    </row>
    <row r="5295" spans="9:14" x14ac:dyDescent="0.25">
      <c r="I5295" s="11" t="b">
        <f t="shared" si="265"/>
        <v>0</v>
      </c>
      <c r="M5295" s="17" t="str">
        <f t="shared" si="263"/>
        <v/>
      </c>
      <c r="N5295" s="11" t="str">
        <f t="shared" si="264"/>
        <v/>
      </c>
    </row>
    <row r="5296" spans="9:14" x14ac:dyDescent="0.25">
      <c r="I5296" s="11" t="b">
        <f t="shared" si="265"/>
        <v>0</v>
      </c>
      <c r="M5296" s="17" t="str">
        <f t="shared" si="263"/>
        <v/>
      </c>
      <c r="N5296" s="11" t="str">
        <f t="shared" si="264"/>
        <v/>
      </c>
    </row>
    <row r="5297" spans="9:14" x14ac:dyDescent="0.25">
      <c r="I5297" s="11" t="b">
        <f t="shared" si="265"/>
        <v>0</v>
      </c>
      <c r="M5297" s="17" t="str">
        <f t="shared" si="263"/>
        <v/>
      </c>
      <c r="N5297" s="11" t="str">
        <f t="shared" si="264"/>
        <v/>
      </c>
    </row>
    <row r="5298" spans="9:14" x14ac:dyDescent="0.25">
      <c r="I5298" s="11" t="b">
        <f t="shared" si="265"/>
        <v>0</v>
      </c>
      <c r="M5298" s="17" t="str">
        <f t="shared" si="263"/>
        <v/>
      </c>
      <c r="N5298" s="11" t="str">
        <f t="shared" si="264"/>
        <v/>
      </c>
    </row>
    <row r="5299" spans="9:14" x14ac:dyDescent="0.25">
      <c r="I5299" s="11" t="b">
        <f t="shared" si="265"/>
        <v>0</v>
      </c>
      <c r="M5299" s="17" t="str">
        <f t="shared" si="263"/>
        <v/>
      </c>
      <c r="N5299" s="11" t="str">
        <f t="shared" si="264"/>
        <v/>
      </c>
    </row>
    <row r="5300" spans="9:14" x14ac:dyDescent="0.25">
      <c r="I5300" s="11" t="b">
        <f t="shared" si="265"/>
        <v>0</v>
      </c>
      <c r="M5300" s="17" t="str">
        <f t="shared" si="263"/>
        <v/>
      </c>
      <c r="N5300" s="11" t="str">
        <f t="shared" si="264"/>
        <v/>
      </c>
    </row>
    <row r="5301" spans="9:14" x14ac:dyDescent="0.25">
      <c r="I5301" s="11" t="b">
        <f t="shared" si="265"/>
        <v>0</v>
      </c>
      <c r="M5301" s="17" t="str">
        <f t="shared" si="263"/>
        <v/>
      </c>
      <c r="N5301" s="11" t="str">
        <f t="shared" si="264"/>
        <v/>
      </c>
    </row>
    <row r="5302" spans="9:14" x14ac:dyDescent="0.25">
      <c r="I5302" s="11" t="b">
        <f t="shared" si="265"/>
        <v>0</v>
      </c>
      <c r="M5302" s="17" t="str">
        <f t="shared" si="263"/>
        <v/>
      </c>
      <c r="N5302" s="11" t="str">
        <f t="shared" si="264"/>
        <v/>
      </c>
    </row>
    <row r="5303" spans="9:14" x14ac:dyDescent="0.25">
      <c r="I5303" s="11" t="b">
        <f t="shared" si="265"/>
        <v>0</v>
      </c>
      <c r="M5303" s="17" t="str">
        <f t="shared" si="263"/>
        <v/>
      </c>
      <c r="N5303" s="11" t="str">
        <f t="shared" si="264"/>
        <v/>
      </c>
    </row>
    <row r="5304" spans="9:14" x14ac:dyDescent="0.25">
      <c r="I5304" s="11" t="b">
        <f t="shared" si="265"/>
        <v>0</v>
      </c>
      <c r="M5304" s="17" t="str">
        <f t="shared" si="263"/>
        <v/>
      </c>
      <c r="N5304" s="11" t="str">
        <f t="shared" si="264"/>
        <v/>
      </c>
    </row>
    <row r="5305" spans="9:14" x14ac:dyDescent="0.25">
      <c r="I5305" s="11" t="b">
        <f t="shared" si="265"/>
        <v>0</v>
      </c>
      <c r="M5305" s="17" t="str">
        <f t="shared" si="263"/>
        <v/>
      </c>
      <c r="N5305" s="11" t="str">
        <f t="shared" si="264"/>
        <v/>
      </c>
    </row>
    <row r="5306" spans="9:14" x14ac:dyDescent="0.25">
      <c r="I5306" s="11" t="b">
        <f t="shared" si="265"/>
        <v>0</v>
      </c>
      <c r="M5306" s="17" t="str">
        <f t="shared" si="263"/>
        <v/>
      </c>
      <c r="N5306" s="11" t="str">
        <f t="shared" si="264"/>
        <v/>
      </c>
    </row>
    <row r="5307" spans="9:14" x14ac:dyDescent="0.25">
      <c r="I5307" s="11" t="b">
        <f t="shared" si="265"/>
        <v>0</v>
      </c>
      <c r="M5307" s="17" t="str">
        <f t="shared" si="263"/>
        <v/>
      </c>
      <c r="N5307" s="11" t="str">
        <f t="shared" si="264"/>
        <v/>
      </c>
    </row>
    <row r="5308" spans="9:14" x14ac:dyDescent="0.25">
      <c r="I5308" s="11" t="b">
        <f t="shared" si="265"/>
        <v>0</v>
      </c>
      <c r="M5308" s="17" t="str">
        <f t="shared" si="263"/>
        <v/>
      </c>
      <c r="N5308" s="11" t="str">
        <f t="shared" si="264"/>
        <v/>
      </c>
    </row>
    <row r="5309" spans="9:14" x14ac:dyDescent="0.25">
      <c r="I5309" s="11" t="b">
        <f t="shared" si="265"/>
        <v>0</v>
      </c>
      <c r="M5309" s="17" t="str">
        <f t="shared" si="263"/>
        <v/>
      </c>
      <c r="N5309" s="11" t="str">
        <f t="shared" si="264"/>
        <v/>
      </c>
    </row>
    <row r="5310" spans="9:14" x14ac:dyDescent="0.25">
      <c r="I5310" s="11" t="b">
        <f t="shared" si="265"/>
        <v>0</v>
      </c>
      <c r="M5310" s="17" t="str">
        <f t="shared" si="263"/>
        <v/>
      </c>
      <c r="N5310" s="11" t="str">
        <f t="shared" si="264"/>
        <v/>
      </c>
    </row>
    <row r="5311" spans="9:14" x14ac:dyDescent="0.25">
      <c r="I5311" s="11" t="b">
        <f t="shared" si="265"/>
        <v>0</v>
      </c>
      <c r="M5311" s="17" t="str">
        <f t="shared" si="263"/>
        <v/>
      </c>
      <c r="N5311" s="11" t="str">
        <f t="shared" si="264"/>
        <v/>
      </c>
    </row>
    <row r="5312" spans="9:14" x14ac:dyDescent="0.25">
      <c r="I5312" s="11" t="b">
        <f t="shared" si="265"/>
        <v>0</v>
      </c>
      <c r="M5312" s="17" t="str">
        <f t="shared" si="263"/>
        <v/>
      </c>
      <c r="N5312" s="11" t="str">
        <f t="shared" si="264"/>
        <v/>
      </c>
    </row>
    <row r="5313" spans="9:14" x14ac:dyDescent="0.25">
      <c r="I5313" s="11" t="b">
        <f t="shared" si="265"/>
        <v>0</v>
      </c>
      <c r="M5313" s="17" t="str">
        <f t="shared" ref="M5313:M5376" si="266">IF(B5313=0, "",M5312+ J5313-K5313)</f>
        <v/>
      </c>
      <c r="N5313" s="11" t="str">
        <f t="shared" ref="N5313:N5376" si="267">IF(B5313=0, "", MONTH(B5313))</f>
        <v/>
      </c>
    </row>
    <row r="5314" spans="9:14" x14ac:dyDescent="0.25">
      <c r="I5314" s="11" t="b">
        <f t="shared" si="265"/>
        <v>0</v>
      </c>
      <c r="M5314" s="17" t="str">
        <f t="shared" si="266"/>
        <v/>
      </c>
      <c r="N5314" s="11" t="str">
        <f t="shared" si="267"/>
        <v/>
      </c>
    </row>
    <row r="5315" spans="9:14" x14ac:dyDescent="0.25">
      <c r="I5315" s="11" t="b">
        <f t="shared" si="265"/>
        <v>0</v>
      </c>
      <c r="M5315" s="17" t="str">
        <f t="shared" si="266"/>
        <v/>
      </c>
      <c r="N5315" s="11" t="str">
        <f t="shared" si="267"/>
        <v/>
      </c>
    </row>
    <row r="5316" spans="9:14" x14ac:dyDescent="0.25">
      <c r="I5316" s="11" t="b">
        <f t="shared" si="265"/>
        <v>0</v>
      </c>
      <c r="M5316" s="17" t="str">
        <f t="shared" si="266"/>
        <v/>
      </c>
      <c r="N5316" s="11" t="str">
        <f t="shared" si="267"/>
        <v/>
      </c>
    </row>
    <row r="5317" spans="9:14" x14ac:dyDescent="0.25">
      <c r="I5317" s="11" t="b">
        <f t="shared" si="265"/>
        <v>0</v>
      </c>
      <c r="M5317" s="17" t="str">
        <f t="shared" si="266"/>
        <v/>
      </c>
      <c r="N5317" s="11" t="str">
        <f t="shared" si="267"/>
        <v/>
      </c>
    </row>
    <row r="5318" spans="9:14" x14ac:dyDescent="0.25">
      <c r="I5318" s="11" t="b">
        <f t="shared" si="265"/>
        <v>0</v>
      </c>
      <c r="M5318" s="17" t="str">
        <f t="shared" si="266"/>
        <v/>
      </c>
      <c r="N5318" s="11" t="str">
        <f t="shared" si="267"/>
        <v/>
      </c>
    </row>
    <row r="5319" spans="9:14" x14ac:dyDescent="0.25">
      <c r="I5319" s="11" t="b">
        <f t="shared" si="265"/>
        <v>0</v>
      </c>
      <c r="M5319" s="17" t="str">
        <f t="shared" si="266"/>
        <v/>
      </c>
      <c r="N5319" s="11" t="str">
        <f t="shared" si="267"/>
        <v/>
      </c>
    </row>
    <row r="5320" spans="9:14" x14ac:dyDescent="0.25">
      <c r="I5320" s="11" t="b">
        <f t="shared" si="265"/>
        <v>0</v>
      </c>
      <c r="M5320" s="17" t="str">
        <f t="shared" si="266"/>
        <v/>
      </c>
      <c r="N5320" s="11" t="str">
        <f t="shared" si="267"/>
        <v/>
      </c>
    </row>
    <row r="5321" spans="9:14" x14ac:dyDescent="0.25">
      <c r="I5321" s="11" t="b">
        <f t="shared" si="265"/>
        <v>0</v>
      </c>
      <c r="M5321" s="17" t="str">
        <f t="shared" si="266"/>
        <v/>
      </c>
      <c r="N5321" s="11" t="str">
        <f t="shared" si="267"/>
        <v/>
      </c>
    </row>
    <row r="5322" spans="9:14" x14ac:dyDescent="0.25">
      <c r="I5322" s="11" t="b">
        <f t="shared" si="265"/>
        <v>0</v>
      </c>
      <c r="M5322" s="17" t="str">
        <f t="shared" si="266"/>
        <v/>
      </c>
      <c r="N5322" s="11" t="str">
        <f t="shared" si="267"/>
        <v/>
      </c>
    </row>
    <row r="5323" spans="9:14" x14ac:dyDescent="0.25">
      <c r="I5323" s="11" t="b">
        <f t="shared" si="265"/>
        <v>0</v>
      </c>
      <c r="M5323" s="17" t="str">
        <f t="shared" si="266"/>
        <v/>
      </c>
      <c r="N5323" s="11" t="str">
        <f t="shared" si="267"/>
        <v/>
      </c>
    </row>
    <row r="5324" spans="9:14" x14ac:dyDescent="0.25">
      <c r="I5324" s="11" t="b">
        <f t="shared" si="265"/>
        <v>0</v>
      </c>
      <c r="M5324" s="17" t="str">
        <f t="shared" si="266"/>
        <v/>
      </c>
      <c r="N5324" s="11" t="str">
        <f t="shared" si="267"/>
        <v/>
      </c>
    </row>
    <row r="5325" spans="9:14" x14ac:dyDescent="0.25">
      <c r="I5325" s="11" t="b">
        <f t="shared" si="265"/>
        <v>0</v>
      </c>
      <c r="M5325" s="17" t="str">
        <f t="shared" si="266"/>
        <v/>
      </c>
      <c r="N5325" s="11" t="str">
        <f t="shared" si="267"/>
        <v/>
      </c>
    </row>
    <row r="5326" spans="9:14" x14ac:dyDescent="0.25">
      <c r="I5326" s="11" t="b">
        <f t="shared" si="265"/>
        <v>0</v>
      </c>
      <c r="M5326" s="17" t="str">
        <f t="shared" si="266"/>
        <v/>
      </c>
      <c r="N5326" s="11" t="str">
        <f t="shared" si="267"/>
        <v/>
      </c>
    </row>
    <row r="5327" spans="9:14" x14ac:dyDescent="0.25">
      <c r="I5327" s="11" t="b">
        <f t="shared" si="265"/>
        <v>0</v>
      </c>
      <c r="M5327" s="17" t="str">
        <f t="shared" si="266"/>
        <v/>
      </c>
      <c r="N5327" s="11" t="str">
        <f t="shared" si="267"/>
        <v/>
      </c>
    </row>
    <row r="5328" spans="9:14" x14ac:dyDescent="0.25">
      <c r="I5328" s="11" t="b">
        <f t="shared" si="265"/>
        <v>0</v>
      </c>
      <c r="M5328" s="17" t="str">
        <f t="shared" si="266"/>
        <v/>
      </c>
      <c r="N5328" s="11" t="str">
        <f t="shared" si="267"/>
        <v/>
      </c>
    </row>
    <row r="5329" spans="9:14" x14ac:dyDescent="0.25">
      <c r="I5329" s="11" t="b">
        <f t="shared" si="265"/>
        <v>0</v>
      </c>
      <c r="M5329" s="17" t="str">
        <f t="shared" si="266"/>
        <v/>
      </c>
      <c r="N5329" s="11" t="str">
        <f t="shared" si="267"/>
        <v/>
      </c>
    </row>
    <row r="5330" spans="9:14" x14ac:dyDescent="0.25">
      <c r="I5330" s="11" t="b">
        <f t="shared" si="265"/>
        <v>0</v>
      </c>
      <c r="M5330" s="17" t="str">
        <f t="shared" si="266"/>
        <v/>
      </c>
      <c r="N5330" s="11" t="str">
        <f t="shared" si="267"/>
        <v/>
      </c>
    </row>
    <row r="5331" spans="9:14" x14ac:dyDescent="0.25">
      <c r="I5331" s="11" t="b">
        <f t="shared" si="265"/>
        <v>0</v>
      </c>
      <c r="M5331" s="17" t="str">
        <f t="shared" si="266"/>
        <v/>
      </c>
      <c r="N5331" s="11" t="str">
        <f t="shared" si="267"/>
        <v/>
      </c>
    </row>
    <row r="5332" spans="9:14" x14ac:dyDescent="0.25">
      <c r="I5332" s="11" t="b">
        <f t="shared" si="265"/>
        <v>0</v>
      </c>
      <c r="M5332" s="17" t="str">
        <f t="shared" si="266"/>
        <v/>
      </c>
      <c r="N5332" s="11" t="str">
        <f t="shared" si="267"/>
        <v/>
      </c>
    </row>
    <row r="5333" spans="9:14" x14ac:dyDescent="0.25">
      <c r="I5333" s="11" t="b">
        <f t="shared" si="265"/>
        <v>0</v>
      </c>
      <c r="M5333" s="17" t="str">
        <f t="shared" si="266"/>
        <v/>
      </c>
      <c r="N5333" s="11" t="str">
        <f t="shared" si="267"/>
        <v/>
      </c>
    </row>
    <row r="5334" spans="9:14" x14ac:dyDescent="0.25">
      <c r="I5334" s="11" t="b">
        <f t="shared" si="265"/>
        <v>0</v>
      </c>
      <c r="M5334" s="17" t="str">
        <f t="shared" si="266"/>
        <v/>
      </c>
      <c r="N5334" s="11" t="str">
        <f t="shared" si="267"/>
        <v/>
      </c>
    </row>
    <row r="5335" spans="9:14" x14ac:dyDescent="0.25">
      <c r="I5335" s="11" t="b">
        <f t="shared" si="265"/>
        <v>0</v>
      </c>
      <c r="M5335" s="17" t="str">
        <f t="shared" si="266"/>
        <v/>
      </c>
      <c r="N5335" s="11" t="str">
        <f t="shared" si="267"/>
        <v/>
      </c>
    </row>
    <row r="5336" spans="9:14" x14ac:dyDescent="0.25">
      <c r="I5336" s="11" t="b">
        <f t="shared" si="265"/>
        <v>0</v>
      </c>
      <c r="M5336" s="17" t="str">
        <f t="shared" si="266"/>
        <v/>
      </c>
      <c r="N5336" s="11" t="str">
        <f t="shared" si="267"/>
        <v/>
      </c>
    </row>
    <row r="5337" spans="9:14" x14ac:dyDescent="0.25">
      <c r="I5337" s="11" t="b">
        <f t="shared" si="265"/>
        <v>0</v>
      </c>
      <c r="M5337" s="17" t="str">
        <f t="shared" si="266"/>
        <v/>
      </c>
      <c r="N5337" s="11" t="str">
        <f t="shared" si="267"/>
        <v/>
      </c>
    </row>
    <row r="5338" spans="9:14" x14ac:dyDescent="0.25">
      <c r="I5338" s="11" t="b">
        <f t="shared" si="265"/>
        <v>0</v>
      </c>
      <c r="M5338" s="17" t="str">
        <f t="shared" si="266"/>
        <v/>
      </c>
      <c r="N5338" s="11" t="str">
        <f t="shared" si="267"/>
        <v/>
      </c>
    </row>
    <row r="5339" spans="9:14" x14ac:dyDescent="0.25">
      <c r="I5339" s="11" t="b">
        <f t="shared" si="265"/>
        <v>0</v>
      </c>
      <c r="M5339" s="17" t="str">
        <f t="shared" si="266"/>
        <v/>
      </c>
      <c r="N5339" s="11" t="str">
        <f t="shared" si="267"/>
        <v/>
      </c>
    </row>
    <row r="5340" spans="9:14" x14ac:dyDescent="0.25">
      <c r="I5340" s="11" t="b">
        <f t="shared" si="265"/>
        <v>0</v>
      </c>
      <c r="M5340" s="17" t="str">
        <f t="shared" si="266"/>
        <v/>
      </c>
      <c r="N5340" s="11" t="str">
        <f t="shared" si="267"/>
        <v/>
      </c>
    </row>
    <row r="5341" spans="9:14" x14ac:dyDescent="0.25">
      <c r="I5341" s="11" t="b">
        <f t="shared" ref="I5341:I5404" si="268">IF(AND(G5341="MERCADO PAGO",A5341="FATURAMENTO"),1,IF(AND(OR(G5341="MERCADO PAGO",G5341="pix mercado pago",G5341= "débito automático mercado pago", G5341= "boleto mercado pago"),A5341="DESPESAS"),4,IF(AND(G5341="SAFRA",A5341="FATURAMENTO"),2,IF(AND(OR(G5341="SAFRA",G5341="PIX SAFRA", G5341="DÉBITO AUTOMÁTICO SAFRA", G5341= "BOLETO SAFRA", G5341= "transferência safra"), A5341="DESPESAS"),5,IF(AND(G5341="espécie",A5341="FATURAMENTO"),3,IF(AND(G5341="espécie",A5341="DESPESAS"),6))))))</f>
        <v>0</v>
      </c>
      <c r="M5341" s="17" t="str">
        <f t="shared" si="266"/>
        <v/>
      </c>
      <c r="N5341" s="11" t="str">
        <f t="shared" si="267"/>
        <v/>
      </c>
    </row>
    <row r="5342" spans="9:14" x14ac:dyDescent="0.25">
      <c r="I5342" s="11" t="b">
        <f t="shared" si="268"/>
        <v>0</v>
      </c>
      <c r="M5342" s="17" t="str">
        <f t="shared" si="266"/>
        <v/>
      </c>
      <c r="N5342" s="11" t="str">
        <f t="shared" si="267"/>
        <v/>
      </c>
    </row>
    <row r="5343" spans="9:14" x14ac:dyDescent="0.25">
      <c r="I5343" s="11" t="b">
        <f t="shared" si="268"/>
        <v>0</v>
      </c>
      <c r="M5343" s="17" t="str">
        <f t="shared" si="266"/>
        <v/>
      </c>
      <c r="N5343" s="11" t="str">
        <f t="shared" si="267"/>
        <v/>
      </c>
    </row>
    <row r="5344" spans="9:14" x14ac:dyDescent="0.25">
      <c r="I5344" s="11" t="b">
        <f t="shared" si="268"/>
        <v>0</v>
      </c>
      <c r="M5344" s="17" t="str">
        <f t="shared" si="266"/>
        <v/>
      </c>
      <c r="N5344" s="11" t="str">
        <f t="shared" si="267"/>
        <v/>
      </c>
    </row>
    <row r="5345" spans="9:14" x14ac:dyDescent="0.25">
      <c r="I5345" s="11" t="b">
        <f t="shared" si="268"/>
        <v>0</v>
      </c>
      <c r="M5345" s="17" t="str">
        <f t="shared" si="266"/>
        <v/>
      </c>
      <c r="N5345" s="11" t="str">
        <f t="shared" si="267"/>
        <v/>
      </c>
    </row>
    <row r="5346" spans="9:14" x14ac:dyDescent="0.25">
      <c r="I5346" s="11" t="b">
        <f t="shared" si="268"/>
        <v>0</v>
      </c>
      <c r="M5346" s="17" t="str">
        <f t="shared" si="266"/>
        <v/>
      </c>
      <c r="N5346" s="11" t="str">
        <f t="shared" si="267"/>
        <v/>
      </c>
    </row>
    <row r="5347" spans="9:14" x14ac:dyDescent="0.25">
      <c r="I5347" s="11" t="b">
        <f t="shared" si="268"/>
        <v>0</v>
      </c>
      <c r="M5347" s="17" t="str">
        <f t="shared" si="266"/>
        <v/>
      </c>
      <c r="N5347" s="11" t="str">
        <f t="shared" si="267"/>
        <v/>
      </c>
    </row>
    <row r="5348" spans="9:14" x14ac:dyDescent="0.25">
      <c r="I5348" s="11" t="b">
        <f t="shared" si="268"/>
        <v>0</v>
      </c>
      <c r="M5348" s="17" t="str">
        <f t="shared" si="266"/>
        <v/>
      </c>
      <c r="N5348" s="11" t="str">
        <f t="shared" si="267"/>
        <v/>
      </c>
    </row>
    <row r="5349" spans="9:14" x14ac:dyDescent="0.25">
      <c r="I5349" s="11" t="b">
        <f t="shared" si="268"/>
        <v>0</v>
      </c>
      <c r="M5349" s="17" t="str">
        <f t="shared" si="266"/>
        <v/>
      </c>
      <c r="N5349" s="11" t="str">
        <f t="shared" si="267"/>
        <v/>
      </c>
    </row>
    <row r="5350" spans="9:14" x14ac:dyDescent="0.25">
      <c r="I5350" s="11" t="b">
        <f t="shared" si="268"/>
        <v>0</v>
      </c>
      <c r="M5350" s="17" t="str">
        <f t="shared" si="266"/>
        <v/>
      </c>
      <c r="N5350" s="11" t="str">
        <f t="shared" si="267"/>
        <v/>
      </c>
    </row>
    <row r="5351" spans="9:14" x14ac:dyDescent="0.25">
      <c r="I5351" s="11" t="b">
        <f t="shared" si="268"/>
        <v>0</v>
      </c>
      <c r="M5351" s="17" t="str">
        <f t="shared" si="266"/>
        <v/>
      </c>
      <c r="N5351" s="11" t="str">
        <f t="shared" si="267"/>
        <v/>
      </c>
    </row>
    <row r="5352" spans="9:14" x14ac:dyDescent="0.25">
      <c r="I5352" s="11" t="b">
        <f t="shared" si="268"/>
        <v>0</v>
      </c>
      <c r="M5352" s="17" t="str">
        <f t="shared" si="266"/>
        <v/>
      </c>
      <c r="N5352" s="11" t="str">
        <f t="shared" si="267"/>
        <v/>
      </c>
    </row>
    <row r="5353" spans="9:14" x14ac:dyDescent="0.25">
      <c r="I5353" s="11" t="b">
        <f t="shared" si="268"/>
        <v>0</v>
      </c>
      <c r="M5353" s="17" t="str">
        <f t="shared" si="266"/>
        <v/>
      </c>
      <c r="N5353" s="11" t="str">
        <f t="shared" si="267"/>
        <v/>
      </c>
    </row>
    <row r="5354" spans="9:14" x14ac:dyDescent="0.25">
      <c r="I5354" s="11" t="b">
        <f t="shared" si="268"/>
        <v>0</v>
      </c>
      <c r="M5354" s="17" t="str">
        <f t="shared" si="266"/>
        <v/>
      </c>
      <c r="N5354" s="11" t="str">
        <f t="shared" si="267"/>
        <v/>
      </c>
    </row>
    <row r="5355" spans="9:14" x14ac:dyDescent="0.25">
      <c r="I5355" s="11" t="b">
        <f t="shared" si="268"/>
        <v>0</v>
      </c>
      <c r="M5355" s="17" t="str">
        <f t="shared" si="266"/>
        <v/>
      </c>
      <c r="N5355" s="11" t="str">
        <f t="shared" si="267"/>
        <v/>
      </c>
    </row>
    <row r="5356" spans="9:14" x14ac:dyDescent="0.25">
      <c r="I5356" s="11" t="b">
        <f t="shared" si="268"/>
        <v>0</v>
      </c>
      <c r="M5356" s="17" t="str">
        <f t="shared" si="266"/>
        <v/>
      </c>
      <c r="N5356" s="11" t="str">
        <f t="shared" si="267"/>
        <v/>
      </c>
    </row>
    <row r="5357" spans="9:14" x14ac:dyDescent="0.25">
      <c r="I5357" s="11" t="b">
        <f t="shared" si="268"/>
        <v>0</v>
      </c>
      <c r="M5357" s="17" t="str">
        <f t="shared" si="266"/>
        <v/>
      </c>
      <c r="N5357" s="11" t="str">
        <f t="shared" si="267"/>
        <v/>
      </c>
    </row>
    <row r="5358" spans="9:14" x14ac:dyDescent="0.25">
      <c r="I5358" s="11" t="b">
        <f t="shared" si="268"/>
        <v>0</v>
      </c>
      <c r="M5358" s="17" t="str">
        <f t="shared" si="266"/>
        <v/>
      </c>
      <c r="N5358" s="11" t="str">
        <f t="shared" si="267"/>
        <v/>
      </c>
    </row>
    <row r="5359" spans="9:14" x14ac:dyDescent="0.25">
      <c r="I5359" s="11" t="b">
        <f t="shared" si="268"/>
        <v>0</v>
      </c>
      <c r="M5359" s="17" t="str">
        <f t="shared" si="266"/>
        <v/>
      </c>
      <c r="N5359" s="11" t="str">
        <f t="shared" si="267"/>
        <v/>
      </c>
    </row>
    <row r="5360" spans="9:14" x14ac:dyDescent="0.25">
      <c r="I5360" s="11" t="b">
        <f t="shared" si="268"/>
        <v>0</v>
      </c>
      <c r="M5360" s="17" t="str">
        <f t="shared" si="266"/>
        <v/>
      </c>
      <c r="N5360" s="11" t="str">
        <f t="shared" si="267"/>
        <v/>
      </c>
    </row>
    <row r="5361" spans="9:14" x14ac:dyDescent="0.25">
      <c r="I5361" s="11" t="b">
        <f t="shared" si="268"/>
        <v>0</v>
      </c>
      <c r="M5361" s="17" t="str">
        <f t="shared" si="266"/>
        <v/>
      </c>
      <c r="N5361" s="11" t="str">
        <f t="shared" si="267"/>
        <v/>
      </c>
    </row>
    <row r="5362" spans="9:14" x14ac:dyDescent="0.25">
      <c r="I5362" s="11" t="b">
        <f t="shared" si="268"/>
        <v>0</v>
      </c>
      <c r="M5362" s="17" t="str">
        <f t="shared" si="266"/>
        <v/>
      </c>
      <c r="N5362" s="11" t="str">
        <f t="shared" si="267"/>
        <v/>
      </c>
    </row>
    <row r="5363" spans="9:14" x14ac:dyDescent="0.25">
      <c r="I5363" s="11" t="b">
        <f t="shared" si="268"/>
        <v>0</v>
      </c>
      <c r="M5363" s="17" t="str">
        <f t="shared" si="266"/>
        <v/>
      </c>
      <c r="N5363" s="11" t="str">
        <f t="shared" si="267"/>
        <v/>
      </c>
    </row>
    <row r="5364" spans="9:14" x14ac:dyDescent="0.25">
      <c r="I5364" s="11" t="b">
        <f t="shared" si="268"/>
        <v>0</v>
      </c>
      <c r="M5364" s="17" t="str">
        <f t="shared" si="266"/>
        <v/>
      </c>
      <c r="N5364" s="11" t="str">
        <f t="shared" si="267"/>
        <v/>
      </c>
    </row>
    <row r="5365" spans="9:14" x14ac:dyDescent="0.25">
      <c r="I5365" s="11" t="b">
        <f t="shared" si="268"/>
        <v>0</v>
      </c>
      <c r="M5365" s="17" t="str">
        <f t="shared" si="266"/>
        <v/>
      </c>
      <c r="N5365" s="11" t="str">
        <f t="shared" si="267"/>
        <v/>
      </c>
    </row>
    <row r="5366" spans="9:14" x14ac:dyDescent="0.25">
      <c r="I5366" s="11" t="b">
        <f t="shared" si="268"/>
        <v>0</v>
      </c>
      <c r="M5366" s="17" t="str">
        <f t="shared" si="266"/>
        <v/>
      </c>
      <c r="N5366" s="11" t="str">
        <f t="shared" si="267"/>
        <v/>
      </c>
    </row>
    <row r="5367" spans="9:14" x14ac:dyDescent="0.25">
      <c r="I5367" s="11" t="b">
        <f t="shared" si="268"/>
        <v>0</v>
      </c>
      <c r="M5367" s="17" t="str">
        <f t="shared" si="266"/>
        <v/>
      </c>
      <c r="N5367" s="11" t="str">
        <f t="shared" si="267"/>
        <v/>
      </c>
    </row>
    <row r="5368" spans="9:14" x14ac:dyDescent="0.25">
      <c r="I5368" s="11" t="b">
        <f t="shared" si="268"/>
        <v>0</v>
      </c>
      <c r="M5368" s="17" t="str">
        <f t="shared" si="266"/>
        <v/>
      </c>
      <c r="N5368" s="11" t="str">
        <f t="shared" si="267"/>
        <v/>
      </c>
    </row>
    <row r="5369" spans="9:14" x14ac:dyDescent="0.25">
      <c r="I5369" s="11" t="b">
        <f t="shared" si="268"/>
        <v>0</v>
      </c>
      <c r="M5369" s="17" t="str">
        <f t="shared" si="266"/>
        <v/>
      </c>
      <c r="N5369" s="11" t="str">
        <f t="shared" si="267"/>
        <v/>
      </c>
    </row>
    <row r="5370" spans="9:14" x14ac:dyDescent="0.25">
      <c r="I5370" s="11" t="b">
        <f t="shared" si="268"/>
        <v>0</v>
      </c>
      <c r="M5370" s="17" t="str">
        <f t="shared" si="266"/>
        <v/>
      </c>
      <c r="N5370" s="11" t="str">
        <f t="shared" si="267"/>
        <v/>
      </c>
    </row>
    <row r="5371" spans="9:14" x14ac:dyDescent="0.25">
      <c r="I5371" s="11" t="b">
        <f t="shared" si="268"/>
        <v>0</v>
      </c>
      <c r="M5371" s="17" t="str">
        <f t="shared" si="266"/>
        <v/>
      </c>
      <c r="N5371" s="11" t="str">
        <f t="shared" si="267"/>
        <v/>
      </c>
    </row>
    <row r="5372" spans="9:14" x14ac:dyDescent="0.25">
      <c r="I5372" s="11" t="b">
        <f t="shared" si="268"/>
        <v>0</v>
      </c>
      <c r="M5372" s="17" t="str">
        <f t="shared" si="266"/>
        <v/>
      </c>
      <c r="N5372" s="11" t="str">
        <f t="shared" si="267"/>
        <v/>
      </c>
    </row>
    <row r="5373" spans="9:14" x14ac:dyDescent="0.25">
      <c r="I5373" s="11" t="b">
        <f t="shared" si="268"/>
        <v>0</v>
      </c>
      <c r="M5373" s="17" t="str">
        <f t="shared" si="266"/>
        <v/>
      </c>
      <c r="N5373" s="11" t="str">
        <f t="shared" si="267"/>
        <v/>
      </c>
    </row>
    <row r="5374" spans="9:14" x14ac:dyDescent="0.25">
      <c r="I5374" s="11" t="b">
        <f t="shared" si="268"/>
        <v>0</v>
      </c>
      <c r="M5374" s="17" t="str">
        <f t="shared" si="266"/>
        <v/>
      </c>
      <c r="N5374" s="11" t="str">
        <f t="shared" si="267"/>
        <v/>
      </c>
    </row>
    <row r="5375" spans="9:14" x14ac:dyDescent="0.25">
      <c r="I5375" s="11" t="b">
        <f t="shared" si="268"/>
        <v>0</v>
      </c>
      <c r="M5375" s="17" t="str">
        <f t="shared" si="266"/>
        <v/>
      </c>
      <c r="N5375" s="11" t="str">
        <f t="shared" si="267"/>
        <v/>
      </c>
    </row>
    <row r="5376" spans="9:14" x14ac:dyDescent="0.25">
      <c r="I5376" s="11" t="b">
        <f t="shared" si="268"/>
        <v>0</v>
      </c>
      <c r="M5376" s="17" t="str">
        <f t="shared" si="266"/>
        <v/>
      </c>
      <c r="N5376" s="11" t="str">
        <f t="shared" si="267"/>
        <v/>
      </c>
    </row>
    <row r="5377" spans="9:14" x14ac:dyDescent="0.25">
      <c r="I5377" s="11" t="b">
        <f t="shared" si="268"/>
        <v>0</v>
      </c>
      <c r="M5377" s="17" t="str">
        <f t="shared" ref="M5377:M5440" si="269">IF(B5377=0, "",M5376+ J5377-K5377)</f>
        <v/>
      </c>
      <c r="N5377" s="11" t="str">
        <f t="shared" ref="N5377:N5440" si="270">IF(B5377=0, "", MONTH(B5377))</f>
        <v/>
      </c>
    </row>
    <row r="5378" spans="9:14" x14ac:dyDescent="0.25">
      <c r="I5378" s="11" t="b">
        <f t="shared" si="268"/>
        <v>0</v>
      </c>
      <c r="M5378" s="17" t="str">
        <f t="shared" si="269"/>
        <v/>
      </c>
      <c r="N5378" s="11" t="str">
        <f t="shared" si="270"/>
        <v/>
      </c>
    </row>
    <row r="5379" spans="9:14" x14ac:dyDescent="0.25">
      <c r="I5379" s="11" t="b">
        <f t="shared" si="268"/>
        <v>0</v>
      </c>
      <c r="M5379" s="17" t="str">
        <f t="shared" si="269"/>
        <v/>
      </c>
      <c r="N5379" s="11" t="str">
        <f t="shared" si="270"/>
        <v/>
      </c>
    </row>
    <row r="5380" spans="9:14" x14ac:dyDescent="0.25">
      <c r="I5380" s="11" t="b">
        <f t="shared" si="268"/>
        <v>0</v>
      </c>
      <c r="M5380" s="17" t="str">
        <f t="shared" si="269"/>
        <v/>
      </c>
      <c r="N5380" s="11" t="str">
        <f t="shared" si="270"/>
        <v/>
      </c>
    </row>
    <row r="5381" spans="9:14" x14ac:dyDescent="0.25">
      <c r="I5381" s="11" t="b">
        <f t="shared" si="268"/>
        <v>0</v>
      </c>
      <c r="M5381" s="17" t="str">
        <f t="shared" si="269"/>
        <v/>
      </c>
      <c r="N5381" s="11" t="str">
        <f t="shared" si="270"/>
        <v/>
      </c>
    </row>
    <row r="5382" spans="9:14" x14ac:dyDescent="0.25">
      <c r="I5382" s="11" t="b">
        <f t="shared" si="268"/>
        <v>0</v>
      </c>
      <c r="M5382" s="17" t="str">
        <f t="shared" si="269"/>
        <v/>
      </c>
      <c r="N5382" s="11" t="str">
        <f t="shared" si="270"/>
        <v/>
      </c>
    </row>
    <row r="5383" spans="9:14" x14ac:dyDescent="0.25">
      <c r="I5383" s="11" t="b">
        <f t="shared" si="268"/>
        <v>0</v>
      </c>
      <c r="M5383" s="17" t="str">
        <f t="shared" si="269"/>
        <v/>
      </c>
      <c r="N5383" s="11" t="str">
        <f t="shared" si="270"/>
        <v/>
      </c>
    </row>
    <row r="5384" spans="9:14" x14ac:dyDescent="0.25">
      <c r="I5384" s="11" t="b">
        <f t="shared" si="268"/>
        <v>0</v>
      </c>
      <c r="M5384" s="17" t="str">
        <f t="shared" si="269"/>
        <v/>
      </c>
      <c r="N5384" s="11" t="str">
        <f t="shared" si="270"/>
        <v/>
      </c>
    </row>
    <row r="5385" spans="9:14" x14ac:dyDescent="0.25">
      <c r="I5385" s="11" t="b">
        <f t="shared" si="268"/>
        <v>0</v>
      </c>
      <c r="M5385" s="17" t="str">
        <f t="shared" si="269"/>
        <v/>
      </c>
      <c r="N5385" s="11" t="str">
        <f t="shared" si="270"/>
        <v/>
      </c>
    </row>
    <row r="5386" spans="9:14" x14ac:dyDescent="0.25">
      <c r="I5386" s="11" t="b">
        <f t="shared" si="268"/>
        <v>0</v>
      </c>
      <c r="M5386" s="17" t="str">
        <f t="shared" si="269"/>
        <v/>
      </c>
      <c r="N5386" s="11" t="str">
        <f t="shared" si="270"/>
        <v/>
      </c>
    </row>
    <row r="5387" spans="9:14" x14ac:dyDescent="0.25">
      <c r="I5387" s="11" t="b">
        <f t="shared" si="268"/>
        <v>0</v>
      </c>
      <c r="M5387" s="17" t="str">
        <f t="shared" si="269"/>
        <v/>
      </c>
      <c r="N5387" s="11" t="str">
        <f t="shared" si="270"/>
        <v/>
      </c>
    </row>
    <row r="5388" spans="9:14" x14ac:dyDescent="0.25">
      <c r="I5388" s="11" t="b">
        <f t="shared" si="268"/>
        <v>0</v>
      </c>
      <c r="M5388" s="17" t="str">
        <f t="shared" si="269"/>
        <v/>
      </c>
      <c r="N5388" s="11" t="str">
        <f t="shared" si="270"/>
        <v/>
      </c>
    </row>
    <row r="5389" spans="9:14" x14ac:dyDescent="0.25">
      <c r="I5389" s="11" t="b">
        <f t="shared" si="268"/>
        <v>0</v>
      </c>
      <c r="M5389" s="17" t="str">
        <f t="shared" si="269"/>
        <v/>
      </c>
      <c r="N5389" s="11" t="str">
        <f t="shared" si="270"/>
        <v/>
      </c>
    </row>
    <row r="5390" spans="9:14" x14ac:dyDescent="0.25">
      <c r="I5390" s="11" t="b">
        <f t="shared" si="268"/>
        <v>0</v>
      </c>
      <c r="M5390" s="17" t="str">
        <f t="shared" si="269"/>
        <v/>
      </c>
      <c r="N5390" s="11" t="str">
        <f t="shared" si="270"/>
        <v/>
      </c>
    </row>
    <row r="5391" spans="9:14" x14ac:dyDescent="0.25">
      <c r="I5391" s="11" t="b">
        <f t="shared" si="268"/>
        <v>0</v>
      </c>
      <c r="M5391" s="17" t="str">
        <f t="shared" si="269"/>
        <v/>
      </c>
      <c r="N5391" s="11" t="str">
        <f t="shared" si="270"/>
        <v/>
      </c>
    </row>
    <row r="5392" spans="9:14" x14ac:dyDescent="0.25">
      <c r="I5392" s="11" t="b">
        <f t="shared" si="268"/>
        <v>0</v>
      </c>
      <c r="M5392" s="17" t="str">
        <f t="shared" si="269"/>
        <v/>
      </c>
      <c r="N5392" s="11" t="str">
        <f t="shared" si="270"/>
        <v/>
      </c>
    </row>
    <row r="5393" spans="9:14" x14ac:dyDescent="0.25">
      <c r="I5393" s="11" t="b">
        <f t="shared" si="268"/>
        <v>0</v>
      </c>
      <c r="M5393" s="17" t="str">
        <f t="shared" si="269"/>
        <v/>
      </c>
      <c r="N5393" s="11" t="str">
        <f t="shared" si="270"/>
        <v/>
      </c>
    </row>
    <row r="5394" spans="9:14" x14ac:dyDescent="0.25">
      <c r="I5394" s="11" t="b">
        <f t="shared" si="268"/>
        <v>0</v>
      </c>
      <c r="M5394" s="17" t="str">
        <f t="shared" si="269"/>
        <v/>
      </c>
      <c r="N5394" s="11" t="str">
        <f t="shared" si="270"/>
        <v/>
      </c>
    </row>
    <row r="5395" spans="9:14" x14ac:dyDescent="0.25">
      <c r="I5395" s="11" t="b">
        <f t="shared" si="268"/>
        <v>0</v>
      </c>
      <c r="M5395" s="17" t="str">
        <f t="shared" si="269"/>
        <v/>
      </c>
      <c r="N5395" s="11" t="str">
        <f t="shared" si="270"/>
        <v/>
      </c>
    </row>
    <row r="5396" spans="9:14" x14ac:dyDescent="0.25">
      <c r="I5396" s="11" t="b">
        <f t="shared" si="268"/>
        <v>0</v>
      </c>
      <c r="M5396" s="17" t="str">
        <f t="shared" si="269"/>
        <v/>
      </c>
      <c r="N5396" s="11" t="str">
        <f t="shared" si="270"/>
        <v/>
      </c>
    </row>
    <row r="5397" spans="9:14" x14ac:dyDescent="0.25">
      <c r="I5397" s="11" t="b">
        <f t="shared" si="268"/>
        <v>0</v>
      </c>
      <c r="M5397" s="17" t="str">
        <f t="shared" si="269"/>
        <v/>
      </c>
      <c r="N5397" s="11" t="str">
        <f t="shared" si="270"/>
        <v/>
      </c>
    </row>
    <row r="5398" spans="9:14" x14ac:dyDescent="0.25">
      <c r="I5398" s="11" t="b">
        <f t="shared" si="268"/>
        <v>0</v>
      </c>
      <c r="M5398" s="17" t="str">
        <f t="shared" si="269"/>
        <v/>
      </c>
      <c r="N5398" s="11" t="str">
        <f t="shared" si="270"/>
        <v/>
      </c>
    </row>
    <row r="5399" spans="9:14" x14ac:dyDescent="0.25">
      <c r="I5399" s="11" t="b">
        <f t="shared" si="268"/>
        <v>0</v>
      </c>
      <c r="M5399" s="17" t="str">
        <f t="shared" si="269"/>
        <v/>
      </c>
      <c r="N5399" s="11" t="str">
        <f t="shared" si="270"/>
        <v/>
      </c>
    </row>
    <row r="5400" spans="9:14" x14ac:dyDescent="0.25">
      <c r="I5400" s="11" t="b">
        <f t="shared" si="268"/>
        <v>0</v>
      </c>
      <c r="M5400" s="17" t="str">
        <f t="shared" si="269"/>
        <v/>
      </c>
      <c r="N5400" s="11" t="str">
        <f t="shared" si="270"/>
        <v/>
      </c>
    </row>
    <row r="5401" spans="9:14" x14ac:dyDescent="0.25">
      <c r="I5401" s="11" t="b">
        <f t="shared" si="268"/>
        <v>0</v>
      </c>
      <c r="M5401" s="17" t="str">
        <f t="shared" si="269"/>
        <v/>
      </c>
      <c r="N5401" s="11" t="str">
        <f t="shared" si="270"/>
        <v/>
      </c>
    </row>
    <row r="5402" spans="9:14" x14ac:dyDescent="0.25">
      <c r="I5402" s="11" t="b">
        <f t="shared" si="268"/>
        <v>0</v>
      </c>
      <c r="M5402" s="17" t="str">
        <f t="shared" si="269"/>
        <v/>
      </c>
      <c r="N5402" s="11" t="str">
        <f t="shared" si="270"/>
        <v/>
      </c>
    </row>
    <row r="5403" spans="9:14" x14ac:dyDescent="0.25">
      <c r="I5403" s="11" t="b">
        <f t="shared" si="268"/>
        <v>0</v>
      </c>
      <c r="M5403" s="17" t="str">
        <f t="shared" si="269"/>
        <v/>
      </c>
      <c r="N5403" s="11" t="str">
        <f t="shared" si="270"/>
        <v/>
      </c>
    </row>
    <row r="5404" spans="9:14" x14ac:dyDescent="0.25">
      <c r="I5404" s="11" t="b">
        <f t="shared" si="268"/>
        <v>0</v>
      </c>
      <c r="M5404" s="17" t="str">
        <f t="shared" si="269"/>
        <v/>
      </c>
      <c r="N5404" s="11" t="str">
        <f t="shared" si="270"/>
        <v/>
      </c>
    </row>
    <row r="5405" spans="9:14" x14ac:dyDescent="0.25">
      <c r="I5405" s="11" t="b">
        <f t="shared" ref="I5405:I5468" si="271">IF(AND(G5405="MERCADO PAGO",A5405="FATURAMENTO"),1,IF(AND(OR(G5405="MERCADO PAGO",G5405="pix mercado pago",G5405= "débito automático mercado pago", G5405= "boleto mercado pago"),A5405="DESPESAS"),4,IF(AND(G5405="SAFRA",A5405="FATURAMENTO"),2,IF(AND(OR(G5405="SAFRA",G5405="PIX SAFRA", G5405="DÉBITO AUTOMÁTICO SAFRA", G5405= "BOLETO SAFRA", G5405= "transferência safra"), A5405="DESPESAS"),5,IF(AND(G5405="espécie",A5405="FATURAMENTO"),3,IF(AND(G5405="espécie",A5405="DESPESAS"),6))))))</f>
        <v>0</v>
      </c>
      <c r="M5405" s="17" t="str">
        <f t="shared" si="269"/>
        <v/>
      </c>
      <c r="N5405" s="11" t="str">
        <f t="shared" si="270"/>
        <v/>
      </c>
    </row>
    <row r="5406" spans="9:14" x14ac:dyDescent="0.25">
      <c r="I5406" s="11" t="b">
        <f t="shared" si="271"/>
        <v>0</v>
      </c>
      <c r="M5406" s="17" t="str">
        <f t="shared" si="269"/>
        <v/>
      </c>
      <c r="N5406" s="11" t="str">
        <f t="shared" si="270"/>
        <v/>
      </c>
    </row>
    <row r="5407" spans="9:14" x14ac:dyDescent="0.25">
      <c r="I5407" s="11" t="b">
        <f t="shared" si="271"/>
        <v>0</v>
      </c>
      <c r="M5407" s="17" t="str">
        <f t="shared" si="269"/>
        <v/>
      </c>
      <c r="N5407" s="11" t="str">
        <f t="shared" si="270"/>
        <v/>
      </c>
    </row>
    <row r="5408" spans="9:14" x14ac:dyDescent="0.25">
      <c r="I5408" s="11" t="b">
        <f t="shared" si="271"/>
        <v>0</v>
      </c>
      <c r="M5408" s="17" t="str">
        <f t="shared" si="269"/>
        <v/>
      </c>
      <c r="N5408" s="11" t="str">
        <f t="shared" si="270"/>
        <v/>
      </c>
    </row>
    <row r="5409" spans="9:14" x14ac:dyDescent="0.25">
      <c r="I5409" s="11" t="b">
        <f t="shared" si="271"/>
        <v>0</v>
      </c>
      <c r="M5409" s="17" t="str">
        <f t="shared" si="269"/>
        <v/>
      </c>
      <c r="N5409" s="11" t="str">
        <f t="shared" si="270"/>
        <v/>
      </c>
    </row>
    <row r="5410" spans="9:14" x14ac:dyDescent="0.25">
      <c r="I5410" s="11" t="b">
        <f t="shared" si="271"/>
        <v>0</v>
      </c>
      <c r="M5410" s="17" t="str">
        <f t="shared" si="269"/>
        <v/>
      </c>
      <c r="N5410" s="11" t="str">
        <f t="shared" si="270"/>
        <v/>
      </c>
    </row>
    <row r="5411" spans="9:14" x14ac:dyDescent="0.25">
      <c r="I5411" s="11" t="b">
        <f t="shared" si="271"/>
        <v>0</v>
      </c>
      <c r="M5411" s="17" t="str">
        <f t="shared" si="269"/>
        <v/>
      </c>
      <c r="N5411" s="11" t="str">
        <f t="shared" si="270"/>
        <v/>
      </c>
    </row>
    <row r="5412" spans="9:14" x14ac:dyDescent="0.25">
      <c r="I5412" s="11" t="b">
        <f t="shared" si="271"/>
        <v>0</v>
      </c>
      <c r="M5412" s="17" t="str">
        <f t="shared" si="269"/>
        <v/>
      </c>
      <c r="N5412" s="11" t="str">
        <f t="shared" si="270"/>
        <v/>
      </c>
    </row>
    <row r="5413" spans="9:14" x14ac:dyDescent="0.25">
      <c r="I5413" s="11" t="b">
        <f t="shared" si="271"/>
        <v>0</v>
      </c>
      <c r="M5413" s="17" t="str">
        <f t="shared" si="269"/>
        <v/>
      </c>
      <c r="N5413" s="11" t="str">
        <f t="shared" si="270"/>
        <v/>
      </c>
    </row>
    <row r="5414" spans="9:14" x14ac:dyDescent="0.25">
      <c r="I5414" s="11" t="b">
        <f t="shared" si="271"/>
        <v>0</v>
      </c>
      <c r="M5414" s="17" t="str">
        <f t="shared" si="269"/>
        <v/>
      </c>
      <c r="N5414" s="11" t="str">
        <f t="shared" si="270"/>
        <v/>
      </c>
    </row>
    <row r="5415" spans="9:14" x14ac:dyDescent="0.25">
      <c r="I5415" s="11" t="b">
        <f t="shared" si="271"/>
        <v>0</v>
      </c>
      <c r="M5415" s="17" t="str">
        <f t="shared" si="269"/>
        <v/>
      </c>
      <c r="N5415" s="11" t="str">
        <f t="shared" si="270"/>
        <v/>
      </c>
    </row>
    <row r="5416" spans="9:14" x14ac:dyDescent="0.25">
      <c r="I5416" s="11" t="b">
        <f t="shared" si="271"/>
        <v>0</v>
      </c>
      <c r="M5416" s="17" t="str">
        <f t="shared" si="269"/>
        <v/>
      </c>
      <c r="N5416" s="11" t="str">
        <f t="shared" si="270"/>
        <v/>
      </c>
    </row>
    <row r="5417" spans="9:14" x14ac:dyDescent="0.25">
      <c r="I5417" s="11" t="b">
        <f t="shared" si="271"/>
        <v>0</v>
      </c>
      <c r="M5417" s="17" t="str">
        <f t="shared" si="269"/>
        <v/>
      </c>
      <c r="N5417" s="11" t="str">
        <f t="shared" si="270"/>
        <v/>
      </c>
    </row>
    <row r="5418" spans="9:14" x14ac:dyDescent="0.25">
      <c r="I5418" s="11" t="b">
        <f t="shared" si="271"/>
        <v>0</v>
      </c>
      <c r="M5418" s="17" t="str">
        <f t="shared" si="269"/>
        <v/>
      </c>
      <c r="N5418" s="11" t="str">
        <f t="shared" si="270"/>
        <v/>
      </c>
    </row>
    <row r="5419" spans="9:14" x14ac:dyDescent="0.25">
      <c r="I5419" s="11" t="b">
        <f t="shared" si="271"/>
        <v>0</v>
      </c>
      <c r="M5419" s="17" t="str">
        <f t="shared" si="269"/>
        <v/>
      </c>
      <c r="N5419" s="11" t="str">
        <f t="shared" si="270"/>
        <v/>
      </c>
    </row>
    <row r="5420" spans="9:14" x14ac:dyDescent="0.25">
      <c r="I5420" s="11" t="b">
        <f t="shared" si="271"/>
        <v>0</v>
      </c>
      <c r="M5420" s="17" t="str">
        <f t="shared" si="269"/>
        <v/>
      </c>
      <c r="N5420" s="11" t="str">
        <f t="shared" si="270"/>
        <v/>
      </c>
    </row>
    <row r="5421" spans="9:14" x14ac:dyDescent="0.25">
      <c r="I5421" s="11" t="b">
        <f t="shared" si="271"/>
        <v>0</v>
      </c>
      <c r="M5421" s="17" t="str">
        <f t="shared" si="269"/>
        <v/>
      </c>
      <c r="N5421" s="11" t="str">
        <f t="shared" si="270"/>
        <v/>
      </c>
    </row>
    <row r="5422" spans="9:14" x14ac:dyDescent="0.25">
      <c r="I5422" s="11" t="b">
        <f t="shared" si="271"/>
        <v>0</v>
      </c>
      <c r="M5422" s="17" t="str">
        <f t="shared" si="269"/>
        <v/>
      </c>
      <c r="N5422" s="11" t="str">
        <f t="shared" si="270"/>
        <v/>
      </c>
    </row>
    <row r="5423" spans="9:14" x14ac:dyDescent="0.25">
      <c r="I5423" s="11" t="b">
        <f t="shared" si="271"/>
        <v>0</v>
      </c>
      <c r="M5423" s="17" t="str">
        <f t="shared" si="269"/>
        <v/>
      </c>
      <c r="N5423" s="11" t="str">
        <f t="shared" si="270"/>
        <v/>
      </c>
    </row>
    <row r="5424" spans="9:14" x14ac:dyDescent="0.25">
      <c r="I5424" s="11" t="b">
        <f t="shared" si="271"/>
        <v>0</v>
      </c>
      <c r="M5424" s="17" t="str">
        <f t="shared" si="269"/>
        <v/>
      </c>
      <c r="N5424" s="11" t="str">
        <f t="shared" si="270"/>
        <v/>
      </c>
    </row>
    <row r="5425" spans="9:14" x14ac:dyDescent="0.25">
      <c r="I5425" s="11" t="b">
        <f t="shared" si="271"/>
        <v>0</v>
      </c>
      <c r="M5425" s="17" t="str">
        <f t="shared" si="269"/>
        <v/>
      </c>
      <c r="N5425" s="11" t="str">
        <f t="shared" si="270"/>
        <v/>
      </c>
    </row>
    <row r="5426" spans="9:14" x14ac:dyDescent="0.25">
      <c r="I5426" s="11" t="b">
        <f t="shared" si="271"/>
        <v>0</v>
      </c>
      <c r="M5426" s="17" t="str">
        <f t="shared" si="269"/>
        <v/>
      </c>
      <c r="N5426" s="11" t="str">
        <f t="shared" si="270"/>
        <v/>
      </c>
    </row>
    <row r="5427" spans="9:14" x14ac:dyDescent="0.25">
      <c r="I5427" s="11" t="b">
        <f t="shared" si="271"/>
        <v>0</v>
      </c>
      <c r="M5427" s="17" t="str">
        <f t="shared" si="269"/>
        <v/>
      </c>
      <c r="N5427" s="11" t="str">
        <f t="shared" si="270"/>
        <v/>
      </c>
    </row>
    <row r="5428" spans="9:14" x14ac:dyDescent="0.25">
      <c r="I5428" s="11" t="b">
        <f t="shared" si="271"/>
        <v>0</v>
      </c>
      <c r="M5428" s="17" t="str">
        <f t="shared" si="269"/>
        <v/>
      </c>
      <c r="N5428" s="11" t="str">
        <f t="shared" si="270"/>
        <v/>
      </c>
    </row>
    <row r="5429" spans="9:14" x14ac:dyDescent="0.25">
      <c r="I5429" s="11" t="b">
        <f t="shared" si="271"/>
        <v>0</v>
      </c>
      <c r="M5429" s="17" t="str">
        <f t="shared" si="269"/>
        <v/>
      </c>
      <c r="N5429" s="11" t="str">
        <f t="shared" si="270"/>
        <v/>
      </c>
    </row>
    <row r="5430" spans="9:14" x14ac:dyDescent="0.25">
      <c r="I5430" s="11" t="b">
        <f t="shared" si="271"/>
        <v>0</v>
      </c>
      <c r="M5430" s="17" t="str">
        <f t="shared" si="269"/>
        <v/>
      </c>
      <c r="N5430" s="11" t="str">
        <f t="shared" si="270"/>
        <v/>
      </c>
    </row>
    <row r="5431" spans="9:14" x14ac:dyDescent="0.25">
      <c r="I5431" s="11" t="b">
        <f t="shared" si="271"/>
        <v>0</v>
      </c>
      <c r="M5431" s="17" t="str">
        <f t="shared" si="269"/>
        <v/>
      </c>
      <c r="N5431" s="11" t="str">
        <f t="shared" si="270"/>
        <v/>
      </c>
    </row>
    <row r="5432" spans="9:14" x14ac:dyDescent="0.25">
      <c r="I5432" s="11" t="b">
        <f t="shared" si="271"/>
        <v>0</v>
      </c>
      <c r="M5432" s="17" t="str">
        <f t="shared" si="269"/>
        <v/>
      </c>
      <c r="N5432" s="11" t="str">
        <f t="shared" si="270"/>
        <v/>
      </c>
    </row>
    <row r="5433" spans="9:14" x14ac:dyDescent="0.25">
      <c r="I5433" s="11" t="b">
        <f t="shared" si="271"/>
        <v>0</v>
      </c>
      <c r="M5433" s="17" t="str">
        <f t="shared" si="269"/>
        <v/>
      </c>
      <c r="N5433" s="11" t="str">
        <f t="shared" si="270"/>
        <v/>
      </c>
    </row>
    <row r="5434" spans="9:14" x14ac:dyDescent="0.25">
      <c r="I5434" s="11" t="b">
        <f t="shared" si="271"/>
        <v>0</v>
      </c>
      <c r="M5434" s="17" t="str">
        <f t="shared" si="269"/>
        <v/>
      </c>
      <c r="N5434" s="11" t="str">
        <f t="shared" si="270"/>
        <v/>
      </c>
    </row>
    <row r="5435" spans="9:14" x14ac:dyDescent="0.25">
      <c r="I5435" s="11" t="b">
        <f t="shared" si="271"/>
        <v>0</v>
      </c>
      <c r="M5435" s="17" t="str">
        <f t="shared" si="269"/>
        <v/>
      </c>
      <c r="N5435" s="11" t="str">
        <f t="shared" si="270"/>
        <v/>
      </c>
    </row>
    <row r="5436" spans="9:14" x14ac:dyDescent="0.25">
      <c r="I5436" s="11" t="b">
        <f t="shared" si="271"/>
        <v>0</v>
      </c>
      <c r="M5436" s="17" t="str">
        <f t="shared" si="269"/>
        <v/>
      </c>
      <c r="N5436" s="11" t="str">
        <f t="shared" si="270"/>
        <v/>
      </c>
    </row>
    <row r="5437" spans="9:14" x14ac:dyDescent="0.25">
      <c r="I5437" s="11" t="b">
        <f t="shared" si="271"/>
        <v>0</v>
      </c>
      <c r="M5437" s="17" t="str">
        <f t="shared" si="269"/>
        <v/>
      </c>
      <c r="N5437" s="11" t="str">
        <f t="shared" si="270"/>
        <v/>
      </c>
    </row>
    <row r="5438" spans="9:14" x14ac:dyDescent="0.25">
      <c r="I5438" s="11" t="b">
        <f t="shared" si="271"/>
        <v>0</v>
      </c>
      <c r="M5438" s="17" t="str">
        <f t="shared" si="269"/>
        <v/>
      </c>
      <c r="N5438" s="11" t="str">
        <f t="shared" si="270"/>
        <v/>
      </c>
    </row>
    <row r="5439" spans="9:14" x14ac:dyDescent="0.25">
      <c r="I5439" s="11" t="b">
        <f t="shared" si="271"/>
        <v>0</v>
      </c>
      <c r="M5439" s="17" t="str">
        <f t="shared" si="269"/>
        <v/>
      </c>
      <c r="N5439" s="11" t="str">
        <f t="shared" si="270"/>
        <v/>
      </c>
    </row>
    <row r="5440" spans="9:14" x14ac:dyDescent="0.25">
      <c r="I5440" s="11" t="b">
        <f t="shared" si="271"/>
        <v>0</v>
      </c>
      <c r="M5440" s="17" t="str">
        <f t="shared" si="269"/>
        <v/>
      </c>
      <c r="N5440" s="11" t="str">
        <f t="shared" si="270"/>
        <v/>
      </c>
    </row>
    <row r="5441" spans="9:14" x14ac:dyDescent="0.25">
      <c r="I5441" s="11" t="b">
        <f t="shared" si="271"/>
        <v>0</v>
      </c>
      <c r="M5441" s="17" t="str">
        <f t="shared" ref="M5441:M5504" si="272">IF(B5441=0, "",M5440+ J5441-K5441)</f>
        <v/>
      </c>
      <c r="N5441" s="11" t="str">
        <f t="shared" ref="N5441:N5504" si="273">IF(B5441=0, "", MONTH(B5441))</f>
        <v/>
      </c>
    </row>
    <row r="5442" spans="9:14" x14ac:dyDescent="0.25">
      <c r="I5442" s="11" t="b">
        <f t="shared" si="271"/>
        <v>0</v>
      </c>
      <c r="M5442" s="17" t="str">
        <f t="shared" si="272"/>
        <v/>
      </c>
      <c r="N5442" s="11" t="str">
        <f t="shared" si="273"/>
        <v/>
      </c>
    </row>
    <row r="5443" spans="9:14" x14ac:dyDescent="0.25">
      <c r="I5443" s="11" t="b">
        <f t="shared" si="271"/>
        <v>0</v>
      </c>
      <c r="M5443" s="17" t="str">
        <f t="shared" si="272"/>
        <v/>
      </c>
      <c r="N5443" s="11" t="str">
        <f t="shared" si="273"/>
        <v/>
      </c>
    </row>
    <row r="5444" spans="9:14" x14ac:dyDescent="0.25">
      <c r="I5444" s="11" t="b">
        <f t="shared" si="271"/>
        <v>0</v>
      </c>
      <c r="M5444" s="17" t="str">
        <f t="shared" si="272"/>
        <v/>
      </c>
      <c r="N5444" s="11" t="str">
        <f t="shared" si="273"/>
        <v/>
      </c>
    </row>
    <row r="5445" spans="9:14" x14ac:dyDescent="0.25">
      <c r="I5445" s="11" t="b">
        <f t="shared" si="271"/>
        <v>0</v>
      </c>
      <c r="M5445" s="17" t="str">
        <f t="shared" si="272"/>
        <v/>
      </c>
      <c r="N5445" s="11" t="str">
        <f t="shared" si="273"/>
        <v/>
      </c>
    </row>
    <row r="5446" spans="9:14" x14ac:dyDescent="0.25">
      <c r="I5446" s="11" t="b">
        <f t="shared" si="271"/>
        <v>0</v>
      </c>
      <c r="M5446" s="17" t="str">
        <f t="shared" si="272"/>
        <v/>
      </c>
      <c r="N5446" s="11" t="str">
        <f t="shared" si="273"/>
        <v/>
      </c>
    </row>
    <row r="5447" spans="9:14" x14ac:dyDescent="0.25">
      <c r="I5447" s="11" t="b">
        <f t="shared" si="271"/>
        <v>0</v>
      </c>
      <c r="M5447" s="17" t="str">
        <f t="shared" si="272"/>
        <v/>
      </c>
      <c r="N5447" s="11" t="str">
        <f t="shared" si="273"/>
        <v/>
      </c>
    </row>
    <row r="5448" spans="9:14" x14ac:dyDescent="0.25">
      <c r="I5448" s="11" t="b">
        <f t="shared" si="271"/>
        <v>0</v>
      </c>
      <c r="M5448" s="17" t="str">
        <f t="shared" si="272"/>
        <v/>
      </c>
      <c r="N5448" s="11" t="str">
        <f t="shared" si="273"/>
        <v/>
      </c>
    </row>
    <row r="5449" spans="9:14" x14ac:dyDescent="0.25">
      <c r="I5449" s="11" t="b">
        <f t="shared" si="271"/>
        <v>0</v>
      </c>
      <c r="M5449" s="17" t="str">
        <f t="shared" si="272"/>
        <v/>
      </c>
      <c r="N5449" s="11" t="str">
        <f t="shared" si="273"/>
        <v/>
      </c>
    </row>
    <row r="5450" spans="9:14" x14ac:dyDescent="0.25">
      <c r="I5450" s="11" t="b">
        <f t="shared" si="271"/>
        <v>0</v>
      </c>
      <c r="M5450" s="17" t="str">
        <f t="shared" si="272"/>
        <v/>
      </c>
      <c r="N5450" s="11" t="str">
        <f t="shared" si="273"/>
        <v/>
      </c>
    </row>
    <row r="5451" spans="9:14" x14ac:dyDescent="0.25">
      <c r="I5451" s="11" t="b">
        <f t="shared" si="271"/>
        <v>0</v>
      </c>
      <c r="M5451" s="17" t="str">
        <f t="shared" si="272"/>
        <v/>
      </c>
      <c r="N5451" s="11" t="str">
        <f t="shared" si="273"/>
        <v/>
      </c>
    </row>
    <row r="5452" spans="9:14" x14ac:dyDescent="0.25">
      <c r="I5452" s="11" t="b">
        <f t="shared" si="271"/>
        <v>0</v>
      </c>
      <c r="M5452" s="17" t="str">
        <f t="shared" si="272"/>
        <v/>
      </c>
      <c r="N5452" s="11" t="str">
        <f t="shared" si="273"/>
        <v/>
      </c>
    </row>
    <row r="5453" spans="9:14" x14ac:dyDescent="0.25">
      <c r="I5453" s="11" t="b">
        <f t="shared" si="271"/>
        <v>0</v>
      </c>
      <c r="M5453" s="17" t="str">
        <f t="shared" si="272"/>
        <v/>
      </c>
      <c r="N5453" s="11" t="str">
        <f t="shared" si="273"/>
        <v/>
      </c>
    </row>
    <row r="5454" spans="9:14" x14ac:dyDescent="0.25">
      <c r="I5454" s="11" t="b">
        <f t="shared" si="271"/>
        <v>0</v>
      </c>
      <c r="M5454" s="17" t="str">
        <f t="shared" si="272"/>
        <v/>
      </c>
      <c r="N5454" s="11" t="str">
        <f t="shared" si="273"/>
        <v/>
      </c>
    </row>
    <row r="5455" spans="9:14" x14ac:dyDescent="0.25">
      <c r="I5455" s="11" t="b">
        <f t="shared" si="271"/>
        <v>0</v>
      </c>
      <c r="M5455" s="17" t="str">
        <f t="shared" si="272"/>
        <v/>
      </c>
      <c r="N5455" s="11" t="str">
        <f t="shared" si="273"/>
        <v/>
      </c>
    </row>
    <row r="5456" spans="9:14" x14ac:dyDescent="0.25">
      <c r="I5456" s="11" t="b">
        <f t="shared" si="271"/>
        <v>0</v>
      </c>
      <c r="M5456" s="17" t="str">
        <f t="shared" si="272"/>
        <v/>
      </c>
      <c r="N5456" s="11" t="str">
        <f t="shared" si="273"/>
        <v/>
      </c>
    </row>
    <row r="5457" spans="9:14" x14ac:dyDescent="0.25">
      <c r="I5457" s="11" t="b">
        <f t="shared" si="271"/>
        <v>0</v>
      </c>
      <c r="M5457" s="17" t="str">
        <f t="shared" si="272"/>
        <v/>
      </c>
      <c r="N5457" s="11" t="str">
        <f t="shared" si="273"/>
        <v/>
      </c>
    </row>
    <row r="5458" spans="9:14" x14ac:dyDescent="0.25">
      <c r="I5458" s="11" t="b">
        <f t="shared" si="271"/>
        <v>0</v>
      </c>
      <c r="M5458" s="17" t="str">
        <f t="shared" si="272"/>
        <v/>
      </c>
      <c r="N5458" s="11" t="str">
        <f t="shared" si="273"/>
        <v/>
      </c>
    </row>
    <row r="5459" spans="9:14" x14ac:dyDescent="0.25">
      <c r="I5459" s="11" t="b">
        <f t="shared" si="271"/>
        <v>0</v>
      </c>
      <c r="M5459" s="17" t="str">
        <f t="shared" si="272"/>
        <v/>
      </c>
      <c r="N5459" s="11" t="str">
        <f t="shared" si="273"/>
        <v/>
      </c>
    </row>
    <row r="5460" spans="9:14" x14ac:dyDescent="0.25">
      <c r="I5460" s="11" t="b">
        <f t="shared" si="271"/>
        <v>0</v>
      </c>
      <c r="M5460" s="17" t="str">
        <f t="shared" si="272"/>
        <v/>
      </c>
      <c r="N5460" s="11" t="str">
        <f t="shared" si="273"/>
        <v/>
      </c>
    </row>
    <row r="5461" spans="9:14" x14ac:dyDescent="0.25">
      <c r="I5461" s="11" t="b">
        <f t="shared" si="271"/>
        <v>0</v>
      </c>
      <c r="M5461" s="17" t="str">
        <f t="shared" si="272"/>
        <v/>
      </c>
      <c r="N5461" s="11" t="str">
        <f t="shared" si="273"/>
        <v/>
      </c>
    </row>
    <row r="5462" spans="9:14" x14ac:dyDescent="0.25">
      <c r="I5462" s="11" t="b">
        <f t="shared" si="271"/>
        <v>0</v>
      </c>
      <c r="M5462" s="17" t="str">
        <f t="shared" si="272"/>
        <v/>
      </c>
      <c r="N5462" s="11" t="str">
        <f t="shared" si="273"/>
        <v/>
      </c>
    </row>
    <row r="5463" spans="9:14" x14ac:dyDescent="0.25">
      <c r="I5463" s="11" t="b">
        <f t="shared" si="271"/>
        <v>0</v>
      </c>
      <c r="M5463" s="17" t="str">
        <f t="shared" si="272"/>
        <v/>
      </c>
      <c r="N5463" s="11" t="str">
        <f t="shared" si="273"/>
        <v/>
      </c>
    </row>
    <row r="5464" spans="9:14" x14ac:dyDescent="0.25">
      <c r="I5464" s="11" t="b">
        <f t="shared" si="271"/>
        <v>0</v>
      </c>
      <c r="M5464" s="17" t="str">
        <f t="shared" si="272"/>
        <v/>
      </c>
      <c r="N5464" s="11" t="str">
        <f t="shared" si="273"/>
        <v/>
      </c>
    </row>
    <row r="5465" spans="9:14" x14ac:dyDescent="0.25">
      <c r="I5465" s="11" t="b">
        <f t="shared" si="271"/>
        <v>0</v>
      </c>
      <c r="M5465" s="17" t="str">
        <f t="shared" si="272"/>
        <v/>
      </c>
      <c r="N5465" s="11" t="str">
        <f t="shared" si="273"/>
        <v/>
      </c>
    </row>
    <row r="5466" spans="9:14" x14ac:dyDescent="0.25">
      <c r="I5466" s="11" t="b">
        <f t="shared" si="271"/>
        <v>0</v>
      </c>
      <c r="M5466" s="17" t="str">
        <f t="shared" si="272"/>
        <v/>
      </c>
      <c r="N5466" s="11" t="str">
        <f t="shared" si="273"/>
        <v/>
      </c>
    </row>
    <row r="5467" spans="9:14" x14ac:dyDescent="0.25">
      <c r="I5467" s="11" t="b">
        <f t="shared" si="271"/>
        <v>0</v>
      </c>
      <c r="M5467" s="17" t="str">
        <f t="shared" si="272"/>
        <v/>
      </c>
      <c r="N5467" s="11" t="str">
        <f t="shared" si="273"/>
        <v/>
      </c>
    </row>
    <row r="5468" spans="9:14" x14ac:dyDescent="0.25">
      <c r="I5468" s="11" t="b">
        <f t="shared" si="271"/>
        <v>0</v>
      </c>
      <c r="M5468" s="17" t="str">
        <f t="shared" si="272"/>
        <v/>
      </c>
      <c r="N5468" s="11" t="str">
        <f t="shared" si="273"/>
        <v/>
      </c>
    </row>
    <row r="5469" spans="9:14" x14ac:dyDescent="0.25">
      <c r="I5469" s="11" t="b">
        <f t="shared" ref="I5469:I5532" si="274">IF(AND(G5469="MERCADO PAGO",A5469="FATURAMENTO"),1,IF(AND(OR(G5469="MERCADO PAGO",G5469="pix mercado pago",G5469= "débito automático mercado pago", G5469= "boleto mercado pago"),A5469="DESPESAS"),4,IF(AND(G5469="SAFRA",A5469="FATURAMENTO"),2,IF(AND(OR(G5469="SAFRA",G5469="PIX SAFRA", G5469="DÉBITO AUTOMÁTICO SAFRA", G5469= "BOLETO SAFRA", G5469= "transferência safra"), A5469="DESPESAS"),5,IF(AND(G5469="espécie",A5469="FATURAMENTO"),3,IF(AND(G5469="espécie",A5469="DESPESAS"),6))))))</f>
        <v>0</v>
      </c>
      <c r="M5469" s="17" t="str">
        <f t="shared" si="272"/>
        <v/>
      </c>
      <c r="N5469" s="11" t="str">
        <f t="shared" si="273"/>
        <v/>
      </c>
    </row>
    <row r="5470" spans="9:14" x14ac:dyDescent="0.25">
      <c r="I5470" s="11" t="b">
        <f t="shared" si="274"/>
        <v>0</v>
      </c>
      <c r="M5470" s="17" t="str">
        <f t="shared" si="272"/>
        <v/>
      </c>
      <c r="N5470" s="11" t="str">
        <f t="shared" si="273"/>
        <v/>
      </c>
    </row>
    <row r="5471" spans="9:14" x14ac:dyDescent="0.25">
      <c r="I5471" s="11" t="b">
        <f t="shared" si="274"/>
        <v>0</v>
      </c>
      <c r="M5471" s="17" t="str">
        <f t="shared" si="272"/>
        <v/>
      </c>
      <c r="N5471" s="11" t="str">
        <f t="shared" si="273"/>
        <v/>
      </c>
    </row>
    <row r="5472" spans="9:14" x14ac:dyDescent="0.25">
      <c r="I5472" s="11" t="b">
        <f t="shared" si="274"/>
        <v>0</v>
      </c>
      <c r="M5472" s="17" t="str">
        <f t="shared" si="272"/>
        <v/>
      </c>
      <c r="N5472" s="11" t="str">
        <f t="shared" si="273"/>
        <v/>
      </c>
    </row>
    <row r="5473" spans="9:14" x14ac:dyDescent="0.25">
      <c r="I5473" s="11" t="b">
        <f t="shared" si="274"/>
        <v>0</v>
      </c>
      <c r="M5473" s="17" t="str">
        <f t="shared" si="272"/>
        <v/>
      </c>
      <c r="N5473" s="11" t="str">
        <f t="shared" si="273"/>
        <v/>
      </c>
    </row>
    <row r="5474" spans="9:14" x14ac:dyDescent="0.25">
      <c r="I5474" s="11" t="b">
        <f t="shared" si="274"/>
        <v>0</v>
      </c>
      <c r="M5474" s="17" t="str">
        <f t="shared" si="272"/>
        <v/>
      </c>
      <c r="N5474" s="11" t="str">
        <f t="shared" si="273"/>
        <v/>
      </c>
    </row>
    <row r="5475" spans="9:14" x14ac:dyDescent="0.25">
      <c r="I5475" s="11" t="b">
        <f t="shared" si="274"/>
        <v>0</v>
      </c>
      <c r="M5475" s="17" t="str">
        <f t="shared" si="272"/>
        <v/>
      </c>
      <c r="N5475" s="11" t="str">
        <f t="shared" si="273"/>
        <v/>
      </c>
    </row>
    <row r="5476" spans="9:14" x14ac:dyDescent="0.25">
      <c r="I5476" s="11" t="b">
        <f t="shared" si="274"/>
        <v>0</v>
      </c>
      <c r="M5476" s="17" t="str">
        <f t="shared" si="272"/>
        <v/>
      </c>
      <c r="N5476" s="11" t="str">
        <f t="shared" si="273"/>
        <v/>
      </c>
    </row>
    <row r="5477" spans="9:14" x14ac:dyDescent="0.25">
      <c r="I5477" s="11" t="b">
        <f t="shared" si="274"/>
        <v>0</v>
      </c>
      <c r="M5477" s="17" t="str">
        <f t="shared" si="272"/>
        <v/>
      </c>
      <c r="N5477" s="11" t="str">
        <f t="shared" si="273"/>
        <v/>
      </c>
    </row>
    <row r="5478" spans="9:14" x14ac:dyDescent="0.25">
      <c r="I5478" s="11" t="b">
        <f t="shared" si="274"/>
        <v>0</v>
      </c>
      <c r="M5478" s="17" t="str">
        <f t="shared" si="272"/>
        <v/>
      </c>
      <c r="N5478" s="11" t="str">
        <f t="shared" si="273"/>
        <v/>
      </c>
    </row>
    <row r="5479" spans="9:14" x14ac:dyDescent="0.25">
      <c r="I5479" s="11" t="b">
        <f t="shared" si="274"/>
        <v>0</v>
      </c>
      <c r="M5479" s="17" t="str">
        <f t="shared" si="272"/>
        <v/>
      </c>
      <c r="N5479" s="11" t="str">
        <f t="shared" si="273"/>
        <v/>
      </c>
    </row>
    <row r="5480" spans="9:14" x14ac:dyDescent="0.25">
      <c r="I5480" s="11" t="b">
        <f t="shared" si="274"/>
        <v>0</v>
      </c>
      <c r="M5480" s="17" t="str">
        <f t="shared" si="272"/>
        <v/>
      </c>
      <c r="N5480" s="11" t="str">
        <f t="shared" si="273"/>
        <v/>
      </c>
    </row>
    <row r="5481" spans="9:14" x14ac:dyDescent="0.25">
      <c r="I5481" s="11" t="b">
        <f t="shared" si="274"/>
        <v>0</v>
      </c>
      <c r="M5481" s="17" t="str">
        <f t="shared" si="272"/>
        <v/>
      </c>
      <c r="N5481" s="11" t="str">
        <f t="shared" si="273"/>
        <v/>
      </c>
    </row>
    <row r="5482" spans="9:14" x14ac:dyDescent="0.25">
      <c r="I5482" s="11" t="b">
        <f t="shared" si="274"/>
        <v>0</v>
      </c>
      <c r="M5482" s="17" t="str">
        <f t="shared" si="272"/>
        <v/>
      </c>
      <c r="N5482" s="11" t="str">
        <f t="shared" si="273"/>
        <v/>
      </c>
    </row>
    <row r="5483" spans="9:14" x14ac:dyDescent="0.25">
      <c r="I5483" s="11" t="b">
        <f t="shared" si="274"/>
        <v>0</v>
      </c>
      <c r="M5483" s="17" t="str">
        <f t="shared" si="272"/>
        <v/>
      </c>
      <c r="N5483" s="11" t="str">
        <f t="shared" si="273"/>
        <v/>
      </c>
    </row>
    <row r="5484" spans="9:14" x14ac:dyDescent="0.25">
      <c r="I5484" s="11" t="b">
        <f t="shared" si="274"/>
        <v>0</v>
      </c>
      <c r="M5484" s="17" t="str">
        <f t="shared" si="272"/>
        <v/>
      </c>
      <c r="N5484" s="11" t="str">
        <f t="shared" si="273"/>
        <v/>
      </c>
    </row>
    <row r="5485" spans="9:14" x14ac:dyDescent="0.25">
      <c r="I5485" s="11" t="b">
        <f t="shared" si="274"/>
        <v>0</v>
      </c>
      <c r="M5485" s="17" t="str">
        <f t="shared" si="272"/>
        <v/>
      </c>
      <c r="N5485" s="11" t="str">
        <f t="shared" si="273"/>
        <v/>
      </c>
    </row>
    <row r="5486" spans="9:14" x14ac:dyDescent="0.25">
      <c r="I5486" s="11" t="b">
        <f t="shared" si="274"/>
        <v>0</v>
      </c>
      <c r="M5486" s="17" t="str">
        <f t="shared" si="272"/>
        <v/>
      </c>
      <c r="N5486" s="11" t="str">
        <f t="shared" si="273"/>
        <v/>
      </c>
    </row>
    <row r="5487" spans="9:14" x14ac:dyDescent="0.25">
      <c r="I5487" s="11" t="b">
        <f t="shared" si="274"/>
        <v>0</v>
      </c>
      <c r="M5487" s="17" t="str">
        <f t="shared" si="272"/>
        <v/>
      </c>
      <c r="N5487" s="11" t="str">
        <f t="shared" si="273"/>
        <v/>
      </c>
    </row>
    <row r="5488" spans="9:14" x14ac:dyDescent="0.25">
      <c r="I5488" s="11" t="b">
        <f t="shared" si="274"/>
        <v>0</v>
      </c>
      <c r="M5488" s="17" t="str">
        <f t="shared" si="272"/>
        <v/>
      </c>
      <c r="N5488" s="11" t="str">
        <f t="shared" si="273"/>
        <v/>
      </c>
    </row>
    <row r="5489" spans="9:14" x14ac:dyDescent="0.25">
      <c r="I5489" s="11" t="b">
        <f t="shared" si="274"/>
        <v>0</v>
      </c>
      <c r="M5489" s="17" t="str">
        <f t="shared" si="272"/>
        <v/>
      </c>
      <c r="N5489" s="11" t="str">
        <f t="shared" si="273"/>
        <v/>
      </c>
    </row>
    <row r="5490" spans="9:14" x14ac:dyDescent="0.25">
      <c r="I5490" s="11" t="b">
        <f t="shared" si="274"/>
        <v>0</v>
      </c>
      <c r="M5490" s="17" t="str">
        <f t="shared" si="272"/>
        <v/>
      </c>
      <c r="N5490" s="11" t="str">
        <f t="shared" si="273"/>
        <v/>
      </c>
    </row>
    <row r="5491" spans="9:14" x14ac:dyDescent="0.25">
      <c r="I5491" s="11" t="b">
        <f t="shared" si="274"/>
        <v>0</v>
      </c>
      <c r="M5491" s="17" t="str">
        <f t="shared" si="272"/>
        <v/>
      </c>
      <c r="N5491" s="11" t="str">
        <f t="shared" si="273"/>
        <v/>
      </c>
    </row>
    <row r="5492" spans="9:14" x14ac:dyDescent="0.25">
      <c r="I5492" s="11" t="b">
        <f t="shared" si="274"/>
        <v>0</v>
      </c>
      <c r="M5492" s="17" t="str">
        <f t="shared" si="272"/>
        <v/>
      </c>
      <c r="N5492" s="11" t="str">
        <f t="shared" si="273"/>
        <v/>
      </c>
    </row>
    <row r="5493" spans="9:14" x14ac:dyDescent="0.25">
      <c r="I5493" s="11" t="b">
        <f t="shared" si="274"/>
        <v>0</v>
      </c>
      <c r="M5493" s="17" t="str">
        <f t="shared" si="272"/>
        <v/>
      </c>
      <c r="N5493" s="11" t="str">
        <f t="shared" si="273"/>
        <v/>
      </c>
    </row>
    <row r="5494" spans="9:14" x14ac:dyDescent="0.25">
      <c r="I5494" s="11" t="b">
        <f t="shared" si="274"/>
        <v>0</v>
      </c>
      <c r="M5494" s="17" t="str">
        <f t="shared" si="272"/>
        <v/>
      </c>
      <c r="N5494" s="11" t="str">
        <f t="shared" si="273"/>
        <v/>
      </c>
    </row>
    <row r="5495" spans="9:14" x14ac:dyDescent="0.25">
      <c r="I5495" s="11" t="b">
        <f t="shared" si="274"/>
        <v>0</v>
      </c>
      <c r="M5495" s="17" t="str">
        <f t="shared" si="272"/>
        <v/>
      </c>
      <c r="N5495" s="11" t="str">
        <f t="shared" si="273"/>
        <v/>
      </c>
    </row>
    <row r="5496" spans="9:14" x14ac:dyDescent="0.25">
      <c r="I5496" s="11" t="b">
        <f t="shared" si="274"/>
        <v>0</v>
      </c>
      <c r="M5496" s="17" t="str">
        <f t="shared" si="272"/>
        <v/>
      </c>
      <c r="N5496" s="11" t="str">
        <f t="shared" si="273"/>
        <v/>
      </c>
    </row>
    <row r="5497" spans="9:14" x14ac:dyDescent="0.25">
      <c r="I5497" s="11" t="b">
        <f t="shared" si="274"/>
        <v>0</v>
      </c>
      <c r="M5497" s="17" t="str">
        <f t="shared" si="272"/>
        <v/>
      </c>
      <c r="N5497" s="11" t="str">
        <f t="shared" si="273"/>
        <v/>
      </c>
    </row>
    <row r="5498" spans="9:14" x14ac:dyDescent="0.25">
      <c r="I5498" s="11" t="b">
        <f t="shared" si="274"/>
        <v>0</v>
      </c>
      <c r="M5498" s="17" t="str">
        <f t="shared" si="272"/>
        <v/>
      </c>
      <c r="N5498" s="11" t="str">
        <f t="shared" si="273"/>
        <v/>
      </c>
    </row>
    <row r="5499" spans="9:14" x14ac:dyDescent="0.25">
      <c r="I5499" s="11" t="b">
        <f t="shared" si="274"/>
        <v>0</v>
      </c>
      <c r="M5499" s="17" t="str">
        <f t="shared" si="272"/>
        <v/>
      </c>
      <c r="N5499" s="11" t="str">
        <f t="shared" si="273"/>
        <v/>
      </c>
    </row>
    <row r="5500" spans="9:14" x14ac:dyDescent="0.25">
      <c r="I5500" s="11" t="b">
        <f t="shared" si="274"/>
        <v>0</v>
      </c>
      <c r="M5500" s="17" t="str">
        <f t="shared" si="272"/>
        <v/>
      </c>
      <c r="N5500" s="11" t="str">
        <f t="shared" si="273"/>
        <v/>
      </c>
    </row>
    <row r="5501" spans="9:14" x14ac:dyDescent="0.25">
      <c r="I5501" s="11" t="b">
        <f t="shared" si="274"/>
        <v>0</v>
      </c>
      <c r="M5501" s="17" t="str">
        <f t="shared" si="272"/>
        <v/>
      </c>
      <c r="N5501" s="11" t="str">
        <f t="shared" si="273"/>
        <v/>
      </c>
    </row>
    <row r="5502" spans="9:14" x14ac:dyDescent="0.25">
      <c r="I5502" s="11" t="b">
        <f t="shared" si="274"/>
        <v>0</v>
      </c>
      <c r="M5502" s="17" t="str">
        <f t="shared" si="272"/>
        <v/>
      </c>
      <c r="N5502" s="11" t="str">
        <f t="shared" si="273"/>
        <v/>
      </c>
    </row>
    <row r="5503" spans="9:14" x14ac:dyDescent="0.25">
      <c r="I5503" s="11" t="b">
        <f t="shared" si="274"/>
        <v>0</v>
      </c>
      <c r="M5503" s="17" t="str">
        <f t="shared" si="272"/>
        <v/>
      </c>
      <c r="N5503" s="11" t="str">
        <f t="shared" si="273"/>
        <v/>
      </c>
    </row>
    <row r="5504" spans="9:14" x14ac:dyDescent="0.25">
      <c r="I5504" s="11" t="b">
        <f t="shared" si="274"/>
        <v>0</v>
      </c>
      <c r="M5504" s="17" t="str">
        <f t="shared" si="272"/>
        <v/>
      </c>
      <c r="N5504" s="11" t="str">
        <f t="shared" si="273"/>
        <v/>
      </c>
    </row>
    <row r="5505" spans="9:14" x14ac:dyDescent="0.25">
      <c r="I5505" s="11" t="b">
        <f t="shared" si="274"/>
        <v>0</v>
      </c>
      <c r="M5505" s="17" t="str">
        <f t="shared" ref="M5505:M5568" si="275">IF(B5505=0, "",M5504+ J5505-K5505)</f>
        <v/>
      </c>
      <c r="N5505" s="11" t="str">
        <f t="shared" ref="N5505:N5568" si="276">IF(B5505=0, "", MONTH(B5505))</f>
        <v/>
      </c>
    </row>
    <row r="5506" spans="9:14" x14ac:dyDescent="0.25">
      <c r="I5506" s="11" t="b">
        <f t="shared" si="274"/>
        <v>0</v>
      </c>
      <c r="M5506" s="17" t="str">
        <f t="shared" si="275"/>
        <v/>
      </c>
      <c r="N5506" s="11" t="str">
        <f t="shared" si="276"/>
        <v/>
      </c>
    </row>
    <row r="5507" spans="9:14" x14ac:dyDescent="0.25">
      <c r="I5507" s="11" t="b">
        <f t="shared" si="274"/>
        <v>0</v>
      </c>
      <c r="M5507" s="17" t="str">
        <f t="shared" si="275"/>
        <v/>
      </c>
      <c r="N5507" s="11" t="str">
        <f t="shared" si="276"/>
        <v/>
      </c>
    </row>
    <row r="5508" spans="9:14" x14ac:dyDescent="0.25">
      <c r="I5508" s="11" t="b">
        <f t="shared" si="274"/>
        <v>0</v>
      </c>
      <c r="M5508" s="17" t="str">
        <f t="shared" si="275"/>
        <v/>
      </c>
      <c r="N5508" s="11" t="str">
        <f t="shared" si="276"/>
        <v/>
      </c>
    </row>
    <row r="5509" spans="9:14" x14ac:dyDescent="0.25">
      <c r="I5509" s="11" t="b">
        <f t="shared" si="274"/>
        <v>0</v>
      </c>
      <c r="M5509" s="17" t="str">
        <f t="shared" si="275"/>
        <v/>
      </c>
      <c r="N5509" s="11" t="str">
        <f t="shared" si="276"/>
        <v/>
      </c>
    </row>
    <row r="5510" spans="9:14" x14ac:dyDescent="0.25">
      <c r="I5510" s="11" t="b">
        <f t="shared" si="274"/>
        <v>0</v>
      </c>
      <c r="M5510" s="17" t="str">
        <f t="shared" si="275"/>
        <v/>
      </c>
      <c r="N5510" s="11" t="str">
        <f t="shared" si="276"/>
        <v/>
      </c>
    </row>
    <row r="5511" spans="9:14" x14ac:dyDescent="0.25">
      <c r="I5511" s="11" t="b">
        <f t="shared" si="274"/>
        <v>0</v>
      </c>
      <c r="M5511" s="17" t="str">
        <f t="shared" si="275"/>
        <v/>
      </c>
      <c r="N5511" s="11" t="str">
        <f t="shared" si="276"/>
        <v/>
      </c>
    </row>
    <row r="5512" spans="9:14" x14ac:dyDescent="0.25">
      <c r="I5512" s="11" t="b">
        <f t="shared" si="274"/>
        <v>0</v>
      </c>
      <c r="M5512" s="17" t="str">
        <f t="shared" si="275"/>
        <v/>
      </c>
      <c r="N5512" s="11" t="str">
        <f t="shared" si="276"/>
        <v/>
      </c>
    </row>
    <row r="5513" spans="9:14" x14ac:dyDescent="0.25">
      <c r="I5513" s="11" t="b">
        <f t="shared" si="274"/>
        <v>0</v>
      </c>
      <c r="M5513" s="17" t="str">
        <f t="shared" si="275"/>
        <v/>
      </c>
      <c r="N5513" s="11" t="str">
        <f t="shared" si="276"/>
        <v/>
      </c>
    </row>
    <row r="5514" spans="9:14" x14ac:dyDescent="0.25">
      <c r="I5514" s="11" t="b">
        <f t="shared" si="274"/>
        <v>0</v>
      </c>
      <c r="M5514" s="17" t="str">
        <f t="shared" si="275"/>
        <v/>
      </c>
      <c r="N5514" s="11" t="str">
        <f t="shared" si="276"/>
        <v/>
      </c>
    </row>
    <row r="5515" spans="9:14" x14ac:dyDescent="0.25">
      <c r="I5515" s="11" t="b">
        <f t="shared" si="274"/>
        <v>0</v>
      </c>
      <c r="M5515" s="17" t="str">
        <f t="shared" si="275"/>
        <v/>
      </c>
      <c r="N5515" s="11" t="str">
        <f t="shared" si="276"/>
        <v/>
      </c>
    </row>
    <row r="5516" spans="9:14" x14ac:dyDescent="0.25">
      <c r="I5516" s="11" t="b">
        <f t="shared" si="274"/>
        <v>0</v>
      </c>
      <c r="M5516" s="17" t="str">
        <f t="shared" si="275"/>
        <v/>
      </c>
      <c r="N5516" s="11" t="str">
        <f t="shared" si="276"/>
        <v/>
      </c>
    </row>
    <row r="5517" spans="9:14" x14ac:dyDescent="0.25">
      <c r="I5517" s="11" t="b">
        <f t="shared" si="274"/>
        <v>0</v>
      </c>
      <c r="M5517" s="17" t="str">
        <f t="shared" si="275"/>
        <v/>
      </c>
      <c r="N5517" s="11" t="str">
        <f t="shared" si="276"/>
        <v/>
      </c>
    </row>
    <row r="5518" spans="9:14" x14ac:dyDescent="0.25">
      <c r="I5518" s="11" t="b">
        <f t="shared" si="274"/>
        <v>0</v>
      </c>
      <c r="M5518" s="17" t="str">
        <f t="shared" si="275"/>
        <v/>
      </c>
      <c r="N5518" s="11" t="str">
        <f t="shared" si="276"/>
        <v/>
      </c>
    </row>
    <row r="5519" spans="9:14" x14ac:dyDescent="0.25">
      <c r="I5519" s="11" t="b">
        <f t="shared" si="274"/>
        <v>0</v>
      </c>
      <c r="M5519" s="17" t="str">
        <f t="shared" si="275"/>
        <v/>
      </c>
      <c r="N5519" s="11" t="str">
        <f t="shared" si="276"/>
        <v/>
      </c>
    </row>
    <row r="5520" spans="9:14" x14ac:dyDescent="0.25">
      <c r="I5520" s="11" t="b">
        <f t="shared" si="274"/>
        <v>0</v>
      </c>
      <c r="M5520" s="17" t="str">
        <f t="shared" si="275"/>
        <v/>
      </c>
      <c r="N5520" s="11" t="str">
        <f t="shared" si="276"/>
        <v/>
      </c>
    </row>
    <row r="5521" spans="9:14" x14ac:dyDescent="0.25">
      <c r="I5521" s="11" t="b">
        <f t="shared" si="274"/>
        <v>0</v>
      </c>
      <c r="M5521" s="17" t="str">
        <f t="shared" si="275"/>
        <v/>
      </c>
      <c r="N5521" s="11" t="str">
        <f t="shared" si="276"/>
        <v/>
      </c>
    </row>
    <row r="5522" spans="9:14" x14ac:dyDescent="0.25">
      <c r="I5522" s="11" t="b">
        <f t="shared" si="274"/>
        <v>0</v>
      </c>
      <c r="M5522" s="17" t="str">
        <f t="shared" si="275"/>
        <v/>
      </c>
      <c r="N5522" s="11" t="str">
        <f t="shared" si="276"/>
        <v/>
      </c>
    </row>
    <row r="5523" spans="9:14" x14ac:dyDescent="0.25">
      <c r="I5523" s="11" t="b">
        <f t="shared" si="274"/>
        <v>0</v>
      </c>
      <c r="M5523" s="17" t="str">
        <f t="shared" si="275"/>
        <v/>
      </c>
      <c r="N5523" s="11" t="str">
        <f t="shared" si="276"/>
        <v/>
      </c>
    </row>
    <row r="5524" spans="9:14" x14ac:dyDescent="0.25">
      <c r="I5524" s="11" t="b">
        <f t="shared" si="274"/>
        <v>0</v>
      </c>
      <c r="M5524" s="17" t="str">
        <f t="shared" si="275"/>
        <v/>
      </c>
      <c r="N5524" s="11" t="str">
        <f t="shared" si="276"/>
        <v/>
      </c>
    </row>
    <row r="5525" spans="9:14" x14ac:dyDescent="0.25">
      <c r="I5525" s="11" t="b">
        <f t="shared" si="274"/>
        <v>0</v>
      </c>
      <c r="M5525" s="17" t="str">
        <f t="shared" si="275"/>
        <v/>
      </c>
      <c r="N5525" s="11" t="str">
        <f t="shared" si="276"/>
        <v/>
      </c>
    </row>
    <row r="5526" spans="9:14" x14ac:dyDescent="0.25">
      <c r="I5526" s="11" t="b">
        <f t="shared" si="274"/>
        <v>0</v>
      </c>
      <c r="M5526" s="17" t="str">
        <f t="shared" si="275"/>
        <v/>
      </c>
      <c r="N5526" s="11" t="str">
        <f t="shared" si="276"/>
        <v/>
      </c>
    </row>
    <row r="5527" spans="9:14" x14ac:dyDescent="0.25">
      <c r="I5527" s="11" t="b">
        <f t="shared" si="274"/>
        <v>0</v>
      </c>
      <c r="M5527" s="17" t="str">
        <f t="shared" si="275"/>
        <v/>
      </c>
      <c r="N5527" s="11" t="str">
        <f t="shared" si="276"/>
        <v/>
      </c>
    </row>
    <row r="5528" spans="9:14" x14ac:dyDescent="0.25">
      <c r="I5528" s="11" t="b">
        <f t="shared" si="274"/>
        <v>0</v>
      </c>
      <c r="M5528" s="17" t="str">
        <f t="shared" si="275"/>
        <v/>
      </c>
      <c r="N5528" s="11" t="str">
        <f t="shared" si="276"/>
        <v/>
      </c>
    </row>
    <row r="5529" spans="9:14" x14ac:dyDescent="0.25">
      <c r="I5529" s="11" t="b">
        <f t="shared" si="274"/>
        <v>0</v>
      </c>
      <c r="M5529" s="17" t="str">
        <f t="shared" si="275"/>
        <v/>
      </c>
      <c r="N5529" s="11" t="str">
        <f t="shared" si="276"/>
        <v/>
      </c>
    </row>
    <row r="5530" spans="9:14" x14ac:dyDescent="0.25">
      <c r="I5530" s="11" t="b">
        <f t="shared" si="274"/>
        <v>0</v>
      </c>
      <c r="M5530" s="17" t="str">
        <f t="shared" si="275"/>
        <v/>
      </c>
      <c r="N5530" s="11" t="str">
        <f t="shared" si="276"/>
        <v/>
      </c>
    </row>
    <row r="5531" spans="9:14" x14ac:dyDescent="0.25">
      <c r="I5531" s="11" t="b">
        <f t="shared" si="274"/>
        <v>0</v>
      </c>
      <c r="M5531" s="17" t="str">
        <f t="shared" si="275"/>
        <v/>
      </c>
      <c r="N5531" s="11" t="str">
        <f t="shared" si="276"/>
        <v/>
      </c>
    </row>
    <row r="5532" spans="9:14" x14ac:dyDescent="0.25">
      <c r="I5532" s="11" t="b">
        <f t="shared" si="274"/>
        <v>0</v>
      </c>
      <c r="M5532" s="17" t="str">
        <f t="shared" si="275"/>
        <v/>
      </c>
      <c r="N5532" s="11" t="str">
        <f t="shared" si="276"/>
        <v/>
      </c>
    </row>
    <row r="5533" spans="9:14" x14ac:dyDescent="0.25">
      <c r="I5533" s="11" t="b">
        <f t="shared" ref="I5533:I5596" si="277">IF(AND(G5533="MERCADO PAGO",A5533="FATURAMENTO"),1,IF(AND(OR(G5533="MERCADO PAGO",G5533="pix mercado pago",G5533= "débito automático mercado pago", G5533= "boleto mercado pago"),A5533="DESPESAS"),4,IF(AND(G5533="SAFRA",A5533="FATURAMENTO"),2,IF(AND(OR(G5533="SAFRA",G5533="PIX SAFRA", G5533="DÉBITO AUTOMÁTICO SAFRA", G5533= "BOLETO SAFRA", G5533= "transferência safra"), A5533="DESPESAS"),5,IF(AND(G5533="espécie",A5533="FATURAMENTO"),3,IF(AND(G5533="espécie",A5533="DESPESAS"),6))))))</f>
        <v>0</v>
      </c>
      <c r="M5533" s="17" t="str">
        <f t="shared" si="275"/>
        <v/>
      </c>
      <c r="N5533" s="11" t="str">
        <f t="shared" si="276"/>
        <v/>
      </c>
    </row>
    <row r="5534" spans="9:14" x14ac:dyDescent="0.25">
      <c r="I5534" s="11" t="b">
        <f t="shared" si="277"/>
        <v>0</v>
      </c>
      <c r="M5534" s="17" t="str">
        <f t="shared" si="275"/>
        <v/>
      </c>
      <c r="N5534" s="11" t="str">
        <f t="shared" si="276"/>
        <v/>
      </c>
    </row>
    <row r="5535" spans="9:14" x14ac:dyDescent="0.25">
      <c r="I5535" s="11" t="b">
        <f t="shared" si="277"/>
        <v>0</v>
      </c>
      <c r="M5535" s="17" t="str">
        <f t="shared" si="275"/>
        <v/>
      </c>
      <c r="N5535" s="11" t="str">
        <f t="shared" si="276"/>
        <v/>
      </c>
    </row>
    <row r="5536" spans="9:14" x14ac:dyDescent="0.25">
      <c r="I5536" s="11" t="b">
        <f t="shared" si="277"/>
        <v>0</v>
      </c>
      <c r="M5536" s="17" t="str">
        <f t="shared" si="275"/>
        <v/>
      </c>
      <c r="N5536" s="11" t="str">
        <f t="shared" si="276"/>
        <v/>
      </c>
    </row>
    <row r="5537" spans="9:14" x14ac:dyDescent="0.25">
      <c r="I5537" s="11" t="b">
        <f t="shared" si="277"/>
        <v>0</v>
      </c>
      <c r="M5537" s="17" t="str">
        <f t="shared" si="275"/>
        <v/>
      </c>
      <c r="N5537" s="11" t="str">
        <f t="shared" si="276"/>
        <v/>
      </c>
    </row>
    <row r="5538" spans="9:14" x14ac:dyDescent="0.25">
      <c r="I5538" s="11" t="b">
        <f t="shared" si="277"/>
        <v>0</v>
      </c>
      <c r="M5538" s="17" t="str">
        <f t="shared" si="275"/>
        <v/>
      </c>
      <c r="N5538" s="11" t="str">
        <f t="shared" si="276"/>
        <v/>
      </c>
    </row>
    <row r="5539" spans="9:14" x14ac:dyDescent="0.25">
      <c r="I5539" s="11" t="b">
        <f t="shared" si="277"/>
        <v>0</v>
      </c>
      <c r="M5539" s="17" t="str">
        <f t="shared" si="275"/>
        <v/>
      </c>
      <c r="N5539" s="11" t="str">
        <f t="shared" si="276"/>
        <v/>
      </c>
    </row>
    <row r="5540" spans="9:14" x14ac:dyDescent="0.25">
      <c r="I5540" s="11" t="b">
        <f t="shared" si="277"/>
        <v>0</v>
      </c>
      <c r="M5540" s="17" t="str">
        <f t="shared" si="275"/>
        <v/>
      </c>
      <c r="N5540" s="11" t="str">
        <f t="shared" si="276"/>
        <v/>
      </c>
    </row>
    <row r="5541" spans="9:14" x14ac:dyDescent="0.25">
      <c r="I5541" s="11" t="b">
        <f t="shared" si="277"/>
        <v>0</v>
      </c>
      <c r="M5541" s="17" t="str">
        <f t="shared" si="275"/>
        <v/>
      </c>
      <c r="N5541" s="11" t="str">
        <f t="shared" si="276"/>
        <v/>
      </c>
    </row>
    <row r="5542" spans="9:14" x14ac:dyDescent="0.25">
      <c r="I5542" s="11" t="b">
        <f t="shared" si="277"/>
        <v>0</v>
      </c>
      <c r="M5542" s="17" t="str">
        <f t="shared" si="275"/>
        <v/>
      </c>
      <c r="N5542" s="11" t="str">
        <f t="shared" si="276"/>
        <v/>
      </c>
    </row>
    <row r="5543" spans="9:14" x14ac:dyDescent="0.25">
      <c r="I5543" s="11" t="b">
        <f t="shared" si="277"/>
        <v>0</v>
      </c>
      <c r="M5543" s="17" t="str">
        <f t="shared" si="275"/>
        <v/>
      </c>
      <c r="N5543" s="11" t="str">
        <f t="shared" si="276"/>
        <v/>
      </c>
    </row>
    <row r="5544" spans="9:14" x14ac:dyDescent="0.25">
      <c r="I5544" s="11" t="b">
        <f t="shared" si="277"/>
        <v>0</v>
      </c>
      <c r="M5544" s="17" t="str">
        <f t="shared" si="275"/>
        <v/>
      </c>
      <c r="N5544" s="11" t="str">
        <f t="shared" si="276"/>
        <v/>
      </c>
    </row>
    <row r="5545" spans="9:14" x14ac:dyDescent="0.25">
      <c r="I5545" s="11" t="b">
        <f t="shared" si="277"/>
        <v>0</v>
      </c>
      <c r="M5545" s="17" t="str">
        <f t="shared" si="275"/>
        <v/>
      </c>
      <c r="N5545" s="11" t="str">
        <f t="shared" si="276"/>
        <v/>
      </c>
    </row>
    <row r="5546" spans="9:14" x14ac:dyDescent="0.25">
      <c r="I5546" s="11" t="b">
        <f t="shared" si="277"/>
        <v>0</v>
      </c>
      <c r="M5546" s="17" t="str">
        <f t="shared" si="275"/>
        <v/>
      </c>
      <c r="N5546" s="11" t="str">
        <f t="shared" si="276"/>
        <v/>
      </c>
    </row>
    <row r="5547" spans="9:14" x14ac:dyDescent="0.25">
      <c r="I5547" s="11" t="b">
        <f t="shared" si="277"/>
        <v>0</v>
      </c>
      <c r="M5547" s="17" t="str">
        <f t="shared" si="275"/>
        <v/>
      </c>
      <c r="N5547" s="11" t="str">
        <f t="shared" si="276"/>
        <v/>
      </c>
    </row>
    <row r="5548" spans="9:14" x14ac:dyDescent="0.25">
      <c r="I5548" s="11" t="b">
        <f t="shared" si="277"/>
        <v>0</v>
      </c>
      <c r="M5548" s="17" t="str">
        <f t="shared" si="275"/>
        <v/>
      </c>
      <c r="N5548" s="11" t="str">
        <f t="shared" si="276"/>
        <v/>
      </c>
    </row>
    <row r="5549" spans="9:14" x14ac:dyDescent="0.25">
      <c r="I5549" s="11" t="b">
        <f t="shared" si="277"/>
        <v>0</v>
      </c>
      <c r="M5549" s="17" t="str">
        <f t="shared" si="275"/>
        <v/>
      </c>
      <c r="N5549" s="11" t="str">
        <f t="shared" si="276"/>
        <v/>
      </c>
    </row>
    <row r="5550" spans="9:14" x14ac:dyDescent="0.25">
      <c r="I5550" s="11" t="b">
        <f t="shared" si="277"/>
        <v>0</v>
      </c>
      <c r="M5550" s="17" t="str">
        <f t="shared" si="275"/>
        <v/>
      </c>
      <c r="N5550" s="11" t="str">
        <f t="shared" si="276"/>
        <v/>
      </c>
    </row>
    <row r="5551" spans="9:14" x14ac:dyDescent="0.25">
      <c r="I5551" s="11" t="b">
        <f t="shared" si="277"/>
        <v>0</v>
      </c>
      <c r="M5551" s="17" t="str">
        <f t="shared" si="275"/>
        <v/>
      </c>
      <c r="N5551" s="11" t="str">
        <f t="shared" si="276"/>
        <v/>
      </c>
    </row>
    <row r="5552" spans="9:14" x14ac:dyDescent="0.25">
      <c r="I5552" s="11" t="b">
        <f t="shared" si="277"/>
        <v>0</v>
      </c>
      <c r="M5552" s="17" t="str">
        <f t="shared" si="275"/>
        <v/>
      </c>
      <c r="N5552" s="11" t="str">
        <f t="shared" si="276"/>
        <v/>
      </c>
    </row>
    <row r="5553" spans="9:14" x14ac:dyDescent="0.25">
      <c r="I5553" s="11" t="b">
        <f t="shared" si="277"/>
        <v>0</v>
      </c>
      <c r="M5553" s="17" t="str">
        <f t="shared" si="275"/>
        <v/>
      </c>
      <c r="N5553" s="11" t="str">
        <f t="shared" si="276"/>
        <v/>
      </c>
    </row>
    <row r="5554" spans="9:14" x14ac:dyDescent="0.25">
      <c r="I5554" s="11" t="b">
        <f t="shared" si="277"/>
        <v>0</v>
      </c>
      <c r="M5554" s="17" t="str">
        <f t="shared" si="275"/>
        <v/>
      </c>
      <c r="N5554" s="11" t="str">
        <f t="shared" si="276"/>
        <v/>
      </c>
    </row>
    <row r="5555" spans="9:14" x14ac:dyDescent="0.25">
      <c r="I5555" s="11" t="b">
        <f t="shared" si="277"/>
        <v>0</v>
      </c>
      <c r="M5555" s="17" t="str">
        <f t="shared" si="275"/>
        <v/>
      </c>
      <c r="N5555" s="11" t="str">
        <f t="shared" si="276"/>
        <v/>
      </c>
    </row>
    <row r="5556" spans="9:14" x14ac:dyDescent="0.25">
      <c r="I5556" s="11" t="b">
        <f t="shared" si="277"/>
        <v>0</v>
      </c>
      <c r="M5556" s="17" t="str">
        <f t="shared" si="275"/>
        <v/>
      </c>
      <c r="N5556" s="11" t="str">
        <f t="shared" si="276"/>
        <v/>
      </c>
    </row>
    <row r="5557" spans="9:14" x14ac:dyDescent="0.25">
      <c r="I5557" s="11" t="b">
        <f t="shared" si="277"/>
        <v>0</v>
      </c>
      <c r="M5557" s="17" t="str">
        <f t="shared" si="275"/>
        <v/>
      </c>
      <c r="N5557" s="11" t="str">
        <f t="shared" si="276"/>
        <v/>
      </c>
    </row>
    <row r="5558" spans="9:14" x14ac:dyDescent="0.25">
      <c r="I5558" s="11" t="b">
        <f t="shared" si="277"/>
        <v>0</v>
      </c>
      <c r="M5558" s="17" t="str">
        <f t="shared" si="275"/>
        <v/>
      </c>
      <c r="N5558" s="11" t="str">
        <f t="shared" si="276"/>
        <v/>
      </c>
    </row>
    <row r="5559" spans="9:14" x14ac:dyDescent="0.25">
      <c r="I5559" s="11" t="b">
        <f t="shared" si="277"/>
        <v>0</v>
      </c>
      <c r="M5559" s="17" t="str">
        <f t="shared" si="275"/>
        <v/>
      </c>
      <c r="N5559" s="11" t="str">
        <f t="shared" si="276"/>
        <v/>
      </c>
    </row>
    <row r="5560" spans="9:14" x14ac:dyDescent="0.25">
      <c r="I5560" s="11" t="b">
        <f t="shared" si="277"/>
        <v>0</v>
      </c>
      <c r="M5560" s="17" t="str">
        <f t="shared" si="275"/>
        <v/>
      </c>
      <c r="N5560" s="11" t="str">
        <f t="shared" si="276"/>
        <v/>
      </c>
    </row>
    <row r="5561" spans="9:14" x14ac:dyDescent="0.25">
      <c r="I5561" s="11" t="b">
        <f t="shared" si="277"/>
        <v>0</v>
      </c>
      <c r="M5561" s="17" t="str">
        <f t="shared" si="275"/>
        <v/>
      </c>
      <c r="N5561" s="11" t="str">
        <f t="shared" si="276"/>
        <v/>
      </c>
    </row>
    <row r="5562" spans="9:14" x14ac:dyDescent="0.25">
      <c r="I5562" s="11" t="b">
        <f t="shared" si="277"/>
        <v>0</v>
      </c>
      <c r="M5562" s="17" t="str">
        <f t="shared" si="275"/>
        <v/>
      </c>
      <c r="N5562" s="11" t="str">
        <f t="shared" si="276"/>
        <v/>
      </c>
    </row>
    <row r="5563" spans="9:14" x14ac:dyDescent="0.25">
      <c r="I5563" s="11" t="b">
        <f t="shared" si="277"/>
        <v>0</v>
      </c>
      <c r="M5563" s="17" t="str">
        <f t="shared" si="275"/>
        <v/>
      </c>
      <c r="N5563" s="11" t="str">
        <f t="shared" si="276"/>
        <v/>
      </c>
    </row>
    <row r="5564" spans="9:14" x14ac:dyDescent="0.25">
      <c r="I5564" s="11" t="b">
        <f t="shared" si="277"/>
        <v>0</v>
      </c>
      <c r="M5564" s="17" t="str">
        <f t="shared" si="275"/>
        <v/>
      </c>
      <c r="N5564" s="11" t="str">
        <f t="shared" si="276"/>
        <v/>
      </c>
    </row>
    <row r="5565" spans="9:14" x14ac:dyDescent="0.25">
      <c r="I5565" s="11" t="b">
        <f t="shared" si="277"/>
        <v>0</v>
      </c>
      <c r="M5565" s="17" t="str">
        <f t="shared" si="275"/>
        <v/>
      </c>
      <c r="N5565" s="11" t="str">
        <f t="shared" si="276"/>
        <v/>
      </c>
    </row>
    <row r="5566" spans="9:14" x14ac:dyDescent="0.25">
      <c r="I5566" s="11" t="b">
        <f t="shared" si="277"/>
        <v>0</v>
      </c>
      <c r="M5566" s="17" t="str">
        <f t="shared" si="275"/>
        <v/>
      </c>
      <c r="N5566" s="11" t="str">
        <f t="shared" si="276"/>
        <v/>
      </c>
    </row>
    <row r="5567" spans="9:14" x14ac:dyDescent="0.25">
      <c r="I5567" s="11" t="b">
        <f t="shared" si="277"/>
        <v>0</v>
      </c>
      <c r="M5567" s="17" t="str">
        <f t="shared" si="275"/>
        <v/>
      </c>
      <c r="N5567" s="11" t="str">
        <f t="shared" si="276"/>
        <v/>
      </c>
    </row>
    <row r="5568" spans="9:14" x14ac:dyDescent="0.25">
      <c r="I5568" s="11" t="b">
        <f t="shared" si="277"/>
        <v>0</v>
      </c>
      <c r="M5568" s="17" t="str">
        <f t="shared" si="275"/>
        <v/>
      </c>
      <c r="N5568" s="11" t="str">
        <f t="shared" si="276"/>
        <v/>
      </c>
    </row>
    <row r="5569" spans="9:14" x14ac:dyDescent="0.25">
      <c r="I5569" s="11" t="b">
        <f t="shared" si="277"/>
        <v>0</v>
      </c>
      <c r="M5569" s="17" t="str">
        <f t="shared" ref="M5569:M5632" si="278">IF(B5569=0, "",M5568+ J5569-K5569)</f>
        <v/>
      </c>
      <c r="N5569" s="11" t="str">
        <f t="shared" ref="N5569:N5632" si="279">IF(B5569=0, "", MONTH(B5569))</f>
        <v/>
      </c>
    </row>
    <row r="5570" spans="9:14" x14ac:dyDescent="0.25">
      <c r="I5570" s="11" t="b">
        <f t="shared" si="277"/>
        <v>0</v>
      </c>
      <c r="M5570" s="17" t="str">
        <f t="shared" si="278"/>
        <v/>
      </c>
      <c r="N5570" s="11" t="str">
        <f t="shared" si="279"/>
        <v/>
      </c>
    </row>
    <row r="5571" spans="9:14" x14ac:dyDescent="0.25">
      <c r="I5571" s="11" t="b">
        <f t="shared" si="277"/>
        <v>0</v>
      </c>
      <c r="M5571" s="17" t="str">
        <f t="shared" si="278"/>
        <v/>
      </c>
      <c r="N5571" s="11" t="str">
        <f t="shared" si="279"/>
        <v/>
      </c>
    </row>
    <row r="5572" spans="9:14" x14ac:dyDescent="0.25">
      <c r="I5572" s="11" t="b">
        <f t="shared" si="277"/>
        <v>0</v>
      </c>
      <c r="M5572" s="17" t="str">
        <f t="shared" si="278"/>
        <v/>
      </c>
      <c r="N5572" s="11" t="str">
        <f t="shared" si="279"/>
        <v/>
      </c>
    </row>
    <row r="5573" spans="9:14" x14ac:dyDescent="0.25">
      <c r="I5573" s="11" t="b">
        <f t="shared" si="277"/>
        <v>0</v>
      </c>
      <c r="M5573" s="17" t="str">
        <f t="shared" si="278"/>
        <v/>
      </c>
      <c r="N5573" s="11" t="str">
        <f t="shared" si="279"/>
        <v/>
      </c>
    </row>
    <row r="5574" spans="9:14" x14ac:dyDescent="0.25">
      <c r="I5574" s="11" t="b">
        <f t="shared" si="277"/>
        <v>0</v>
      </c>
      <c r="M5574" s="17" t="str">
        <f t="shared" si="278"/>
        <v/>
      </c>
      <c r="N5574" s="11" t="str">
        <f t="shared" si="279"/>
        <v/>
      </c>
    </row>
    <row r="5575" spans="9:14" x14ac:dyDescent="0.25">
      <c r="I5575" s="11" t="b">
        <f t="shared" si="277"/>
        <v>0</v>
      </c>
      <c r="M5575" s="17" t="str">
        <f t="shared" si="278"/>
        <v/>
      </c>
      <c r="N5575" s="11" t="str">
        <f t="shared" si="279"/>
        <v/>
      </c>
    </row>
    <row r="5576" spans="9:14" x14ac:dyDescent="0.25">
      <c r="I5576" s="11" t="b">
        <f t="shared" si="277"/>
        <v>0</v>
      </c>
      <c r="M5576" s="17" t="str">
        <f t="shared" si="278"/>
        <v/>
      </c>
      <c r="N5576" s="11" t="str">
        <f t="shared" si="279"/>
        <v/>
      </c>
    </row>
    <row r="5577" spans="9:14" x14ac:dyDescent="0.25">
      <c r="I5577" s="11" t="b">
        <f t="shared" si="277"/>
        <v>0</v>
      </c>
      <c r="M5577" s="17" t="str">
        <f t="shared" si="278"/>
        <v/>
      </c>
      <c r="N5577" s="11" t="str">
        <f t="shared" si="279"/>
        <v/>
      </c>
    </row>
    <row r="5578" spans="9:14" x14ac:dyDescent="0.25">
      <c r="I5578" s="11" t="b">
        <f t="shared" si="277"/>
        <v>0</v>
      </c>
      <c r="M5578" s="17" t="str">
        <f t="shared" si="278"/>
        <v/>
      </c>
      <c r="N5578" s="11" t="str">
        <f t="shared" si="279"/>
        <v/>
      </c>
    </row>
    <row r="5579" spans="9:14" x14ac:dyDescent="0.25">
      <c r="I5579" s="11" t="b">
        <f t="shared" si="277"/>
        <v>0</v>
      </c>
      <c r="M5579" s="17" t="str">
        <f t="shared" si="278"/>
        <v/>
      </c>
      <c r="N5579" s="11" t="str">
        <f t="shared" si="279"/>
        <v/>
      </c>
    </row>
    <row r="5580" spans="9:14" x14ac:dyDescent="0.25">
      <c r="I5580" s="11" t="b">
        <f t="shared" si="277"/>
        <v>0</v>
      </c>
      <c r="M5580" s="17" t="str">
        <f t="shared" si="278"/>
        <v/>
      </c>
      <c r="N5580" s="11" t="str">
        <f t="shared" si="279"/>
        <v/>
      </c>
    </row>
    <row r="5581" spans="9:14" x14ac:dyDescent="0.25">
      <c r="I5581" s="11" t="b">
        <f t="shared" si="277"/>
        <v>0</v>
      </c>
      <c r="M5581" s="17" t="str">
        <f t="shared" si="278"/>
        <v/>
      </c>
      <c r="N5581" s="11" t="str">
        <f t="shared" si="279"/>
        <v/>
      </c>
    </row>
    <row r="5582" spans="9:14" x14ac:dyDescent="0.25">
      <c r="I5582" s="11" t="b">
        <f t="shared" si="277"/>
        <v>0</v>
      </c>
      <c r="M5582" s="17" t="str">
        <f t="shared" si="278"/>
        <v/>
      </c>
      <c r="N5582" s="11" t="str">
        <f t="shared" si="279"/>
        <v/>
      </c>
    </row>
    <row r="5583" spans="9:14" x14ac:dyDescent="0.25">
      <c r="I5583" s="11" t="b">
        <f t="shared" si="277"/>
        <v>0</v>
      </c>
      <c r="M5583" s="17" t="str">
        <f t="shared" si="278"/>
        <v/>
      </c>
      <c r="N5583" s="11" t="str">
        <f t="shared" si="279"/>
        <v/>
      </c>
    </row>
    <row r="5584" spans="9:14" x14ac:dyDescent="0.25">
      <c r="I5584" s="11" t="b">
        <f t="shared" si="277"/>
        <v>0</v>
      </c>
      <c r="M5584" s="17" t="str">
        <f t="shared" si="278"/>
        <v/>
      </c>
      <c r="N5584" s="11" t="str">
        <f t="shared" si="279"/>
        <v/>
      </c>
    </row>
    <row r="5585" spans="9:14" x14ac:dyDescent="0.25">
      <c r="I5585" s="11" t="b">
        <f t="shared" si="277"/>
        <v>0</v>
      </c>
      <c r="M5585" s="17" t="str">
        <f t="shared" si="278"/>
        <v/>
      </c>
      <c r="N5585" s="11" t="str">
        <f t="shared" si="279"/>
        <v/>
      </c>
    </row>
    <row r="5586" spans="9:14" x14ac:dyDescent="0.25">
      <c r="I5586" s="11" t="b">
        <f t="shared" si="277"/>
        <v>0</v>
      </c>
      <c r="M5586" s="17" t="str">
        <f t="shared" si="278"/>
        <v/>
      </c>
      <c r="N5586" s="11" t="str">
        <f t="shared" si="279"/>
        <v/>
      </c>
    </row>
    <row r="5587" spans="9:14" x14ac:dyDescent="0.25">
      <c r="I5587" s="11" t="b">
        <f t="shared" si="277"/>
        <v>0</v>
      </c>
      <c r="M5587" s="17" t="str">
        <f t="shared" si="278"/>
        <v/>
      </c>
      <c r="N5587" s="11" t="str">
        <f t="shared" si="279"/>
        <v/>
      </c>
    </row>
    <row r="5588" spans="9:14" x14ac:dyDescent="0.25">
      <c r="I5588" s="11" t="b">
        <f t="shared" si="277"/>
        <v>0</v>
      </c>
      <c r="M5588" s="17" t="str">
        <f t="shared" si="278"/>
        <v/>
      </c>
      <c r="N5588" s="11" t="str">
        <f t="shared" si="279"/>
        <v/>
      </c>
    </row>
    <row r="5589" spans="9:14" x14ac:dyDescent="0.25">
      <c r="I5589" s="11" t="b">
        <f t="shared" si="277"/>
        <v>0</v>
      </c>
      <c r="M5589" s="17" t="str">
        <f t="shared" si="278"/>
        <v/>
      </c>
      <c r="N5589" s="11" t="str">
        <f t="shared" si="279"/>
        <v/>
      </c>
    </row>
    <row r="5590" spans="9:14" x14ac:dyDescent="0.25">
      <c r="I5590" s="11" t="b">
        <f t="shared" si="277"/>
        <v>0</v>
      </c>
      <c r="M5590" s="17" t="str">
        <f t="shared" si="278"/>
        <v/>
      </c>
      <c r="N5590" s="11" t="str">
        <f t="shared" si="279"/>
        <v/>
      </c>
    </row>
    <row r="5591" spans="9:14" x14ac:dyDescent="0.25">
      <c r="I5591" s="11" t="b">
        <f t="shared" si="277"/>
        <v>0</v>
      </c>
      <c r="M5591" s="17" t="str">
        <f t="shared" si="278"/>
        <v/>
      </c>
      <c r="N5591" s="11" t="str">
        <f t="shared" si="279"/>
        <v/>
      </c>
    </row>
    <row r="5592" spans="9:14" x14ac:dyDescent="0.25">
      <c r="I5592" s="11" t="b">
        <f t="shared" si="277"/>
        <v>0</v>
      </c>
      <c r="M5592" s="17" t="str">
        <f t="shared" si="278"/>
        <v/>
      </c>
      <c r="N5592" s="11" t="str">
        <f t="shared" si="279"/>
        <v/>
      </c>
    </row>
    <row r="5593" spans="9:14" x14ac:dyDescent="0.25">
      <c r="I5593" s="11" t="b">
        <f t="shared" si="277"/>
        <v>0</v>
      </c>
      <c r="M5593" s="17" t="str">
        <f t="shared" si="278"/>
        <v/>
      </c>
      <c r="N5593" s="11" t="str">
        <f t="shared" si="279"/>
        <v/>
      </c>
    </row>
    <row r="5594" spans="9:14" x14ac:dyDescent="0.25">
      <c r="I5594" s="11" t="b">
        <f t="shared" si="277"/>
        <v>0</v>
      </c>
      <c r="M5594" s="17" t="str">
        <f t="shared" si="278"/>
        <v/>
      </c>
      <c r="N5594" s="11" t="str">
        <f t="shared" si="279"/>
        <v/>
      </c>
    </row>
    <row r="5595" spans="9:14" x14ac:dyDescent="0.25">
      <c r="I5595" s="11" t="b">
        <f t="shared" si="277"/>
        <v>0</v>
      </c>
      <c r="M5595" s="17" t="str">
        <f t="shared" si="278"/>
        <v/>
      </c>
      <c r="N5595" s="11" t="str">
        <f t="shared" si="279"/>
        <v/>
      </c>
    </row>
    <row r="5596" spans="9:14" x14ac:dyDescent="0.25">
      <c r="I5596" s="11" t="b">
        <f t="shared" si="277"/>
        <v>0</v>
      </c>
      <c r="M5596" s="17" t="str">
        <f t="shared" si="278"/>
        <v/>
      </c>
      <c r="N5596" s="11" t="str">
        <f t="shared" si="279"/>
        <v/>
      </c>
    </row>
    <row r="5597" spans="9:14" x14ac:dyDescent="0.25">
      <c r="I5597" s="11" t="b">
        <f t="shared" ref="I5597:I5660" si="280">IF(AND(G5597="MERCADO PAGO",A5597="FATURAMENTO"),1,IF(AND(OR(G5597="MERCADO PAGO",G5597="pix mercado pago",G5597= "débito automático mercado pago", G5597= "boleto mercado pago"),A5597="DESPESAS"),4,IF(AND(G5597="SAFRA",A5597="FATURAMENTO"),2,IF(AND(OR(G5597="SAFRA",G5597="PIX SAFRA", G5597="DÉBITO AUTOMÁTICO SAFRA", G5597= "BOLETO SAFRA", G5597= "transferência safra"), A5597="DESPESAS"),5,IF(AND(G5597="espécie",A5597="FATURAMENTO"),3,IF(AND(G5597="espécie",A5597="DESPESAS"),6))))))</f>
        <v>0</v>
      </c>
      <c r="M5597" s="17" t="str">
        <f t="shared" si="278"/>
        <v/>
      </c>
      <c r="N5597" s="11" t="str">
        <f t="shared" si="279"/>
        <v/>
      </c>
    </row>
    <row r="5598" spans="9:14" x14ac:dyDescent="0.25">
      <c r="I5598" s="11" t="b">
        <f t="shared" si="280"/>
        <v>0</v>
      </c>
      <c r="M5598" s="17" t="str">
        <f t="shared" si="278"/>
        <v/>
      </c>
      <c r="N5598" s="11" t="str">
        <f t="shared" si="279"/>
        <v/>
      </c>
    </row>
    <row r="5599" spans="9:14" x14ac:dyDescent="0.25">
      <c r="I5599" s="11" t="b">
        <f t="shared" si="280"/>
        <v>0</v>
      </c>
      <c r="M5599" s="17" t="str">
        <f t="shared" si="278"/>
        <v/>
      </c>
      <c r="N5599" s="11" t="str">
        <f t="shared" si="279"/>
        <v/>
      </c>
    </row>
    <row r="5600" spans="9:14" x14ac:dyDescent="0.25">
      <c r="I5600" s="11" t="b">
        <f t="shared" si="280"/>
        <v>0</v>
      </c>
      <c r="M5600" s="17" t="str">
        <f t="shared" si="278"/>
        <v/>
      </c>
      <c r="N5600" s="11" t="str">
        <f t="shared" si="279"/>
        <v/>
      </c>
    </row>
    <row r="5601" spans="9:14" x14ac:dyDescent="0.25">
      <c r="I5601" s="11" t="b">
        <f t="shared" si="280"/>
        <v>0</v>
      </c>
      <c r="M5601" s="17" t="str">
        <f t="shared" si="278"/>
        <v/>
      </c>
      <c r="N5601" s="11" t="str">
        <f t="shared" si="279"/>
        <v/>
      </c>
    </row>
    <row r="5602" spans="9:14" x14ac:dyDescent="0.25">
      <c r="I5602" s="11" t="b">
        <f t="shared" si="280"/>
        <v>0</v>
      </c>
      <c r="M5602" s="17" t="str">
        <f t="shared" si="278"/>
        <v/>
      </c>
      <c r="N5602" s="11" t="str">
        <f t="shared" si="279"/>
        <v/>
      </c>
    </row>
    <row r="5603" spans="9:14" x14ac:dyDescent="0.25">
      <c r="I5603" s="11" t="b">
        <f t="shared" si="280"/>
        <v>0</v>
      </c>
      <c r="M5603" s="17" t="str">
        <f t="shared" si="278"/>
        <v/>
      </c>
      <c r="N5603" s="11" t="str">
        <f t="shared" si="279"/>
        <v/>
      </c>
    </row>
    <row r="5604" spans="9:14" x14ac:dyDescent="0.25">
      <c r="I5604" s="11" t="b">
        <f t="shared" si="280"/>
        <v>0</v>
      </c>
      <c r="M5604" s="17" t="str">
        <f t="shared" si="278"/>
        <v/>
      </c>
      <c r="N5604" s="11" t="str">
        <f t="shared" si="279"/>
        <v/>
      </c>
    </row>
    <row r="5605" spans="9:14" x14ac:dyDescent="0.25">
      <c r="I5605" s="11" t="b">
        <f t="shared" si="280"/>
        <v>0</v>
      </c>
      <c r="M5605" s="17" t="str">
        <f t="shared" si="278"/>
        <v/>
      </c>
      <c r="N5605" s="11" t="str">
        <f t="shared" si="279"/>
        <v/>
      </c>
    </row>
    <row r="5606" spans="9:14" x14ac:dyDescent="0.25">
      <c r="I5606" s="11" t="b">
        <f t="shared" si="280"/>
        <v>0</v>
      </c>
      <c r="M5606" s="17" t="str">
        <f t="shared" si="278"/>
        <v/>
      </c>
      <c r="N5606" s="11" t="str">
        <f t="shared" si="279"/>
        <v/>
      </c>
    </row>
    <row r="5607" spans="9:14" x14ac:dyDescent="0.25">
      <c r="I5607" s="11" t="b">
        <f t="shared" si="280"/>
        <v>0</v>
      </c>
      <c r="M5607" s="17" t="str">
        <f t="shared" si="278"/>
        <v/>
      </c>
      <c r="N5607" s="11" t="str">
        <f t="shared" si="279"/>
        <v/>
      </c>
    </row>
    <row r="5608" spans="9:14" x14ac:dyDescent="0.25">
      <c r="I5608" s="11" t="b">
        <f t="shared" si="280"/>
        <v>0</v>
      </c>
      <c r="M5608" s="17" t="str">
        <f t="shared" si="278"/>
        <v/>
      </c>
      <c r="N5608" s="11" t="str">
        <f t="shared" si="279"/>
        <v/>
      </c>
    </row>
    <row r="5609" spans="9:14" x14ac:dyDescent="0.25">
      <c r="I5609" s="11" t="b">
        <f t="shared" si="280"/>
        <v>0</v>
      </c>
      <c r="M5609" s="17" t="str">
        <f t="shared" si="278"/>
        <v/>
      </c>
      <c r="N5609" s="11" t="str">
        <f t="shared" si="279"/>
        <v/>
      </c>
    </row>
    <row r="5610" spans="9:14" x14ac:dyDescent="0.25">
      <c r="I5610" s="11" t="b">
        <f t="shared" si="280"/>
        <v>0</v>
      </c>
      <c r="M5610" s="17" t="str">
        <f t="shared" si="278"/>
        <v/>
      </c>
      <c r="N5610" s="11" t="str">
        <f t="shared" si="279"/>
        <v/>
      </c>
    </row>
    <row r="5611" spans="9:14" x14ac:dyDescent="0.25">
      <c r="I5611" s="11" t="b">
        <f t="shared" si="280"/>
        <v>0</v>
      </c>
      <c r="M5611" s="17" t="str">
        <f t="shared" si="278"/>
        <v/>
      </c>
      <c r="N5611" s="11" t="str">
        <f t="shared" si="279"/>
        <v/>
      </c>
    </row>
    <row r="5612" spans="9:14" x14ac:dyDescent="0.25">
      <c r="I5612" s="11" t="b">
        <f t="shared" si="280"/>
        <v>0</v>
      </c>
      <c r="M5612" s="17" t="str">
        <f t="shared" si="278"/>
        <v/>
      </c>
      <c r="N5612" s="11" t="str">
        <f t="shared" si="279"/>
        <v/>
      </c>
    </row>
    <row r="5613" spans="9:14" x14ac:dyDescent="0.25">
      <c r="I5613" s="11" t="b">
        <f t="shared" si="280"/>
        <v>0</v>
      </c>
      <c r="M5613" s="17" t="str">
        <f t="shared" si="278"/>
        <v/>
      </c>
      <c r="N5613" s="11" t="str">
        <f t="shared" si="279"/>
        <v/>
      </c>
    </row>
    <row r="5614" spans="9:14" x14ac:dyDescent="0.25">
      <c r="I5614" s="11" t="b">
        <f t="shared" si="280"/>
        <v>0</v>
      </c>
      <c r="M5614" s="17" t="str">
        <f t="shared" si="278"/>
        <v/>
      </c>
      <c r="N5614" s="11" t="str">
        <f t="shared" si="279"/>
        <v/>
      </c>
    </row>
    <row r="5615" spans="9:14" x14ac:dyDescent="0.25">
      <c r="I5615" s="11" t="b">
        <f t="shared" si="280"/>
        <v>0</v>
      </c>
      <c r="M5615" s="17" t="str">
        <f t="shared" si="278"/>
        <v/>
      </c>
      <c r="N5615" s="11" t="str">
        <f t="shared" si="279"/>
        <v/>
      </c>
    </row>
    <row r="5616" spans="9:14" x14ac:dyDescent="0.25">
      <c r="I5616" s="11" t="b">
        <f t="shared" si="280"/>
        <v>0</v>
      </c>
      <c r="M5616" s="17" t="str">
        <f t="shared" si="278"/>
        <v/>
      </c>
      <c r="N5616" s="11" t="str">
        <f t="shared" si="279"/>
        <v/>
      </c>
    </row>
    <row r="5617" spans="9:14" x14ac:dyDescent="0.25">
      <c r="I5617" s="11" t="b">
        <f t="shared" si="280"/>
        <v>0</v>
      </c>
      <c r="M5617" s="17" t="str">
        <f t="shared" si="278"/>
        <v/>
      </c>
      <c r="N5617" s="11" t="str">
        <f t="shared" si="279"/>
        <v/>
      </c>
    </row>
    <row r="5618" spans="9:14" x14ac:dyDescent="0.25">
      <c r="I5618" s="11" t="b">
        <f t="shared" si="280"/>
        <v>0</v>
      </c>
      <c r="M5618" s="17" t="str">
        <f t="shared" si="278"/>
        <v/>
      </c>
      <c r="N5618" s="11" t="str">
        <f t="shared" si="279"/>
        <v/>
      </c>
    </row>
    <row r="5619" spans="9:14" x14ac:dyDescent="0.25">
      <c r="I5619" s="11" t="b">
        <f t="shared" si="280"/>
        <v>0</v>
      </c>
      <c r="M5619" s="17" t="str">
        <f t="shared" si="278"/>
        <v/>
      </c>
      <c r="N5619" s="11" t="str">
        <f t="shared" si="279"/>
        <v/>
      </c>
    </row>
    <row r="5620" spans="9:14" x14ac:dyDescent="0.25">
      <c r="I5620" s="11" t="b">
        <f t="shared" si="280"/>
        <v>0</v>
      </c>
      <c r="M5620" s="17" t="str">
        <f t="shared" si="278"/>
        <v/>
      </c>
      <c r="N5620" s="11" t="str">
        <f t="shared" si="279"/>
        <v/>
      </c>
    </row>
    <row r="5621" spans="9:14" x14ac:dyDescent="0.25">
      <c r="I5621" s="11" t="b">
        <f t="shared" si="280"/>
        <v>0</v>
      </c>
      <c r="M5621" s="17" t="str">
        <f t="shared" si="278"/>
        <v/>
      </c>
      <c r="N5621" s="11" t="str">
        <f t="shared" si="279"/>
        <v/>
      </c>
    </row>
    <row r="5622" spans="9:14" x14ac:dyDescent="0.25">
      <c r="I5622" s="11" t="b">
        <f t="shared" si="280"/>
        <v>0</v>
      </c>
      <c r="M5622" s="17" t="str">
        <f t="shared" si="278"/>
        <v/>
      </c>
      <c r="N5622" s="11" t="str">
        <f t="shared" si="279"/>
        <v/>
      </c>
    </row>
    <row r="5623" spans="9:14" x14ac:dyDescent="0.25">
      <c r="I5623" s="11" t="b">
        <f t="shared" si="280"/>
        <v>0</v>
      </c>
      <c r="M5623" s="17" t="str">
        <f t="shared" si="278"/>
        <v/>
      </c>
      <c r="N5623" s="11" t="str">
        <f t="shared" si="279"/>
        <v/>
      </c>
    </row>
    <row r="5624" spans="9:14" x14ac:dyDescent="0.25">
      <c r="I5624" s="11" t="b">
        <f t="shared" si="280"/>
        <v>0</v>
      </c>
      <c r="M5624" s="17" t="str">
        <f t="shared" si="278"/>
        <v/>
      </c>
      <c r="N5624" s="11" t="str">
        <f t="shared" si="279"/>
        <v/>
      </c>
    </row>
    <row r="5625" spans="9:14" x14ac:dyDescent="0.25">
      <c r="I5625" s="11" t="b">
        <f t="shared" si="280"/>
        <v>0</v>
      </c>
      <c r="M5625" s="17" t="str">
        <f t="shared" si="278"/>
        <v/>
      </c>
      <c r="N5625" s="11" t="str">
        <f t="shared" si="279"/>
        <v/>
      </c>
    </row>
    <row r="5626" spans="9:14" x14ac:dyDescent="0.25">
      <c r="I5626" s="11" t="b">
        <f t="shared" si="280"/>
        <v>0</v>
      </c>
      <c r="M5626" s="17" t="str">
        <f t="shared" si="278"/>
        <v/>
      </c>
      <c r="N5626" s="11" t="str">
        <f t="shared" si="279"/>
        <v/>
      </c>
    </row>
    <row r="5627" spans="9:14" x14ac:dyDescent="0.25">
      <c r="I5627" s="11" t="b">
        <f t="shared" si="280"/>
        <v>0</v>
      </c>
      <c r="M5627" s="17" t="str">
        <f t="shared" si="278"/>
        <v/>
      </c>
      <c r="N5627" s="11" t="str">
        <f t="shared" si="279"/>
        <v/>
      </c>
    </row>
    <row r="5628" spans="9:14" x14ac:dyDescent="0.25">
      <c r="I5628" s="11" t="b">
        <f t="shared" si="280"/>
        <v>0</v>
      </c>
      <c r="M5628" s="17" t="str">
        <f t="shared" si="278"/>
        <v/>
      </c>
      <c r="N5628" s="11" t="str">
        <f t="shared" si="279"/>
        <v/>
      </c>
    </row>
    <row r="5629" spans="9:14" x14ac:dyDescent="0.25">
      <c r="I5629" s="11" t="b">
        <f t="shared" si="280"/>
        <v>0</v>
      </c>
      <c r="M5629" s="17" t="str">
        <f t="shared" si="278"/>
        <v/>
      </c>
      <c r="N5629" s="11" t="str">
        <f t="shared" si="279"/>
        <v/>
      </c>
    </row>
    <row r="5630" spans="9:14" x14ac:dyDescent="0.25">
      <c r="I5630" s="11" t="b">
        <f t="shared" si="280"/>
        <v>0</v>
      </c>
      <c r="M5630" s="17" t="str">
        <f t="shared" si="278"/>
        <v/>
      </c>
      <c r="N5630" s="11" t="str">
        <f t="shared" si="279"/>
        <v/>
      </c>
    </row>
    <row r="5631" spans="9:14" x14ac:dyDescent="0.25">
      <c r="I5631" s="11" t="b">
        <f t="shared" si="280"/>
        <v>0</v>
      </c>
      <c r="M5631" s="17" t="str">
        <f t="shared" si="278"/>
        <v/>
      </c>
      <c r="N5631" s="11" t="str">
        <f t="shared" si="279"/>
        <v/>
      </c>
    </row>
    <row r="5632" spans="9:14" x14ac:dyDescent="0.25">
      <c r="I5632" s="11" t="b">
        <f t="shared" si="280"/>
        <v>0</v>
      </c>
      <c r="M5632" s="17" t="str">
        <f t="shared" si="278"/>
        <v/>
      </c>
      <c r="N5632" s="11" t="str">
        <f t="shared" si="279"/>
        <v/>
      </c>
    </row>
    <row r="5633" spans="9:14" x14ac:dyDescent="0.25">
      <c r="I5633" s="11" t="b">
        <f t="shared" si="280"/>
        <v>0</v>
      </c>
      <c r="M5633" s="17" t="str">
        <f t="shared" ref="M5633:M5696" si="281">IF(B5633=0, "",M5632+ J5633-K5633)</f>
        <v/>
      </c>
      <c r="N5633" s="11" t="str">
        <f t="shared" ref="N5633:N5696" si="282">IF(B5633=0, "", MONTH(B5633))</f>
        <v/>
      </c>
    </row>
    <row r="5634" spans="9:14" x14ac:dyDescent="0.25">
      <c r="I5634" s="11" t="b">
        <f t="shared" si="280"/>
        <v>0</v>
      </c>
      <c r="M5634" s="17" t="str">
        <f t="shared" si="281"/>
        <v/>
      </c>
      <c r="N5634" s="11" t="str">
        <f t="shared" si="282"/>
        <v/>
      </c>
    </row>
    <row r="5635" spans="9:14" x14ac:dyDescent="0.25">
      <c r="I5635" s="11" t="b">
        <f t="shared" si="280"/>
        <v>0</v>
      </c>
      <c r="M5635" s="17" t="str">
        <f t="shared" si="281"/>
        <v/>
      </c>
      <c r="N5635" s="11" t="str">
        <f t="shared" si="282"/>
        <v/>
      </c>
    </row>
    <row r="5636" spans="9:14" x14ac:dyDescent="0.25">
      <c r="I5636" s="11" t="b">
        <f t="shared" si="280"/>
        <v>0</v>
      </c>
      <c r="M5636" s="17" t="str">
        <f t="shared" si="281"/>
        <v/>
      </c>
      <c r="N5636" s="11" t="str">
        <f t="shared" si="282"/>
        <v/>
      </c>
    </row>
    <row r="5637" spans="9:14" x14ac:dyDescent="0.25">
      <c r="I5637" s="11" t="b">
        <f t="shared" si="280"/>
        <v>0</v>
      </c>
      <c r="M5637" s="17" t="str">
        <f t="shared" si="281"/>
        <v/>
      </c>
      <c r="N5637" s="11" t="str">
        <f t="shared" si="282"/>
        <v/>
      </c>
    </row>
    <row r="5638" spans="9:14" x14ac:dyDescent="0.25">
      <c r="I5638" s="11" t="b">
        <f t="shared" si="280"/>
        <v>0</v>
      </c>
      <c r="M5638" s="17" t="str">
        <f t="shared" si="281"/>
        <v/>
      </c>
      <c r="N5638" s="11" t="str">
        <f t="shared" si="282"/>
        <v/>
      </c>
    </row>
    <row r="5639" spans="9:14" x14ac:dyDescent="0.25">
      <c r="I5639" s="11" t="b">
        <f t="shared" si="280"/>
        <v>0</v>
      </c>
      <c r="M5639" s="17" t="str">
        <f t="shared" si="281"/>
        <v/>
      </c>
      <c r="N5639" s="11" t="str">
        <f t="shared" si="282"/>
        <v/>
      </c>
    </row>
    <row r="5640" spans="9:14" x14ac:dyDescent="0.25">
      <c r="I5640" s="11" t="b">
        <f t="shared" si="280"/>
        <v>0</v>
      </c>
      <c r="M5640" s="17" t="str">
        <f t="shared" si="281"/>
        <v/>
      </c>
      <c r="N5640" s="11" t="str">
        <f t="shared" si="282"/>
        <v/>
      </c>
    </row>
    <row r="5641" spans="9:14" x14ac:dyDescent="0.25">
      <c r="I5641" s="11" t="b">
        <f t="shared" si="280"/>
        <v>0</v>
      </c>
      <c r="M5641" s="17" t="str">
        <f t="shared" si="281"/>
        <v/>
      </c>
      <c r="N5641" s="11" t="str">
        <f t="shared" si="282"/>
        <v/>
      </c>
    </row>
    <row r="5642" spans="9:14" x14ac:dyDescent="0.25">
      <c r="I5642" s="11" t="b">
        <f t="shared" si="280"/>
        <v>0</v>
      </c>
      <c r="M5642" s="17" t="str">
        <f t="shared" si="281"/>
        <v/>
      </c>
      <c r="N5642" s="11" t="str">
        <f t="shared" si="282"/>
        <v/>
      </c>
    </row>
    <row r="5643" spans="9:14" x14ac:dyDescent="0.25">
      <c r="I5643" s="11" t="b">
        <f t="shared" si="280"/>
        <v>0</v>
      </c>
      <c r="M5643" s="17" t="str">
        <f t="shared" si="281"/>
        <v/>
      </c>
      <c r="N5643" s="11" t="str">
        <f t="shared" si="282"/>
        <v/>
      </c>
    </row>
    <row r="5644" spans="9:14" x14ac:dyDescent="0.25">
      <c r="I5644" s="11" t="b">
        <f t="shared" si="280"/>
        <v>0</v>
      </c>
      <c r="M5644" s="17" t="str">
        <f t="shared" si="281"/>
        <v/>
      </c>
      <c r="N5644" s="11" t="str">
        <f t="shared" si="282"/>
        <v/>
      </c>
    </row>
    <row r="5645" spans="9:14" x14ac:dyDescent="0.25">
      <c r="I5645" s="11" t="b">
        <f t="shared" si="280"/>
        <v>0</v>
      </c>
      <c r="M5645" s="17" t="str">
        <f t="shared" si="281"/>
        <v/>
      </c>
      <c r="N5645" s="11" t="str">
        <f t="shared" si="282"/>
        <v/>
      </c>
    </row>
    <row r="5646" spans="9:14" x14ac:dyDescent="0.25">
      <c r="I5646" s="11" t="b">
        <f t="shared" si="280"/>
        <v>0</v>
      </c>
      <c r="M5646" s="17" t="str">
        <f t="shared" si="281"/>
        <v/>
      </c>
      <c r="N5646" s="11" t="str">
        <f t="shared" si="282"/>
        <v/>
      </c>
    </row>
    <row r="5647" spans="9:14" x14ac:dyDescent="0.25">
      <c r="I5647" s="11" t="b">
        <f t="shared" si="280"/>
        <v>0</v>
      </c>
      <c r="M5647" s="17" t="str">
        <f t="shared" si="281"/>
        <v/>
      </c>
      <c r="N5647" s="11" t="str">
        <f t="shared" si="282"/>
        <v/>
      </c>
    </row>
    <row r="5648" spans="9:14" x14ac:dyDescent="0.25">
      <c r="I5648" s="11" t="b">
        <f t="shared" si="280"/>
        <v>0</v>
      </c>
      <c r="M5648" s="17" t="str">
        <f t="shared" si="281"/>
        <v/>
      </c>
      <c r="N5648" s="11" t="str">
        <f t="shared" si="282"/>
        <v/>
      </c>
    </row>
    <row r="5649" spans="9:14" x14ac:dyDescent="0.25">
      <c r="I5649" s="11" t="b">
        <f t="shared" si="280"/>
        <v>0</v>
      </c>
      <c r="M5649" s="17" t="str">
        <f t="shared" si="281"/>
        <v/>
      </c>
      <c r="N5649" s="11" t="str">
        <f t="shared" si="282"/>
        <v/>
      </c>
    </row>
    <row r="5650" spans="9:14" x14ac:dyDescent="0.25">
      <c r="I5650" s="11" t="b">
        <f t="shared" si="280"/>
        <v>0</v>
      </c>
      <c r="M5650" s="17" t="str">
        <f t="shared" si="281"/>
        <v/>
      </c>
      <c r="N5650" s="11" t="str">
        <f t="shared" si="282"/>
        <v/>
      </c>
    </row>
    <row r="5651" spans="9:14" x14ac:dyDescent="0.25">
      <c r="I5651" s="11" t="b">
        <f t="shared" si="280"/>
        <v>0</v>
      </c>
      <c r="M5651" s="17" t="str">
        <f t="shared" si="281"/>
        <v/>
      </c>
      <c r="N5651" s="11" t="str">
        <f t="shared" si="282"/>
        <v/>
      </c>
    </row>
    <row r="5652" spans="9:14" x14ac:dyDescent="0.25">
      <c r="I5652" s="11" t="b">
        <f t="shared" si="280"/>
        <v>0</v>
      </c>
      <c r="M5652" s="17" t="str">
        <f t="shared" si="281"/>
        <v/>
      </c>
      <c r="N5652" s="11" t="str">
        <f t="shared" si="282"/>
        <v/>
      </c>
    </row>
    <row r="5653" spans="9:14" x14ac:dyDescent="0.25">
      <c r="I5653" s="11" t="b">
        <f t="shared" si="280"/>
        <v>0</v>
      </c>
      <c r="M5653" s="17" t="str">
        <f t="shared" si="281"/>
        <v/>
      </c>
      <c r="N5653" s="11" t="str">
        <f t="shared" si="282"/>
        <v/>
      </c>
    </row>
    <row r="5654" spans="9:14" x14ac:dyDescent="0.25">
      <c r="I5654" s="11" t="b">
        <f t="shared" si="280"/>
        <v>0</v>
      </c>
      <c r="M5654" s="17" t="str">
        <f t="shared" si="281"/>
        <v/>
      </c>
      <c r="N5654" s="11" t="str">
        <f t="shared" si="282"/>
        <v/>
      </c>
    </row>
    <row r="5655" spans="9:14" x14ac:dyDescent="0.25">
      <c r="I5655" s="11" t="b">
        <f t="shared" si="280"/>
        <v>0</v>
      </c>
      <c r="M5655" s="17" t="str">
        <f t="shared" si="281"/>
        <v/>
      </c>
      <c r="N5655" s="11" t="str">
        <f t="shared" si="282"/>
        <v/>
      </c>
    </row>
    <row r="5656" spans="9:14" x14ac:dyDescent="0.25">
      <c r="I5656" s="11" t="b">
        <f t="shared" si="280"/>
        <v>0</v>
      </c>
      <c r="M5656" s="17" t="str">
        <f t="shared" si="281"/>
        <v/>
      </c>
      <c r="N5656" s="11" t="str">
        <f t="shared" si="282"/>
        <v/>
      </c>
    </row>
    <row r="5657" spans="9:14" x14ac:dyDescent="0.25">
      <c r="I5657" s="11" t="b">
        <f t="shared" si="280"/>
        <v>0</v>
      </c>
      <c r="M5657" s="17" t="str">
        <f t="shared" si="281"/>
        <v/>
      </c>
      <c r="N5657" s="11" t="str">
        <f t="shared" si="282"/>
        <v/>
      </c>
    </row>
    <row r="5658" spans="9:14" x14ac:dyDescent="0.25">
      <c r="I5658" s="11" t="b">
        <f t="shared" si="280"/>
        <v>0</v>
      </c>
      <c r="M5658" s="17" t="str">
        <f t="shared" si="281"/>
        <v/>
      </c>
      <c r="N5658" s="11" t="str">
        <f t="shared" si="282"/>
        <v/>
      </c>
    </row>
    <row r="5659" spans="9:14" x14ac:dyDescent="0.25">
      <c r="I5659" s="11" t="b">
        <f t="shared" si="280"/>
        <v>0</v>
      </c>
      <c r="M5659" s="17" t="str">
        <f t="shared" si="281"/>
        <v/>
      </c>
      <c r="N5659" s="11" t="str">
        <f t="shared" si="282"/>
        <v/>
      </c>
    </row>
    <row r="5660" spans="9:14" x14ac:dyDescent="0.25">
      <c r="I5660" s="11" t="b">
        <f t="shared" si="280"/>
        <v>0</v>
      </c>
      <c r="M5660" s="17" t="str">
        <f t="shared" si="281"/>
        <v/>
      </c>
      <c r="N5660" s="11" t="str">
        <f t="shared" si="282"/>
        <v/>
      </c>
    </row>
    <row r="5661" spans="9:14" x14ac:dyDescent="0.25">
      <c r="I5661" s="11" t="b">
        <f t="shared" ref="I5661:I5724" si="283">IF(AND(G5661="MERCADO PAGO",A5661="FATURAMENTO"),1,IF(AND(OR(G5661="MERCADO PAGO",G5661="pix mercado pago",G5661= "débito automático mercado pago", G5661= "boleto mercado pago"),A5661="DESPESAS"),4,IF(AND(G5661="SAFRA",A5661="FATURAMENTO"),2,IF(AND(OR(G5661="SAFRA",G5661="PIX SAFRA", G5661="DÉBITO AUTOMÁTICO SAFRA", G5661= "BOLETO SAFRA", G5661= "transferência safra"), A5661="DESPESAS"),5,IF(AND(G5661="espécie",A5661="FATURAMENTO"),3,IF(AND(G5661="espécie",A5661="DESPESAS"),6))))))</f>
        <v>0</v>
      </c>
      <c r="M5661" s="17" t="str">
        <f t="shared" si="281"/>
        <v/>
      </c>
      <c r="N5661" s="11" t="str">
        <f t="shared" si="282"/>
        <v/>
      </c>
    </row>
    <row r="5662" spans="9:14" x14ac:dyDescent="0.25">
      <c r="I5662" s="11" t="b">
        <f t="shared" si="283"/>
        <v>0</v>
      </c>
      <c r="M5662" s="17" t="str">
        <f t="shared" si="281"/>
        <v/>
      </c>
      <c r="N5662" s="11" t="str">
        <f t="shared" si="282"/>
        <v/>
      </c>
    </row>
    <row r="5663" spans="9:14" x14ac:dyDescent="0.25">
      <c r="I5663" s="11" t="b">
        <f t="shared" si="283"/>
        <v>0</v>
      </c>
      <c r="M5663" s="17" t="str">
        <f t="shared" si="281"/>
        <v/>
      </c>
      <c r="N5663" s="11" t="str">
        <f t="shared" si="282"/>
        <v/>
      </c>
    </row>
    <row r="5664" spans="9:14" x14ac:dyDescent="0.25">
      <c r="I5664" s="11" t="b">
        <f t="shared" si="283"/>
        <v>0</v>
      </c>
      <c r="M5664" s="17" t="str">
        <f t="shared" si="281"/>
        <v/>
      </c>
      <c r="N5664" s="11" t="str">
        <f t="shared" si="282"/>
        <v/>
      </c>
    </row>
    <row r="5665" spans="9:14" x14ac:dyDescent="0.25">
      <c r="I5665" s="11" t="b">
        <f t="shared" si="283"/>
        <v>0</v>
      </c>
      <c r="M5665" s="17" t="str">
        <f t="shared" si="281"/>
        <v/>
      </c>
      <c r="N5665" s="11" t="str">
        <f t="shared" si="282"/>
        <v/>
      </c>
    </row>
    <row r="5666" spans="9:14" x14ac:dyDescent="0.25">
      <c r="I5666" s="11" t="b">
        <f t="shared" si="283"/>
        <v>0</v>
      </c>
      <c r="M5666" s="17" t="str">
        <f t="shared" si="281"/>
        <v/>
      </c>
      <c r="N5666" s="11" t="str">
        <f t="shared" si="282"/>
        <v/>
      </c>
    </row>
    <row r="5667" spans="9:14" x14ac:dyDescent="0.25">
      <c r="I5667" s="11" t="b">
        <f t="shared" si="283"/>
        <v>0</v>
      </c>
      <c r="M5667" s="17" t="str">
        <f t="shared" si="281"/>
        <v/>
      </c>
      <c r="N5667" s="11" t="str">
        <f t="shared" si="282"/>
        <v/>
      </c>
    </row>
    <row r="5668" spans="9:14" x14ac:dyDescent="0.25">
      <c r="I5668" s="11" t="b">
        <f t="shared" si="283"/>
        <v>0</v>
      </c>
      <c r="M5668" s="17" t="str">
        <f t="shared" si="281"/>
        <v/>
      </c>
      <c r="N5668" s="11" t="str">
        <f t="shared" si="282"/>
        <v/>
      </c>
    </row>
    <row r="5669" spans="9:14" x14ac:dyDescent="0.25">
      <c r="I5669" s="11" t="b">
        <f t="shared" si="283"/>
        <v>0</v>
      </c>
      <c r="M5669" s="17" t="str">
        <f t="shared" si="281"/>
        <v/>
      </c>
      <c r="N5669" s="11" t="str">
        <f t="shared" si="282"/>
        <v/>
      </c>
    </row>
    <row r="5670" spans="9:14" x14ac:dyDescent="0.25">
      <c r="I5670" s="11" t="b">
        <f t="shared" si="283"/>
        <v>0</v>
      </c>
      <c r="M5670" s="17" t="str">
        <f t="shared" si="281"/>
        <v/>
      </c>
      <c r="N5670" s="11" t="str">
        <f t="shared" si="282"/>
        <v/>
      </c>
    </row>
    <row r="5671" spans="9:14" x14ac:dyDescent="0.25">
      <c r="I5671" s="11" t="b">
        <f t="shared" si="283"/>
        <v>0</v>
      </c>
      <c r="M5671" s="17" t="str">
        <f t="shared" si="281"/>
        <v/>
      </c>
      <c r="N5671" s="11" t="str">
        <f t="shared" si="282"/>
        <v/>
      </c>
    </row>
    <row r="5672" spans="9:14" x14ac:dyDescent="0.25">
      <c r="I5672" s="11" t="b">
        <f t="shared" si="283"/>
        <v>0</v>
      </c>
      <c r="M5672" s="17" t="str">
        <f t="shared" si="281"/>
        <v/>
      </c>
      <c r="N5672" s="11" t="str">
        <f t="shared" si="282"/>
        <v/>
      </c>
    </row>
    <row r="5673" spans="9:14" x14ac:dyDescent="0.25">
      <c r="I5673" s="11" t="b">
        <f t="shared" si="283"/>
        <v>0</v>
      </c>
      <c r="M5673" s="17" t="str">
        <f t="shared" si="281"/>
        <v/>
      </c>
      <c r="N5673" s="11" t="str">
        <f t="shared" si="282"/>
        <v/>
      </c>
    </row>
    <row r="5674" spans="9:14" x14ac:dyDescent="0.25">
      <c r="I5674" s="11" t="b">
        <f t="shared" si="283"/>
        <v>0</v>
      </c>
      <c r="M5674" s="17" t="str">
        <f t="shared" si="281"/>
        <v/>
      </c>
      <c r="N5674" s="11" t="str">
        <f t="shared" si="282"/>
        <v/>
      </c>
    </row>
    <row r="5675" spans="9:14" x14ac:dyDescent="0.25">
      <c r="I5675" s="11" t="b">
        <f t="shared" si="283"/>
        <v>0</v>
      </c>
      <c r="M5675" s="17" t="str">
        <f t="shared" si="281"/>
        <v/>
      </c>
      <c r="N5675" s="11" t="str">
        <f t="shared" si="282"/>
        <v/>
      </c>
    </row>
    <row r="5676" spans="9:14" x14ac:dyDescent="0.25">
      <c r="I5676" s="11" t="b">
        <f t="shared" si="283"/>
        <v>0</v>
      </c>
      <c r="M5676" s="17" t="str">
        <f t="shared" si="281"/>
        <v/>
      </c>
      <c r="N5676" s="11" t="str">
        <f t="shared" si="282"/>
        <v/>
      </c>
    </row>
    <row r="5677" spans="9:14" x14ac:dyDescent="0.25">
      <c r="I5677" s="11" t="b">
        <f t="shared" si="283"/>
        <v>0</v>
      </c>
      <c r="M5677" s="17" t="str">
        <f t="shared" si="281"/>
        <v/>
      </c>
      <c r="N5677" s="11" t="str">
        <f t="shared" si="282"/>
        <v/>
      </c>
    </row>
    <row r="5678" spans="9:14" x14ac:dyDescent="0.25">
      <c r="I5678" s="11" t="b">
        <f t="shared" si="283"/>
        <v>0</v>
      </c>
      <c r="M5678" s="17" t="str">
        <f t="shared" si="281"/>
        <v/>
      </c>
      <c r="N5678" s="11" t="str">
        <f t="shared" si="282"/>
        <v/>
      </c>
    </row>
    <row r="5679" spans="9:14" x14ac:dyDescent="0.25">
      <c r="I5679" s="11" t="b">
        <f t="shared" si="283"/>
        <v>0</v>
      </c>
      <c r="M5679" s="17" t="str">
        <f t="shared" si="281"/>
        <v/>
      </c>
      <c r="N5679" s="11" t="str">
        <f t="shared" si="282"/>
        <v/>
      </c>
    </row>
    <row r="5680" spans="9:14" x14ac:dyDescent="0.25">
      <c r="I5680" s="11" t="b">
        <f t="shared" si="283"/>
        <v>0</v>
      </c>
      <c r="M5680" s="17" t="str">
        <f t="shared" si="281"/>
        <v/>
      </c>
      <c r="N5680" s="11" t="str">
        <f t="shared" si="282"/>
        <v/>
      </c>
    </row>
    <row r="5681" spans="9:14" x14ac:dyDescent="0.25">
      <c r="I5681" s="11" t="b">
        <f t="shared" si="283"/>
        <v>0</v>
      </c>
      <c r="M5681" s="17" t="str">
        <f t="shared" si="281"/>
        <v/>
      </c>
      <c r="N5681" s="11" t="str">
        <f t="shared" si="282"/>
        <v/>
      </c>
    </row>
    <row r="5682" spans="9:14" x14ac:dyDescent="0.25">
      <c r="I5682" s="11" t="b">
        <f t="shared" si="283"/>
        <v>0</v>
      </c>
      <c r="M5682" s="17" t="str">
        <f t="shared" si="281"/>
        <v/>
      </c>
      <c r="N5682" s="11" t="str">
        <f t="shared" si="282"/>
        <v/>
      </c>
    </row>
    <row r="5683" spans="9:14" x14ac:dyDescent="0.25">
      <c r="I5683" s="11" t="b">
        <f t="shared" si="283"/>
        <v>0</v>
      </c>
      <c r="M5683" s="17" t="str">
        <f t="shared" si="281"/>
        <v/>
      </c>
      <c r="N5683" s="11" t="str">
        <f t="shared" si="282"/>
        <v/>
      </c>
    </row>
    <row r="5684" spans="9:14" x14ac:dyDescent="0.25">
      <c r="I5684" s="11" t="b">
        <f t="shared" si="283"/>
        <v>0</v>
      </c>
      <c r="M5684" s="17" t="str">
        <f t="shared" si="281"/>
        <v/>
      </c>
      <c r="N5684" s="11" t="str">
        <f t="shared" si="282"/>
        <v/>
      </c>
    </row>
    <row r="5685" spans="9:14" x14ac:dyDescent="0.25">
      <c r="I5685" s="11" t="b">
        <f t="shared" si="283"/>
        <v>0</v>
      </c>
      <c r="M5685" s="17" t="str">
        <f t="shared" si="281"/>
        <v/>
      </c>
      <c r="N5685" s="11" t="str">
        <f t="shared" si="282"/>
        <v/>
      </c>
    </row>
    <row r="5686" spans="9:14" x14ac:dyDescent="0.25">
      <c r="I5686" s="11" t="b">
        <f t="shared" si="283"/>
        <v>0</v>
      </c>
      <c r="M5686" s="17" t="str">
        <f t="shared" si="281"/>
        <v/>
      </c>
      <c r="N5686" s="11" t="str">
        <f t="shared" si="282"/>
        <v/>
      </c>
    </row>
    <row r="5687" spans="9:14" x14ac:dyDescent="0.25">
      <c r="I5687" s="11" t="b">
        <f t="shared" si="283"/>
        <v>0</v>
      </c>
      <c r="M5687" s="17" t="str">
        <f t="shared" si="281"/>
        <v/>
      </c>
      <c r="N5687" s="11" t="str">
        <f t="shared" si="282"/>
        <v/>
      </c>
    </row>
    <row r="5688" spans="9:14" x14ac:dyDescent="0.25">
      <c r="I5688" s="11" t="b">
        <f t="shared" si="283"/>
        <v>0</v>
      </c>
      <c r="M5688" s="17" t="str">
        <f t="shared" si="281"/>
        <v/>
      </c>
      <c r="N5688" s="11" t="str">
        <f t="shared" si="282"/>
        <v/>
      </c>
    </row>
    <row r="5689" spans="9:14" x14ac:dyDescent="0.25">
      <c r="I5689" s="11" t="b">
        <f t="shared" si="283"/>
        <v>0</v>
      </c>
      <c r="M5689" s="17" t="str">
        <f t="shared" si="281"/>
        <v/>
      </c>
      <c r="N5689" s="11" t="str">
        <f t="shared" si="282"/>
        <v/>
      </c>
    </row>
    <row r="5690" spans="9:14" x14ac:dyDescent="0.25">
      <c r="I5690" s="11" t="b">
        <f t="shared" si="283"/>
        <v>0</v>
      </c>
      <c r="M5690" s="17" t="str">
        <f t="shared" si="281"/>
        <v/>
      </c>
      <c r="N5690" s="11" t="str">
        <f t="shared" si="282"/>
        <v/>
      </c>
    </row>
    <row r="5691" spans="9:14" x14ac:dyDescent="0.25">
      <c r="I5691" s="11" t="b">
        <f t="shared" si="283"/>
        <v>0</v>
      </c>
      <c r="M5691" s="17" t="str">
        <f t="shared" si="281"/>
        <v/>
      </c>
      <c r="N5691" s="11" t="str">
        <f t="shared" si="282"/>
        <v/>
      </c>
    </row>
    <row r="5692" spans="9:14" x14ac:dyDescent="0.25">
      <c r="I5692" s="11" t="b">
        <f t="shared" si="283"/>
        <v>0</v>
      </c>
      <c r="M5692" s="17" t="str">
        <f t="shared" si="281"/>
        <v/>
      </c>
      <c r="N5692" s="11" t="str">
        <f t="shared" si="282"/>
        <v/>
      </c>
    </row>
    <row r="5693" spans="9:14" x14ac:dyDescent="0.25">
      <c r="I5693" s="11" t="b">
        <f t="shared" si="283"/>
        <v>0</v>
      </c>
      <c r="M5693" s="17" t="str">
        <f t="shared" si="281"/>
        <v/>
      </c>
      <c r="N5693" s="11" t="str">
        <f t="shared" si="282"/>
        <v/>
      </c>
    </row>
    <row r="5694" spans="9:14" x14ac:dyDescent="0.25">
      <c r="I5694" s="11" t="b">
        <f t="shared" si="283"/>
        <v>0</v>
      </c>
      <c r="M5694" s="17" t="str">
        <f t="shared" si="281"/>
        <v/>
      </c>
      <c r="N5694" s="11" t="str">
        <f t="shared" si="282"/>
        <v/>
      </c>
    </row>
    <row r="5695" spans="9:14" x14ac:dyDescent="0.25">
      <c r="I5695" s="11" t="b">
        <f t="shared" si="283"/>
        <v>0</v>
      </c>
      <c r="M5695" s="17" t="str">
        <f t="shared" si="281"/>
        <v/>
      </c>
      <c r="N5695" s="11" t="str">
        <f t="shared" si="282"/>
        <v/>
      </c>
    </row>
    <row r="5696" spans="9:14" x14ac:dyDescent="0.25">
      <c r="I5696" s="11" t="b">
        <f t="shared" si="283"/>
        <v>0</v>
      </c>
      <c r="M5696" s="17" t="str">
        <f t="shared" si="281"/>
        <v/>
      </c>
      <c r="N5696" s="11" t="str">
        <f t="shared" si="282"/>
        <v/>
      </c>
    </row>
    <row r="5697" spans="9:14" x14ac:dyDescent="0.25">
      <c r="I5697" s="11" t="b">
        <f t="shared" si="283"/>
        <v>0</v>
      </c>
      <c r="M5697" s="17" t="str">
        <f t="shared" ref="M5697:M5760" si="284">IF(B5697=0, "",M5696+ J5697-K5697)</f>
        <v/>
      </c>
      <c r="N5697" s="11" t="str">
        <f t="shared" ref="N5697:N5760" si="285">IF(B5697=0, "", MONTH(B5697))</f>
        <v/>
      </c>
    </row>
    <row r="5698" spans="9:14" x14ac:dyDescent="0.25">
      <c r="I5698" s="11" t="b">
        <f t="shared" si="283"/>
        <v>0</v>
      </c>
      <c r="M5698" s="17" t="str">
        <f t="shared" si="284"/>
        <v/>
      </c>
      <c r="N5698" s="11" t="str">
        <f t="shared" si="285"/>
        <v/>
      </c>
    </row>
    <row r="5699" spans="9:14" x14ac:dyDescent="0.25">
      <c r="I5699" s="11" t="b">
        <f t="shared" si="283"/>
        <v>0</v>
      </c>
      <c r="M5699" s="17" t="str">
        <f t="shared" si="284"/>
        <v/>
      </c>
      <c r="N5699" s="11" t="str">
        <f t="shared" si="285"/>
        <v/>
      </c>
    </row>
    <row r="5700" spans="9:14" x14ac:dyDescent="0.25">
      <c r="I5700" s="11" t="b">
        <f t="shared" si="283"/>
        <v>0</v>
      </c>
      <c r="M5700" s="17" t="str">
        <f t="shared" si="284"/>
        <v/>
      </c>
      <c r="N5700" s="11" t="str">
        <f t="shared" si="285"/>
        <v/>
      </c>
    </row>
    <row r="5701" spans="9:14" x14ac:dyDescent="0.25">
      <c r="I5701" s="11" t="b">
        <f t="shared" si="283"/>
        <v>0</v>
      </c>
      <c r="M5701" s="17" t="str">
        <f t="shared" si="284"/>
        <v/>
      </c>
      <c r="N5701" s="11" t="str">
        <f t="shared" si="285"/>
        <v/>
      </c>
    </row>
    <row r="5702" spans="9:14" x14ac:dyDescent="0.25">
      <c r="I5702" s="11" t="b">
        <f t="shared" si="283"/>
        <v>0</v>
      </c>
      <c r="M5702" s="17" t="str">
        <f t="shared" si="284"/>
        <v/>
      </c>
      <c r="N5702" s="11" t="str">
        <f t="shared" si="285"/>
        <v/>
      </c>
    </row>
    <row r="5703" spans="9:14" x14ac:dyDescent="0.25">
      <c r="I5703" s="11" t="b">
        <f t="shared" si="283"/>
        <v>0</v>
      </c>
      <c r="M5703" s="17" t="str">
        <f t="shared" si="284"/>
        <v/>
      </c>
      <c r="N5703" s="11" t="str">
        <f t="shared" si="285"/>
        <v/>
      </c>
    </row>
    <row r="5704" spans="9:14" x14ac:dyDescent="0.25">
      <c r="I5704" s="11" t="b">
        <f t="shared" si="283"/>
        <v>0</v>
      </c>
      <c r="M5704" s="17" t="str">
        <f t="shared" si="284"/>
        <v/>
      </c>
      <c r="N5704" s="11" t="str">
        <f t="shared" si="285"/>
        <v/>
      </c>
    </row>
    <row r="5705" spans="9:14" x14ac:dyDescent="0.25">
      <c r="I5705" s="11" t="b">
        <f t="shared" si="283"/>
        <v>0</v>
      </c>
      <c r="M5705" s="17" t="str">
        <f t="shared" si="284"/>
        <v/>
      </c>
      <c r="N5705" s="11" t="str">
        <f t="shared" si="285"/>
        <v/>
      </c>
    </row>
    <row r="5706" spans="9:14" x14ac:dyDescent="0.25">
      <c r="I5706" s="11" t="b">
        <f t="shared" si="283"/>
        <v>0</v>
      </c>
      <c r="M5706" s="17" t="str">
        <f t="shared" si="284"/>
        <v/>
      </c>
      <c r="N5706" s="11" t="str">
        <f t="shared" si="285"/>
        <v/>
      </c>
    </row>
    <row r="5707" spans="9:14" x14ac:dyDescent="0.25">
      <c r="I5707" s="11" t="b">
        <f t="shared" si="283"/>
        <v>0</v>
      </c>
      <c r="M5707" s="17" t="str">
        <f t="shared" si="284"/>
        <v/>
      </c>
      <c r="N5707" s="11" t="str">
        <f t="shared" si="285"/>
        <v/>
      </c>
    </row>
    <row r="5708" spans="9:14" x14ac:dyDescent="0.25">
      <c r="I5708" s="11" t="b">
        <f t="shared" si="283"/>
        <v>0</v>
      </c>
      <c r="M5708" s="17" t="str">
        <f t="shared" si="284"/>
        <v/>
      </c>
      <c r="N5708" s="11" t="str">
        <f t="shared" si="285"/>
        <v/>
      </c>
    </row>
    <row r="5709" spans="9:14" x14ac:dyDescent="0.25">
      <c r="I5709" s="11" t="b">
        <f t="shared" si="283"/>
        <v>0</v>
      </c>
      <c r="M5709" s="17" t="str">
        <f t="shared" si="284"/>
        <v/>
      </c>
      <c r="N5709" s="11" t="str">
        <f t="shared" si="285"/>
        <v/>
      </c>
    </row>
    <row r="5710" spans="9:14" x14ac:dyDescent="0.25">
      <c r="I5710" s="11" t="b">
        <f t="shared" si="283"/>
        <v>0</v>
      </c>
      <c r="M5710" s="17" t="str">
        <f t="shared" si="284"/>
        <v/>
      </c>
      <c r="N5710" s="11" t="str">
        <f t="shared" si="285"/>
        <v/>
      </c>
    </row>
    <row r="5711" spans="9:14" x14ac:dyDescent="0.25">
      <c r="I5711" s="11" t="b">
        <f t="shared" si="283"/>
        <v>0</v>
      </c>
      <c r="M5711" s="17" t="str">
        <f t="shared" si="284"/>
        <v/>
      </c>
      <c r="N5711" s="11" t="str">
        <f t="shared" si="285"/>
        <v/>
      </c>
    </row>
    <row r="5712" spans="9:14" x14ac:dyDescent="0.25">
      <c r="I5712" s="11" t="b">
        <f t="shared" si="283"/>
        <v>0</v>
      </c>
      <c r="M5712" s="17" t="str">
        <f t="shared" si="284"/>
        <v/>
      </c>
      <c r="N5712" s="11" t="str">
        <f t="shared" si="285"/>
        <v/>
      </c>
    </row>
    <row r="5713" spans="9:14" x14ac:dyDescent="0.25">
      <c r="I5713" s="11" t="b">
        <f t="shared" si="283"/>
        <v>0</v>
      </c>
      <c r="M5713" s="17" t="str">
        <f t="shared" si="284"/>
        <v/>
      </c>
      <c r="N5713" s="11" t="str">
        <f t="shared" si="285"/>
        <v/>
      </c>
    </row>
    <row r="5714" spans="9:14" x14ac:dyDescent="0.25">
      <c r="I5714" s="11" t="b">
        <f t="shared" si="283"/>
        <v>0</v>
      </c>
      <c r="M5714" s="17" t="str">
        <f t="shared" si="284"/>
        <v/>
      </c>
      <c r="N5714" s="11" t="str">
        <f t="shared" si="285"/>
        <v/>
      </c>
    </row>
    <row r="5715" spans="9:14" x14ac:dyDescent="0.25">
      <c r="I5715" s="11" t="b">
        <f t="shared" si="283"/>
        <v>0</v>
      </c>
      <c r="M5715" s="17" t="str">
        <f t="shared" si="284"/>
        <v/>
      </c>
      <c r="N5715" s="11" t="str">
        <f t="shared" si="285"/>
        <v/>
      </c>
    </row>
    <row r="5716" spans="9:14" x14ac:dyDescent="0.25">
      <c r="I5716" s="11" t="b">
        <f t="shared" si="283"/>
        <v>0</v>
      </c>
      <c r="M5716" s="17" t="str">
        <f t="shared" si="284"/>
        <v/>
      </c>
      <c r="N5716" s="11" t="str">
        <f t="shared" si="285"/>
        <v/>
      </c>
    </row>
    <row r="5717" spans="9:14" x14ac:dyDescent="0.25">
      <c r="I5717" s="11" t="b">
        <f t="shared" si="283"/>
        <v>0</v>
      </c>
      <c r="M5717" s="17" t="str">
        <f t="shared" si="284"/>
        <v/>
      </c>
      <c r="N5717" s="11" t="str">
        <f t="shared" si="285"/>
        <v/>
      </c>
    </row>
    <row r="5718" spans="9:14" x14ac:dyDescent="0.25">
      <c r="I5718" s="11" t="b">
        <f t="shared" si="283"/>
        <v>0</v>
      </c>
      <c r="M5718" s="17" t="str">
        <f t="shared" si="284"/>
        <v/>
      </c>
      <c r="N5718" s="11" t="str">
        <f t="shared" si="285"/>
        <v/>
      </c>
    </row>
    <row r="5719" spans="9:14" x14ac:dyDescent="0.25">
      <c r="I5719" s="11" t="b">
        <f t="shared" si="283"/>
        <v>0</v>
      </c>
      <c r="M5719" s="17" t="str">
        <f t="shared" si="284"/>
        <v/>
      </c>
      <c r="N5719" s="11" t="str">
        <f t="shared" si="285"/>
        <v/>
      </c>
    </row>
    <row r="5720" spans="9:14" x14ac:dyDescent="0.25">
      <c r="I5720" s="11" t="b">
        <f t="shared" si="283"/>
        <v>0</v>
      </c>
      <c r="M5720" s="17" t="str">
        <f t="shared" si="284"/>
        <v/>
      </c>
      <c r="N5720" s="11" t="str">
        <f t="shared" si="285"/>
        <v/>
      </c>
    </row>
    <row r="5721" spans="9:14" x14ac:dyDescent="0.25">
      <c r="I5721" s="11" t="b">
        <f t="shared" si="283"/>
        <v>0</v>
      </c>
      <c r="M5721" s="17" t="str">
        <f t="shared" si="284"/>
        <v/>
      </c>
      <c r="N5721" s="11" t="str">
        <f t="shared" si="285"/>
        <v/>
      </c>
    </row>
    <row r="5722" spans="9:14" x14ac:dyDescent="0.25">
      <c r="I5722" s="11" t="b">
        <f t="shared" si="283"/>
        <v>0</v>
      </c>
      <c r="M5722" s="17" t="str">
        <f t="shared" si="284"/>
        <v/>
      </c>
      <c r="N5722" s="11" t="str">
        <f t="shared" si="285"/>
        <v/>
      </c>
    </row>
    <row r="5723" spans="9:14" x14ac:dyDescent="0.25">
      <c r="I5723" s="11" t="b">
        <f t="shared" si="283"/>
        <v>0</v>
      </c>
      <c r="M5723" s="17" t="str">
        <f t="shared" si="284"/>
        <v/>
      </c>
      <c r="N5723" s="11" t="str">
        <f t="shared" si="285"/>
        <v/>
      </c>
    </row>
    <row r="5724" spans="9:14" x14ac:dyDescent="0.25">
      <c r="I5724" s="11" t="b">
        <f t="shared" si="283"/>
        <v>0</v>
      </c>
      <c r="M5724" s="17" t="str">
        <f t="shared" si="284"/>
        <v/>
      </c>
      <c r="N5724" s="11" t="str">
        <f t="shared" si="285"/>
        <v/>
      </c>
    </row>
    <row r="5725" spans="9:14" x14ac:dyDescent="0.25">
      <c r="I5725" s="11" t="b">
        <f t="shared" ref="I5725:I5788" si="286">IF(AND(G5725="MERCADO PAGO",A5725="FATURAMENTO"),1,IF(AND(OR(G5725="MERCADO PAGO",G5725="pix mercado pago",G5725= "débito automático mercado pago", G5725= "boleto mercado pago"),A5725="DESPESAS"),4,IF(AND(G5725="SAFRA",A5725="FATURAMENTO"),2,IF(AND(OR(G5725="SAFRA",G5725="PIX SAFRA", G5725="DÉBITO AUTOMÁTICO SAFRA", G5725= "BOLETO SAFRA", G5725= "transferência safra"), A5725="DESPESAS"),5,IF(AND(G5725="espécie",A5725="FATURAMENTO"),3,IF(AND(G5725="espécie",A5725="DESPESAS"),6))))))</f>
        <v>0</v>
      </c>
      <c r="M5725" s="17" t="str">
        <f t="shared" si="284"/>
        <v/>
      </c>
      <c r="N5725" s="11" t="str">
        <f t="shared" si="285"/>
        <v/>
      </c>
    </row>
    <row r="5726" spans="9:14" x14ac:dyDescent="0.25">
      <c r="I5726" s="11" t="b">
        <f t="shared" si="286"/>
        <v>0</v>
      </c>
      <c r="M5726" s="17" t="str">
        <f t="shared" si="284"/>
        <v/>
      </c>
      <c r="N5726" s="11" t="str">
        <f t="shared" si="285"/>
        <v/>
      </c>
    </row>
    <row r="5727" spans="9:14" x14ac:dyDescent="0.25">
      <c r="I5727" s="11" t="b">
        <f t="shared" si="286"/>
        <v>0</v>
      </c>
      <c r="M5727" s="17" t="str">
        <f t="shared" si="284"/>
        <v/>
      </c>
      <c r="N5727" s="11" t="str">
        <f t="shared" si="285"/>
        <v/>
      </c>
    </row>
    <row r="5728" spans="9:14" x14ac:dyDescent="0.25">
      <c r="I5728" s="11" t="b">
        <f t="shared" si="286"/>
        <v>0</v>
      </c>
      <c r="M5728" s="17" t="str">
        <f t="shared" si="284"/>
        <v/>
      </c>
      <c r="N5728" s="11" t="str">
        <f t="shared" si="285"/>
        <v/>
      </c>
    </row>
    <row r="5729" spans="9:14" x14ac:dyDescent="0.25">
      <c r="I5729" s="11" t="b">
        <f t="shared" si="286"/>
        <v>0</v>
      </c>
      <c r="M5729" s="17" t="str">
        <f t="shared" si="284"/>
        <v/>
      </c>
      <c r="N5729" s="11" t="str">
        <f t="shared" si="285"/>
        <v/>
      </c>
    </row>
    <row r="5730" spans="9:14" x14ac:dyDescent="0.25">
      <c r="I5730" s="11" t="b">
        <f t="shared" si="286"/>
        <v>0</v>
      </c>
      <c r="M5730" s="17" t="str">
        <f t="shared" si="284"/>
        <v/>
      </c>
      <c r="N5730" s="11" t="str">
        <f t="shared" si="285"/>
        <v/>
      </c>
    </row>
    <row r="5731" spans="9:14" x14ac:dyDescent="0.25">
      <c r="I5731" s="11" t="b">
        <f t="shared" si="286"/>
        <v>0</v>
      </c>
      <c r="M5731" s="17" t="str">
        <f t="shared" si="284"/>
        <v/>
      </c>
      <c r="N5731" s="11" t="str">
        <f t="shared" si="285"/>
        <v/>
      </c>
    </row>
    <row r="5732" spans="9:14" x14ac:dyDescent="0.25">
      <c r="I5732" s="11" t="b">
        <f t="shared" si="286"/>
        <v>0</v>
      </c>
      <c r="M5732" s="17" t="str">
        <f t="shared" si="284"/>
        <v/>
      </c>
      <c r="N5732" s="11" t="str">
        <f t="shared" si="285"/>
        <v/>
      </c>
    </row>
    <row r="5733" spans="9:14" x14ac:dyDescent="0.25">
      <c r="I5733" s="11" t="b">
        <f t="shared" si="286"/>
        <v>0</v>
      </c>
      <c r="M5733" s="17" t="str">
        <f t="shared" si="284"/>
        <v/>
      </c>
      <c r="N5733" s="11" t="str">
        <f t="shared" si="285"/>
        <v/>
      </c>
    </row>
    <row r="5734" spans="9:14" x14ac:dyDescent="0.25">
      <c r="I5734" s="11" t="b">
        <f t="shared" si="286"/>
        <v>0</v>
      </c>
      <c r="M5734" s="17" t="str">
        <f t="shared" si="284"/>
        <v/>
      </c>
      <c r="N5734" s="11" t="str">
        <f t="shared" si="285"/>
        <v/>
      </c>
    </row>
    <row r="5735" spans="9:14" x14ac:dyDescent="0.25">
      <c r="I5735" s="11" t="b">
        <f t="shared" si="286"/>
        <v>0</v>
      </c>
      <c r="M5735" s="17" t="str">
        <f t="shared" si="284"/>
        <v/>
      </c>
      <c r="N5735" s="11" t="str">
        <f t="shared" si="285"/>
        <v/>
      </c>
    </row>
    <row r="5736" spans="9:14" x14ac:dyDescent="0.25">
      <c r="I5736" s="11" t="b">
        <f t="shared" si="286"/>
        <v>0</v>
      </c>
      <c r="M5736" s="17" t="str">
        <f t="shared" si="284"/>
        <v/>
      </c>
      <c r="N5736" s="11" t="str">
        <f t="shared" si="285"/>
        <v/>
      </c>
    </row>
    <row r="5737" spans="9:14" x14ac:dyDescent="0.25">
      <c r="I5737" s="11" t="b">
        <f t="shared" si="286"/>
        <v>0</v>
      </c>
      <c r="M5737" s="17" t="str">
        <f t="shared" si="284"/>
        <v/>
      </c>
      <c r="N5737" s="11" t="str">
        <f t="shared" si="285"/>
        <v/>
      </c>
    </row>
    <row r="5738" spans="9:14" x14ac:dyDescent="0.25">
      <c r="I5738" s="11" t="b">
        <f t="shared" si="286"/>
        <v>0</v>
      </c>
      <c r="M5738" s="17" t="str">
        <f t="shared" si="284"/>
        <v/>
      </c>
      <c r="N5738" s="11" t="str">
        <f t="shared" si="285"/>
        <v/>
      </c>
    </row>
    <row r="5739" spans="9:14" x14ac:dyDescent="0.25">
      <c r="I5739" s="11" t="b">
        <f t="shared" si="286"/>
        <v>0</v>
      </c>
      <c r="M5739" s="17" t="str">
        <f t="shared" si="284"/>
        <v/>
      </c>
      <c r="N5739" s="11" t="str">
        <f t="shared" si="285"/>
        <v/>
      </c>
    </row>
    <row r="5740" spans="9:14" x14ac:dyDescent="0.25">
      <c r="I5740" s="11" t="b">
        <f t="shared" si="286"/>
        <v>0</v>
      </c>
      <c r="M5740" s="17" t="str">
        <f t="shared" si="284"/>
        <v/>
      </c>
      <c r="N5740" s="11" t="str">
        <f t="shared" si="285"/>
        <v/>
      </c>
    </row>
    <row r="5741" spans="9:14" x14ac:dyDescent="0.25">
      <c r="I5741" s="11" t="b">
        <f t="shared" si="286"/>
        <v>0</v>
      </c>
      <c r="M5741" s="17" t="str">
        <f t="shared" si="284"/>
        <v/>
      </c>
      <c r="N5741" s="11" t="str">
        <f t="shared" si="285"/>
        <v/>
      </c>
    </row>
    <row r="5742" spans="9:14" x14ac:dyDescent="0.25">
      <c r="I5742" s="11" t="b">
        <f t="shared" si="286"/>
        <v>0</v>
      </c>
      <c r="M5742" s="17" t="str">
        <f t="shared" si="284"/>
        <v/>
      </c>
      <c r="N5742" s="11" t="str">
        <f t="shared" si="285"/>
        <v/>
      </c>
    </row>
    <row r="5743" spans="9:14" x14ac:dyDescent="0.25">
      <c r="I5743" s="11" t="b">
        <f t="shared" si="286"/>
        <v>0</v>
      </c>
      <c r="M5743" s="17" t="str">
        <f t="shared" si="284"/>
        <v/>
      </c>
      <c r="N5743" s="11" t="str">
        <f t="shared" si="285"/>
        <v/>
      </c>
    </row>
    <row r="5744" spans="9:14" x14ac:dyDescent="0.25">
      <c r="I5744" s="11" t="b">
        <f t="shared" si="286"/>
        <v>0</v>
      </c>
      <c r="M5744" s="17" t="str">
        <f t="shared" si="284"/>
        <v/>
      </c>
      <c r="N5744" s="11" t="str">
        <f t="shared" si="285"/>
        <v/>
      </c>
    </row>
    <row r="5745" spans="9:14" x14ac:dyDescent="0.25">
      <c r="I5745" s="11" t="b">
        <f t="shared" si="286"/>
        <v>0</v>
      </c>
      <c r="M5745" s="17" t="str">
        <f t="shared" si="284"/>
        <v/>
      </c>
      <c r="N5745" s="11" t="str">
        <f t="shared" si="285"/>
        <v/>
      </c>
    </row>
    <row r="5746" spans="9:14" x14ac:dyDescent="0.25">
      <c r="I5746" s="11" t="b">
        <f t="shared" si="286"/>
        <v>0</v>
      </c>
      <c r="M5746" s="17" t="str">
        <f t="shared" si="284"/>
        <v/>
      </c>
      <c r="N5746" s="11" t="str">
        <f t="shared" si="285"/>
        <v/>
      </c>
    </row>
    <row r="5747" spans="9:14" x14ac:dyDescent="0.25">
      <c r="I5747" s="11" t="b">
        <f t="shared" si="286"/>
        <v>0</v>
      </c>
      <c r="M5747" s="17" t="str">
        <f t="shared" si="284"/>
        <v/>
      </c>
      <c r="N5747" s="11" t="str">
        <f t="shared" si="285"/>
        <v/>
      </c>
    </row>
    <row r="5748" spans="9:14" x14ac:dyDescent="0.25">
      <c r="I5748" s="11" t="b">
        <f t="shared" si="286"/>
        <v>0</v>
      </c>
      <c r="M5748" s="17" t="str">
        <f t="shared" si="284"/>
        <v/>
      </c>
      <c r="N5748" s="11" t="str">
        <f t="shared" si="285"/>
        <v/>
      </c>
    </row>
    <row r="5749" spans="9:14" x14ac:dyDescent="0.25">
      <c r="I5749" s="11" t="b">
        <f t="shared" si="286"/>
        <v>0</v>
      </c>
      <c r="M5749" s="17" t="str">
        <f t="shared" si="284"/>
        <v/>
      </c>
      <c r="N5749" s="11" t="str">
        <f t="shared" si="285"/>
        <v/>
      </c>
    </row>
    <row r="5750" spans="9:14" x14ac:dyDescent="0.25">
      <c r="I5750" s="11" t="b">
        <f t="shared" si="286"/>
        <v>0</v>
      </c>
      <c r="M5750" s="17" t="str">
        <f t="shared" si="284"/>
        <v/>
      </c>
      <c r="N5750" s="11" t="str">
        <f t="shared" si="285"/>
        <v/>
      </c>
    </row>
    <row r="5751" spans="9:14" x14ac:dyDescent="0.25">
      <c r="I5751" s="11" t="b">
        <f t="shared" si="286"/>
        <v>0</v>
      </c>
      <c r="M5751" s="17" t="str">
        <f t="shared" si="284"/>
        <v/>
      </c>
      <c r="N5751" s="11" t="str">
        <f t="shared" si="285"/>
        <v/>
      </c>
    </row>
    <row r="5752" spans="9:14" x14ac:dyDescent="0.25">
      <c r="I5752" s="11" t="b">
        <f t="shared" si="286"/>
        <v>0</v>
      </c>
      <c r="M5752" s="17" t="str">
        <f t="shared" si="284"/>
        <v/>
      </c>
      <c r="N5752" s="11" t="str">
        <f t="shared" si="285"/>
        <v/>
      </c>
    </row>
    <row r="5753" spans="9:14" x14ac:dyDescent="0.25">
      <c r="I5753" s="11" t="b">
        <f t="shared" si="286"/>
        <v>0</v>
      </c>
      <c r="M5753" s="17" t="str">
        <f t="shared" si="284"/>
        <v/>
      </c>
      <c r="N5753" s="11" t="str">
        <f t="shared" si="285"/>
        <v/>
      </c>
    </row>
    <row r="5754" spans="9:14" x14ac:dyDescent="0.25">
      <c r="I5754" s="11" t="b">
        <f t="shared" si="286"/>
        <v>0</v>
      </c>
      <c r="M5754" s="17" t="str">
        <f t="shared" si="284"/>
        <v/>
      </c>
      <c r="N5754" s="11" t="str">
        <f t="shared" si="285"/>
        <v/>
      </c>
    </row>
    <row r="5755" spans="9:14" x14ac:dyDescent="0.25">
      <c r="I5755" s="11" t="b">
        <f t="shared" si="286"/>
        <v>0</v>
      </c>
      <c r="M5755" s="17" t="str">
        <f t="shared" si="284"/>
        <v/>
      </c>
      <c r="N5755" s="11" t="str">
        <f t="shared" si="285"/>
        <v/>
      </c>
    </row>
    <row r="5756" spans="9:14" x14ac:dyDescent="0.25">
      <c r="I5756" s="11" t="b">
        <f t="shared" si="286"/>
        <v>0</v>
      </c>
      <c r="M5756" s="17" t="str">
        <f t="shared" si="284"/>
        <v/>
      </c>
      <c r="N5756" s="11" t="str">
        <f t="shared" si="285"/>
        <v/>
      </c>
    </row>
    <row r="5757" spans="9:14" x14ac:dyDescent="0.25">
      <c r="I5757" s="11" t="b">
        <f t="shared" si="286"/>
        <v>0</v>
      </c>
      <c r="M5757" s="17" t="str">
        <f t="shared" si="284"/>
        <v/>
      </c>
      <c r="N5757" s="11" t="str">
        <f t="shared" si="285"/>
        <v/>
      </c>
    </row>
    <row r="5758" spans="9:14" x14ac:dyDescent="0.25">
      <c r="I5758" s="11" t="b">
        <f t="shared" si="286"/>
        <v>0</v>
      </c>
      <c r="M5758" s="17" t="str">
        <f t="shared" si="284"/>
        <v/>
      </c>
      <c r="N5758" s="11" t="str">
        <f t="shared" si="285"/>
        <v/>
      </c>
    </row>
    <row r="5759" spans="9:14" x14ac:dyDescent="0.25">
      <c r="I5759" s="11" t="b">
        <f t="shared" si="286"/>
        <v>0</v>
      </c>
      <c r="M5759" s="17" t="str">
        <f t="shared" si="284"/>
        <v/>
      </c>
      <c r="N5759" s="11" t="str">
        <f t="shared" si="285"/>
        <v/>
      </c>
    </row>
    <row r="5760" spans="9:14" x14ac:dyDescent="0.25">
      <c r="I5760" s="11" t="b">
        <f t="shared" si="286"/>
        <v>0</v>
      </c>
      <c r="M5760" s="17" t="str">
        <f t="shared" si="284"/>
        <v/>
      </c>
      <c r="N5760" s="11" t="str">
        <f t="shared" si="285"/>
        <v/>
      </c>
    </row>
    <row r="5761" spans="9:14" x14ac:dyDescent="0.25">
      <c r="I5761" s="11" t="b">
        <f t="shared" si="286"/>
        <v>0</v>
      </c>
      <c r="M5761" s="17" t="str">
        <f t="shared" ref="M5761:M5824" si="287">IF(B5761=0, "",M5760+ J5761-K5761)</f>
        <v/>
      </c>
      <c r="N5761" s="11" t="str">
        <f t="shared" ref="N5761:N5824" si="288">IF(B5761=0, "", MONTH(B5761))</f>
        <v/>
      </c>
    </row>
    <row r="5762" spans="9:14" x14ac:dyDescent="0.25">
      <c r="I5762" s="11" t="b">
        <f t="shared" si="286"/>
        <v>0</v>
      </c>
      <c r="M5762" s="17" t="str">
        <f t="shared" si="287"/>
        <v/>
      </c>
      <c r="N5762" s="11" t="str">
        <f t="shared" si="288"/>
        <v/>
      </c>
    </row>
    <row r="5763" spans="9:14" x14ac:dyDescent="0.25">
      <c r="I5763" s="11" t="b">
        <f t="shared" si="286"/>
        <v>0</v>
      </c>
      <c r="M5763" s="17" t="str">
        <f t="shared" si="287"/>
        <v/>
      </c>
      <c r="N5763" s="11" t="str">
        <f t="shared" si="288"/>
        <v/>
      </c>
    </row>
    <row r="5764" spans="9:14" x14ac:dyDescent="0.25">
      <c r="I5764" s="11" t="b">
        <f t="shared" si="286"/>
        <v>0</v>
      </c>
      <c r="M5764" s="17" t="str">
        <f t="shared" si="287"/>
        <v/>
      </c>
      <c r="N5764" s="11" t="str">
        <f t="shared" si="288"/>
        <v/>
      </c>
    </row>
    <row r="5765" spans="9:14" x14ac:dyDescent="0.25">
      <c r="I5765" s="11" t="b">
        <f t="shared" si="286"/>
        <v>0</v>
      </c>
      <c r="M5765" s="17" t="str">
        <f t="shared" si="287"/>
        <v/>
      </c>
      <c r="N5765" s="11" t="str">
        <f t="shared" si="288"/>
        <v/>
      </c>
    </row>
    <row r="5766" spans="9:14" x14ac:dyDescent="0.25">
      <c r="I5766" s="11" t="b">
        <f t="shared" si="286"/>
        <v>0</v>
      </c>
      <c r="M5766" s="17" t="str">
        <f t="shared" si="287"/>
        <v/>
      </c>
      <c r="N5766" s="11" t="str">
        <f t="shared" si="288"/>
        <v/>
      </c>
    </row>
    <row r="5767" spans="9:14" x14ac:dyDescent="0.25">
      <c r="I5767" s="11" t="b">
        <f t="shared" si="286"/>
        <v>0</v>
      </c>
      <c r="M5767" s="17" t="str">
        <f t="shared" si="287"/>
        <v/>
      </c>
      <c r="N5767" s="11" t="str">
        <f t="shared" si="288"/>
        <v/>
      </c>
    </row>
    <row r="5768" spans="9:14" x14ac:dyDescent="0.25">
      <c r="I5768" s="11" t="b">
        <f t="shared" si="286"/>
        <v>0</v>
      </c>
      <c r="M5768" s="17" t="str">
        <f t="shared" si="287"/>
        <v/>
      </c>
      <c r="N5768" s="11" t="str">
        <f t="shared" si="288"/>
        <v/>
      </c>
    </row>
    <row r="5769" spans="9:14" x14ac:dyDescent="0.25">
      <c r="I5769" s="11" t="b">
        <f t="shared" si="286"/>
        <v>0</v>
      </c>
      <c r="M5769" s="17" t="str">
        <f t="shared" si="287"/>
        <v/>
      </c>
      <c r="N5769" s="11" t="str">
        <f t="shared" si="288"/>
        <v/>
      </c>
    </row>
    <row r="5770" spans="9:14" x14ac:dyDescent="0.25">
      <c r="I5770" s="11" t="b">
        <f t="shared" si="286"/>
        <v>0</v>
      </c>
      <c r="M5770" s="17" t="str">
        <f t="shared" si="287"/>
        <v/>
      </c>
      <c r="N5770" s="11" t="str">
        <f t="shared" si="288"/>
        <v/>
      </c>
    </row>
    <row r="5771" spans="9:14" x14ac:dyDescent="0.25">
      <c r="I5771" s="11" t="b">
        <f t="shared" si="286"/>
        <v>0</v>
      </c>
      <c r="M5771" s="17" t="str">
        <f t="shared" si="287"/>
        <v/>
      </c>
      <c r="N5771" s="11" t="str">
        <f t="shared" si="288"/>
        <v/>
      </c>
    </row>
    <row r="5772" spans="9:14" x14ac:dyDescent="0.25">
      <c r="I5772" s="11" t="b">
        <f t="shared" si="286"/>
        <v>0</v>
      </c>
      <c r="M5772" s="17" t="str">
        <f t="shared" si="287"/>
        <v/>
      </c>
      <c r="N5772" s="11" t="str">
        <f t="shared" si="288"/>
        <v/>
      </c>
    </row>
    <row r="5773" spans="9:14" x14ac:dyDescent="0.25">
      <c r="I5773" s="11" t="b">
        <f t="shared" si="286"/>
        <v>0</v>
      </c>
      <c r="M5773" s="17" t="str">
        <f t="shared" si="287"/>
        <v/>
      </c>
      <c r="N5773" s="11" t="str">
        <f t="shared" si="288"/>
        <v/>
      </c>
    </row>
    <row r="5774" spans="9:14" x14ac:dyDescent="0.25">
      <c r="I5774" s="11" t="b">
        <f t="shared" si="286"/>
        <v>0</v>
      </c>
      <c r="M5774" s="17" t="str">
        <f t="shared" si="287"/>
        <v/>
      </c>
      <c r="N5774" s="11" t="str">
        <f t="shared" si="288"/>
        <v/>
      </c>
    </row>
    <row r="5775" spans="9:14" x14ac:dyDescent="0.25">
      <c r="I5775" s="11" t="b">
        <f t="shared" si="286"/>
        <v>0</v>
      </c>
      <c r="M5775" s="17" t="str">
        <f t="shared" si="287"/>
        <v/>
      </c>
      <c r="N5775" s="11" t="str">
        <f t="shared" si="288"/>
        <v/>
      </c>
    </row>
    <row r="5776" spans="9:14" x14ac:dyDescent="0.25">
      <c r="I5776" s="11" t="b">
        <f t="shared" si="286"/>
        <v>0</v>
      </c>
      <c r="M5776" s="17" t="str">
        <f t="shared" si="287"/>
        <v/>
      </c>
      <c r="N5776" s="11" t="str">
        <f t="shared" si="288"/>
        <v/>
      </c>
    </row>
    <row r="5777" spans="9:14" x14ac:dyDescent="0.25">
      <c r="I5777" s="11" t="b">
        <f t="shared" si="286"/>
        <v>0</v>
      </c>
      <c r="M5777" s="17" t="str">
        <f t="shared" si="287"/>
        <v/>
      </c>
      <c r="N5777" s="11" t="str">
        <f t="shared" si="288"/>
        <v/>
      </c>
    </row>
    <row r="5778" spans="9:14" x14ac:dyDescent="0.25">
      <c r="I5778" s="11" t="b">
        <f t="shared" si="286"/>
        <v>0</v>
      </c>
      <c r="M5778" s="17" t="str">
        <f t="shared" si="287"/>
        <v/>
      </c>
      <c r="N5778" s="11" t="str">
        <f t="shared" si="288"/>
        <v/>
      </c>
    </row>
    <row r="5779" spans="9:14" x14ac:dyDescent="0.25">
      <c r="I5779" s="11" t="b">
        <f t="shared" si="286"/>
        <v>0</v>
      </c>
      <c r="M5779" s="17" t="str">
        <f t="shared" si="287"/>
        <v/>
      </c>
      <c r="N5779" s="11" t="str">
        <f t="shared" si="288"/>
        <v/>
      </c>
    </row>
    <row r="5780" spans="9:14" x14ac:dyDescent="0.25">
      <c r="I5780" s="11" t="b">
        <f t="shared" si="286"/>
        <v>0</v>
      </c>
      <c r="M5780" s="17" t="str">
        <f t="shared" si="287"/>
        <v/>
      </c>
      <c r="N5780" s="11" t="str">
        <f t="shared" si="288"/>
        <v/>
      </c>
    </row>
    <row r="5781" spans="9:14" x14ac:dyDescent="0.25">
      <c r="I5781" s="11" t="b">
        <f t="shared" si="286"/>
        <v>0</v>
      </c>
      <c r="M5781" s="17" t="str">
        <f t="shared" si="287"/>
        <v/>
      </c>
      <c r="N5781" s="11" t="str">
        <f t="shared" si="288"/>
        <v/>
      </c>
    </row>
    <row r="5782" spans="9:14" x14ac:dyDescent="0.25">
      <c r="I5782" s="11" t="b">
        <f t="shared" si="286"/>
        <v>0</v>
      </c>
      <c r="M5782" s="17" t="str">
        <f t="shared" si="287"/>
        <v/>
      </c>
      <c r="N5782" s="11" t="str">
        <f t="shared" si="288"/>
        <v/>
      </c>
    </row>
    <row r="5783" spans="9:14" x14ac:dyDescent="0.25">
      <c r="I5783" s="11" t="b">
        <f t="shared" si="286"/>
        <v>0</v>
      </c>
      <c r="M5783" s="17" t="str">
        <f t="shared" si="287"/>
        <v/>
      </c>
      <c r="N5783" s="11" t="str">
        <f t="shared" si="288"/>
        <v/>
      </c>
    </row>
    <row r="5784" spans="9:14" x14ac:dyDescent="0.25">
      <c r="I5784" s="11" t="b">
        <f t="shared" si="286"/>
        <v>0</v>
      </c>
      <c r="M5784" s="17" t="str">
        <f t="shared" si="287"/>
        <v/>
      </c>
      <c r="N5784" s="11" t="str">
        <f t="shared" si="288"/>
        <v/>
      </c>
    </row>
    <row r="5785" spans="9:14" x14ac:dyDescent="0.25">
      <c r="I5785" s="11" t="b">
        <f t="shared" si="286"/>
        <v>0</v>
      </c>
      <c r="M5785" s="17" t="str">
        <f t="shared" si="287"/>
        <v/>
      </c>
      <c r="N5785" s="11" t="str">
        <f t="shared" si="288"/>
        <v/>
      </c>
    </row>
    <row r="5786" spans="9:14" x14ac:dyDescent="0.25">
      <c r="I5786" s="11" t="b">
        <f t="shared" si="286"/>
        <v>0</v>
      </c>
      <c r="M5786" s="17" t="str">
        <f t="shared" si="287"/>
        <v/>
      </c>
      <c r="N5786" s="11" t="str">
        <f t="shared" si="288"/>
        <v/>
      </c>
    </row>
    <row r="5787" spans="9:14" x14ac:dyDescent="0.25">
      <c r="I5787" s="11" t="b">
        <f t="shared" si="286"/>
        <v>0</v>
      </c>
      <c r="M5787" s="17" t="str">
        <f t="shared" si="287"/>
        <v/>
      </c>
      <c r="N5787" s="11" t="str">
        <f t="shared" si="288"/>
        <v/>
      </c>
    </row>
    <row r="5788" spans="9:14" x14ac:dyDescent="0.25">
      <c r="I5788" s="11" t="b">
        <f t="shared" si="286"/>
        <v>0</v>
      </c>
      <c r="M5788" s="17" t="str">
        <f t="shared" si="287"/>
        <v/>
      </c>
      <c r="N5788" s="11" t="str">
        <f t="shared" si="288"/>
        <v/>
      </c>
    </row>
    <row r="5789" spans="9:14" x14ac:dyDescent="0.25">
      <c r="I5789" s="11" t="b">
        <f t="shared" ref="I5789:I5852" si="289">IF(AND(G5789="MERCADO PAGO",A5789="FATURAMENTO"),1,IF(AND(OR(G5789="MERCADO PAGO",G5789="pix mercado pago",G5789= "débito automático mercado pago", G5789= "boleto mercado pago"),A5789="DESPESAS"),4,IF(AND(G5789="SAFRA",A5789="FATURAMENTO"),2,IF(AND(OR(G5789="SAFRA",G5789="PIX SAFRA", G5789="DÉBITO AUTOMÁTICO SAFRA", G5789= "BOLETO SAFRA", G5789= "transferência safra"), A5789="DESPESAS"),5,IF(AND(G5789="espécie",A5789="FATURAMENTO"),3,IF(AND(G5789="espécie",A5789="DESPESAS"),6))))))</f>
        <v>0</v>
      </c>
      <c r="M5789" s="17" t="str">
        <f t="shared" si="287"/>
        <v/>
      </c>
      <c r="N5789" s="11" t="str">
        <f t="shared" si="288"/>
        <v/>
      </c>
    </row>
    <row r="5790" spans="9:14" x14ac:dyDescent="0.25">
      <c r="I5790" s="11" t="b">
        <f t="shared" si="289"/>
        <v>0</v>
      </c>
      <c r="M5790" s="17" t="str">
        <f t="shared" si="287"/>
        <v/>
      </c>
      <c r="N5790" s="11" t="str">
        <f t="shared" si="288"/>
        <v/>
      </c>
    </row>
    <row r="5791" spans="9:14" x14ac:dyDescent="0.25">
      <c r="I5791" s="11" t="b">
        <f t="shared" si="289"/>
        <v>0</v>
      </c>
      <c r="M5791" s="17" t="str">
        <f t="shared" si="287"/>
        <v/>
      </c>
      <c r="N5791" s="11" t="str">
        <f t="shared" si="288"/>
        <v/>
      </c>
    </row>
    <row r="5792" spans="9:14" x14ac:dyDescent="0.25">
      <c r="I5792" s="11" t="b">
        <f t="shared" si="289"/>
        <v>0</v>
      </c>
      <c r="M5792" s="17" t="str">
        <f t="shared" si="287"/>
        <v/>
      </c>
      <c r="N5792" s="11" t="str">
        <f t="shared" si="288"/>
        <v/>
      </c>
    </row>
    <row r="5793" spans="9:14" x14ac:dyDescent="0.25">
      <c r="I5793" s="11" t="b">
        <f t="shared" si="289"/>
        <v>0</v>
      </c>
      <c r="M5793" s="17" t="str">
        <f t="shared" si="287"/>
        <v/>
      </c>
      <c r="N5793" s="11" t="str">
        <f t="shared" si="288"/>
        <v/>
      </c>
    </row>
    <row r="5794" spans="9:14" x14ac:dyDescent="0.25">
      <c r="I5794" s="11" t="b">
        <f t="shared" si="289"/>
        <v>0</v>
      </c>
      <c r="M5794" s="17" t="str">
        <f t="shared" si="287"/>
        <v/>
      </c>
      <c r="N5794" s="11" t="str">
        <f t="shared" si="288"/>
        <v/>
      </c>
    </row>
    <row r="5795" spans="9:14" x14ac:dyDescent="0.25">
      <c r="I5795" s="11" t="b">
        <f t="shared" si="289"/>
        <v>0</v>
      </c>
      <c r="M5795" s="17" t="str">
        <f t="shared" si="287"/>
        <v/>
      </c>
      <c r="N5795" s="11" t="str">
        <f t="shared" si="288"/>
        <v/>
      </c>
    </row>
    <row r="5796" spans="9:14" x14ac:dyDescent="0.25">
      <c r="I5796" s="11" t="b">
        <f t="shared" si="289"/>
        <v>0</v>
      </c>
      <c r="M5796" s="17" t="str">
        <f t="shared" si="287"/>
        <v/>
      </c>
      <c r="N5796" s="11" t="str">
        <f t="shared" si="288"/>
        <v/>
      </c>
    </row>
    <row r="5797" spans="9:14" x14ac:dyDescent="0.25">
      <c r="I5797" s="11" t="b">
        <f t="shared" si="289"/>
        <v>0</v>
      </c>
      <c r="M5797" s="17" t="str">
        <f t="shared" si="287"/>
        <v/>
      </c>
      <c r="N5797" s="11" t="str">
        <f t="shared" si="288"/>
        <v/>
      </c>
    </row>
    <row r="5798" spans="9:14" x14ac:dyDescent="0.25">
      <c r="I5798" s="11" t="b">
        <f t="shared" si="289"/>
        <v>0</v>
      </c>
      <c r="M5798" s="17" t="str">
        <f t="shared" si="287"/>
        <v/>
      </c>
      <c r="N5798" s="11" t="str">
        <f t="shared" si="288"/>
        <v/>
      </c>
    </row>
    <row r="5799" spans="9:14" x14ac:dyDescent="0.25">
      <c r="I5799" s="11" t="b">
        <f t="shared" si="289"/>
        <v>0</v>
      </c>
      <c r="M5799" s="17" t="str">
        <f t="shared" si="287"/>
        <v/>
      </c>
      <c r="N5799" s="11" t="str">
        <f t="shared" si="288"/>
        <v/>
      </c>
    </row>
    <row r="5800" spans="9:14" x14ac:dyDescent="0.25">
      <c r="I5800" s="11" t="b">
        <f t="shared" si="289"/>
        <v>0</v>
      </c>
      <c r="M5800" s="17" t="str">
        <f t="shared" si="287"/>
        <v/>
      </c>
      <c r="N5800" s="11" t="str">
        <f t="shared" si="288"/>
        <v/>
      </c>
    </row>
    <row r="5801" spans="9:14" x14ac:dyDescent="0.25">
      <c r="I5801" s="11" t="b">
        <f t="shared" si="289"/>
        <v>0</v>
      </c>
      <c r="M5801" s="17" t="str">
        <f t="shared" si="287"/>
        <v/>
      </c>
      <c r="N5801" s="11" t="str">
        <f t="shared" si="288"/>
        <v/>
      </c>
    </row>
    <row r="5802" spans="9:14" x14ac:dyDescent="0.25">
      <c r="I5802" s="11" t="b">
        <f t="shared" si="289"/>
        <v>0</v>
      </c>
      <c r="M5802" s="17" t="str">
        <f t="shared" si="287"/>
        <v/>
      </c>
      <c r="N5802" s="11" t="str">
        <f t="shared" si="288"/>
        <v/>
      </c>
    </row>
    <row r="5803" spans="9:14" x14ac:dyDescent="0.25">
      <c r="I5803" s="11" t="b">
        <f t="shared" si="289"/>
        <v>0</v>
      </c>
      <c r="M5803" s="17" t="str">
        <f t="shared" si="287"/>
        <v/>
      </c>
      <c r="N5803" s="11" t="str">
        <f t="shared" si="288"/>
        <v/>
      </c>
    </row>
    <row r="5804" spans="9:14" x14ac:dyDescent="0.25">
      <c r="I5804" s="11" t="b">
        <f t="shared" si="289"/>
        <v>0</v>
      </c>
      <c r="M5804" s="17" t="str">
        <f t="shared" si="287"/>
        <v/>
      </c>
      <c r="N5804" s="11" t="str">
        <f t="shared" si="288"/>
        <v/>
      </c>
    </row>
    <row r="5805" spans="9:14" x14ac:dyDescent="0.25">
      <c r="I5805" s="11" t="b">
        <f t="shared" si="289"/>
        <v>0</v>
      </c>
      <c r="M5805" s="17" t="str">
        <f t="shared" si="287"/>
        <v/>
      </c>
      <c r="N5805" s="11" t="str">
        <f t="shared" si="288"/>
        <v/>
      </c>
    </row>
    <row r="5806" spans="9:14" x14ac:dyDescent="0.25">
      <c r="I5806" s="11" t="b">
        <f t="shared" si="289"/>
        <v>0</v>
      </c>
      <c r="M5806" s="17" t="str">
        <f t="shared" si="287"/>
        <v/>
      </c>
      <c r="N5806" s="11" t="str">
        <f t="shared" si="288"/>
        <v/>
      </c>
    </row>
    <row r="5807" spans="9:14" x14ac:dyDescent="0.25">
      <c r="I5807" s="11" t="b">
        <f t="shared" si="289"/>
        <v>0</v>
      </c>
      <c r="M5807" s="17" t="str">
        <f t="shared" si="287"/>
        <v/>
      </c>
      <c r="N5807" s="11" t="str">
        <f t="shared" si="288"/>
        <v/>
      </c>
    </row>
    <row r="5808" spans="9:14" x14ac:dyDescent="0.25">
      <c r="I5808" s="11" t="b">
        <f t="shared" si="289"/>
        <v>0</v>
      </c>
      <c r="M5808" s="17" t="str">
        <f t="shared" si="287"/>
        <v/>
      </c>
      <c r="N5808" s="11" t="str">
        <f t="shared" si="288"/>
        <v/>
      </c>
    </row>
    <row r="5809" spans="9:14" x14ac:dyDescent="0.25">
      <c r="I5809" s="11" t="b">
        <f t="shared" si="289"/>
        <v>0</v>
      </c>
      <c r="M5809" s="17" t="str">
        <f t="shared" si="287"/>
        <v/>
      </c>
      <c r="N5809" s="11" t="str">
        <f t="shared" si="288"/>
        <v/>
      </c>
    </row>
    <row r="5810" spans="9:14" x14ac:dyDescent="0.25">
      <c r="I5810" s="11" t="b">
        <f t="shared" si="289"/>
        <v>0</v>
      </c>
      <c r="M5810" s="17" t="str">
        <f t="shared" si="287"/>
        <v/>
      </c>
      <c r="N5810" s="11" t="str">
        <f t="shared" si="288"/>
        <v/>
      </c>
    </row>
    <row r="5811" spans="9:14" x14ac:dyDescent="0.25">
      <c r="I5811" s="11" t="b">
        <f t="shared" si="289"/>
        <v>0</v>
      </c>
      <c r="M5811" s="17" t="str">
        <f t="shared" si="287"/>
        <v/>
      </c>
      <c r="N5811" s="11" t="str">
        <f t="shared" si="288"/>
        <v/>
      </c>
    </row>
    <row r="5812" spans="9:14" x14ac:dyDescent="0.25">
      <c r="I5812" s="11" t="b">
        <f t="shared" si="289"/>
        <v>0</v>
      </c>
      <c r="M5812" s="17" t="str">
        <f t="shared" si="287"/>
        <v/>
      </c>
      <c r="N5812" s="11" t="str">
        <f t="shared" si="288"/>
        <v/>
      </c>
    </row>
    <row r="5813" spans="9:14" x14ac:dyDescent="0.25">
      <c r="I5813" s="11" t="b">
        <f t="shared" si="289"/>
        <v>0</v>
      </c>
      <c r="M5813" s="17" t="str">
        <f t="shared" si="287"/>
        <v/>
      </c>
      <c r="N5813" s="11" t="str">
        <f t="shared" si="288"/>
        <v/>
      </c>
    </row>
    <row r="5814" spans="9:14" x14ac:dyDescent="0.25">
      <c r="I5814" s="11" t="b">
        <f t="shared" si="289"/>
        <v>0</v>
      </c>
      <c r="M5814" s="17" t="str">
        <f t="shared" si="287"/>
        <v/>
      </c>
      <c r="N5814" s="11" t="str">
        <f t="shared" si="288"/>
        <v/>
      </c>
    </row>
    <row r="5815" spans="9:14" x14ac:dyDescent="0.25">
      <c r="I5815" s="11" t="b">
        <f t="shared" si="289"/>
        <v>0</v>
      </c>
      <c r="M5815" s="17" t="str">
        <f t="shared" si="287"/>
        <v/>
      </c>
      <c r="N5815" s="11" t="str">
        <f t="shared" si="288"/>
        <v/>
      </c>
    </row>
    <row r="5816" spans="9:14" x14ac:dyDescent="0.25">
      <c r="I5816" s="11" t="b">
        <f t="shared" si="289"/>
        <v>0</v>
      </c>
      <c r="M5816" s="17" t="str">
        <f t="shared" si="287"/>
        <v/>
      </c>
      <c r="N5816" s="11" t="str">
        <f t="shared" si="288"/>
        <v/>
      </c>
    </row>
    <row r="5817" spans="9:14" x14ac:dyDescent="0.25">
      <c r="I5817" s="11" t="b">
        <f t="shared" si="289"/>
        <v>0</v>
      </c>
      <c r="M5817" s="17" t="str">
        <f t="shared" si="287"/>
        <v/>
      </c>
      <c r="N5817" s="11" t="str">
        <f t="shared" si="288"/>
        <v/>
      </c>
    </row>
    <row r="5818" spans="9:14" x14ac:dyDescent="0.25">
      <c r="I5818" s="11" t="b">
        <f t="shared" si="289"/>
        <v>0</v>
      </c>
      <c r="M5818" s="17" t="str">
        <f t="shared" si="287"/>
        <v/>
      </c>
      <c r="N5818" s="11" t="str">
        <f t="shared" si="288"/>
        <v/>
      </c>
    </row>
    <row r="5819" spans="9:14" x14ac:dyDescent="0.25">
      <c r="I5819" s="11" t="b">
        <f t="shared" si="289"/>
        <v>0</v>
      </c>
      <c r="M5819" s="17" t="str">
        <f t="shared" si="287"/>
        <v/>
      </c>
      <c r="N5819" s="11" t="str">
        <f t="shared" si="288"/>
        <v/>
      </c>
    </row>
    <row r="5820" spans="9:14" x14ac:dyDescent="0.25">
      <c r="I5820" s="11" t="b">
        <f t="shared" si="289"/>
        <v>0</v>
      </c>
      <c r="M5820" s="17" t="str">
        <f t="shared" si="287"/>
        <v/>
      </c>
      <c r="N5820" s="11" t="str">
        <f t="shared" si="288"/>
        <v/>
      </c>
    </row>
    <row r="5821" spans="9:14" x14ac:dyDescent="0.25">
      <c r="I5821" s="11" t="b">
        <f t="shared" si="289"/>
        <v>0</v>
      </c>
      <c r="M5821" s="17" t="str">
        <f t="shared" si="287"/>
        <v/>
      </c>
      <c r="N5821" s="11" t="str">
        <f t="shared" si="288"/>
        <v/>
      </c>
    </row>
    <row r="5822" spans="9:14" x14ac:dyDescent="0.25">
      <c r="I5822" s="11" t="b">
        <f t="shared" si="289"/>
        <v>0</v>
      </c>
      <c r="M5822" s="17" t="str">
        <f t="shared" si="287"/>
        <v/>
      </c>
      <c r="N5822" s="11" t="str">
        <f t="shared" si="288"/>
        <v/>
      </c>
    </row>
    <row r="5823" spans="9:14" x14ac:dyDescent="0.25">
      <c r="I5823" s="11" t="b">
        <f t="shared" si="289"/>
        <v>0</v>
      </c>
      <c r="M5823" s="17" t="str">
        <f t="shared" si="287"/>
        <v/>
      </c>
      <c r="N5823" s="11" t="str">
        <f t="shared" si="288"/>
        <v/>
      </c>
    </row>
    <row r="5824" spans="9:14" x14ac:dyDescent="0.25">
      <c r="I5824" s="11" t="b">
        <f t="shared" si="289"/>
        <v>0</v>
      </c>
      <c r="M5824" s="17" t="str">
        <f t="shared" si="287"/>
        <v/>
      </c>
      <c r="N5824" s="11" t="str">
        <f t="shared" si="288"/>
        <v/>
      </c>
    </row>
    <row r="5825" spans="9:14" x14ac:dyDescent="0.25">
      <c r="I5825" s="11" t="b">
        <f t="shared" si="289"/>
        <v>0</v>
      </c>
      <c r="M5825" s="17" t="str">
        <f t="shared" ref="M5825:M5888" si="290">IF(B5825=0, "",M5824+ J5825-K5825)</f>
        <v/>
      </c>
      <c r="N5825" s="11" t="str">
        <f t="shared" ref="N5825:N5888" si="291">IF(B5825=0, "", MONTH(B5825))</f>
        <v/>
      </c>
    </row>
    <row r="5826" spans="9:14" x14ac:dyDescent="0.25">
      <c r="I5826" s="11" t="b">
        <f t="shared" si="289"/>
        <v>0</v>
      </c>
      <c r="M5826" s="17" t="str">
        <f t="shared" si="290"/>
        <v/>
      </c>
      <c r="N5826" s="11" t="str">
        <f t="shared" si="291"/>
        <v/>
      </c>
    </row>
    <row r="5827" spans="9:14" x14ac:dyDescent="0.25">
      <c r="I5827" s="11" t="b">
        <f t="shared" si="289"/>
        <v>0</v>
      </c>
      <c r="M5827" s="17" t="str">
        <f t="shared" si="290"/>
        <v/>
      </c>
      <c r="N5827" s="11" t="str">
        <f t="shared" si="291"/>
        <v/>
      </c>
    </row>
    <row r="5828" spans="9:14" x14ac:dyDescent="0.25">
      <c r="I5828" s="11" t="b">
        <f t="shared" si="289"/>
        <v>0</v>
      </c>
      <c r="M5828" s="17" t="str">
        <f t="shared" si="290"/>
        <v/>
      </c>
      <c r="N5828" s="11" t="str">
        <f t="shared" si="291"/>
        <v/>
      </c>
    </row>
    <row r="5829" spans="9:14" x14ac:dyDescent="0.25">
      <c r="I5829" s="11" t="b">
        <f t="shared" si="289"/>
        <v>0</v>
      </c>
      <c r="M5829" s="17" t="str">
        <f t="shared" si="290"/>
        <v/>
      </c>
      <c r="N5829" s="11" t="str">
        <f t="shared" si="291"/>
        <v/>
      </c>
    </row>
    <row r="5830" spans="9:14" x14ac:dyDescent="0.25">
      <c r="I5830" s="11" t="b">
        <f t="shared" si="289"/>
        <v>0</v>
      </c>
      <c r="M5830" s="17" t="str">
        <f t="shared" si="290"/>
        <v/>
      </c>
      <c r="N5830" s="11" t="str">
        <f t="shared" si="291"/>
        <v/>
      </c>
    </row>
    <row r="5831" spans="9:14" x14ac:dyDescent="0.25">
      <c r="I5831" s="11" t="b">
        <f t="shared" si="289"/>
        <v>0</v>
      </c>
      <c r="M5831" s="17" t="str">
        <f t="shared" si="290"/>
        <v/>
      </c>
      <c r="N5831" s="11" t="str">
        <f t="shared" si="291"/>
        <v/>
      </c>
    </row>
    <row r="5832" spans="9:14" x14ac:dyDescent="0.25">
      <c r="I5832" s="11" t="b">
        <f t="shared" si="289"/>
        <v>0</v>
      </c>
      <c r="M5832" s="17" t="str">
        <f t="shared" si="290"/>
        <v/>
      </c>
      <c r="N5832" s="11" t="str">
        <f t="shared" si="291"/>
        <v/>
      </c>
    </row>
    <row r="5833" spans="9:14" x14ac:dyDescent="0.25">
      <c r="I5833" s="11" t="b">
        <f t="shared" si="289"/>
        <v>0</v>
      </c>
      <c r="M5833" s="17" t="str">
        <f t="shared" si="290"/>
        <v/>
      </c>
      <c r="N5833" s="11" t="str">
        <f t="shared" si="291"/>
        <v/>
      </c>
    </row>
    <row r="5834" spans="9:14" x14ac:dyDescent="0.25">
      <c r="I5834" s="11" t="b">
        <f t="shared" si="289"/>
        <v>0</v>
      </c>
      <c r="M5834" s="17" t="str">
        <f t="shared" si="290"/>
        <v/>
      </c>
      <c r="N5834" s="11" t="str">
        <f t="shared" si="291"/>
        <v/>
      </c>
    </row>
    <row r="5835" spans="9:14" x14ac:dyDescent="0.25">
      <c r="I5835" s="11" t="b">
        <f t="shared" si="289"/>
        <v>0</v>
      </c>
      <c r="M5835" s="17" t="str">
        <f t="shared" si="290"/>
        <v/>
      </c>
      <c r="N5835" s="11" t="str">
        <f t="shared" si="291"/>
        <v/>
      </c>
    </row>
    <row r="5836" spans="9:14" x14ac:dyDescent="0.25">
      <c r="I5836" s="11" t="b">
        <f t="shared" si="289"/>
        <v>0</v>
      </c>
      <c r="M5836" s="17" t="str">
        <f t="shared" si="290"/>
        <v/>
      </c>
      <c r="N5836" s="11" t="str">
        <f t="shared" si="291"/>
        <v/>
      </c>
    </row>
    <row r="5837" spans="9:14" x14ac:dyDescent="0.25">
      <c r="I5837" s="11" t="b">
        <f t="shared" si="289"/>
        <v>0</v>
      </c>
      <c r="M5837" s="17" t="str">
        <f t="shared" si="290"/>
        <v/>
      </c>
      <c r="N5837" s="11" t="str">
        <f t="shared" si="291"/>
        <v/>
      </c>
    </row>
    <row r="5838" spans="9:14" x14ac:dyDescent="0.25">
      <c r="I5838" s="11" t="b">
        <f t="shared" si="289"/>
        <v>0</v>
      </c>
      <c r="M5838" s="17" t="str">
        <f t="shared" si="290"/>
        <v/>
      </c>
      <c r="N5838" s="11" t="str">
        <f t="shared" si="291"/>
        <v/>
      </c>
    </row>
    <row r="5839" spans="9:14" x14ac:dyDescent="0.25">
      <c r="I5839" s="11" t="b">
        <f t="shared" si="289"/>
        <v>0</v>
      </c>
      <c r="M5839" s="17" t="str">
        <f t="shared" si="290"/>
        <v/>
      </c>
      <c r="N5839" s="11" t="str">
        <f t="shared" si="291"/>
        <v/>
      </c>
    </row>
    <row r="5840" spans="9:14" x14ac:dyDescent="0.25">
      <c r="I5840" s="11" t="b">
        <f t="shared" si="289"/>
        <v>0</v>
      </c>
      <c r="M5840" s="17" t="str">
        <f t="shared" si="290"/>
        <v/>
      </c>
      <c r="N5840" s="11" t="str">
        <f t="shared" si="291"/>
        <v/>
      </c>
    </row>
    <row r="5841" spans="9:14" x14ac:dyDescent="0.25">
      <c r="I5841" s="11" t="b">
        <f t="shared" si="289"/>
        <v>0</v>
      </c>
      <c r="M5841" s="17" t="str">
        <f t="shared" si="290"/>
        <v/>
      </c>
      <c r="N5841" s="11" t="str">
        <f t="shared" si="291"/>
        <v/>
      </c>
    </row>
    <row r="5842" spans="9:14" x14ac:dyDescent="0.25">
      <c r="I5842" s="11" t="b">
        <f t="shared" si="289"/>
        <v>0</v>
      </c>
      <c r="M5842" s="17" t="str">
        <f t="shared" si="290"/>
        <v/>
      </c>
      <c r="N5842" s="11" t="str">
        <f t="shared" si="291"/>
        <v/>
      </c>
    </row>
    <row r="5843" spans="9:14" x14ac:dyDescent="0.25">
      <c r="I5843" s="11" t="b">
        <f t="shared" si="289"/>
        <v>0</v>
      </c>
      <c r="M5843" s="17" t="str">
        <f t="shared" si="290"/>
        <v/>
      </c>
      <c r="N5843" s="11" t="str">
        <f t="shared" si="291"/>
        <v/>
      </c>
    </row>
    <row r="5844" spans="9:14" x14ac:dyDescent="0.25">
      <c r="I5844" s="11" t="b">
        <f t="shared" si="289"/>
        <v>0</v>
      </c>
      <c r="M5844" s="17" t="str">
        <f t="shared" si="290"/>
        <v/>
      </c>
      <c r="N5844" s="11" t="str">
        <f t="shared" si="291"/>
        <v/>
      </c>
    </row>
    <row r="5845" spans="9:14" x14ac:dyDescent="0.25">
      <c r="I5845" s="11" t="b">
        <f t="shared" si="289"/>
        <v>0</v>
      </c>
      <c r="M5845" s="17" t="str">
        <f t="shared" si="290"/>
        <v/>
      </c>
      <c r="N5845" s="11" t="str">
        <f t="shared" si="291"/>
        <v/>
      </c>
    </row>
    <row r="5846" spans="9:14" x14ac:dyDescent="0.25">
      <c r="I5846" s="11" t="b">
        <f t="shared" si="289"/>
        <v>0</v>
      </c>
      <c r="M5846" s="17" t="str">
        <f t="shared" si="290"/>
        <v/>
      </c>
      <c r="N5846" s="11" t="str">
        <f t="shared" si="291"/>
        <v/>
      </c>
    </row>
    <row r="5847" spans="9:14" x14ac:dyDescent="0.25">
      <c r="I5847" s="11" t="b">
        <f t="shared" si="289"/>
        <v>0</v>
      </c>
      <c r="M5847" s="17" t="str">
        <f t="shared" si="290"/>
        <v/>
      </c>
      <c r="N5847" s="11" t="str">
        <f t="shared" si="291"/>
        <v/>
      </c>
    </row>
    <row r="5848" spans="9:14" x14ac:dyDescent="0.25">
      <c r="I5848" s="11" t="b">
        <f t="shared" si="289"/>
        <v>0</v>
      </c>
      <c r="M5848" s="17" t="str">
        <f t="shared" si="290"/>
        <v/>
      </c>
      <c r="N5848" s="11" t="str">
        <f t="shared" si="291"/>
        <v/>
      </c>
    </row>
    <row r="5849" spans="9:14" x14ac:dyDescent="0.25">
      <c r="I5849" s="11" t="b">
        <f t="shared" si="289"/>
        <v>0</v>
      </c>
      <c r="M5849" s="17" t="str">
        <f t="shared" si="290"/>
        <v/>
      </c>
      <c r="N5849" s="11" t="str">
        <f t="shared" si="291"/>
        <v/>
      </c>
    </row>
    <row r="5850" spans="9:14" x14ac:dyDescent="0.25">
      <c r="I5850" s="11" t="b">
        <f t="shared" si="289"/>
        <v>0</v>
      </c>
      <c r="M5850" s="17" t="str">
        <f t="shared" si="290"/>
        <v/>
      </c>
      <c r="N5850" s="11" t="str">
        <f t="shared" si="291"/>
        <v/>
      </c>
    </row>
    <row r="5851" spans="9:14" x14ac:dyDescent="0.25">
      <c r="I5851" s="11" t="b">
        <f t="shared" si="289"/>
        <v>0</v>
      </c>
      <c r="M5851" s="17" t="str">
        <f t="shared" si="290"/>
        <v/>
      </c>
      <c r="N5851" s="11" t="str">
        <f t="shared" si="291"/>
        <v/>
      </c>
    </row>
    <row r="5852" spans="9:14" x14ac:dyDescent="0.25">
      <c r="I5852" s="11" t="b">
        <f t="shared" si="289"/>
        <v>0</v>
      </c>
      <c r="M5852" s="17" t="str">
        <f t="shared" si="290"/>
        <v/>
      </c>
      <c r="N5852" s="11" t="str">
        <f t="shared" si="291"/>
        <v/>
      </c>
    </row>
    <row r="5853" spans="9:14" x14ac:dyDescent="0.25">
      <c r="I5853" s="11" t="b">
        <f t="shared" ref="I5853:I5916" si="292">IF(AND(G5853="MERCADO PAGO",A5853="FATURAMENTO"),1,IF(AND(OR(G5853="MERCADO PAGO",G5853="pix mercado pago",G5853= "débito automático mercado pago", G5853= "boleto mercado pago"),A5853="DESPESAS"),4,IF(AND(G5853="SAFRA",A5853="FATURAMENTO"),2,IF(AND(OR(G5853="SAFRA",G5853="PIX SAFRA", G5853="DÉBITO AUTOMÁTICO SAFRA", G5853= "BOLETO SAFRA", G5853= "transferência safra"), A5853="DESPESAS"),5,IF(AND(G5853="espécie",A5853="FATURAMENTO"),3,IF(AND(G5853="espécie",A5853="DESPESAS"),6))))))</f>
        <v>0</v>
      </c>
      <c r="M5853" s="17" t="str">
        <f t="shared" si="290"/>
        <v/>
      </c>
      <c r="N5853" s="11" t="str">
        <f t="shared" si="291"/>
        <v/>
      </c>
    </row>
    <row r="5854" spans="9:14" x14ac:dyDescent="0.25">
      <c r="I5854" s="11" t="b">
        <f t="shared" si="292"/>
        <v>0</v>
      </c>
      <c r="M5854" s="17" t="str">
        <f t="shared" si="290"/>
        <v/>
      </c>
      <c r="N5854" s="11" t="str">
        <f t="shared" si="291"/>
        <v/>
      </c>
    </row>
    <row r="5855" spans="9:14" x14ac:dyDescent="0.25">
      <c r="I5855" s="11" t="b">
        <f t="shared" si="292"/>
        <v>0</v>
      </c>
      <c r="M5855" s="17" t="str">
        <f t="shared" si="290"/>
        <v/>
      </c>
      <c r="N5855" s="11" t="str">
        <f t="shared" si="291"/>
        <v/>
      </c>
    </row>
    <row r="5856" spans="9:14" x14ac:dyDescent="0.25">
      <c r="I5856" s="11" t="b">
        <f t="shared" si="292"/>
        <v>0</v>
      </c>
      <c r="M5856" s="17" t="str">
        <f t="shared" si="290"/>
        <v/>
      </c>
      <c r="N5856" s="11" t="str">
        <f t="shared" si="291"/>
        <v/>
      </c>
    </row>
    <row r="5857" spans="9:14" x14ac:dyDescent="0.25">
      <c r="I5857" s="11" t="b">
        <f t="shared" si="292"/>
        <v>0</v>
      </c>
      <c r="M5857" s="17" t="str">
        <f t="shared" si="290"/>
        <v/>
      </c>
      <c r="N5857" s="11" t="str">
        <f t="shared" si="291"/>
        <v/>
      </c>
    </row>
    <row r="5858" spans="9:14" x14ac:dyDescent="0.25">
      <c r="I5858" s="11" t="b">
        <f t="shared" si="292"/>
        <v>0</v>
      </c>
      <c r="M5858" s="17" t="str">
        <f t="shared" si="290"/>
        <v/>
      </c>
      <c r="N5858" s="11" t="str">
        <f t="shared" si="291"/>
        <v/>
      </c>
    </row>
    <row r="5859" spans="9:14" x14ac:dyDescent="0.25">
      <c r="I5859" s="11" t="b">
        <f t="shared" si="292"/>
        <v>0</v>
      </c>
      <c r="M5859" s="17" t="str">
        <f t="shared" si="290"/>
        <v/>
      </c>
      <c r="N5859" s="11" t="str">
        <f t="shared" si="291"/>
        <v/>
      </c>
    </row>
    <row r="5860" spans="9:14" x14ac:dyDescent="0.25">
      <c r="I5860" s="11" t="b">
        <f t="shared" si="292"/>
        <v>0</v>
      </c>
      <c r="M5860" s="17" t="str">
        <f t="shared" si="290"/>
        <v/>
      </c>
      <c r="N5860" s="11" t="str">
        <f t="shared" si="291"/>
        <v/>
      </c>
    </row>
    <row r="5861" spans="9:14" x14ac:dyDescent="0.25">
      <c r="I5861" s="11" t="b">
        <f t="shared" si="292"/>
        <v>0</v>
      </c>
      <c r="M5861" s="17" t="str">
        <f t="shared" si="290"/>
        <v/>
      </c>
      <c r="N5861" s="11" t="str">
        <f t="shared" si="291"/>
        <v/>
      </c>
    </row>
    <row r="5862" spans="9:14" x14ac:dyDescent="0.25">
      <c r="I5862" s="11" t="b">
        <f t="shared" si="292"/>
        <v>0</v>
      </c>
      <c r="M5862" s="17" t="str">
        <f t="shared" si="290"/>
        <v/>
      </c>
      <c r="N5862" s="11" t="str">
        <f t="shared" si="291"/>
        <v/>
      </c>
    </row>
    <row r="5863" spans="9:14" x14ac:dyDescent="0.25">
      <c r="I5863" s="11" t="b">
        <f t="shared" si="292"/>
        <v>0</v>
      </c>
      <c r="M5863" s="17" t="str">
        <f t="shared" si="290"/>
        <v/>
      </c>
      <c r="N5863" s="11" t="str">
        <f t="shared" si="291"/>
        <v/>
      </c>
    </row>
    <row r="5864" spans="9:14" x14ac:dyDescent="0.25">
      <c r="I5864" s="11" t="b">
        <f t="shared" si="292"/>
        <v>0</v>
      </c>
      <c r="M5864" s="17" t="str">
        <f t="shared" si="290"/>
        <v/>
      </c>
      <c r="N5864" s="11" t="str">
        <f t="shared" si="291"/>
        <v/>
      </c>
    </row>
    <row r="5865" spans="9:14" x14ac:dyDescent="0.25">
      <c r="I5865" s="11" t="b">
        <f t="shared" si="292"/>
        <v>0</v>
      </c>
      <c r="M5865" s="17" t="str">
        <f t="shared" si="290"/>
        <v/>
      </c>
      <c r="N5865" s="11" t="str">
        <f t="shared" si="291"/>
        <v/>
      </c>
    </row>
    <row r="5866" spans="9:14" x14ac:dyDescent="0.25">
      <c r="I5866" s="11" t="b">
        <f t="shared" si="292"/>
        <v>0</v>
      </c>
      <c r="M5866" s="17" t="str">
        <f t="shared" si="290"/>
        <v/>
      </c>
      <c r="N5866" s="11" t="str">
        <f t="shared" si="291"/>
        <v/>
      </c>
    </row>
    <row r="5867" spans="9:14" x14ac:dyDescent="0.25">
      <c r="I5867" s="11" t="b">
        <f t="shared" si="292"/>
        <v>0</v>
      </c>
      <c r="M5867" s="17" t="str">
        <f t="shared" si="290"/>
        <v/>
      </c>
      <c r="N5867" s="11" t="str">
        <f t="shared" si="291"/>
        <v/>
      </c>
    </row>
    <row r="5868" spans="9:14" x14ac:dyDescent="0.25">
      <c r="I5868" s="11" t="b">
        <f t="shared" si="292"/>
        <v>0</v>
      </c>
      <c r="M5868" s="17" t="str">
        <f t="shared" si="290"/>
        <v/>
      </c>
      <c r="N5868" s="11" t="str">
        <f t="shared" si="291"/>
        <v/>
      </c>
    </row>
    <row r="5869" spans="9:14" x14ac:dyDescent="0.25">
      <c r="I5869" s="11" t="b">
        <f t="shared" si="292"/>
        <v>0</v>
      </c>
      <c r="M5869" s="17" t="str">
        <f t="shared" si="290"/>
        <v/>
      </c>
      <c r="N5869" s="11" t="str">
        <f t="shared" si="291"/>
        <v/>
      </c>
    </row>
    <row r="5870" spans="9:14" x14ac:dyDescent="0.25">
      <c r="I5870" s="11" t="b">
        <f t="shared" si="292"/>
        <v>0</v>
      </c>
      <c r="M5870" s="17" t="str">
        <f t="shared" si="290"/>
        <v/>
      </c>
      <c r="N5870" s="11" t="str">
        <f t="shared" si="291"/>
        <v/>
      </c>
    </row>
    <row r="5871" spans="9:14" x14ac:dyDescent="0.25">
      <c r="I5871" s="11" t="b">
        <f t="shared" si="292"/>
        <v>0</v>
      </c>
      <c r="M5871" s="17" t="str">
        <f t="shared" si="290"/>
        <v/>
      </c>
      <c r="N5871" s="11" t="str">
        <f t="shared" si="291"/>
        <v/>
      </c>
    </row>
    <row r="5872" spans="9:14" x14ac:dyDescent="0.25">
      <c r="I5872" s="11" t="b">
        <f t="shared" si="292"/>
        <v>0</v>
      </c>
      <c r="M5872" s="17" t="str">
        <f t="shared" si="290"/>
        <v/>
      </c>
      <c r="N5872" s="11" t="str">
        <f t="shared" si="291"/>
        <v/>
      </c>
    </row>
    <row r="5873" spans="9:14" x14ac:dyDescent="0.25">
      <c r="I5873" s="11" t="b">
        <f t="shared" si="292"/>
        <v>0</v>
      </c>
      <c r="M5873" s="17" t="str">
        <f t="shared" si="290"/>
        <v/>
      </c>
      <c r="N5873" s="11" t="str">
        <f t="shared" si="291"/>
        <v/>
      </c>
    </row>
    <row r="5874" spans="9:14" x14ac:dyDescent="0.25">
      <c r="I5874" s="11" t="b">
        <f t="shared" si="292"/>
        <v>0</v>
      </c>
      <c r="M5874" s="17" t="str">
        <f t="shared" si="290"/>
        <v/>
      </c>
      <c r="N5874" s="11" t="str">
        <f t="shared" si="291"/>
        <v/>
      </c>
    </row>
    <row r="5875" spans="9:14" x14ac:dyDescent="0.25">
      <c r="I5875" s="11" t="b">
        <f t="shared" si="292"/>
        <v>0</v>
      </c>
      <c r="M5875" s="17" t="str">
        <f t="shared" si="290"/>
        <v/>
      </c>
      <c r="N5875" s="11" t="str">
        <f t="shared" si="291"/>
        <v/>
      </c>
    </row>
    <row r="5876" spans="9:14" x14ac:dyDescent="0.25">
      <c r="I5876" s="11" t="b">
        <f t="shared" si="292"/>
        <v>0</v>
      </c>
      <c r="M5876" s="17" t="str">
        <f t="shared" si="290"/>
        <v/>
      </c>
      <c r="N5876" s="11" t="str">
        <f t="shared" si="291"/>
        <v/>
      </c>
    </row>
    <row r="5877" spans="9:14" x14ac:dyDescent="0.25">
      <c r="I5877" s="11" t="b">
        <f t="shared" si="292"/>
        <v>0</v>
      </c>
      <c r="M5877" s="17" t="str">
        <f t="shared" si="290"/>
        <v/>
      </c>
      <c r="N5877" s="11" t="str">
        <f t="shared" si="291"/>
        <v/>
      </c>
    </row>
    <row r="5878" spans="9:14" x14ac:dyDescent="0.25">
      <c r="I5878" s="11" t="b">
        <f t="shared" si="292"/>
        <v>0</v>
      </c>
      <c r="M5878" s="17" t="str">
        <f t="shared" si="290"/>
        <v/>
      </c>
      <c r="N5878" s="11" t="str">
        <f t="shared" si="291"/>
        <v/>
      </c>
    </row>
    <row r="5879" spans="9:14" x14ac:dyDescent="0.25">
      <c r="I5879" s="11" t="b">
        <f t="shared" si="292"/>
        <v>0</v>
      </c>
      <c r="M5879" s="17" t="str">
        <f t="shared" si="290"/>
        <v/>
      </c>
      <c r="N5879" s="11" t="str">
        <f t="shared" si="291"/>
        <v/>
      </c>
    </row>
    <row r="5880" spans="9:14" x14ac:dyDescent="0.25">
      <c r="I5880" s="11" t="b">
        <f t="shared" si="292"/>
        <v>0</v>
      </c>
      <c r="M5880" s="17" t="str">
        <f t="shared" si="290"/>
        <v/>
      </c>
      <c r="N5880" s="11" t="str">
        <f t="shared" si="291"/>
        <v/>
      </c>
    </row>
    <row r="5881" spans="9:14" x14ac:dyDescent="0.25">
      <c r="I5881" s="11" t="b">
        <f t="shared" si="292"/>
        <v>0</v>
      </c>
      <c r="M5881" s="17" t="str">
        <f t="shared" si="290"/>
        <v/>
      </c>
      <c r="N5881" s="11" t="str">
        <f t="shared" si="291"/>
        <v/>
      </c>
    </row>
    <row r="5882" spans="9:14" x14ac:dyDescent="0.25">
      <c r="I5882" s="11" t="b">
        <f t="shared" si="292"/>
        <v>0</v>
      </c>
      <c r="M5882" s="17" t="str">
        <f t="shared" si="290"/>
        <v/>
      </c>
      <c r="N5882" s="11" t="str">
        <f t="shared" si="291"/>
        <v/>
      </c>
    </row>
    <row r="5883" spans="9:14" x14ac:dyDescent="0.25">
      <c r="I5883" s="11" t="b">
        <f t="shared" si="292"/>
        <v>0</v>
      </c>
      <c r="M5883" s="17" t="str">
        <f t="shared" si="290"/>
        <v/>
      </c>
      <c r="N5883" s="11" t="str">
        <f t="shared" si="291"/>
        <v/>
      </c>
    </row>
    <row r="5884" spans="9:14" x14ac:dyDescent="0.25">
      <c r="I5884" s="11" t="b">
        <f t="shared" si="292"/>
        <v>0</v>
      </c>
      <c r="M5884" s="17" t="str">
        <f t="shared" si="290"/>
        <v/>
      </c>
      <c r="N5884" s="11" t="str">
        <f t="shared" si="291"/>
        <v/>
      </c>
    </row>
    <row r="5885" spans="9:14" x14ac:dyDescent="0.25">
      <c r="I5885" s="11" t="b">
        <f t="shared" si="292"/>
        <v>0</v>
      </c>
      <c r="M5885" s="17" t="str">
        <f t="shared" si="290"/>
        <v/>
      </c>
      <c r="N5885" s="11" t="str">
        <f t="shared" si="291"/>
        <v/>
      </c>
    </row>
    <row r="5886" spans="9:14" x14ac:dyDescent="0.25">
      <c r="I5886" s="11" t="b">
        <f t="shared" si="292"/>
        <v>0</v>
      </c>
      <c r="M5886" s="17" t="str">
        <f t="shared" si="290"/>
        <v/>
      </c>
      <c r="N5886" s="11" t="str">
        <f t="shared" si="291"/>
        <v/>
      </c>
    </row>
    <row r="5887" spans="9:14" x14ac:dyDescent="0.25">
      <c r="I5887" s="11" t="b">
        <f t="shared" si="292"/>
        <v>0</v>
      </c>
      <c r="M5887" s="17" t="str">
        <f t="shared" si="290"/>
        <v/>
      </c>
      <c r="N5887" s="11" t="str">
        <f t="shared" si="291"/>
        <v/>
      </c>
    </row>
    <row r="5888" spans="9:14" x14ac:dyDescent="0.25">
      <c r="I5888" s="11" t="b">
        <f t="shared" si="292"/>
        <v>0</v>
      </c>
      <c r="M5888" s="17" t="str">
        <f t="shared" si="290"/>
        <v/>
      </c>
      <c r="N5888" s="11" t="str">
        <f t="shared" si="291"/>
        <v/>
      </c>
    </row>
    <row r="5889" spans="9:14" x14ac:dyDescent="0.25">
      <c r="I5889" s="11" t="b">
        <f t="shared" si="292"/>
        <v>0</v>
      </c>
      <c r="M5889" s="17" t="str">
        <f t="shared" ref="M5889:M5952" si="293">IF(B5889=0, "",M5888+ J5889-K5889)</f>
        <v/>
      </c>
      <c r="N5889" s="11" t="str">
        <f t="shared" ref="N5889:N5952" si="294">IF(B5889=0, "", MONTH(B5889))</f>
        <v/>
      </c>
    </row>
    <row r="5890" spans="9:14" x14ac:dyDescent="0.25">
      <c r="I5890" s="11" t="b">
        <f t="shared" si="292"/>
        <v>0</v>
      </c>
      <c r="M5890" s="17" t="str">
        <f t="shared" si="293"/>
        <v/>
      </c>
      <c r="N5890" s="11" t="str">
        <f t="shared" si="294"/>
        <v/>
      </c>
    </row>
    <row r="5891" spans="9:14" x14ac:dyDescent="0.25">
      <c r="I5891" s="11" t="b">
        <f t="shared" si="292"/>
        <v>0</v>
      </c>
      <c r="M5891" s="17" t="str">
        <f t="shared" si="293"/>
        <v/>
      </c>
      <c r="N5891" s="11" t="str">
        <f t="shared" si="294"/>
        <v/>
      </c>
    </row>
    <row r="5892" spans="9:14" x14ac:dyDescent="0.25">
      <c r="I5892" s="11" t="b">
        <f t="shared" si="292"/>
        <v>0</v>
      </c>
      <c r="M5892" s="17" t="str">
        <f t="shared" si="293"/>
        <v/>
      </c>
      <c r="N5892" s="11" t="str">
        <f t="shared" si="294"/>
        <v/>
      </c>
    </row>
    <row r="5893" spans="9:14" x14ac:dyDescent="0.25">
      <c r="I5893" s="11" t="b">
        <f t="shared" si="292"/>
        <v>0</v>
      </c>
      <c r="M5893" s="17" t="str">
        <f t="shared" si="293"/>
        <v/>
      </c>
      <c r="N5893" s="11" t="str">
        <f t="shared" si="294"/>
        <v/>
      </c>
    </row>
    <row r="5894" spans="9:14" x14ac:dyDescent="0.25">
      <c r="I5894" s="11" t="b">
        <f t="shared" si="292"/>
        <v>0</v>
      </c>
      <c r="M5894" s="17" t="str">
        <f t="shared" si="293"/>
        <v/>
      </c>
      <c r="N5894" s="11" t="str">
        <f t="shared" si="294"/>
        <v/>
      </c>
    </row>
    <row r="5895" spans="9:14" x14ac:dyDescent="0.25">
      <c r="I5895" s="11" t="b">
        <f t="shared" si="292"/>
        <v>0</v>
      </c>
      <c r="M5895" s="17" t="str">
        <f t="shared" si="293"/>
        <v/>
      </c>
      <c r="N5895" s="11" t="str">
        <f t="shared" si="294"/>
        <v/>
      </c>
    </row>
    <row r="5896" spans="9:14" x14ac:dyDescent="0.25">
      <c r="I5896" s="11" t="b">
        <f t="shared" si="292"/>
        <v>0</v>
      </c>
      <c r="M5896" s="17" t="str">
        <f t="shared" si="293"/>
        <v/>
      </c>
      <c r="N5896" s="11" t="str">
        <f t="shared" si="294"/>
        <v/>
      </c>
    </row>
    <row r="5897" spans="9:14" x14ac:dyDescent="0.25">
      <c r="I5897" s="11" t="b">
        <f t="shared" si="292"/>
        <v>0</v>
      </c>
      <c r="M5897" s="17" t="str">
        <f t="shared" si="293"/>
        <v/>
      </c>
      <c r="N5897" s="11" t="str">
        <f t="shared" si="294"/>
        <v/>
      </c>
    </row>
    <row r="5898" spans="9:14" x14ac:dyDescent="0.25">
      <c r="I5898" s="11" t="b">
        <f t="shared" si="292"/>
        <v>0</v>
      </c>
      <c r="M5898" s="17" t="str">
        <f t="shared" si="293"/>
        <v/>
      </c>
      <c r="N5898" s="11" t="str">
        <f t="shared" si="294"/>
        <v/>
      </c>
    </row>
    <row r="5899" spans="9:14" x14ac:dyDescent="0.25">
      <c r="I5899" s="11" t="b">
        <f t="shared" si="292"/>
        <v>0</v>
      </c>
      <c r="M5899" s="17" t="str">
        <f t="shared" si="293"/>
        <v/>
      </c>
      <c r="N5899" s="11" t="str">
        <f t="shared" si="294"/>
        <v/>
      </c>
    </row>
    <row r="5900" spans="9:14" x14ac:dyDescent="0.25">
      <c r="I5900" s="11" t="b">
        <f t="shared" si="292"/>
        <v>0</v>
      </c>
      <c r="M5900" s="17" t="str">
        <f t="shared" si="293"/>
        <v/>
      </c>
      <c r="N5900" s="11" t="str">
        <f t="shared" si="294"/>
        <v/>
      </c>
    </row>
    <row r="5901" spans="9:14" x14ac:dyDescent="0.25">
      <c r="I5901" s="11" t="b">
        <f t="shared" si="292"/>
        <v>0</v>
      </c>
      <c r="M5901" s="17" t="str">
        <f t="shared" si="293"/>
        <v/>
      </c>
      <c r="N5901" s="11" t="str">
        <f t="shared" si="294"/>
        <v/>
      </c>
    </row>
    <row r="5902" spans="9:14" x14ac:dyDescent="0.25">
      <c r="I5902" s="11" t="b">
        <f t="shared" si="292"/>
        <v>0</v>
      </c>
      <c r="M5902" s="17" t="str">
        <f t="shared" si="293"/>
        <v/>
      </c>
      <c r="N5902" s="11" t="str">
        <f t="shared" si="294"/>
        <v/>
      </c>
    </row>
    <row r="5903" spans="9:14" x14ac:dyDescent="0.25">
      <c r="I5903" s="11" t="b">
        <f t="shared" si="292"/>
        <v>0</v>
      </c>
      <c r="M5903" s="17" t="str">
        <f t="shared" si="293"/>
        <v/>
      </c>
      <c r="N5903" s="11" t="str">
        <f t="shared" si="294"/>
        <v/>
      </c>
    </row>
    <row r="5904" spans="9:14" x14ac:dyDescent="0.25">
      <c r="I5904" s="11" t="b">
        <f t="shared" si="292"/>
        <v>0</v>
      </c>
      <c r="M5904" s="17" t="str">
        <f t="shared" si="293"/>
        <v/>
      </c>
      <c r="N5904" s="11" t="str">
        <f t="shared" si="294"/>
        <v/>
      </c>
    </row>
    <row r="5905" spans="9:14" x14ac:dyDescent="0.25">
      <c r="I5905" s="11" t="b">
        <f t="shared" si="292"/>
        <v>0</v>
      </c>
      <c r="M5905" s="17" t="str">
        <f t="shared" si="293"/>
        <v/>
      </c>
      <c r="N5905" s="11" t="str">
        <f t="shared" si="294"/>
        <v/>
      </c>
    </row>
    <row r="5906" spans="9:14" x14ac:dyDescent="0.25">
      <c r="I5906" s="11" t="b">
        <f t="shared" si="292"/>
        <v>0</v>
      </c>
      <c r="M5906" s="17" t="str">
        <f t="shared" si="293"/>
        <v/>
      </c>
      <c r="N5906" s="11" t="str">
        <f t="shared" si="294"/>
        <v/>
      </c>
    </row>
    <row r="5907" spans="9:14" x14ac:dyDescent="0.25">
      <c r="I5907" s="11" t="b">
        <f t="shared" si="292"/>
        <v>0</v>
      </c>
      <c r="M5907" s="17" t="str">
        <f t="shared" si="293"/>
        <v/>
      </c>
      <c r="N5907" s="11" t="str">
        <f t="shared" si="294"/>
        <v/>
      </c>
    </row>
    <row r="5908" spans="9:14" x14ac:dyDescent="0.25">
      <c r="I5908" s="11" t="b">
        <f t="shared" si="292"/>
        <v>0</v>
      </c>
      <c r="M5908" s="17" t="str">
        <f t="shared" si="293"/>
        <v/>
      </c>
      <c r="N5908" s="11" t="str">
        <f t="shared" si="294"/>
        <v/>
      </c>
    </row>
    <row r="5909" spans="9:14" x14ac:dyDescent="0.25">
      <c r="I5909" s="11" t="b">
        <f t="shared" si="292"/>
        <v>0</v>
      </c>
      <c r="M5909" s="17" t="str">
        <f t="shared" si="293"/>
        <v/>
      </c>
      <c r="N5909" s="11" t="str">
        <f t="shared" si="294"/>
        <v/>
      </c>
    </row>
    <row r="5910" spans="9:14" x14ac:dyDescent="0.25">
      <c r="I5910" s="11" t="b">
        <f t="shared" si="292"/>
        <v>0</v>
      </c>
      <c r="M5910" s="17" t="str">
        <f t="shared" si="293"/>
        <v/>
      </c>
      <c r="N5910" s="11" t="str">
        <f t="shared" si="294"/>
        <v/>
      </c>
    </row>
    <row r="5911" spans="9:14" x14ac:dyDescent="0.25">
      <c r="I5911" s="11" t="b">
        <f t="shared" si="292"/>
        <v>0</v>
      </c>
      <c r="M5911" s="17" t="str">
        <f t="shared" si="293"/>
        <v/>
      </c>
      <c r="N5911" s="11" t="str">
        <f t="shared" si="294"/>
        <v/>
      </c>
    </row>
    <row r="5912" spans="9:14" x14ac:dyDescent="0.25">
      <c r="I5912" s="11" t="b">
        <f t="shared" si="292"/>
        <v>0</v>
      </c>
      <c r="M5912" s="17" t="str">
        <f t="shared" si="293"/>
        <v/>
      </c>
      <c r="N5912" s="11" t="str">
        <f t="shared" si="294"/>
        <v/>
      </c>
    </row>
    <row r="5913" spans="9:14" x14ac:dyDescent="0.25">
      <c r="I5913" s="11" t="b">
        <f t="shared" si="292"/>
        <v>0</v>
      </c>
      <c r="M5913" s="17" t="str">
        <f t="shared" si="293"/>
        <v/>
      </c>
      <c r="N5913" s="11" t="str">
        <f t="shared" si="294"/>
        <v/>
      </c>
    </row>
    <row r="5914" spans="9:14" x14ac:dyDescent="0.25">
      <c r="I5914" s="11" t="b">
        <f t="shared" si="292"/>
        <v>0</v>
      </c>
      <c r="M5914" s="17" t="str">
        <f t="shared" si="293"/>
        <v/>
      </c>
      <c r="N5914" s="11" t="str">
        <f t="shared" si="294"/>
        <v/>
      </c>
    </row>
    <row r="5915" spans="9:14" x14ac:dyDescent="0.25">
      <c r="I5915" s="11" t="b">
        <f t="shared" si="292"/>
        <v>0</v>
      </c>
      <c r="M5915" s="17" t="str">
        <f t="shared" si="293"/>
        <v/>
      </c>
      <c r="N5915" s="11" t="str">
        <f t="shared" si="294"/>
        <v/>
      </c>
    </row>
    <row r="5916" spans="9:14" x14ac:dyDescent="0.25">
      <c r="I5916" s="11" t="b">
        <f t="shared" si="292"/>
        <v>0</v>
      </c>
      <c r="M5916" s="17" t="str">
        <f t="shared" si="293"/>
        <v/>
      </c>
      <c r="N5916" s="11" t="str">
        <f t="shared" si="294"/>
        <v/>
      </c>
    </row>
    <row r="5917" spans="9:14" x14ac:dyDescent="0.25">
      <c r="I5917" s="11" t="b">
        <f t="shared" ref="I5917:I5980" si="295">IF(AND(G5917="MERCADO PAGO",A5917="FATURAMENTO"),1,IF(AND(OR(G5917="MERCADO PAGO",G5917="pix mercado pago",G5917= "débito automático mercado pago", G5917= "boleto mercado pago"),A5917="DESPESAS"),4,IF(AND(G5917="SAFRA",A5917="FATURAMENTO"),2,IF(AND(OR(G5917="SAFRA",G5917="PIX SAFRA", G5917="DÉBITO AUTOMÁTICO SAFRA", G5917= "BOLETO SAFRA", G5917= "transferência safra"), A5917="DESPESAS"),5,IF(AND(G5917="espécie",A5917="FATURAMENTO"),3,IF(AND(G5917="espécie",A5917="DESPESAS"),6))))))</f>
        <v>0</v>
      </c>
      <c r="M5917" s="17" t="str">
        <f t="shared" si="293"/>
        <v/>
      </c>
      <c r="N5917" s="11" t="str">
        <f t="shared" si="294"/>
        <v/>
      </c>
    </row>
    <row r="5918" spans="9:14" x14ac:dyDescent="0.25">
      <c r="I5918" s="11" t="b">
        <f t="shared" si="295"/>
        <v>0</v>
      </c>
      <c r="M5918" s="17" t="str">
        <f t="shared" si="293"/>
        <v/>
      </c>
      <c r="N5918" s="11" t="str">
        <f t="shared" si="294"/>
        <v/>
      </c>
    </row>
    <row r="5919" spans="9:14" x14ac:dyDescent="0.25">
      <c r="I5919" s="11" t="b">
        <f t="shared" si="295"/>
        <v>0</v>
      </c>
      <c r="M5919" s="17" t="str">
        <f t="shared" si="293"/>
        <v/>
      </c>
      <c r="N5919" s="11" t="str">
        <f t="shared" si="294"/>
        <v/>
      </c>
    </row>
    <row r="5920" spans="9:14" x14ac:dyDescent="0.25">
      <c r="I5920" s="11" t="b">
        <f t="shared" si="295"/>
        <v>0</v>
      </c>
      <c r="M5920" s="17" t="str">
        <f t="shared" si="293"/>
        <v/>
      </c>
      <c r="N5920" s="11" t="str">
        <f t="shared" si="294"/>
        <v/>
      </c>
    </row>
    <row r="5921" spans="9:14" x14ac:dyDescent="0.25">
      <c r="I5921" s="11" t="b">
        <f t="shared" si="295"/>
        <v>0</v>
      </c>
      <c r="M5921" s="17" t="str">
        <f t="shared" si="293"/>
        <v/>
      </c>
      <c r="N5921" s="11" t="str">
        <f t="shared" si="294"/>
        <v/>
      </c>
    </row>
    <row r="5922" spans="9:14" x14ac:dyDescent="0.25">
      <c r="I5922" s="11" t="b">
        <f t="shared" si="295"/>
        <v>0</v>
      </c>
      <c r="M5922" s="17" t="str">
        <f t="shared" si="293"/>
        <v/>
      </c>
      <c r="N5922" s="11" t="str">
        <f t="shared" si="294"/>
        <v/>
      </c>
    </row>
    <row r="5923" spans="9:14" x14ac:dyDescent="0.25">
      <c r="I5923" s="11" t="b">
        <f t="shared" si="295"/>
        <v>0</v>
      </c>
      <c r="M5923" s="17" t="str">
        <f t="shared" si="293"/>
        <v/>
      </c>
      <c r="N5923" s="11" t="str">
        <f t="shared" si="294"/>
        <v/>
      </c>
    </row>
    <row r="5924" spans="9:14" x14ac:dyDescent="0.25">
      <c r="I5924" s="11" t="b">
        <f t="shared" si="295"/>
        <v>0</v>
      </c>
      <c r="M5924" s="17" t="str">
        <f t="shared" si="293"/>
        <v/>
      </c>
      <c r="N5924" s="11" t="str">
        <f t="shared" si="294"/>
        <v/>
      </c>
    </row>
    <row r="5925" spans="9:14" x14ac:dyDescent="0.25">
      <c r="I5925" s="11" t="b">
        <f t="shared" si="295"/>
        <v>0</v>
      </c>
      <c r="M5925" s="17" t="str">
        <f t="shared" si="293"/>
        <v/>
      </c>
      <c r="N5925" s="11" t="str">
        <f t="shared" si="294"/>
        <v/>
      </c>
    </row>
    <row r="5926" spans="9:14" x14ac:dyDescent="0.25">
      <c r="I5926" s="11" t="b">
        <f t="shared" si="295"/>
        <v>0</v>
      </c>
      <c r="M5926" s="17" t="str">
        <f t="shared" si="293"/>
        <v/>
      </c>
      <c r="N5926" s="11" t="str">
        <f t="shared" si="294"/>
        <v/>
      </c>
    </row>
    <row r="5927" spans="9:14" x14ac:dyDescent="0.25">
      <c r="I5927" s="11" t="b">
        <f t="shared" si="295"/>
        <v>0</v>
      </c>
      <c r="M5927" s="17" t="str">
        <f t="shared" si="293"/>
        <v/>
      </c>
      <c r="N5927" s="11" t="str">
        <f t="shared" si="294"/>
        <v/>
      </c>
    </row>
    <row r="5928" spans="9:14" x14ac:dyDescent="0.25">
      <c r="I5928" s="11" t="b">
        <f t="shared" si="295"/>
        <v>0</v>
      </c>
      <c r="M5928" s="17" t="str">
        <f t="shared" si="293"/>
        <v/>
      </c>
      <c r="N5928" s="11" t="str">
        <f t="shared" si="294"/>
        <v/>
      </c>
    </row>
    <row r="5929" spans="9:14" x14ac:dyDescent="0.25">
      <c r="I5929" s="11" t="b">
        <f t="shared" si="295"/>
        <v>0</v>
      </c>
      <c r="M5929" s="17" t="str">
        <f t="shared" si="293"/>
        <v/>
      </c>
      <c r="N5929" s="11" t="str">
        <f t="shared" si="294"/>
        <v/>
      </c>
    </row>
    <row r="5930" spans="9:14" x14ac:dyDescent="0.25">
      <c r="I5930" s="11" t="b">
        <f t="shared" si="295"/>
        <v>0</v>
      </c>
      <c r="M5930" s="17" t="str">
        <f t="shared" si="293"/>
        <v/>
      </c>
      <c r="N5930" s="11" t="str">
        <f t="shared" si="294"/>
        <v/>
      </c>
    </row>
    <row r="5931" spans="9:14" x14ac:dyDescent="0.25">
      <c r="I5931" s="11" t="b">
        <f t="shared" si="295"/>
        <v>0</v>
      </c>
      <c r="M5931" s="17" t="str">
        <f t="shared" si="293"/>
        <v/>
      </c>
      <c r="N5931" s="11" t="str">
        <f t="shared" si="294"/>
        <v/>
      </c>
    </row>
    <row r="5932" spans="9:14" x14ac:dyDescent="0.25">
      <c r="I5932" s="11" t="b">
        <f t="shared" si="295"/>
        <v>0</v>
      </c>
      <c r="M5932" s="17" t="str">
        <f t="shared" si="293"/>
        <v/>
      </c>
      <c r="N5932" s="11" t="str">
        <f t="shared" si="294"/>
        <v/>
      </c>
    </row>
    <row r="5933" spans="9:14" x14ac:dyDescent="0.25">
      <c r="I5933" s="11" t="b">
        <f t="shared" si="295"/>
        <v>0</v>
      </c>
      <c r="M5933" s="17" t="str">
        <f t="shared" si="293"/>
        <v/>
      </c>
      <c r="N5933" s="11" t="str">
        <f t="shared" si="294"/>
        <v/>
      </c>
    </row>
    <row r="5934" spans="9:14" x14ac:dyDescent="0.25">
      <c r="I5934" s="11" t="b">
        <f t="shared" si="295"/>
        <v>0</v>
      </c>
      <c r="M5934" s="17" t="str">
        <f t="shared" si="293"/>
        <v/>
      </c>
      <c r="N5934" s="11" t="str">
        <f t="shared" si="294"/>
        <v/>
      </c>
    </row>
    <row r="5935" spans="9:14" x14ac:dyDescent="0.25">
      <c r="I5935" s="11" t="b">
        <f t="shared" si="295"/>
        <v>0</v>
      </c>
      <c r="M5935" s="17" t="str">
        <f t="shared" si="293"/>
        <v/>
      </c>
      <c r="N5935" s="11" t="str">
        <f t="shared" si="294"/>
        <v/>
      </c>
    </row>
    <row r="5936" spans="9:14" x14ac:dyDescent="0.25">
      <c r="I5936" s="11" t="b">
        <f t="shared" si="295"/>
        <v>0</v>
      </c>
      <c r="M5936" s="17" t="str">
        <f t="shared" si="293"/>
        <v/>
      </c>
      <c r="N5936" s="11" t="str">
        <f t="shared" si="294"/>
        <v/>
      </c>
    </row>
    <row r="5937" spans="9:14" x14ac:dyDescent="0.25">
      <c r="I5937" s="11" t="b">
        <f t="shared" si="295"/>
        <v>0</v>
      </c>
      <c r="M5937" s="17" t="str">
        <f t="shared" si="293"/>
        <v/>
      </c>
      <c r="N5937" s="11" t="str">
        <f t="shared" si="294"/>
        <v/>
      </c>
    </row>
    <row r="5938" spans="9:14" x14ac:dyDescent="0.25">
      <c r="I5938" s="11" t="b">
        <f t="shared" si="295"/>
        <v>0</v>
      </c>
      <c r="M5938" s="17" t="str">
        <f t="shared" si="293"/>
        <v/>
      </c>
      <c r="N5938" s="11" t="str">
        <f t="shared" si="294"/>
        <v/>
      </c>
    </row>
    <row r="5939" spans="9:14" x14ac:dyDescent="0.25">
      <c r="I5939" s="11" t="b">
        <f t="shared" si="295"/>
        <v>0</v>
      </c>
      <c r="M5939" s="17" t="str">
        <f t="shared" si="293"/>
        <v/>
      </c>
      <c r="N5939" s="11" t="str">
        <f t="shared" si="294"/>
        <v/>
      </c>
    </row>
    <row r="5940" spans="9:14" x14ac:dyDescent="0.25">
      <c r="I5940" s="11" t="b">
        <f t="shared" si="295"/>
        <v>0</v>
      </c>
      <c r="M5940" s="17" t="str">
        <f t="shared" si="293"/>
        <v/>
      </c>
      <c r="N5940" s="11" t="str">
        <f t="shared" si="294"/>
        <v/>
      </c>
    </row>
    <row r="5941" spans="9:14" x14ac:dyDescent="0.25">
      <c r="I5941" s="11" t="b">
        <f t="shared" si="295"/>
        <v>0</v>
      </c>
      <c r="M5941" s="17" t="str">
        <f t="shared" si="293"/>
        <v/>
      </c>
      <c r="N5941" s="11" t="str">
        <f t="shared" si="294"/>
        <v/>
      </c>
    </row>
    <row r="5942" spans="9:14" x14ac:dyDescent="0.25">
      <c r="I5942" s="11" t="b">
        <f t="shared" si="295"/>
        <v>0</v>
      </c>
      <c r="M5942" s="17" t="str">
        <f t="shared" si="293"/>
        <v/>
      </c>
      <c r="N5942" s="11" t="str">
        <f t="shared" si="294"/>
        <v/>
      </c>
    </row>
    <row r="5943" spans="9:14" x14ac:dyDescent="0.25">
      <c r="I5943" s="11" t="b">
        <f t="shared" si="295"/>
        <v>0</v>
      </c>
      <c r="M5943" s="17" t="str">
        <f t="shared" si="293"/>
        <v/>
      </c>
      <c r="N5943" s="11" t="str">
        <f t="shared" si="294"/>
        <v/>
      </c>
    </row>
    <row r="5944" spans="9:14" x14ac:dyDescent="0.25">
      <c r="I5944" s="11" t="b">
        <f t="shared" si="295"/>
        <v>0</v>
      </c>
      <c r="M5944" s="17" t="str">
        <f t="shared" si="293"/>
        <v/>
      </c>
      <c r="N5944" s="11" t="str">
        <f t="shared" si="294"/>
        <v/>
      </c>
    </row>
    <row r="5945" spans="9:14" x14ac:dyDescent="0.25">
      <c r="I5945" s="11" t="b">
        <f t="shared" si="295"/>
        <v>0</v>
      </c>
      <c r="M5945" s="17" t="str">
        <f t="shared" si="293"/>
        <v/>
      </c>
      <c r="N5945" s="11" t="str">
        <f t="shared" si="294"/>
        <v/>
      </c>
    </row>
    <row r="5946" spans="9:14" x14ac:dyDescent="0.25">
      <c r="I5946" s="11" t="b">
        <f t="shared" si="295"/>
        <v>0</v>
      </c>
      <c r="M5946" s="17" t="str">
        <f t="shared" si="293"/>
        <v/>
      </c>
      <c r="N5946" s="11" t="str">
        <f t="shared" si="294"/>
        <v/>
      </c>
    </row>
    <row r="5947" spans="9:14" x14ac:dyDescent="0.25">
      <c r="I5947" s="11" t="b">
        <f t="shared" si="295"/>
        <v>0</v>
      </c>
      <c r="M5947" s="17" t="str">
        <f t="shared" si="293"/>
        <v/>
      </c>
      <c r="N5947" s="11" t="str">
        <f t="shared" si="294"/>
        <v/>
      </c>
    </row>
    <row r="5948" spans="9:14" x14ac:dyDescent="0.25">
      <c r="I5948" s="11" t="b">
        <f t="shared" si="295"/>
        <v>0</v>
      </c>
      <c r="M5948" s="17" t="str">
        <f t="shared" si="293"/>
        <v/>
      </c>
      <c r="N5948" s="11" t="str">
        <f t="shared" si="294"/>
        <v/>
      </c>
    </row>
    <row r="5949" spans="9:14" x14ac:dyDescent="0.25">
      <c r="I5949" s="11" t="b">
        <f t="shared" si="295"/>
        <v>0</v>
      </c>
      <c r="M5949" s="17" t="str">
        <f t="shared" si="293"/>
        <v/>
      </c>
      <c r="N5949" s="11" t="str">
        <f t="shared" si="294"/>
        <v/>
      </c>
    </row>
    <row r="5950" spans="9:14" x14ac:dyDescent="0.25">
      <c r="I5950" s="11" t="b">
        <f t="shared" si="295"/>
        <v>0</v>
      </c>
      <c r="M5950" s="17" t="str">
        <f t="shared" si="293"/>
        <v/>
      </c>
      <c r="N5950" s="11" t="str">
        <f t="shared" si="294"/>
        <v/>
      </c>
    </row>
    <row r="5951" spans="9:14" x14ac:dyDescent="0.25">
      <c r="I5951" s="11" t="b">
        <f t="shared" si="295"/>
        <v>0</v>
      </c>
      <c r="M5951" s="17" t="str">
        <f t="shared" si="293"/>
        <v/>
      </c>
      <c r="N5951" s="11" t="str">
        <f t="shared" si="294"/>
        <v/>
      </c>
    </row>
    <row r="5952" spans="9:14" x14ac:dyDescent="0.25">
      <c r="I5952" s="11" t="b">
        <f t="shared" si="295"/>
        <v>0</v>
      </c>
      <c r="M5952" s="17" t="str">
        <f t="shared" si="293"/>
        <v/>
      </c>
      <c r="N5952" s="11" t="str">
        <f t="shared" si="294"/>
        <v/>
      </c>
    </row>
    <row r="5953" spans="9:14" x14ac:dyDescent="0.25">
      <c r="I5953" s="11" t="b">
        <f t="shared" si="295"/>
        <v>0</v>
      </c>
      <c r="M5953" s="17" t="str">
        <f t="shared" ref="M5953:M6016" si="296">IF(B5953=0, "",M5952+ J5953-K5953)</f>
        <v/>
      </c>
      <c r="N5953" s="11" t="str">
        <f t="shared" ref="N5953:N6016" si="297">IF(B5953=0, "", MONTH(B5953))</f>
        <v/>
      </c>
    </row>
    <row r="5954" spans="9:14" x14ac:dyDescent="0.25">
      <c r="I5954" s="11" t="b">
        <f t="shared" si="295"/>
        <v>0</v>
      </c>
      <c r="M5954" s="17" t="str">
        <f t="shared" si="296"/>
        <v/>
      </c>
      <c r="N5954" s="11" t="str">
        <f t="shared" si="297"/>
        <v/>
      </c>
    </row>
    <row r="5955" spans="9:14" x14ac:dyDescent="0.25">
      <c r="I5955" s="11" t="b">
        <f t="shared" si="295"/>
        <v>0</v>
      </c>
      <c r="M5955" s="17" t="str">
        <f t="shared" si="296"/>
        <v/>
      </c>
      <c r="N5955" s="11" t="str">
        <f t="shared" si="297"/>
        <v/>
      </c>
    </row>
    <row r="5956" spans="9:14" x14ac:dyDescent="0.25">
      <c r="I5956" s="11" t="b">
        <f t="shared" si="295"/>
        <v>0</v>
      </c>
      <c r="M5956" s="17" t="str">
        <f t="shared" si="296"/>
        <v/>
      </c>
      <c r="N5956" s="11" t="str">
        <f t="shared" si="297"/>
        <v/>
      </c>
    </row>
    <row r="5957" spans="9:14" x14ac:dyDescent="0.25">
      <c r="I5957" s="11" t="b">
        <f t="shared" si="295"/>
        <v>0</v>
      </c>
      <c r="M5957" s="17" t="str">
        <f t="shared" si="296"/>
        <v/>
      </c>
      <c r="N5957" s="11" t="str">
        <f t="shared" si="297"/>
        <v/>
      </c>
    </row>
    <row r="5958" spans="9:14" x14ac:dyDescent="0.25">
      <c r="I5958" s="11" t="b">
        <f t="shared" si="295"/>
        <v>0</v>
      </c>
      <c r="M5958" s="17" t="str">
        <f t="shared" si="296"/>
        <v/>
      </c>
      <c r="N5958" s="11" t="str">
        <f t="shared" si="297"/>
        <v/>
      </c>
    </row>
    <row r="5959" spans="9:14" x14ac:dyDescent="0.25">
      <c r="I5959" s="11" t="b">
        <f t="shared" si="295"/>
        <v>0</v>
      </c>
      <c r="M5959" s="17" t="str">
        <f t="shared" si="296"/>
        <v/>
      </c>
      <c r="N5959" s="11" t="str">
        <f t="shared" si="297"/>
        <v/>
      </c>
    </row>
    <row r="5960" spans="9:14" x14ac:dyDescent="0.25">
      <c r="I5960" s="11" t="b">
        <f t="shared" si="295"/>
        <v>0</v>
      </c>
      <c r="M5960" s="17" t="str">
        <f t="shared" si="296"/>
        <v/>
      </c>
      <c r="N5960" s="11" t="str">
        <f t="shared" si="297"/>
        <v/>
      </c>
    </row>
    <row r="5961" spans="9:14" x14ac:dyDescent="0.25">
      <c r="I5961" s="11" t="b">
        <f t="shared" si="295"/>
        <v>0</v>
      </c>
      <c r="M5961" s="17" t="str">
        <f t="shared" si="296"/>
        <v/>
      </c>
      <c r="N5961" s="11" t="str">
        <f t="shared" si="297"/>
        <v/>
      </c>
    </row>
    <row r="5962" spans="9:14" x14ac:dyDescent="0.25">
      <c r="I5962" s="11" t="b">
        <f t="shared" si="295"/>
        <v>0</v>
      </c>
      <c r="M5962" s="17" t="str">
        <f t="shared" si="296"/>
        <v/>
      </c>
      <c r="N5962" s="11" t="str">
        <f t="shared" si="297"/>
        <v/>
      </c>
    </row>
    <row r="5963" spans="9:14" x14ac:dyDescent="0.25">
      <c r="I5963" s="11" t="b">
        <f t="shared" si="295"/>
        <v>0</v>
      </c>
      <c r="M5963" s="17" t="str">
        <f t="shared" si="296"/>
        <v/>
      </c>
      <c r="N5963" s="11" t="str">
        <f t="shared" si="297"/>
        <v/>
      </c>
    </row>
    <row r="5964" spans="9:14" x14ac:dyDescent="0.25">
      <c r="I5964" s="11" t="b">
        <f t="shared" si="295"/>
        <v>0</v>
      </c>
      <c r="M5964" s="17" t="str">
        <f t="shared" si="296"/>
        <v/>
      </c>
      <c r="N5964" s="11" t="str">
        <f t="shared" si="297"/>
        <v/>
      </c>
    </row>
    <row r="5965" spans="9:14" x14ac:dyDescent="0.25">
      <c r="I5965" s="11" t="b">
        <f t="shared" si="295"/>
        <v>0</v>
      </c>
      <c r="M5965" s="17" t="str">
        <f t="shared" si="296"/>
        <v/>
      </c>
      <c r="N5965" s="11" t="str">
        <f t="shared" si="297"/>
        <v/>
      </c>
    </row>
    <row r="5966" spans="9:14" x14ac:dyDescent="0.25">
      <c r="I5966" s="11" t="b">
        <f t="shared" si="295"/>
        <v>0</v>
      </c>
      <c r="M5966" s="17" t="str">
        <f t="shared" si="296"/>
        <v/>
      </c>
      <c r="N5966" s="11" t="str">
        <f t="shared" si="297"/>
        <v/>
      </c>
    </row>
    <row r="5967" spans="9:14" x14ac:dyDescent="0.25">
      <c r="I5967" s="11" t="b">
        <f t="shared" si="295"/>
        <v>0</v>
      </c>
      <c r="M5967" s="17" t="str">
        <f t="shared" si="296"/>
        <v/>
      </c>
      <c r="N5967" s="11" t="str">
        <f t="shared" si="297"/>
        <v/>
      </c>
    </row>
    <row r="5968" spans="9:14" x14ac:dyDescent="0.25">
      <c r="I5968" s="11" t="b">
        <f t="shared" si="295"/>
        <v>0</v>
      </c>
      <c r="M5968" s="17" t="str">
        <f t="shared" si="296"/>
        <v/>
      </c>
      <c r="N5968" s="11" t="str">
        <f t="shared" si="297"/>
        <v/>
      </c>
    </row>
    <row r="5969" spans="9:14" x14ac:dyDescent="0.25">
      <c r="I5969" s="11" t="b">
        <f t="shared" si="295"/>
        <v>0</v>
      </c>
      <c r="M5969" s="17" t="str">
        <f t="shared" si="296"/>
        <v/>
      </c>
      <c r="N5969" s="11" t="str">
        <f t="shared" si="297"/>
        <v/>
      </c>
    </row>
    <row r="5970" spans="9:14" x14ac:dyDescent="0.25">
      <c r="I5970" s="11" t="b">
        <f t="shared" si="295"/>
        <v>0</v>
      </c>
      <c r="M5970" s="17" t="str">
        <f t="shared" si="296"/>
        <v/>
      </c>
      <c r="N5970" s="11" t="str">
        <f t="shared" si="297"/>
        <v/>
      </c>
    </row>
    <row r="5971" spans="9:14" x14ac:dyDescent="0.25">
      <c r="I5971" s="11" t="b">
        <f t="shared" si="295"/>
        <v>0</v>
      </c>
      <c r="M5971" s="17" t="str">
        <f t="shared" si="296"/>
        <v/>
      </c>
      <c r="N5971" s="11" t="str">
        <f t="shared" si="297"/>
        <v/>
      </c>
    </row>
    <row r="5972" spans="9:14" x14ac:dyDescent="0.25">
      <c r="I5972" s="11" t="b">
        <f t="shared" si="295"/>
        <v>0</v>
      </c>
      <c r="M5972" s="17" t="str">
        <f t="shared" si="296"/>
        <v/>
      </c>
      <c r="N5972" s="11" t="str">
        <f t="shared" si="297"/>
        <v/>
      </c>
    </row>
    <row r="5973" spans="9:14" x14ac:dyDescent="0.25">
      <c r="I5973" s="11" t="b">
        <f t="shared" si="295"/>
        <v>0</v>
      </c>
      <c r="M5973" s="17" t="str">
        <f t="shared" si="296"/>
        <v/>
      </c>
      <c r="N5973" s="11" t="str">
        <f t="shared" si="297"/>
        <v/>
      </c>
    </row>
    <row r="5974" spans="9:14" x14ac:dyDescent="0.25">
      <c r="I5974" s="11" t="b">
        <f t="shared" si="295"/>
        <v>0</v>
      </c>
      <c r="M5974" s="17" t="str">
        <f t="shared" si="296"/>
        <v/>
      </c>
      <c r="N5974" s="11" t="str">
        <f t="shared" si="297"/>
        <v/>
      </c>
    </row>
    <row r="5975" spans="9:14" x14ac:dyDescent="0.25">
      <c r="I5975" s="11" t="b">
        <f t="shared" si="295"/>
        <v>0</v>
      </c>
      <c r="M5975" s="17" t="str">
        <f t="shared" si="296"/>
        <v/>
      </c>
      <c r="N5975" s="11" t="str">
        <f t="shared" si="297"/>
        <v/>
      </c>
    </row>
    <row r="5976" spans="9:14" x14ac:dyDescent="0.25">
      <c r="I5976" s="11" t="b">
        <f t="shared" si="295"/>
        <v>0</v>
      </c>
      <c r="M5976" s="17" t="str">
        <f t="shared" si="296"/>
        <v/>
      </c>
      <c r="N5976" s="11" t="str">
        <f t="shared" si="297"/>
        <v/>
      </c>
    </row>
    <row r="5977" spans="9:14" x14ac:dyDescent="0.25">
      <c r="I5977" s="11" t="b">
        <f t="shared" si="295"/>
        <v>0</v>
      </c>
      <c r="M5977" s="17" t="str">
        <f t="shared" si="296"/>
        <v/>
      </c>
      <c r="N5977" s="11" t="str">
        <f t="shared" si="297"/>
        <v/>
      </c>
    </row>
    <row r="5978" spans="9:14" x14ac:dyDescent="0.25">
      <c r="I5978" s="11" t="b">
        <f t="shared" si="295"/>
        <v>0</v>
      </c>
      <c r="M5978" s="17" t="str">
        <f t="shared" si="296"/>
        <v/>
      </c>
      <c r="N5978" s="11" t="str">
        <f t="shared" si="297"/>
        <v/>
      </c>
    </row>
    <row r="5979" spans="9:14" x14ac:dyDescent="0.25">
      <c r="I5979" s="11" t="b">
        <f t="shared" si="295"/>
        <v>0</v>
      </c>
      <c r="M5979" s="17" t="str">
        <f t="shared" si="296"/>
        <v/>
      </c>
      <c r="N5979" s="11" t="str">
        <f t="shared" si="297"/>
        <v/>
      </c>
    </row>
    <row r="5980" spans="9:14" x14ac:dyDescent="0.25">
      <c r="I5980" s="11" t="b">
        <f t="shared" si="295"/>
        <v>0</v>
      </c>
      <c r="M5980" s="17" t="str">
        <f t="shared" si="296"/>
        <v/>
      </c>
      <c r="N5980" s="11" t="str">
        <f t="shared" si="297"/>
        <v/>
      </c>
    </row>
    <row r="5981" spans="9:14" x14ac:dyDescent="0.25">
      <c r="I5981" s="11" t="b">
        <f t="shared" ref="I5981:I6044" si="298">IF(AND(G5981="MERCADO PAGO",A5981="FATURAMENTO"),1,IF(AND(OR(G5981="MERCADO PAGO",G5981="pix mercado pago",G5981= "débito automático mercado pago", G5981= "boleto mercado pago"),A5981="DESPESAS"),4,IF(AND(G5981="SAFRA",A5981="FATURAMENTO"),2,IF(AND(OR(G5981="SAFRA",G5981="PIX SAFRA", G5981="DÉBITO AUTOMÁTICO SAFRA", G5981= "BOLETO SAFRA", G5981= "transferência safra"), A5981="DESPESAS"),5,IF(AND(G5981="espécie",A5981="FATURAMENTO"),3,IF(AND(G5981="espécie",A5981="DESPESAS"),6))))))</f>
        <v>0</v>
      </c>
      <c r="M5981" s="17" t="str">
        <f t="shared" si="296"/>
        <v/>
      </c>
      <c r="N5981" s="11" t="str">
        <f t="shared" si="297"/>
        <v/>
      </c>
    </row>
    <row r="5982" spans="9:14" x14ac:dyDescent="0.25">
      <c r="I5982" s="11" t="b">
        <f t="shared" si="298"/>
        <v>0</v>
      </c>
      <c r="M5982" s="17" t="str">
        <f t="shared" si="296"/>
        <v/>
      </c>
      <c r="N5982" s="11" t="str">
        <f t="shared" si="297"/>
        <v/>
      </c>
    </row>
    <row r="5983" spans="9:14" x14ac:dyDescent="0.25">
      <c r="I5983" s="11" t="b">
        <f t="shared" si="298"/>
        <v>0</v>
      </c>
      <c r="M5983" s="17" t="str">
        <f t="shared" si="296"/>
        <v/>
      </c>
      <c r="N5983" s="11" t="str">
        <f t="shared" si="297"/>
        <v/>
      </c>
    </row>
    <row r="5984" spans="9:14" x14ac:dyDescent="0.25">
      <c r="I5984" s="11" t="b">
        <f t="shared" si="298"/>
        <v>0</v>
      </c>
      <c r="M5984" s="17" t="str">
        <f t="shared" si="296"/>
        <v/>
      </c>
      <c r="N5984" s="11" t="str">
        <f t="shared" si="297"/>
        <v/>
      </c>
    </row>
    <row r="5985" spans="9:14" x14ac:dyDescent="0.25">
      <c r="I5985" s="11" t="b">
        <f t="shared" si="298"/>
        <v>0</v>
      </c>
      <c r="M5985" s="17" t="str">
        <f t="shared" si="296"/>
        <v/>
      </c>
      <c r="N5985" s="11" t="str">
        <f t="shared" si="297"/>
        <v/>
      </c>
    </row>
    <row r="5986" spans="9:14" x14ac:dyDescent="0.25">
      <c r="I5986" s="11" t="b">
        <f t="shared" si="298"/>
        <v>0</v>
      </c>
      <c r="M5986" s="17" t="str">
        <f t="shared" si="296"/>
        <v/>
      </c>
      <c r="N5986" s="11" t="str">
        <f t="shared" si="297"/>
        <v/>
      </c>
    </row>
    <row r="5987" spans="9:14" x14ac:dyDescent="0.25">
      <c r="I5987" s="11" t="b">
        <f t="shared" si="298"/>
        <v>0</v>
      </c>
      <c r="M5987" s="17" t="str">
        <f t="shared" si="296"/>
        <v/>
      </c>
      <c r="N5987" s="11" t="str">
        <f t="shared" si="297"/>
        <v/>
      </c>
    </row>
    <row r="5988" spans="9:14" x14ac:dyDescent="0.25">
      <c r="I5988" s="11" t="b">
        <f t="shared" si="298"/>
        <v>0</v>
      </c>
      <c r="M5988" s="17" t="str">
        <f t="shared" si="296"/>
        <v/>
      </c>
      <c r="N5988" s="11" t="str">
        <f t="shared" si="297"/>
        <v/>
      </c>
    </row>
    <row r="5989" spans="9:14" x14ac:dyDescent="0.25">
      <c r="I5989" s="11" t="b">
        <f t="shared" si="298"/>
        <v>0</v>
      </c>
      <c r="M5989" s="17" t="str">
        <f t="shared" si="296"/>
        <v/>
      </c>
      <c r="N5989" s="11" t="str">
        <f t="shared" si="297"/>
        <v/>
      </c>
    </row>
    <row r="5990" spans="9:14" x14ac:dyDescent="0.25">
      <c r="I5990" s="11" t="b">
        <f t="shared" si="298"/>
        <v>0</v>
      </c>
      <c r="M5990" s="17" t="str">
        <f t="shared" si="296"/>
        <v/>
      </c>
      <c r="N5990" s="11" t="str">
        <f t="shared" si="297"/>
        <v/>
      </c>
    </row>
    <row r="5991" spans="9:14" x14ac:dyDescent="0.25">
      <c r="I5991" s="11" t="b">
        <f t="shared" si="298"/>
        <v>0</v>
      </c>
      <c r="M5991" s="17" t="str">
        <f t="shared" si="296"/>
        <v/>
      </c>
      <c r="N5991" s="11" t="str">
        <f t="shared" si="297"/>
        <v/>
      </c>
    </row>
    <row r="5992" spans="9:14" x14ac:dyDescent="0.25">
      <c r="I5992" s="11" t="b">
        <f t="shared" si="298"/>
        <v>0</v>
      </c>
      <c r="M5992" s="17" t="str">
        <f t="shared" si="296"/>
        <v/>
      </c>
      <c r="N5992" s="11" t="str">
        <f t="shared" si="297"/>
        <v/>
      </c>
    </row>
    <row r="5993" spans="9:14" x14ac:dyDescent="0.25">
      <c r="I5993" s="11" t="b">
        <f t="shared" si="298"/>
        <v>0</v>
      </c>
      <c r="M5993" s="17" t="str">
        <f t="shared" si="296"/>
        <v/>
      </c>
      <c r="N5993" s="11" t="str">
        <f t="shared" si="297"/>
        <v/>
      </c>
    </row>
    <row r="5994" spans="9:14" x14ac:dyDescent="0.25">
      <c r="I5994" s="11" t="b">
        <f t="shared" si="298"/>
        <v>0</v>
      </c>
      <c r="M5994" s="17" t="str">
        <f t="shared" si="296"/>
        <v/>
      </c>
      <c r="N5994" s="11" t="str">
        <f t="shared" si="297"/>
        <v/>
      </c>
    </row>
    <row r="5995" spans="9:14" x14ac:dyDescent="0.25">
      <c r="I5995" s="11" t="b">
        <f t="shared" si="298"/>
        <v>0</v>
      </c>
      <c r="M5995" s="17" t="str">
        <f t="shared" si="296"/>
        <v/>
      </c>
      <c r="N5995" s="11" t="str">
        <f t="shared" si="297"/>
        <v/>
      </c>
    </row>
    <row r="5996" spans="9:14" x14ac:dyDescent="0.25">
      <c r="I5996" s="11" t="b">
        <f t="shared" si="298"/>
        <v>0</v>
      </c>
      <c r="M5996" s="17" t="str">
        <f t="shared" si="296"/>
        <v/>
      </c>
      <c r="N5996" s="11" t="str">
        <f t="shared" si="297"/>
        <v/>
      </c>
    </row>
    <row r="5997" spans="9:14" x14ac:dyDescent="0.25">
      <c r="I5997" s="11" t="b">
        <f t="shared" si="298"/>
        <v>0</v>
      </c>
      <c r="M5997" s="17" t="str">
        <f t="shared" si="296"/>
        <v/>
      </c>
      <c r="N5997" s="11" t="str">
        <f t="shared" si="297"/>
        <v/>
      </c>
    </row>
    <row r="5998" spans="9:14" x14ac:dyDescent="0.25">
      <c r="I5998" s="11" t="b">
        <f t="shared" si="298"/>
        <v>0</v>
      </c>
      <c r="M5998" s="17" t="str">
        <f t="shared" si="296"/>
        <v/>
      </c>
      <c r="N5998" s="11" t="str">
        <f t="shared" si="297"/>
        <v/>
      </c>
    </row>
    <row r="5999" spans="9:14" x14ac:dyDescent="0.25">
      <c r="I5999" s="11" t="b">
        <f t="shared" si="298"/>
        <v>0</v>
      </c>
      <c r="M5999" s="17" t="str">
        <f t="shared" si="296"/>
        <v/>
      </c>
      <c r="N5999" s="11" t="str">
        <f t="shared" si="297"/>
        <v/>
      </c>
    </row>
    <row r="6000" spans="9:14" x14ac:dyDescent="0.25">
      <c r="I6000" s="11" t="b">
        <f t="shared" si="298"/>
        <v>0</v>
      </c>
      <c r="M6000" s="17" t="str">
        <f t="shared" si="296"/>
        <v/>
      </c>
      <c r="N6000" s="11" t="str">
        <f t="shared" si="297"/>
        <v/>
      </c>
    </row>
    <row r="6001" spans="9:14" x14ac:dyDescent="0.25">
      <c r="I6001" s="11" t="b">
        <f t="shared" si="298"/>
        <v>0</v>
      </c>
      <c r="M6001" s="17" t="str">
        <f t="shared" si="296"/>
        <v/>
      </c>
      <c r="N6001" s="11" t="str">
        <f t="shared" si="297"/>
        <v/>
      </c>
    </row>
    <row r="6002" spans="9:14" x14ac:dyDescent="0.25">
      <c r="I6002" s="11" t="b">
        <f t="shared" si="298"/>
        <v>0</v>
      </c>
      <c r="M6002" s="17" t="str">
        <f t="shared" si="296"/>
        <v/>
      </c>
      <c r="N6002" s="11" t="str">
        <f t="shared" si="297"/>
        <v/>
      </c>
    </row>
    <row r="6003" spans="9:14" x14ac:dyDescent="0.25">
      <c r="I6003" s="11" t="b">
        <f t="shared" si="298"/>
        <v>0</v>
      </c>
      <c r="M6003" s="17" t="str">
        <f t="shared" si="296"/>
        <v/>
      </c>
      <c r="N6003" s="11" t="str">
        <f t="shared" si="297"/>
        <v/>
      </c>
    </row>
    <row r="6004" spans="9:14" x14ac:dyDescent="0.25">
      <c r="I6004" s="11" t="b">
        <f t="shared" si="298"/>
        <v>0</v>
      </c>
      <c r="M6004" s="17" t="str">
        <f t="shared" si="296"/>
        <v/>
      </c>
      <c r="N6004" s="11" t="str">
        <f t="shared" si="297"/>
        <v/>
      </c>
    </row>
    <row r="6005" spans="9:14" x14ac:dyDescent="0.25">
      <c r="I6005" s="11" t="b">
        <f t="shared" si="298"/>
        <v>0</v>
      </c>
      <c r="M6005" s="17" t="str">
        <f t="shared" si="296"/>
        <v/>
      </c>
      <c r="N6005" s="11" t="str">
        <f t="shared" si="297"/>
        <v/>
      </c>
    </row>
    <row r="6006" spans="9:14" x14ac:dyDescent="0.25">
      <c r="I6006" s="11" t="b">
        <f t="shared" si="298"/>
        <v>0</v>
      </c>
      <c r="M6006" s="17" t="str">
        <f t="shared" si="296"/>
        <v/>
      </c>
      <c r="N6006" s="11" t="str">
        <f t="shared" si="297"/>
        <v/>
      </c>
    </row>
    <row r="6007" spans="9:14" x14ac:dyDescent="0.25">
      <c r="I6007" s="11" t="b">
        <f t="shared" si="298"/>
        <v>0</v>
      </c>
      <c r="M6007" s="17" t="str">
        <f t="shared" si="296"/>
        <v/>
      </c>
      <c r="N6007" s="11" t="str">
        <f t="shared" si="297"/>
        <v/>
      </c>
    </row>
    <row r="6008" spans="9:14" x14ac:dyDescent="0.25">
      <c r="I6008" s="11" t="b">
        <f t="shared" si="298"/>
        <v>0</v>
      </c>
      <c r="M6008" s="17" t="str">
        <f t="shared" si="296"/>
        <v/>
      </c>
      <c r="N6008" s="11" t="str">
        <f t="shared" si="297"/>
        <v/>
      </c>
    </row>
    <row r="6009" spans="9:14" x14ac:dyDescent="0.25">
      <c r="I6009" s="11" t="b">
        <f t="shared" si="298"/>
        <v>0</v>
      </c>
      <c r="M6009" s="17" t="str">
        <f t="shared" si="296"/>
        <v/>
      </c>
      <c r="N6009" s="11" t="str">
        <f t="shared" si="297"/>
        <v/>
      </c>
    </row>
    <row r="6010" spans="9:14" x14ac:dyDescent="0.25">
      <c r="I6010" s="11" t="b">
        <f t="shared" si="298"/>
        <v>0</v>
      </c>
      <c r="M6010" s="17" t="str">
        <f t="shared" si="296"/>
        <v/>
      </c>
      <c r="N6010" s="11" t="str">
        <f t="shared" si="297"/>
        <v/>
      </c>
    </row>
    <row r="6011" spans="9:14" x14ac:dyDescent="0.25">
      <c r="I6011" s="11" t="b">
        <f t="shared" si="298"/>
        <v>0</v>
      </c>
      <c r="M6011" s="17" t="str">
        <f t="shared" si="296"/>
        <v/>
      </c>
      <c r="N6011" s="11" t="str">
        <f t="shared" si="297"/>
        <v/>
      </c>
    </row>
    <row r="6012" spans="9:14" x14ac:dyDescent="0.25">
      <c r="I6012" s="11" t="b">
        <f t="shared" si="298"/>
        <v>0</v>
      </c>
      <c r="M6012" s="17" t="str">
        <f t="shared" si="296"/>
        <v/>
      </c>
      <c r="N6012" s="11" t="str">
        <f t="shared" si="297"/>
        <v/>
      </c>
    </row>
    <row r="6013" spans="9:14" x14ac:dyDescent="0.25">
      <c r="I6013" s="11" t="b">
        <f t="shared" si="298"/>
        <v>0</v>
      </c>
      <c r="M6013" s="17" t="str">
        <f t="shared" si="296"/>
        <v/>
      </c>
      <c r="N6013" s="11" t="str">
        <f t="shared" si="297"/>
        <v/>
      </c>
    </row>
    <row r="6014" spans="9:14" x14ac:dyDescent="0.25">
      <c r="I6014" s="11" t="b">
        <f t="shared" si="298"/>
        <v>0</v>
      </c>
      <c r="M6014" s="17" t="str">
        <f t="shared" si="296"/>
        <v/>
      </c>
      <c r="N6014" s="11" t="str">
        <f t="shared" si="297"/>
        <v/>
      </c>
    </row>
    <row r="6015" spans="9:14" x14ac:dyDescent="0.25">
      <c r="I6015" s="11" t="b">
        <f t="shared" si="298"/>
        <v>0</v>
      </c>
      <c r="M6015" s="17" t="str">
        <f t="shared" si="296"/>
        <v/>
      </c>
      <c r="N6015" s="11" t="str">
        <f t="shared" si="297"/>
        <v/>
      </c>
    </row>
    <row r="6016" spans="9:14" x14ac:dyDescent="0.25">
      <c r="I6016" s="11" t="b">
        <f t="shared" si="298"/>
        <v>0</v>
      </c>
      <c r="M6016" s="17" t="str">
        <f t="shared" si="296"/>
        <v/>
      </c>
      <c r="N6016" s="11" t="str">
        <f t="shared" si="297"/>
        <v/>
      </c>
    </row>
    <row r="6017" spans="9:14" x14ac:dyDescent="0.25">
      <c r="I6017" s="11" t="b">
        <f t="shared" si="298"/>
        <v>0</v>
      </c>
      <c r="M6017" s="17" t="str">
        <f t="shared" ref="M6017:M6080" si="299">IF(B6017=0, "",M6016+ J6017-K6017)</f>
        <v/>
      </c>
      <c r="N6017" s="11" t="str">
        <f t="shared" ref="N6017:N6080" si="300">IF(B6017=0, "", MONTH(B6017))</f>
        <v/>
      </c>
    </row>
    <row r="6018" spans="9:14" x14ac:dyDescent="0.25">
      <c r="I6018" s="11" t="b">
        <f t="shared" si="298"/>
        <v>0</v>
      </c>
      <c r="M6018" s="17" t="str">
        <f t="shared" si="299"/>
        <v/>
      </c>
      <c r="N6018" s="11" t="str">
        <f t="shared" si="300"/>
        <v/>
      </c>
    </row>
    <row r="6019" spans="9:14" x14ac:dyDescent="0.25">
      <c r="I6019" s="11" t="b">
        <f t="shared" si="298"/>
        <v>0</v>
      </c>
      <c r="M6019" s="17" t="str">
        <f t="shared" si="299"/>
        <v/>
      </c>
      <c r="N6019" s="11" t="str">
        <f t="shared" si="300"/>
        <v/>
      </c>
    </row>
    <row r="6020" spans="9:14" x14ac:dyDescent="0.25">
      <c r="I6020" s="11" t="b">
        <f t="shared" si="298"/>
        <v>0</v>
      </c>
      <c r="M6020" s="17" t="str">
        <f t="shared" si="299"/>
        <v/>
      </c>
      <c r="N6020" s="11" t="str">
        <f t="shared" si="300"/>
        <v/>
      </c>
    </row>
    <row r="6021" spans="9:14" x14ac:dyDescent="0.25">
      <c r="I6021" s="11" t="b">
        <f t="shared" si="298"/>
        <v>0</v>
      </c>
      <c r="M6021" s="17" t="str">
        <f t="shared" si="299"/>
        <v/>
      </c>
      <c r="N6021" s="11" t="str">
        <f t="shared" si="300"/>
        <v/>
      </c>
    </row>
    <row r="6022" spans="9:14" x14ac:dyDescent="0.25">
      <c r="I6022" s="11" t="b">
        <f t="shared" si="298"/>
        <v>0</v>
      </c>
      <c r="M6022" s="17" t="str">
        <f t="shared" si="299"/>
        <v/>
      </c>
      <c r="N6022" s="11" t="str">
        <f t="shared" si="300"/>
        <v/>
      </c>
    </row>
    <row r="6023" spans="9:14" x14ac:dyDescent="0.25">
      <c r="I6023" s="11" t="b">
        <f t="shared" si="298"/>
        <v>0</v>
      </c>
      <c r="M6023" s="17" t="str">
        <f t="shared" si="299"/>
        <v/>
      </c>
      <c r="N6023" s="11" t="str">
        <f t="shared" si="300"/>
        <v/>
      </c>
    </row>
    <row r="6024" spans="9:14" x14ac:dyDescent="0.25">
      <c r="I6024" s="11" t="b">
        <f t="shared" si="298"/>
        <v>0</v>
      </c>
      <c r="M6024" s="17" t="str">
        <f t="shared" si="299"/>
        <v/>
      </c>
      <c r="N6024" s="11" t="str">
        <f t="shared" si="300"/>
        <v/>
      </c>
    </row>
    <row r="6025" spans="9:14" x14ac:dyDescent="0.25">
      <c r="I6025" s="11" t="b">
        <f t="shared" si="298"/>
        <v>0</v>
      </c>
      <c r="M6025" s="17" t="str">
        <f t="shared" si="299"/>
        <v/>
      </c>
      <c r="N6025" s="11" t="str">
        <f t="shared" si="300"/>
        <v/>
      </c>
    </row>
    <row r="6026" spans="9:14" x14ac:dyDescent="0.25">
      <c r="I6026" s="11" t="b">
        <f t="shared" si="298"/>
        <v>0</v>
      </c>
      <c r="M6026" s="17" t="str">
        <f t="shared" si="299"/>
        <v/>
      </c>
      <c r="N6026" s="11" t="str">
        <f t="shared" si="300"/>
        <v/>
      </c>
    </row>
    <row r="6027" spans="9:14" x14ac:dyDescent="0.25">
      <c r="I6027" s="11" t="b">
        <f t="shared" si="298"/>
        <v>0</v>
      </c>
      <c r="M6027" s="17" t="str">
        <f t="shared" si="299"/>
        <v/>
      </c>
      <c r="N6027" s="11" t="str">
        <f t="shared" si="300"/>
        <v/>
      </c>
    </row>
    <row r="6028" spans="9:14" x14ac:dyDescent="0.25">
      <c r="I6028" s="11" t="b">
        <f t="shared" si="298"/>
        <v>0</v>
      </c>
      <c r="M6028" s="17" t="str">
        <f t="shared" si="299"/>
        <v/>
      </c>
      <c r="N6028" s="11" t="str">
        <f t="shared" si="300"/>
        <v/>
      </c>
    </row>
    <row r="6029" spans="9:14" x14ac:dyDescent="0.25">
      <c r="I6029" s="11" t="b">
        <f t="shared" si="298"/>
        <v>0</v>
      </c>
      <c r="M6029" s="17" t="str">
        <f t="shared" si="299"/>
        <v/>
      </c>
      <c r="N6029" s="11" t="str">
        <f t="shared" si="300"/>
        <v/>
      </c>
    </row>
    <row r="6030" spans="9:14" x14ac:dyDescent="0.25">
      <c r="I6030" s="11" t="b">
        <f t="shared" si="298"/>
        <v>0</v>
      </c>
      <c r="M6030" s="17" t="str">
        <f t="shared" si="299"/>
        <v/>
      </c>
      <c r="N6030" s="11" t="str">
        <f t="shared" si="300"/>
        <v/>
      </c>
    </row>
    <row r="6031" spans="9:14" x14ac:dyDescent="0.25">
      <c r="I6031" s="11" t="b">
        <f t="shared" si="298"/>
        <v>0</v>
      </c>
      <c r="M6031" s="17" t="str">
        <f t="shared" si="299"/>
        <v/>
      </c>
      <c r="N6031" s="11" t="str">
        <f t="shared" si="300"/>
        <v/>
      </c>
    </row>
    <row r="6032" spans="9:14" x14ac:dyDescent="0.25">
      <c r="I6032" s="11" t="b">
        <f t="shared" si="298"/>
        <v>0</v>
      </c>
      <c r="M6032" s="17" t="str">
        <f t="shared" si="299"/>
        <v/>
      </c>
      <c r="N6032" s="11" t="str">
        <f t="shared" si="300"/>
        <v/>
      </c>
    </row>
    <row r="6033" spans="9:14" x14ac:dyDescent="0.25">
      <c r="I6033" s="11" t="b">
        <f t="shared" si="298"/>
        <v>0</v>
      </c>
      <c r="M6033" s="17" t="str">
        <f t="shared" si="299"/>
        <v/>
      </c>
      <c r="N6033" s="11" t="str">
        <f t="shared" si="300"/>
        <v/>
      </c>
    </row>
    <row r="6034" spans="9:14" x14ac:dyDescent="0.25">
      <c r="I6034" s="11" t="b">
        <f t="shared" si="298"/>
        <v>0</v>
      </c>
      <c r="M6034" s="17" t="str">
        <f t="shared" si="299"/>
        <v/>
      </c>
      <c r="N6034" s="11" t="str">
        <f t="shared" si="300"/>
        <v/>
      </c>
    </row>
    <row r="6035" spans="9:14" x14ac:dyDescent="0.25">
      <c r="I6035" s="11" t="b">
        <f t="shared" si="298"/>
        <v>0</v>
      </c>
      <c r="M6035" s="17" t="str">
        <f t="shared" si="299"/>
        <v/>
      </c>
      <c r="N6035" s="11" t="str">
        <f t="shared" si="300"/>
        <v/>
      </c>
    </row>
    <row r="6036" spans="9:14" x14ac:dyDescent="0.25">
      <c r="I6036" s="11" t="b">
        <f t="shared" si="298"/>
        <v>0</v>
      </c>
      <c r="M6036" s="17" t="str">
        <f t="shared" si="299"/>
        <v/>
      </c>
      <c r="N6036" s="11" t="str">
        <f t="shared" si="300"/>
        <v/>
      </c>
    </row>
    <row r="6037" spans="9:14" x14ac:dyDescent="0.25">
      <c r="I6037" s="11" t="b">
        <f t="shared" si="298"/>
        <v>0</v>
      </c>
      <c r="M6037" s="17" t="str">
        <f t="shared" si="299"/>
        <v/>
      </c>
      <c r="N6037" s="11" t="str">
        <f t="shared" si="300"/>
        <v/>
      </c>
    </row>
    <row r="6038" spans="9:14" x14ac:dyDescent="0.25">
      <c r="I6038" s="11" t="b">
        <f t="shared" si="298"/>
        <v>0</v>
      </c>
      <c r="M6038" s="17" t="str">
        <f t="shared" si="299"/>
        <v/>
      </c>
      <c r="N6038" s="11" t="str">
        <f t="shared" si="300"/>
        <v/>
      </c>
    </row>
    <row r="6039" spans="9:14" x14ac:dyDescent="0.25">
      <c r="I6039" s="11" t="b">
        <f t="shared" si="298"/>
        <v>0</v>
      </c>
      <c r="M6039" s="17" t="str">
        <f t="shared" si="299"/>
        <v/>
      </c>
      <c r="N6039" s="11" t="str">
        <f t="shared" si="300"/>
        <v/>
      </c>
    </row>
    <row r="6040" spans="9:14" x14ac:dyDescent="0.25">
      <c r="I6040" s="11" t="b">
        <f t="shared" si="298"/>
        <v>0</v>
      </c>
      <c r="M6040" s="17" t="str">
        <f t="shared" si="299"/>
        <v/>
      </c>
      <c r="N6040" s="11" t="str">
        <f t="shared" si="300"/>
        <v/>
      </c>
    </row>
    <row r="6041" spans="9:14" x14ac:dyDescent="0.25">
      <c r="I6041" s="11" t="b">
        <f t="shared" si="298"/>
        <v>0</v>
      </c>
      <c r="M6041" s="17" t="str">
        <f t="shared" si="299"/>
        <v/>
      </c>
      <c r="N6041" s="11" t="str">
        <f t="shared" si="300"/>
        <v/>
      </c>
    </row>
    <row r="6042" spans="9:14" x14ac:dyDescent="0.25">
      <c r="I6042" s="11" t="b">
        <f t="shared" si="298"/>
        <v>0</v>
      </c>
      <c r="M6042" s="17" t="str">
        <f t="shared" si="299"/>
        <v/>
      </c>
      <c r="N6042" s="11" t="str">
        <f t="shared" si="300"/>
        <v/>
      </c>
    </row>
    <row r="6043" spans="9:14" x14ac:dyDescent="0.25">
      <c r="I6043" s="11" t="b">
        <f t="shared" si="298"/>
        <v>0</v>
      </c>
      <c r="M6043" s="17" t="str">
        <f t="shared" si="299"/>
        <v/>
      </c>
      <c r="N6043" s="11" t="str">
        <f t="shared" si="300"/>
        <v/>
      </c>
    </row>
    <row r="6044" spans="9:14" x14ac:dyDescent="0.25">
      <c r="I6044" s="11" t="b">
        <f t="shared" si="298"/>
        <v>0</v>
      </c>
      <c r="M6044" s="17" t="str">
        <f t="shared" si="299"/>
        <v/>
      </c>
      <c r="N6044" s="11" t="str">
        <f t="shared" si="300"/>
        <v/>
      </c>
    </row>
    <row r="6045" spans="9:14" x14ac:dyDescent="0.25">
      <c r="I6045" s="11" t="b">
        <f t="shared" ref="I6045:I6108" si="301">IF(AND(G6045="MERCADO PAGO",A6045="FATURAMENTO"),1,IF(AND(OR(G6045="MERCADO PAGO",G6045="pix mercado pago",G6045= "débito automático mercado pago", G6045= "boleto mercado pago"),A6045="DESPESAS"),4,IF(AND(G6045="SAFRA",A6045="FATURAMENTO"),2,IF(AND(OR(G6045="SAFRA",G6045="PIX SAFRA", G6045="DÉBITO AUTOMÁTICO SAFRA", G6045= "BOLETO SAFRA", G6045= "transferência safra"), A6045="DESPESAS"),5,IF(AND(G6045="espécie",A6045="FATURAMENTO"),3,IF(AND(G6045="espécie",A6045="DESPESAS"),6))))))</f>
        <v>0</v>
      </c>
      <c r="M6045" s="17" t="str">
        <f t="shared" si="299"/>
        <v/>
      </c>
      <c r="N6045" s="11" t="str">
        <f t="shared" si="300"/>
        <v/>
      </c>
    </row>
    <row r="6046" spans="9:14" x14ac:dyDescent="0.25">
      <c r="I6046" s="11" t="b">
        <f t="shared" si="301"/>
        <v>0</v>
      </c>
      <c r="M6046" s="17" t="str">
        <f t="shared" si="299"/>
        <v/>
      </c>
      <c r="N6046" s="11" t="str">
        <f t="shared" si="300"/>
        <v/>
      </c>
    </row>
    <row r="6047" spans="9:14" x14ac:dyDescent="0.25">
      <c r="I6047" s="11" t="b">
        <f t="shared" si="301"/>
        <v>0</v>
      </c>
      <c r="M6047" s="17" t="str">
        <f t="shared" si="299"/>
        <v/>
      </c>
      <c r="N6047" s="11" t="str">
        <f t="shared" si="300"/>
        <v/>
      </c>
    </row>
    <row r="6048" spans="9:14" x14ac:dyDescent="0.25">
      <c r="I6048" s="11" t="b">
        <f t="shared" si="301"/>
        <v>0</v>
      </c>
      <c r="M6048" s="17" t="str">
        <f t="shared" si="299"/>
        <v/>
      </c>
      <c r="N6048" s="11" t="str">
        <f t="shared" si="300"/>
        <v/>
      </c>
    </row>
    <row r="6049" spans="9:14" x14ac:dyDescent="0.25">
      <c r="I6049" s="11" t="b">
        <f t="shared" si="301"/>
        <v>0</v>
      </c>
      <c r="M6049" s="17" t="str">
        <f t="shared" si="299"/>
        <v/>
      </c>
      <c r="N6049" s="11" t="str">
        <f t="shared" si="300"/>
        <v/>
      </c>
    </row>
    <row r="6050" spans="9:14" x14ac:dyDescent="0.25">
      <c r="I6050" s="11" t="b">
        <f t="shared" si="301"/>
        <v>0</v>
      </c>
      <c r="M6050" s="17" t="str">
        <f t="shared" si="299"/>
        <v/>
      </c>
      <c r="N6050" s="11" t="str">
        <f t="shared" si="300"/>
        <v/>
      </c>
    </row>
    <row r="6051" spans="9:14" x14ac:dyDescent="0.25">
      <c r="I6051" s="11" t="b">
        <f t="shared" si="301"/>
        <v>0</v>
      </c>
      <c r="M6051" s="17" t="str">
        <f t="shared" si="299"/>
        <v/>
      </c>
      <c r="N6051" s="11" t="str">
        <f t="shared" si="300"/>
        <v/>
      </c>
    </row>
    <row r="6052" spans="9:14" x14ac:dyDescent="0.25">
      <c r="I6052" s="11" t="b">
        <f t="shared" si="301"/>
        <v>0</v>
      </c>
      <c r="M6052" s="17" t="str">
        <f t="shared" si="299"/>
        <v/>
      </c>
      <c r="N6052" s="11" t="str">
        <f t="shared" si="300"/>
        <v/>
      </c>
    </row>
    <row r="6053" spans="9:14" x14ac:dyDescent="0.25">
      <c r="I6053" s="11" t="b">
        <f t="shared" si="301"/>
        <v>0</v>
      </c>
      <c r="M6053" s="17" t="str">
        <f t="shared" si="299"/>
        <v/>
      </c>
      <c r="N6053" s="11" t="str">
        <f t="shared" si="300"/>
        <v/>
      </c>
    </row>
    <row r="6054" spans="9:14" x14ac:dyDescent="0.25">
      <c r="I6054" s="11" t="b">
        <f t="shared" si="301"/>
        <v>0</v>
      </c>
      <c r="M6054" s="17" t="str">
        <f t="shared" si="299"/>
        <v/>
      </c>
      <c r="N6054" s="11" t="str">
        <f t="shared" si="300"/>
        <v/>
      </c>
    </row>
    <row r="6055" spans="9:14" x14ac:dyDescent="0.25">
      <c r="I6055" s="11" t="b">
        <f t="shared" si="301"/>
        <v>0</v>
      </c>
      <c r="M6055" s="17" t="str">
        <f t="shared" si="299"/>
        <v/>
      </c>
      <c r="N6055" s="11" t="str">
        <f t="shared" si="300"/>
        <v/>
      </c>
    </row>
    <row r="6056" spans="9:14" x14ac:dyDescent="0.25">
      <c r="I6056" s="11" t="b">
        <f t="shared" si="301"/>
        <v>0</v>
      </c>
      <c r="M6056" s="17" t="str">
        <f t="shared" si="299"/>
        <v/>
      </c>
      <c r="N6056" s="11" t="str">
        <f t="shared" si="300"/>
        <v/>
      </c>
    </row>
    <row r="6057" spans="9:14" x14ac:dyDescent="0.25">
      <c r="I6057" s="11" t="b">
        <f t="shared" si="301"/>
        <v>0</v>
      </c>
      <c r="M6057" s="17" t="str">
        <f t="shared" si="299"/>
        <v/>
      </c>
      <c r="N6057" s="11" t="str">
        <f t="shared" si="300"/>
        <v/>
      </c>
    </row>
    <row r="6058" spans="9:14" x14ac:dyDescent="0.25">
      <c r="I6058" s="11" t="b">
        <f t="shared" si="301"/>
        <v>0</v>
      </c>
      <c r="M6058" s="17" t="str">
        <f t="shared" si="299"/>
        <v/>
      </c>
      <c r="N6058" s="11" t="str">
        <f t="shared" si="300"/>
        <v/>
      </c>
    </row>
    <row r="6059" spans="9:14" x14ac:dyDescent="0.25">
      <c r="I6059" s="11" t="b">
        <f t="shared" si="301"/>
        <v>0</v>
      </c>
      <c r="M6059" s="17" t="str">
        <f t="shared" si="299"/>
        <v/>
      </c>
      <c r="N6059" s="11" t="str">
        <f t="shared" si="300"/>
        <v/>
      </c>
    </row>
    <row r="6060" spans="9:14" x14ac:dyDescent="0.25">
      <c r="I6060" s="11" t="b">
        <f t="shared" si="301"/>
        <v>0</v>
      </c>
      <c r="M6060" s="17" t="str">
        <f t="shared" si="299"/>
        <v/>
      </c>
      <c r="N6060" s="11" t="str">
        <f t="shared" si="300"/>
        <v/>
      </c>
    </row>
    <row r="6061" spans="9:14" x14ac:dyDescent="0.25">
      <c r="I6061" s="11" t="b">
        <f t="shared" si="301"/>
        <v>0</v>
      </c>
      <c r="M6061" s="17" t="str">
        <f t="shared" si="299"/>
        <v/>
      </c>
      <c r="N6061" s="11" t="str">
        <f t="shared" si="300"/>
        <v/>
      </c>
    </row>
    <row r="6062" spans="9:14" x14ac:dyDescent="0.25">
      <c r="I6062" s="11" t="b">
        <f t="shared" si="301"/>
        <v>0</v>
      </c>
      <c r="M6062" s="17" t="str">
        <f t="shared" si="299"/>
        <v/>
      </c>
      <c r="N6062" s="11" t="str">
        <f t="shared" si="300"/>
        <v/>
      </c>
    </row>
    <row r="6063" spans="9:14" x14ac:dyDescent="0.25">
      <c r="I6063" s="11" t="b">
        <f t="shared" si="301"/>
        <v>0</v>
      </c>
      <c r="M6063" s="17" t="str">
        <f t="shared" si="299"/>
        <v/>
      </c>
      <c r="N6063" s="11" t="str">
        <f t="shared" si="300"/>
        <v/>
      </c>
    </row>
    <row r="6064" spans="9:14" x14ac:dyDescent="0.25">
      <c r="I6064" s="11" t="b">
        <f t="shared" si="301"/>
        <v>0</v>
      </c>
      <c r="M6064" s="17" t="str">
        <f t="shared" si="299"/>
        <v/>
      </c>
      <c r="N6064" s="11" t="str">
        <f t="shared" si="300"/>
        <v/>
      </c>
    </row>
    <row r="6065" spans="9:14" x14ac:dyDescent="0.25">
      <c r="I6065" s="11" t="b">
        <f t="shared" si="301"/>
        <v>0</v>
      </c>
      <c r="M6065" s="17" t="str">
        <f t="shared" si="299"/>
        <v/>
      </c>
      <c r="N6065" s="11" t="str">
        <f t="shared" si="300"/>
        <v/>
      </c>
    </row>
    <row r="6066" spans="9:14" x14ac:dyDescent="0.25">
      <c r="I6066" s="11" t="b">
        <f t="shared" si="301"/>
        <v>0</v>
      </c>
      <c r="M6066" s="17" t="str">
        <f t="shared" si="299"/>
        <v/>
      </c>
      <c r="N6066" s="11" t="str">
        <f t="shared" si="300"/>
        <v/>
      </c>
    </row>
    <row r="6067" spans="9:14" x14ac:dyDescent="0.25">
      <c r="I6067" s="11" t="b">
        <f t="shared" si="301"/>
        <v>0</v>
      </c>
      <c r="M6067" s="17" t="str">
        <f t="shared" si="299"/>
        <v/>
      </c>
      <c r="N6067" s="11" t="str">
        <f t="shared" si="300"/>
        <v/>
      </c>
    </row>
    <row r="6068" spans="9:14" x14ac:dyDescent="0.25">
      <c r="I6068" s="11" t="b">
        <f t="shared" si="301"/>
        <v>0</v>
      </c>
      <c r="M6068" s="17" t="str">
        <f t="shared" si="299"/>
        <v/>
      </c>
      <c r="N6068" s="11" t="str">
        <f t="shared" si="300"/>
        <v/>
      </c>
    </row>
    <row r="6069" spans="9:14" x14ac:dyDescent="0.25">
      <c r="I6069" s="11" t="b">
        <f t="shared" si="301"/>
        <v>0</v>
      </c>
      <c r="M6069" s="17" t="str">
        <f t="shared" si="299"/>
        <v/>
      </c>
      <c r="N6069" s="11" t="str">
        <f t="shared" si="300"/>
        <v/>
      </c>
    </row>
    <row r="6070" spans="9:14" x14ac:dyDescent="0.25">
      <c r="I6070" s="11" t="b">
        <f t="shared" si="301"/>
        <v>0</v>
      </c>
      <c r="M6070" s="17" t="str">
        <f t="shared" si="299"/>
        <v/>
      </c>
      <c r="N6070" s="11" t="str">
        <f t="shared" si="300"/>
        <v/>
      </c>
    </row>
    <row r="6071" spans="9:14" x14ac:dyDescent="0.25">
      <c r="I6071" s="11" t="b">
        <f t="shared" si="301"/>
        <v>0</v>
      </c>
      <c r="M6071" s="17" t="str">
        <f t="shared" si="299"/>
        <v/>
      </c>
      <c r="N6071" s="11" t="str">
        <f t="shared" si="300"/>
        <v/>
      </c>
    </row>
    <row r="6072" spans="9:14" x14ac:dyDescent="0.25">
      <c r="I6072" s="11" t="b">
        <f t="shared" si="301"/>
        <v>0</v>
      </c>
      <c r="M6072" s="17" t="str">
        <f t="shared" si="299"/>
        <v/>
      </c>
      <c r="N6072" s="11" t="str">
        <f t="shared" si="300"/>
        <v/>
      </c>
    </row>
    <row r="6073" spans="9:14" x14ac:dyDescent="0.25">
      <c r="I6073" s="11" t="b">
        <f t="shared" si="301"/>
        <v>0</v>
      </c>
      <c r="M6073" s="17" t="str">
        <f t="shared" si="299"/>
        <v/>
      </c>
      <c r="N6073" s="11" t="str">
        <f t="shared" si="300"/>
        <v/>
      </c>
    </row>
    <row r="6074" spans="9:14" x14ac:dyDescent="0.25">
      <c r="I6074" s="11" t="b">
        <f t="shared" si="301"/>
        <v>0</v>
      </c>
      <c r="M6074" s="17" t="str">
        <f t="shared" si="299"/>
        <v/>
      </c>
      <c r="N6074" s="11" t="str">
        <f t="shared" si="300"/>
        <v/>
      </c>
    </row>
    <row r="6075" spans="9:14" x14ac:dyDescent="0.25">
      <c r="I6075" s="11" t="b">
        <f t="shared" si="301"/>
        <v>0</v>
      </c>
      <c r="M6075" s="17" t="str">
        <f t="shared" si="299"/>
        <v/>
      </c>
      <c r="N6075" s="11" t="str">
        <f t="shared" si="300"/>
        <v/>
      </c>
    </row>
    <row r="6076" spans="9:14" x14ac:dyDescent="0.25">
      <c r="I6076" s="11" t="b">
        <f t="shared" si="301"/>
        <v>0</v>
      </c>
      <c r="M6076" s="17" t="str">
        <f t="shared" si="299"/>
        <v/>
      </c>
      <c r="N6076" s="11" t="str">
        <f t="shared" si="300"/>
        <v/>
      </c>
    </row>
    <row r="6077" spans="9:14" x14ac:dyDescent="0.25">
      <c r="I6077" s="11" t="b">
        <f t="shared" si="301"/>
        <v>0</v>
      </c>
      <c r="M6077" s="17" t="str">
        <f t="shared" si="299"/>
        <v/>
      </c>
      <c r="N6077" s="11" t="str">
        <f t="shared" si="300"/>
        <v/>
      </c>
    </row>
    <row r="6078" spans="9:14" x14ac:dyDescent="0.25">
      <c r="I6078" s="11" t="b">
        <f t="shared" si="301"/>
        <v>0</v>
      </c>
      <c r="M6078" s="17" t="str">
        <f t="shared" si="299"/>
        <v/>
      </c>
      <c r="N6078" s="11" t="str">
        <f t="shared" si="300"/>
        <v/>
      </c>
    </row>
    <row r="6079" spans="9:14" x14ac:dyDescent="0.25">
      <c r="I6079" s="11" t="b">
        <f t="shared" si="301"/>
        <v>0</v>
      </c>
      <c r="M6079" s="17" t="str">
        <f t="shared" si="299"/>
        <v/>
      </c>
      <c r="N6079" s="11" t="str">
        <f t="shared" si="300"/>
        <v/>
      </c>
    </row>
    <row r="6080" spans="9:14" x14ac:dyDescent="0.25">
      <c r="I6080" s="11" t="b">
        <f t="shared" si="301"/>
        <v>0</v>
      </c>
      <c r="M6080" s="17" t="str">
        <f t="shared" si="299"/>
        <v/>
      </c>
      <c r="N6080" s="11" t="str">
        <f t="shared" si="300"/>
        <v/>
      </c>
    </row>
    <row r="6081" spans="9:14" x14ac:dyDescent="0.25">
      <c r="I6081" s="11" t="b">
        <f t="shared" si="301"/>
        <v>0</v>
      </c>
      <c r="M6081" s="17" t="str">
        <f t="shared" ref="M6081:M6144" si="302">IF(B6081=0, "",M6080+ J6081-K6081)</f>
        <v/>
      </c>
      <c r="N6081" s="11" t="str">
        <f t="shared" ref="N6081:N6144" si="303">IF(B6081=0, "", MONTH(B6081))</f>
        <v/>
      </c>
    </row>
    <row r="6082" spans="9:14" x14ac:dyDescent="0.25">
      <c r="I6082" s="11" t="b">
        <f t="shared" si="301"/>
        <v>0</v>
      </c>
      <c r="M6082" s="17" t="str">
        <f t="shared" si="302"/>
        <v/>
      </c>
      <c r="N6082" s="11" t="str">
        <f t="shared" si="303"/>
        <v/>
      </c>
    </row>
    <row r="6083" spans="9:14" x14ac:dyDescent="0.25">
      <c r="I6083" s="11" t="b">
        <f t="shared" si="301"/>
        <v>0</v>
      </c>
      <c r="M6083" s="17" t="str">
        <f t="shared" si="302"/>
        <v/>
      </c>
      <c r="N6083" s="11" t="str">
        <f t="shared" si="303"/>
        <v/>
      </c>
    </row>
    <row r="6084" spans="9:14" x14ac:dyDescent="0.25">
      <c r="I6084" s="11" t="b">
        <f t="shared" si="301"/>
        <v>0</v>
      </c>
      <c r="M6084" s="17" t="str">
        <f t="shared" si="302"/>
        <v/>
      </c>
      <c r="N6084" s="11" t="str">
        <f t="shared" si="303"/>
        <v/>
      </c>
    </row>
    <row r="6085" spans="9:14" x14ac:dyDescent="0.25">
      <c r="I6085" s="11" t="b">
        <f t="shared" si="301"/>
        <v>0</v>
      </c>
      <c r="M6085" s="17" t="str">
        <f t="shared" si="302"/>
        <v/>
      </c>
      <c r="N6085" s="11" t="str">
        <f t="shared" si="303"/>
        <v/>
      </c>
    </row>
    <row r="6086" spans="9:14" x14ac:dyDescent="0.25">
      <c r="I6086" s="11" t="b">
        <f t="shared" si="301"/>
        <v>0</v>
      </c>
      <c r="M6086" s="17" t="str">
        <f t="shared" si="302"/>
        <v/>
      </c>
      <c r="N6086" s="11" t="str">
        <f t="shared" si="303"/>
        <v/>
      </c>
    </row>
    <row r="6087" spans="9:14" x14ac:dyDescent="0.25">
      <c r="I6087" s="11" t="b">
        <f t="shared" si="301"/>
        <v>0</v>
      </c>
      <c r="M6087" s="17" t="str">
        <f t="shared" si="302"/>
        <v/>
      </c>
      <c r="N6087" s="11" t="str">
        <f t="shared" si="303"/>
        <v/>
      </c>
    </row>
    <row r="6088" spans="9:14" x14ac:dyDescent="0.25">
      <c r="I6088" s="11" t="b">
        <f t="shared" si="301"/>
        <v>0</v>
      </c>
      <c r="M6088" s="17" t="str">
        <f t="shared" si="302"/>
        <v/>
      </c>
      <c r="N6088" s="11" t="str">
        <f t="shared" si="303"/>
        <v/>
      </c>
    </row>
    <row r="6089" spans="9:14" x14ac:dyDescent="0.25">
      <c r="I6089" s="11" t="b">
        <f t="shared" si="301"/>
        <v>0</v>
      </c>
      <c r="M6089" s="17" t="str">
        <f t="shared" si="302"/>
        <v/>
      </c>
      <c r="N6089" s="11" t="str">
        <f t="shared" si="303"/>
        <v/>
      </c>
    </row>
    <row r="6090" spans="9:14" x14ac:dyDescent="0.25">
      <c r="I6090" s="11" t="b">
        <f t="shared" si="301"/>
        <v>0</v>
      </c>
      <c r="M6090" s="17" t="str">
        <f t="shared" si="302"/>
        <v/>
      </c>
      <c r="N6090" s="11" t="str">
        <f t="shared" si="303"/>
        <v/>
      </c>
    </row>
    <row r="6091" spans="9:14" x14ac:dyDescent="0.25">
      <c r="I6091" s="11" t="b">
        <f t="shared" si="301"/>
        <v>0</v>
      </c>
      <c r="M6091" s="17" t="str">
        <f t="shared" si="302"/>
        <v/>
      </c>
      <c r="N6091" s="11" t="str">
        <f t="shared" si="303"/>
        <v/>
      </c>
    </row>
    <row r="6092" spans="9:14" x14ac:dyDescent="0.25">
      <c r="I6092" s="11" t="b">
        <f t="shared" si="301"/>
        <v>0</v>
      </c>
      <c r="M6092" s="17" t="str">
        <f t="shared" si="302"/>
        <v/>
      </c>
      <c r="N6092" s="11" t="str">
        <f t="shared" si="303"/>
        <v/>
      </c>
    </row>
    <row r="6093" spans="9:14" x14ac:dyDescent="0.25">
      <c r="I6093" s="11" t="b">
        <f t="shared" si="301"/>
        <v>0</v>
      </c>
      <c r="M6093" s="17" t="str">
        <f t="shared" si="302"/>
        <v/>
      </c>
      <c r="N6093" s="11" t="str">
        <f t="shared" si="303"/>
        <v/>
      </c>
    </row>
    <row r="6094" spans="9:14" x14ac:dyDescent="0.25">
      <c r="I6094" s="11" t="b">
        <f t="shared" si="301"/>
        <v>0</v>
      </c>
      <c r="M6094" s="17" t="str">
        <f t="shared" si="302"/>
        <v/>
      </c>
      <c r="N6094" s="11" t="str">
        <f t="shared" si="303"/>
        <v/>
      </c>
    </row>
    <row r="6095" spans="9:14" x14ac:dyDescent="0.25">
      <c r="I6095" s="11" t="b">
        <f t="shared" si="301"/>
        <v>0</v>
      </c>
      <c r="M6095" s="17" t="str">
        <f t="shared" si="302"/>
        <v/>
      </c>
      <c r="N6095" s="11" t="str">
        <f t="shared" si="303"/>
        <v/>
      </c>
    </row>
    <row r="6096" spans="9:14" x14ac:dyDescent="0.25">
      <c r="I6096" s="11" t="b">
        <f t="shared" si="301"/>
        <v>0</v>
      </c>
      <c r="M6096" s="17" t="str">
        <f t="shared" si="302"/>
        <v/>
      </c>
      <c r="N6096" s="11" t="str">
        <f t="shared" si="303"/>
        <v/>
      </c>
    </row>
    <row r="6097" spans="9:14" x14ac:dyDescent="0.25">
      <c r="I6097" s="11" t="b">
        <f t="shared" si="301"/>
        <v>0</v>
      </c>
      <c r="M6097" s="17" t="str">
        <f t="shared" si="302"/>
        <v/>
      </c>
      <c r="N6097" s="11" t="str">
        <f t="shared" si="303"/>
        <v/>
      </c>
    </row>
    <row r="6098" spans="9:14" x14ac:dyDescent="0.25">
      <c r="I6098" s="11" t="b">
        <f t="shared" si="301"/>
        <v>0</v>
      </c>
      <c r="M6098" s="17" t="str">
        <f t="shared" si="302"/>
        <v/>
      </c>
      <c r="N6098" s="11" t="str">
        <f t="shared" si="303"/>
        <v/>
      </c>
    </row>
    <row r="6099" spans="9:14" x14ac:dyDescent="0.25">
      <c r="I6099" s="11" t="b">
        <f t="shared" si="301"/>
        <v>0</v>
      </c>
      <c r="M6099" s="17" t="str">
        <f t="shared" si="302"/>
        <v/>
      </c>
      <c r="N6099" s="11" t="str">
        <f t="shared" si="303"/>
        <v/>
      </c>
    </row>
    <row r="6100" spans="9:14" x14ac:dyDescent="0.25">
      <c r="I6100" s="11" t="b">
        <f t="shared" si="301"/>
        <v>0</v>
      </c>
      <c r="M6100" s="17" t="str">
        <f t="shared" si="302"/>
        <v/>
      </c>
      <c r="N6100" s="11" t="str">
        <f t="shared" si="303"/>
        <v/>
      </c>
    </row>
    <row r="6101" spans="9:14" x14ac:dyDescent="0.25">
      <c r="I6101" s="11" t="b">
        <f t="shared" si="301"/>
        <v>0</v>
      </c>
      <c r="M6101" s="17" t="str">
        <f t="shared" si="302"/>
        <v/>
      </c>
      <c r="N6101" s="11" t="str">
        <f t="shared" si="303"/>
        <v/>
      </c>
    </row>
    <row r="6102" spans="9:14" x14ac:dyDescent="0.25">
      <c r="I6102" s="11" t="b">
        <f t="shared" si="301"/>
        <v>0</v>
      </c>
      <c r="M6102" s="17" t="str">
        <f t="shared" si="302"/>
        <v/>
      </c>
      <c r="N6102" s="11" t="str">
        <f t="shared" si="303"/>
        <v/>
      </c>
    </row>
    <row r="6103" spans="9:14" x14ac:dyDescent="0.25">
      <c r="I6103" s="11" t="b">
        <f t="shared" si="301"/>
        <v>0</v>
      </c>
      <c r="M6103" s="17" t="str">
        <f t="shared" si="302"/>
        <v/>
      </c>
      <c r="N6103" s="11" t="str">
        <f t="shared" si="303"/>
        <v/>
      </c>
    </row>
    <row r="6104" spans="9:14" x14ac:dyDescent="0.25">
      <c r="I6104" s="11" t="b">
        <f t="shared" si="301"/>
        <v>0</v>
      </c>
      <c r="M6104" s="17" t="str">
        <f t="shared" si="302"/>
        <v/>
      </c>
      <c r="N6104" s="11" t="str">
        <f t="shared" si="303"/>
        <v/>
      </c>
    </row>
    <row r="6105" spans="9:14" x14ac:dyDescent="0.25">
      <c r="I6105" s="11" t="b">
        <f t="shared" si="301"/>
        <v>0</v>
      </c>
      <c r="M6105" s="17" t="str">
        <f t="shared" si="302"/>
        <v/>
      </c>
      <c r="N6105" s="11" t="str">
        <f t="shared" si="303"/>
        <v/>
      </c>
    </row>
    <row r="6106" spans="9:14" x14ac:dyDescent="0.25">
      <c r="I6106" s="11" t="b">
        <f t="shared" si="301"/>
        <v>0</v>
      </c>
      <c r="M6106" s="17" t="str">
        <f t="shared" si="302"/>
        <v/>
      </c>
      <c r="N6106" s="11" t="str">
        <f t="shared" si="303"/>
        <v/>
      </c>
    </row>
    <row r="6107" spans="9:14" x14ac:dyDescent="0.25">
      <c r="I6107" s="11" t="b">
        <f t="shared" si="301"/>
        <v>0</v>
      </c>
      <c r="M6107" s="17" t="str">
        <f t="shared" si="302"/>
        <v/>
      </c>
      <c r="N6107" s="11" t="str">
        <f t="shared" si="303"/>
        <v/>
      </c>
    </row>
    <row r="6108" spans="9:14" x14ac:dyDescent="0.25">
      <c r="I6108" s="11" t="b">
        <f t="shared" si="301"/>
        <v>0</v>
      </c>
      <c r="M6108" s="17" t="str">
        <f t="shared" si="302"/>
        <v/>
      </c>
      <c r="N6108" s="11" t="str">
        <f t="shared" si="303"/>
        <v/>
      </c>
    </row>
    <row r="6109" spans="9:14" x14ac:dyDescent="0.25">
      <c r="I6109" s="11" t="b">
        <f t="shared" ref="I6109:I6172" si="304">IF(AND(G6109="MERCADO PAGO",A6109="FATURAMENTO"),1,IF(AND(OR(G6109="MERCADO PAGO",G6109="pix mercado pago",G6109= "débito automático mercado pago", G6109= "boleto mercado pago"),A6109="DESPESAS"),4,IF(AND(G6109="SAFRA",A6109="FATURAMENTO"),2,IF(AND(OR(G6109="SAFRA",G6109="PIX SAFRA", G6109="DÉBITO AUTOMÁTICO SAFRA", G6109= "BOLETO SAFRA", G6109= "transferência safra"), A6109="DESPESAS"),5,IF(AND(G6109="espécie",A6109="FATURAMENTO"),3,IF(AND(G6109="espécie",A6109="DESPESAS"),6))))))</f>
        <v>0</v>
      </c>
      <c r="M6109" s="17" t="str">
        <f t="shared" si="302"/>
        <v/>
      </c>
      <c r="N6109" s="11" t="str">
        <f t="shared" si="303"/>
        <v/>
      </c>
    </row>
    <row r="6110" spans="9:14" x14ac:dyDescent="0.25">
      <c r="I6110" s="11" t="b">
        <f t="shared" si="304"/>
        <v>0</v>
      </c>
      <c r="M6110" s="17" t="str">
        <f t="shared" si="302"/>
        <v/>
      </c>
      <c r="N6110" s="11" t="str">
        <f t="shared" si="303"/>
        <v/>
      </c>
    </row>
    <row r="6111" spans="9:14" x14ac:dyDescent="0.25">
      <c r="I6111" s="11" t="b">
        <f t="shared" si="304"/>
        <v>0</v>
      </c>
      <c r="M6111" s="17" t="str">
        <f t="shared" si="302"/>
        <v/>
      </c>
      <c r="N6111" s="11" t="str">
        <f t="shared" si="303"/>
        <v/>
      </c>
    </row>
    <row r="6112" spans="9:14" x14ac:dyDescent="0.25">
      <c r="I6112" s="11" t="b">
        <f t="shared" si="304"/>
        <v>0</v>
      </c>
      <c r="M6112" s="17" t="str">
        <f t="shared" si="302"/>
        <v/>
      </c>
      <c r="N6112" s="11" t="str">
        <f t="shared" si="303"/>
        <v/>
      </c>
    </row>
    <row r="6113" spans="9:14" x14ac:dyDescent="0.25">
      <c r="I6113" s="11" t="b">
        <f t="shared" si="304"/>
        <v>0</v>
      </c>
      <c r="M6113" s="17" t="str">
        <f t="shared" si="302"/>
        <v/>
      </c>
      <c r="N6113" s="11" t="str">
        <f t="shared" si="303"/>
        <v/>
      </c>
    </row>
    <row r="6114" spans="9:14" x14ac:dyDescent="0.25">
      <c r="I6114" s="11" t="b">
        <f t="shared" si="304"/>
        <v>0</v>
      </c>
      <c r="M6114" s="17" t="str">
        <f t="shared" si="302"/>
        <v/>
      </c>
      <c r="N6114" s="11" t="str">
        <f t="shared" si="303"/>
        <v/>
      </c>
    </row>
    <row r="6115" spans="9:14" x14ac:dyDescent="0.25">
      <c r="I6115" s="11" t="b">
        <f t="shared" si="304"/>
        <v>0</v>
      </c>
      <c r="M6115" s="17" t="str">
        <f t="shared" si="302"/>
        <v/>
      </c>
      <c r="N6115" s="11" t="str">
        <f t="shared" si="303"/>
        <v/>
      </c>
    </row>
    <row r="6116" spans="9:14" x14ac:dyDescent="0.25">
      <c r="I6116" s="11" t="b">
        <f t="shared" si="304"/>
        <v>0</v>
      </c>
      <c r="M6116" s="17" t="str">
        <f t="shared" si="302"/>
        <v/>
      </c>
      <c r="N6116" s="11" t="str">
        <f t="shared" si="303"/>
        <v/>
      </c>
    </row>
    <row r="6117" spans="9:14" x14ac:dyDescent="0.25">
      <c r="I6117" s="11" t="b">
        <f t="shared" si="304"/>
        <v>0</v>
      </c>
      <c r="M6117" s="17" t="str">
        <f t="shared" si="302"/>
        <v/>
      </c>
      <c r="N6117" s="11" t="str">
        <f t="shared" si="303"/>
        <v/>
      </c>
    </row>
    <row r="6118" spans="9:14" x14ac:dyDescent="0.25">
      <c r="I6118" s="11" t="b">
        <f t="shared" si="304"/>
        <v>0</v>
      </c>
      <c r="M6118" s="17" t="str">
        <f t="shared" si="302"/>
        <v/>
      </c>
      <c r="N6118" s="11" t="str">
        <f t="shared" si="303"/>
        <v/>
      </c>
    </row>
    <row r="6119" spans="9:14" x14ac:dyDescent="0.25">
      <c r="I6119" s="11" t="b">
        <f t="shared" si="304"/>
        <v>0</v>
      </c>
      <c r="M6119" s="17" t="str">
        <f t="shared" si="302"/>
        <v/>
      </c>
      <c r="N6119" s="11" t="str">
        <f t="shared" si="303"/>
        <v/>
      </c>
    </row>
    <row r="6120" spans="9:14" x14ac:dyDescent="0.25">
      <c r="I6120" s="11" t="b">
        <f t="shared" si="304"/>
        <v>0</v>
      </c>
      <c r="M6120" s="17" t="str">
        <f t="shared" si="302"/>
        <v/>
      </c>
      <c r="N6120" s="11" t="str">
        <f t="shared" si="303"/>
        <v/>
      </c>
    </row>
    <row r="6121" spans="9:14" x14ac:dyDescent="0.25">
      <c r="I6121" s="11" t="b">
        <f t="shared" si="304"/>
        <v>0</v>
      </c>
      <c r="M6121" s="17" t="str">
        <f t="shared" si="302"/>
        <v/>
      </c>
      <c r="N6121" s="11" t="str">
        <f t="shared" si="303"/>
        <v/>
      </c>
    </row>
    <row r="6122" spans="9:14" x14ac:dyDescent="0.25">
      <c r="I6122" s="11" t="b">
        <f t="shared" si="304"/>
        <v>0</v>
      </c>
      <c r="M6122" s="17" t="str">
        <f t="shared" si="302"/>
        <v/>
      </c>
      <c r="N6122" s="11" t="str">
        <f t="shared" si="303"/>
        <v/>
      </c>
    </row>
    <row r="6123" spans="9:14" x14ac:dyDescent="0.25">
      <c r="I6123" s="11" t="b">
        <f t="shared" si="304"/>
        <v>0</v>
      </c>
      <c r="M6123" s="17" t="str">
        <f t="shared" si="302"/>
        <v/>
      </c>
      <c r="N6123" s="11" t="str">
        <f t="shared" si="303"/>
        <v/>
      </c>
    </row>
    <row r="6124" spans="9:14" x14ac:dyDescent="0.25">
      <c r="I6124" s="11" t="b">
        <f t="shared" si="304"/>
        <v>0</v>
      </c>
      <c r="M6124" s="17" t="str">
        <f t="shared" si="302"/>
        <v/>
      </c>
      <c r="N6124" s="11" t="str">
        <f t="shared" si="303"/>
        <v/>
      </c>
    </row>
    <row r="6125" spans="9:14" x14ac:dyDescent="0.25">
      <c r="I6125" s="11" t="b">
        <f t="shared" si="304"/>
        <v>0</v>
      </c>
      <c r="M6125" s="17" t="str">
        <f t="shared" si="302"/>
        <v/>
      </c>
      <c r="N6125" s="11" t="str">
        <f t="shared" si="303"/>
        <v/>
      </c>
    </row>
    <row r="6126" spans="9:14" x14ac:dyDescent="0.25">
      <c r="I6126" s="11" t="b">
        <f t="shared" si="304"/>
        <v>0</v>
      </c>
      <c r="M6126" s="17" t="str">
        <f t="shared" si="302"/>
        <v/>
      </c>
      <c r="N6126" s="11" t="str">
        <f t="shared" si="303"/>
        <v/>
      </c>
    </row>
    <row r="6127" spans="9:14" x14ac:dyDescent="0.25">
      <c r="I6127" s="11" t="b">
        <f t="shared" si="304"/>
        <v>0</v>
      </c>
      <c r="M6127" s="17" t="str">
        <f t="shared" si="302"/>
        <v/>
      </c>
      <c r="N6127" s="11" t="str">
        <f t="shared" si="303"/>
        <v/>
      </c>
    </row>
    <row r="6128" spans="9:14" x14ac:dyDescent="0.25">
      <c r="I6128" s="11" t="b">
        <f t="shared" si="304"/>
        <v>0</v>
      </c>
      <c r="M6128" s="17" t="str">
        <f t="shared" si="302"/>
        <v/>
      </c>
      <c r="N6128" s="11" t="str">
        <f t="shared" si="303"/>
        <v/>
      </c>
    </row>
    <row r="6129" spans="9:14" x14ac:dyDescent="0.25">
      <c r="I6129" s="11" t="b">
        <f t="shared" si="304"/>
        <v>0</v>
      </c>
      <c r="M6129" s="17" t="str">
        <f t="shared" si="302"/>
        <v/>
      </c>
      <c r="N6129" s="11" t="str">
        <f t="shared" si="303"/>
        <v/>
      </c>
    </row>
    <row r="6130" spans="9:14" x14ac:dyDescent="0.25">
      <c r="I6130" s="11" t="b">
        <f t="shared" si="304"/>
        <v>0</v>
      </c>
      <c r="M6130" s="17" t="str">
        <f t="shared" si="302"/>
        <v/>
      </c>
      <c r="N6130" s="11" t="str">
        <f t="shared" si="303"/>
        <v/>
      </c>
    </row>
    <row r="6131" spans="9:14" x14ac:dyDescent="0.25">
      <c r="I6131" s="11" t="b">
        <f t="shared" si="304"/>
        <v>0</v>
      </c>
      <c r="M6131" s="17" t="str">
        <f t="shared" si="302"/>
        <v/>
      </c>
      <c r="N6131" s="11" t="str">
        <f t="shared" si="303"/>
        <v/>
      </c>
    </row>
    <row r="6132" spans="9:14" x14ac:dyDescent="0.25">
      <c r="I6132" s="11" t="b">
        <f t="shared" si="304"/>
        <v>0</v>
      </c>
      <c r="M6132" s="17" t="str">
        <f t="shared" si="302"/>
        <v/>
      </c>
      <c r="N6132" s="11" t="str">
        <f t="shared" si="303"/>
        <v/>
      </c>
    </row>
    <row r="6133" spans="9:14" x14ac:dyDescent="0.25">
      <c r="I6133" s="11" t="b">
        <f t="shared" si="304"/>
        <v>0</v>
      </c>
      <c r="M6133" s="17" t="str">
        <f t="shared" si="302"/>
        <v/>
      </c>
      <c r="N6133" s="11" t="str">
        <f t="shared" si="303"/>
        <v/>
      </c>
    </row>
    <row r="6134" spans="9:14" x14ac:dyDescent="0.25">
      <c r="I6134" s="11" t="b">
        <f t="shared" si="304"/>
        <v>0</v>
      </c>
      <c r="M6134" s="17" t="str">
        <f t="shared" si="302"/>
        <v/>
      </c>
      <c r="N6134" s="11" t="str">
        <f t="shared" si="303"/>
        <v/>
      </c>
    </row>
    <row r="6135" spans="9:14" x14ac:dyDescent="0.25">
      <c r="I6135" s="11" t="b">
        <f t="shared" si="304"/>
        <v>0</v>
      </c>
      <c r="M6135" s="17" t="str">
        <f t="shared" si="302"/>
        <v/>
      </c>
      <c r="N6135" s="11" t="str">
        <f t="shared" si="303"/>
        <v/>
      </c>
    </row>
    <row r="6136" spans="9:14" x14ac:dyDescent="0.25">
      <c r="I6136" s="11" t="b">
        <f t="shared" si="304"/>
        <v>0</v>
      </c>
      <c r="M6136" s="17" t="str">
        <f t="shared" si="302"/>
        <v/>
      </c>
      <c r="N6136" s="11" t="str">
        <f t="shared" si="303"/>
        <v/>
      </c>
    </row>
    <row r="6137" spans="9:14" x14ac:dyDescent="0.25">
      <c r="I6137" s="11" t="b">
        <f t="shared" si="304"/>
        <v>0</v>
      </c>
      <c r="M6137" s="17" t="str">
        <f t="shared" si="302"/>
        <v/>
      </c>
      <c r="N6137" s="11" t="str">
        <f t="shared" si="303"/>
        <v/>
      </c>
    </row>
    <row r="6138" spans="9:14" x14ac:dyDescent="0.25">
      <c r="I6138" s="11" t="b">
        <f t="shared" si="304"/>
        <v>0</v>
      </c>
      <c r="M6138" s="17" t="str">
        <f t="shared" si="302"/>
        <v/>
      </c>
      <c r="N6138" s="11" t="str">
        <f t="shared" si="303"/>
        <v/>
      </c>
    </row>
    <row r="6139" spans="9:14" x14ac:dyDescent="0.25">
      <c r="I6139" s="11" t="b">
        <f t="shared" si="304"/>
        <v>0</v>
      </c>
      <c r="M6139" s="17" t="str">
        <f t="shared" si="302"/>
        <v/>
      </c>
      <c r="N6139" s="11" t="str">
        <f t="shared" si="303"/>
        <v/>
      </c>
    </row>
    <row r="6140" spans="9:14" x14ac:dyDescent="0.25">
      <c r="I6140" s="11" t="b">
        <f t="shared" si="304"/>
        <v>0</v>
      </c>
      <c r="M6140" s="17" t="str">
        <f t="shared" si="302"/>
        <v/>
      </c>
      <c r="N6140" s="11" t="str">
        <f t="shared" si="303"/>
        <v/>
      </c>
    </row>
    <row r="6141" spans="9:14" x14ac:dyDescent="0.25">
      <c r="I6141" s="11" t="b">
        <f t="shared" si="304"/>
        <v>0</v>
      </c>
      <c r="M6141" s="17" t="str">
        <f t="shared" si="302"/>
        <v/>
      </c>
      <c r="N6141" s="11" t="str">
        <f t="shared" si="303"/>
        <v/>
      </c>
    </row>
    <row r="6142" spans="9:14" x14ac:dyDescent="0.25">
      <c r="I6142" s="11" t="b">
        <f t="shared" si="304"/>
        <v>0</v>
      </c>
      <c r="M6142" s="17" t="str">
        <f t="shared" si="302"/>
        <v/>
      </c>
      <c r="N6142" s="11" t="str">
        <f t="shared" si="303"/>
        <v/>
      </c>
    </row>
    <row r="6143" spans="9:14" x14ac:dyDescent="0.25">
      <c r="I6143" s="11" t="b">
        <f t="shared" si="304"/>
        <v>0</v>
      </c>
      <c r="M6143" s="17" t="str">
        <f t="shared" si="302"/>
        <v/>
      </c>
      <c r="N6143" s="11" t="str">
        <f t="shared" si="303"/>
        <v/>
      </c>
    </row>
    <row r="6144" spans="9:14" x14ac:dyDescent="0.25">
      <c r="I6144" s="11" t="b">
        <f t="shared" si="304"/>
        <v>0</v>
      </c>
      <c r="M6144" s="17" t="str">
        <f t="shared" si="302"/>
        <v/>
      </c>
      <c r="N6144" s="11" t="str">
        <f t="shared" si="303"/>
        <v/>
      </c>
    </row>
    <row r="6145" spans="9:14" x14ac:dyDescent="0.25">
      <c r="I6145" s="11" t="b">
        <f t="shared" si="304"/>
        <v>0</v>
      </c>
      <c r="M6145" s="17" t="str">
        <f t="shared" ref="M6145:M6208" si="305">IF(B6145=0, "",M6144+ J6145-K6145)</f>
        <v/>
      </c>
      <c r="N6145" s="11" t="str">
        <f t="shared" ref="N6145:N6208" si="306">IF(B6145=0, "", MONTH(B6145))</f>
        <v/>
      </c>
    </row>
    <row r="6146" spans="9:14" x14ac:dyDescent="0.25">
      <c r="I6146" s="11" t="b">
        <f t="shared" si="304"/>
        <v>0</v>
      </c>
      <c r="M6146" s="17" t="str">
        <f t="shared" si="305"/>
        <v/>
      </c>
      <c r="N6146" s="11" t="str">
        <f t="shared" si="306"/>
        <v/>
      </c>
    </row>
    <row r="6147" spans="9:14" x14ac:dyDescent="0.25">
      <c r="I6147" s="11" t="b">
        <f t="shared" si="304"/>
        <v>0</v>
      </c>
      <c r="M6147" s="17" t="str">
        <f t="shared" si="305"/>
        <v/>
      </c>
      <c r="N6147" s="11" t="str">
        <f t="shared" si="306"/>
        <v/>
      </c>
    </row>
    <row r="6148" spans="9:14" x14ac:dyDescent="0.25">
      <c r="I6148" s="11" t="b">
        <f t="shared" si="304"/>
        <v>0</v>
      </c>
      <c r="M6148" s="17" t="str">
        <f t="shared" si="305"/>
        <v/>
      </c>
      <c r="N6148" s="11" t="str">
        <f t="shared" si="306"/>
        <v/>
      </c>
    </row>
    <row r="6149" spans="9:14" x14ac:dyDescent="0.25">
      <c r="I6149" s="11" t="b">
        <f t="shared" si="304"/>
        <v>0</v>
      </c>
      <c r="M6149" s="17" t="str">
        <f t="shared" si="305"/>
        <v/>
      </c>
      <c r="N6149" s="11" t="str">
        <f t="shared" si="306"/>
        <v/>
      </c>
    </row>
    <row r="6150" spans="9:14" x14ac:dyDescent="0.25">
      <c r="I6150" s="11" t="b">
        <f t="shared" si="304"/>
        <v>0</v>
      </c>
      <c r="M6150" s="17" t="str">
        <f t="shared" si="305"/>
        <v/>
      </c>
      <c r="N6150" s="11" t="str">
        <f t="shared" si="306"/>
        <v/>
      </c>
    </row>
    <row r="6151" spans="9:14" x14ac:dyDescent="0.25">
      <c r="I6151" s="11" t="b">
        <f t="shared" si="304"/>
        <v>0</v>
      </c>
      <c r="M6151" s="17" t="str">
        <f t="shared" si="305"/>
        <v/>
      </c>
      <c r="N6151" s="11" t="str">
        <f t="shared" si="306"/>
        <v/>
      </c>
    </row>
    <row r="6152" spans="9:14" x14ac:dyDescent="0.25">
      <c r="I6152" s="11" t="b">
        <f t="shared" si="304"/>
        <v>0</v>
      </c>
      <c r="M6152" s="17" t="str">
        <f t="shared" si="305"/>
        <v/>
      </c>
      <c r="N6152" s="11" t="str">
        <f t="shared" si="306"/>
        <v/>
      </c>
    </row>
    <row r="6153" spans="9:14" x14ac:dyDescent="0.25">
      <c r="I6153" s="11" t="b">
        <f t="shared" si="304"/>
        <v>0</v>
      </c>
      <c r="M6153" s="17" t="str">
        <f t="shared" si="305"/>
        <v/>
      </c>
      <c r="N6153" s="11" t="str">
        <f t="shared" si="306"/>
        <v/>
      </c>
    </row>
    <row r="6154" spans="9:14" x14ac:dyDescent="0.25">
      <c r="I6154" s="11" t="b">
        <f t="shared" si="304"/>
        <v>0</v>
      </c>
      <c r="M6154" s="17" t="str">
        <f t="shared" si="305"/>
        <v/>
      </c>
      <c r="N6154" s="11" t="str">
        <f t="shared" si="306"/>
        <v/>
      </c>
    </row>
    <row r="6155" spans="9:14" x14ac:dyDescent="0.25">
      <c r="I6155" s="11" t="b">
        <f t="shared" si="304"/>
        <v>0</v>
      </c>
      <c r="M6155" s="17" t="str">
        <f t="shared" si="305"/>
        <v/>
      </c>
      <c r="N6155" s="11" t="str">
        <f t="shared" si="306"/>
        <v/>
      </c>
    </row>
    <row r="6156" spans="9:14" x14ac:dyDescent="0.25">
      <c r="I6156" s="11" t="b">
        <f t="shared" si="304"/>
        <v>0</v>
      </c>
      <c r="M6156" s="17" t="str">
        <f t="shared" si="305"/>
        <v/>
      </c>
      <c r="N6156" s="11" t="str">
        <f t="shared" si="306"/>
        <v/>
      </c>
    </row>
    <row r="6157" spans="9:14" x14ac:dyDescent="0.25">
      <c r="I6157" s="11" t="b">
        <f t="shared" si="304"/>
        <v>0</v>
      </c>
      <c r="M6157" s="17" t="str">
        <f t="shared" si="305"/>
        <v/>
      </c>
      <c r="N6157" s="11" t="str">
        <f t="shared" si="306"/>
        <v/>
      </c>
    </row>
    <row r="6158" spans="9:14" x14ac:dyDescent="0.25">
      <c r="I6158" s="11" t="b">
        <f t="shared" si="304"/>
        <v>0</v>
      </c>
      <c r="M6158" s="17" t="str">
        <f t="shared" si="305"/>
        <v/>
      </c>
      <c r="N6158" s="11" t="str">
        <f t="shared" si="306"/>
        <v/>
      </c>
    </row>
    <row r="6159" spans="9:14" x14ac:dyDescent="0.25">
      <c r="I6159" s="11" t="b">
        <f t="shared" si="304"/>
        <v>0</v>
      </c>
      <c r="M6159" s="17" t="str">
        <f t="shared" si="305"/>
        <v/>
      </c>
      <c r="N6159" s="11" t="str">
        <f t="shared" si="306"/>
        <v/>
      </c>
    </row>
    <row r="6160" spans="9:14" x14ac:dyDescent="0.25">
      <c r="I6160" s="11" t="b">
        <f t="shared" si="304"/>
        <v>0</v>
      </c>
      <c r="M6160" s="17" t="str">
        <f t="shared" si="305"/>
        <v/>
      </c>
      <c r="N6160" s="11" t="str">
        <f t="shared" si="306"/>
        <v/>
      </c>
    </row>
    <row r="6161" spans="9:14" x14ac:dyDescent="0.25">
      <c r="I6161" s="11" t="b">
        <f t="shared" si="304"/>
        <v>0</v>
      </c>
      <c r="M6161" s="17" t="str">
        <f t="shared" si="305"/>
        <v/>
      </c>
      <c r="N6161" s="11" t="str">
        <f t="shared" si="306"/>
        <v/>
      </c>
    </row>
    <row r="6162" spans="9:14" x14ac:dyDescent="0.25">
      <c r="I6162" s="11" t="b">
        <f t="shared" si="304"/>
        <v>0</v>
      </c>
      <c r="M6162" s="17" t="str">
        <f t="shared" si="305"/>
        <v/>
      </c>
      <c r="N6162" s="11" t="str">
        <f t="shared" si="306"/>
        <v/>
      </c>
    </row>
    <row r="6163" spans="9:14" x14ac:dyDescent="0.25">
      <c r="I6163" s="11" t="b">
        <f t="shared" si="304"/>
        <v>0</v>
      </c>
      <c r="M6163" s="17" t="str">
        <f t="shared" si="305"/>
        <v/>
      </c>
      <c r="N6163" s="11" t="str">
        <f t="shared" si="306"/>
        <v/>
      </c>
    </row>
    <row r="6164" spans="9:14" x14ac:dyDescent="0.25">
      <c r="I6164" s="11" t="b">
        <f t="shared" si="304"/>
        <v>0</v>
      </c>
      <c r="M6164" s="17" t="str">
        <f t="shared" si="305"/>
        <v/>
      </c>
      <c r="N6164" s="11" t="str">
        <f t="shared" si="306"/>
        <v/>
      </c>
    </row>
    <row r="6165" spans="9:14" x14ac:dyDescent="0.25">
      <c r="I6165" s="11" t="b">
        <f t="shared" si="304"/>
        <v>0</v>
      </c>
      <c r="M6165" s="17" t="str">
        <f t="shared" si="305"/>
        <v/>
      </c>
      <c r="N6165" s="11" t="str">
        <f t="shared" si="306"/>
        <v/>
      </c>
    </row>
    <row r="6166" spans="9:14" x14ac:dyDescent="0.25">
      <c r="I6166" s="11" t="b">
        <f t="shared" si="304"/>
        <v>0</v>
      </c>
      <c r="M6166" s="17" t="str">
        <f t="shared" si="305"/>
        <v/>
      </c>
      <c r="N6166" s="11" t="str">
        <f t="shared" si="306"/>
        <v/>
      </c>
    </row>
    <row r="6167" spans="9:14" x14ac:dyDescent="0.25">
      <c r="I6167" s="11" t="b">
        <f t="shared" si="304"/>
        <v>0</v>
      </c>
      <c r="M6167" s="17" t="str">
        <f t="shared" si="305"/>
        <v/>
      </c>
      <c r="N6167" s="11" t="str">
        <f t="shared" si="306"/>
        <v/>
      </c>
    </row>
    <row r="6168" spans="9:14" x14ac:dyDescent="0.25">
      <c r="I6168" s="11" t="b">
        <f t="shared" si="304"/>
        <v>0</v>
      </c>
      <c r="M6168" s="17" t="str">
        <f t="shared" si="305"/>
        <v/>
      </c>
      <c r="N6168" s="11" t="str">
        <f t="shared" si="306"/>
        <v/>
      </c>
    </row>
    <row r="6169" spans="9:14" x14ac:dyDescent="0.25">
      <c r="I6169" s="11" t="b">
        <f t="shared" si="304"/>
        <v>0</v>
      </c>
      <c r="M6169" s="17" t="str">
        <f t="shared" si="305"/>
        <v/>
      </c>
      <c r="N6169" s="11" t="str">
        <f t="shared" si="306"/>
        <v/>
      </c>
    </row>
    <row r="6170" spans="9:14" x14ac:dyDescent="0.25">
      <c r="I6170" s="11" t="b">
        <f t="shared" si="304"/>
        <v>0</v>
      </c>
      <c r="M6170" s="17" t="str">
        <f t="shared" si="305"/>
        <v/>
      </c>
      <c r="N6170" s="11" t="str">
        <f t="shared" si="306"/>
        <v/>
      </c>
    </row>
    <row r="6171" spans="9:14" x14ac:dyDescent="0.25">
      <c r="I6171" s="11" t="b">
        <f t="shared" si="304"/>
        <v>0</v>
      </c>
      <c r="M6171" s="17" t="str">
        <f t="shared" si="305"/>
        <v/>
      </c>
      <c r="N6171" s="11" t="str">
        <f t="shared" si="306"/>
        <v/>
      </c>
    </row>
    <row r="6172" spans="9:14" x14ac:dyDescent="0.25">
      <c r="I6172" s="11" t="b">
        <f t="shared" si="304"/>
        <v>0</v>
      </c>
      <c r="M6172" s="17" t="str">
        <f t="shared" si="305"/>
        <v/>
      </c>
      <c r="N6172" s="11" t="str">
        <f t="shared" si="306"/>
        <v/>
      </c>
    </row>
    <row r="6173" spans="9:14" x14ac:dyDescent="0.25">
      <c r="I6173" s="11" t="b">
        <f t="shared" ref="I6173:I6236" si="307">IF(AND(G6173="MERCADO PAGO",A6173="FATURAMENTO"),1,IF(AND(OR(G6173="MERCADO PAGO",G6173="pix mercado pago",G6173= "débito automático mercado pago", G6173= "boleto mercado pago"),A6173="DESPESAS"),4,IF(AND(G6173="SAFRA",A6173="FATURAMENTO"),2,IF(AND(OR(G6173="SAFRA",G6173="PIX SAFRA", G6173="DÉBITO AUTOMÁTICO SAFRA", G6173= "BOLETO SAFRA", G6173= "transferência safra"), A6173="DESPESAS"),5,IF(AND(G6173="espécie",A6173="FATURAMENTO"),3,IF(AND(G6173="espécie",A6173="DESPESAS"),6))))))</f>
        <v>0</v>
      </c>
      <c r="M6173" s="17" t="str">
        <f t="shared" si="305"/>
        <v/>
      </c>
      <c r="N6173" s="11" t="str">
        <f t="shared" si="306"/>
        <v/>
      </c>
    </row>
    <row r="6174" spans="9:14" x14ac:dyDescent="0.25">
      <c r="I6174" s="11" t="b">
        <f t="shared" si="307"/>
        <v>0</v>
      </c>
      <c r="M6174" s="17" t="str">
        <f t="shared" si="305"/>
        <v/>
      </c>
      <c r="N6174" s="11" t="str">
        <f t="shared" si="306"/>
        <v/>
      </c>
    </row>
    <row r="6175" spans="9:14" x14ac:dyDescent="0.25">
      <c r="I6175" s="11" t="b">
        <f t="shared" si="307"/>
        <v>0</v>
      </c>
      <c r="M6175" s="17" t="str">
        <f t="shared" si="305"/>
        <v/>
      </c>
      <c r="N6175" s="11" t="str">
        <f t="shared" si="306"/>
        <v/>
      </c>
    </row>
    <row r="6176" spans="9:14" x14ac:dyDescent="0.25">
      <c r="I6176" s="11" t="b">
        <f t="shared" si="307"/>
        <v>0</v>
      </c>
      <c r="M6176" s="17" t="str">
        <f t="shared" si="305"/>
        <v/>
      </c>
      <c r="N6176" s="11" t="str">
        <f t="shared" si="306"/>
        <v/>
      </c>
    </row>
    <row r="6177" spans="9:14" x14ac:dyDescent="0.25">
      <c r="I6177" s="11" t="b">
        <f t="shared" si="307"/>
        <v>0</v>
      </c>
      <c r="M6177" s="17" t="str">
        <f t="shared" si="305"/>
        <v/>
      </c>
      <c r="N6177" s="11" t="str">
        <f t="shared" si="306"/>
        <v/>
      </c>
    </row>
    <row r="6178" spans="9:14" x14ac:dyDescent="0.25">
      <c r="I6178" s="11" t="b">
        <f t="shared" si="307"/>
        <v>0</v>
      </c>
      <c r="M6178" s="17" t="str">
        <f t="shared" si="305"/>
        <v/>
      </c>
      <c r="N6178" s="11" t="str">
        <f t="shared" si="306"/>
        <v/>
      </c>
    </row>
    <row r="6179" spans="9:14" x14ac:dyDescent="0.25">
      <c r="I6179" s="11" t="b">
        <f t="shared" si="307"/>
        <v>0</v>
      </c>
      <c r="M6179" s="17" t="str">
        <f t="shared" si="305"/>
        <v/>
      </c>
      <c r="N6179" s="11" t="str">
        <f t="shared" si="306"/>
        <v/>
      </c>
    </row>
    <row r="6180" spans="9:14" x14ac:dyDescent="0.25">
      <c r="I6180" s="11" t="b">
        <f t="shared" si="307"/>
        <v>0</v>
      </c>
      <c r="M6180" s="17" t="str">
        <f t="shared" si="305"/>
        <v/>
      </c>
      <c r="N6180" s="11" t="str">
        <f t="shared" si="306"/>
        <v/>
      </c>
    </row>
    <row r="6181" spans="9:14" x14ac:dyDescent="0.25">
      <c r="I6181" s="11" t="b">
        <f t="shared" si="307"/>
        <v>0</v>
      </c>
      <c r="M6181" s="17" t="str">
        <f t="shared" si="305"/>
        <v/>
      </c>
      <c r="N6181" s="11" t="str">
        <f t="shared" si="306"/>
        <v/>
      </c>
    </row>
    <row r="6182" spans="9:14" x14ac:dyDescent="0.25">
      <c r="I6182" s="11" t="b">
        <f t="shared" si="307"/>
        <v>0</v>
      </c>
      <c r="M6182" s="17" t="str">
        <f t="shared" si="305"/>
        <v/>
      </c>
      <c r="N6182" s="11" t="str">
        <f t="shared" si="306"/>
        <v/>
      </c>
    </row>
    <row r="6183" spans="9:14" x14ac:dyDescent="0.25">
      <c r="I6183" s="11" t="b">
        <f t="shared" si="307"/>
        <v>0</v>
      </c>
      <c r="M6183" s="17" t="str">
        <f t="shared" si="305"/>
        <v/>
      </c>
      <c r="N6183" s="11" t="str">
        <f t="shared" si="306"/>
        <v/>
      </c>
    </row>
    <row r="6184" spans="9:14" x14ac:dyDescent="0.25">
      <c r="I6184" s="11" t="b">
        <f t="shared" si="307"/>
        <v>0</v>
      </c>
      <c r="M6184" s="17" t="str">
        <f t="shared" si="305"/>
        <v/>
      </c>
      <c r="N6184" s="11" t="str">
        <f t="shared" si="306"/>
        <v/>
      </c>
    </row>
    <row r="6185" spans="9:14" x14ac:dyDescent="0.25">
      <c r="I6185" s="11" t="b">
        <f t="shared" si="307"/>
        <v>0</v>
      </c>
      <c r="M6185" s="17" t="str">
        <f t="shared" si="305"/>
        <v/>
      </c>
      <c r="N6185" s="11" t="str">
        <f t="shared" si="306"/>
        <v/>
      </c>
    </row>
    <row r="6186" spans="9:14" x14ac:dyDescent="0.25">
      <c r="I6186" s="11" t="b">
        <f t="shared" si="307"/>
        <v>0</v>
      </c>
      <c r="M6186" s="17" t="str">
        <f t="shared" si="305"/>
        <v/>
      </c>
      <c r="N6186" s="11" t="str">
        <f t="shared" si="306"/>
        <v/>
      </c>
    </row>
    <row r="6187" spans="9:14" x14ac:dyDescent="0.25">
      <c r="I6187" s="11" t="b">
        <f t="shared" si="307"/>
        <v>0</v>
      </c>
      <c r="M6187" s="17" t="str">
        <f t="shared" si="305"/>
        <v/>
      </c>
      <c r="N6187" s="11" t="str">
        <f t="shared" si="306"/>
        <v/>
      </c>
    </row>
    <row r="6188" spans="9:14" x14ac:dyDescent="0.25">
      <c r="I6188" s="11" t="b">
        <f t="shared" si="307"/>
        <v>0</v>
      </c>
      <c r="M6188" s="17" t="str">
        <f t="shared" si="305"/>
        <v/>
      </c>
      <c r="N6188" s="11" t="str">
        <f t="shared" si="306"/>
        <v/>
      </c>
    </row>
    <row r="6189" spans="9:14" x14ac:dyDescent="0.25">
      <c r="I6189" s="11" t="b">
        <f t="shared" si="307"/>
        <v>0</v>
      </c>
      <c r="M6189" s="17" t="str">
        <f t="shared" si="305"/>
        <v/>
      </c>
      <c r="N6189" s="11" t="str">
        <f t="shared" si="306"/>
        <v/>
      </c>
    </row>
    <row r="6190" spans="9:14" x14ac:dyDescent="0.25">
      <c r="I6190" s="11" t="b">
        <f t="shared" si="307"/>
        <v>0</v>
      </c>
      <c r="M6190" s="17" t="str">
        <f t="shared" si="305"/>
        <v/>
      </c>
      <c r="N6190" s="11" t="str">
        <f t="shared" si="306"/>
        <v/>
      </c>
    </row>
    <row r="6191" spans="9:14" x14ac:dyDescent="0.25">
      <c r="I6191" s="11" t="b">
        <f t="shared" si="307"/>
        <v>0</v>
      </c>
      <c r="M6191" s="17" t="str">
        <f t="shared" si="305"/>
        <v/>
      </c>
      <c r="N6191" s="11" t="str">
        <f t="shared" si="306"/>
        <v/>
      </c>
    </row>
    <row r="6192" spans="9:14" x14ac:dyDescent="0.25">
      <c r="I6192" s="11" t="b">
        <f t="shared" si="307"/>
        <v>0</v>
      </c>
      <c r="M6192" s="17" t="str">
        <f t="shared" si="305"/>
        <v/>
      </c>
      <c r="N6192" s="11" t="str">
        <f t="shared" si="306"/>
        <v/>
      </c>
    </row>
    <row r="6193" spans="9:14" x14ac:dyDescent="0.25">
      <c r="I6193" s="11" t="b">
        <f t="shared" si="307"/>
        <v>0</v>
      </c>
      <c r="M6193" s="17" t="str">
        <f t="shared" si="305"/>
        <v/>
      </c>
      <c r="N6193" s="11" t="str">
        <f t="shared" si="306"/>
        <v/>
      </c>
    </row>
    <row r="6194" spans="9:14" x14ac:dyDescent="0.25">
      <c r="I6194" s="11" t="b">
        <f t="shared" si="307"/>
        <v>0</v>
      </c>
      <c r="M6194" s="17" t="str">
        <f t="shared" si="305"/>
        <v/>
      </c>
      <c r="N6194" s="11" t="str">
        <f t="shared" si="306"/>
        <v/>
      </c>
    </row>
    <row r="6195" spans="9:14" x14ac:dyDescent="0.25">
      <c r="I6195" s="11" t="b">
        <f t="shared" si="307"/>
        <v>0</v>
      </c>
      <c r="M6195" s="17" t="str">
        <f t="shared" si="305"/>
        <v/>
      </c>
      <c r="N6195" s="11" t="str">
        <f t="shared" si="306"/>
        <v/>
      </c>
    </row>
    <row r="6196" spans="9:14" x14ac:dyDescent="0.25">
      <c r="I6196" s="11" t="b">
        <f t="shared" si="307"/>
        <v>0</v>
      </c>
      <c r="M6196" s="17" t="str">
        <f t="shared" si="305"/>
        <v/>
      </c>
      <c r="N6196" s="11" t="str">
        <f t="shared" si="306"/>
        <v/>
      </c>
    </row>
    <row r="6197" spans="9:14" x14ac:dyDescent="0.25">
      <c r="I6197" s="11" t="b">
        <f t="shared" si="307"/>
        <v>0</v>
      </c>
      <c r="M6197" s="17" t="str">
        <f t="shared" si="305"/>
        <v/>
      </c>
      <c r="N6197" s="11" t="str">
        <f t="shared" si="306"/>
        <v/>
      </c>
    </row>
    <row r="6198" spans="9:14" x14ac:dyDescent="0.25">
      <c r="I6198" s="11" t="b">
        <f t="shared" si="307"/>
        <v>0</v>
      </c>
      <c r="M6198" s="17" t="str">
        <f t="shared" si="305"/>
        <v/>
      </c>
      <c r="N6198" s="11" t="str">
        <f t="shared" si="306"/>
        <v/>
      </c>
    </row>
    <row r="6199" spans="9:14" x14ac:dyDescent="0.25">
      <c r="I6199" s="11" t="b">
        <f t="shared" si="307"/>
        <v>0</v>
      </c>
      <c r="M6199" s="17" t="str">
        <f t="shared" si="305"/>
        <v/>
      </c>
      <c r="N6199" s="11" t="str">
        <f t="shared" si="306"/>
        <v/>
      </c>
    </row>
    <row r="6200" spans="9:14" x14ac:dyDescent="0.25">
      <c r="I6200" s="11" t="b">
        <f t="shared" si="307"/>
        <v>0</v>
      </c>
      <c r="M6200" s="17" t="str">
        <f t="shared" si="305"/>
        <v/>
      </c>
      <c r="N6200" s="11" t="str">
        <f t="shared" si="306"/>
        <v/>
      </c>
    </row>
    <row r="6201" spans="9:14" x14ac:dyDescent="0.25">
      <c r="I6201" s="11" t="b">
        <f t="shared" si="307"/>
        <v>0</v>
      </c>
      <c r="M6201" s="17" t="str">
        <f t="shared" si="305"/>
        <v/>
      </c>
      <c r="N6201" s="11" t="str">
        <f t="shared" si="306"/>
        <v/>
      </c>
    </row>
    <row r="6202" spans="9:14" x14ac:dyDescent="0.25">
      <c r="I6202" s="11" t="b">
        <f t="shared" si="307"/>
        <v>0</v>
      </c>
      <c r="M6202" s="17" t="str">
        <f t="shared" si="305"/>
        <v/>
      </c>
      <c r="N6202" s="11" t="str">
        <f t="shared" si="306"/>
        <v/>
      </c>
    </row>
    <row r="6203" spans="9:14" x14ac:dyDescent="0.25">
      <c r="I6203" s="11" t="b">
        <f t="shared" si="307"/>
        <v>0</v>
      </c>
      <c r="M6203" s="17" t="str">
        <f t="shared" si="305"/>
        <v/>
      </c>
      <c r="N6203" s="11" t="str">
        <f t="shared" si="306"/>
        <v/>
      </c>
    </row>
    <row r="6204" spans="9:14" x14ac:dyDescent="0.25">
      <c r="I6204" s="11" t="b">
        <f t="shared" si="307"/>
        <v>0</v>
      </c>
      <c r="M6204" s="17" t="str">
        <f t="shared" si="305"/>
        <v/>
      </c>
      <c r="N6204" s="11" t="str">
        <f t="shared" si="306"/>
        <v/>
      </c>
    </row>
    <row r="6205" spans="9:14" x14ac:dyDescent="0.25">
      <c r="I6205" s="11" t="b">
        <f t="shared" si="307"/>
        <v>0</v>
      </c>
      <c r="M6205" s="17" t="str">
        <f t="shared" si="305"/>
        <v/>
      </c>
      <c r="N6205" s="11" t="str">
        <f t="shared" si="306"/>
        <v/>
      </c>
    </row>
    <row r="6206" spans="9:14" x14ac:dyDescent="0.25">
      <c r="I6206" s="11" t="b">
        <f t="shared" si="307"/>
        <v>0</v>
      </c>
      <c r="M6206" s="17" t="str">
        <f t="shared" si="305"/>
        <v/>
      </c>
      <c r="N6206" s="11" t="str">
        <f t="shared" si="306"/>
        <v/>
      </c>
    </row>
    <row r="6207" spans="9:14" x14ac:dyDescent="0.25">
      <c r="I6207" s="11" t="b">
        <f t="shared" si="307"/>
        <v>0</v>
      </c>
      <c r="M6207" s="17" t="str">
        <f t="shared" si="305"/>
        <v/>
      </c>
      <c r="N6207" s="11" t="str">
        <f t="shared" si="306"/>
        <v/>
      </c>
    </row>
    <row r="6208" spans="9:14" x14ac:dyDescent="0.25">
      <c r="I6208" s="11" t="b">
        <f t="shared" si="307"/>
        <v>0</v>
      </c>
      <c r="M6208" s="17" t="str">
        <f t="shared" si="305"/>
        <v/>
      </c>
      <c r="N6208" s="11" t="str">
        <f t="shared" si="306"/>
        <v/>
      </c>
    </row>
    <row r="6209" spans="9:14" x14ac:dyDescent="0.25">
      <c r="I6209" s="11" t="b">
        <f t="shared" si="307"/>
        <v>0</v>
      </c>
      <c r="M6209" s="17" t="str">
        <f t="shared" ref="M6209:M6272" si="308">IF(B6209=0, "",M6208+ J6209-K6209)</f>
        <v/>
      </c>
      <c r="N6209" s="11" t="str">
        <f t="shared" ref="N6209:N6272" si="309">IF(B6209=0, "", MONTH(B6209))</f>
        <v/>
      </c>
    </row>
    <row r="6210" spans="9:14" x14ac:dyDescent="0.25">
      <c r="I6210" s="11" t="b">
        <f t="shared" si="307"/>
        <v>0</v>
      </c>
      <c r="M6210" s="17" t="str">
        <f t="shared" si="308"/>
        <v/>
      </c>
      <c r="N6210" s="11" t="str">
        <f t="shared" si="309"/>
        <v/>
      </c>
    </row>
    <row r="6211" spans="9:14" x14ac:dyDescent="0.25">
      <c r="I6211" s="11" t="b">
        <f t="shared" si="307"/>
        <v>0</v>
      </c>
      <c r="M6211" s="17" t="str">
        <f t="shared" si="308"/>
        <v/>
      </c>
      <c r="N6211" s="11" t="str">
        <f t="shared" si="309"/>
        <v/>
      </c>
    </row>
    <row r="6212" spans="9:14" x14ac:dyDescent="0.25">
      <c r="I6212" s="11" t="b">
        <f t="shared" si="307"/>
        <v>0</v>
      </c>
      <c r="M6212" s="17" t="str">
        <f t="shared" si="308"/>
        <v/>
      </c>
      <c r="N6212" s="11" t="str">
        <f t="shared" si="309"/>
        <v/>
      </c>
    </row>
    <row r="6213" spans="9:14" x14ac:dyDescent="0.25">
      <c r="I6213" s="11" t="b">
        <f t="shared" si="307"/>
        <v>0</v>
      </c>
      <c r="M6213" s="17" t="str">
        <f t="shared" si="308"/>
        <v/>
      </c>
      <c r="N6213" s="11" t="str">
        <f t="shared" si="309"/>
        <v/>
      </c>
    </row>
    <row r="6214" spans="9:14" x14ac:dyDescent="0.25">
      <c r="I6214" s="11" t="b">
        <f t="shared" si="307"/>
        <v>0</v>
      </c>
      <c r="M6214" s="17" t="str">
        <f t="shared" si="308"/>
        <v/>
      </c>
      <c r="N6214" s="11" t="str">
        <f t="shared" si="309"/>
        <v/>
      </c>
    </row>
    <row r="6215" spans="9:14" x14ac:dyDescent="0.25">
      <c r="I6215" s="11" t="b">
        <f t="shared" si="307"/>
        <v>0</v>
      </c>
      <c r="M6215" s="17" t="str">
        <f t="shared" si="308"/>
        <v/>
      </c>
      <c r="N6215" s="11" t="str">
        <f t="shared" si="309"/>
        <v/>
      </c>
    </row>
    <row r="6216" spans="9:14" x14ac:dyDescent="0.25">
      <c r="I6216" s="11" t="b">
        <f t="shared" si="307"/>
        <v>0</v>
      </c>
      <c r="M6216" s="17" t="str">
        <f t="shared" si="308"/>
        <v/>
      </c>
      <c r="N6216" s="11" t="str">
        <f t="shared" si="309"/>
        <v/>
      </c>
    </row>
    <row r="6217" spans="9:14" x14ac:dyDescent="0.25">
      <c r="I6217" s="11" t="b">
        <f t="shared" si="307"/>
        <v>0</v>
      </c>
      <c r="M6217" s="17" t="str">
        <f t="shared" si="308"/>
        <v/>
      </c>
      <c r="N6217" s="11" t="str">
        <f t="shared" si="309"/>
        <v/>
      </c>
    </row>
    <row r="6218" spans="9:14" x14ac:dyDescent="0.25">
      <c r="I6218" s="11" t="b">
        <f t="shared" si="307"/>
        <v>0</v>
      </c>
      <c r="M6218" s="17" t="str">
        <f t="shared" si="308"/>
        <v/>
      </c>
      <c r="N6218" s="11" t="str">
        <f t="shared" si="309"/>
        <v/>
      </c>
    </row>
    <row r="6219" spans="9:14" x14ac:dyDescent="0.25">
      <c r="I6219" s="11" t="b">
        <f t="shared" si="307"/>
        <v>0</v>
      </c>
      <c r="M6219" s="17" t="str">
        <f t="shared" si="308"/>
        <v/>
      </c>
      <c r="N6219" s="11" t="str">
        <f t="shared" si="309"/>
        <v/>
      </c>
    </row>
    <row r="6220" spans="9:14" x14ac:dyDescent="0.25">
      <c r="I6220" s="11" t="b">
        <f t="shared" si="307"/>
        <v>0</v>
      </c>
      <c r="M6220" s="17" t="str">
        <f t="shared" si="308"/>
        <v/>
      </c>
      <c r="N6220" s="11" t="str">
        <f t="shared" si="309"/>
        <v/>
      </c>
    </row>
    <row r="6221" spans="9:14" x14ac:dyDescent="0.25">
      <c r="I6221" s="11" t="b">
        <f t="shared" si="307"/>
        <v>0</v>
      </c>
      <c r="M6221" s="17" t="str">
        <f t="shared" si="308"/>
        <v/>
      </c>
      <c r="N6221" s="11" t="str">
        <f t="shared" si="309"/>
        <v/>
      </c>
    </row>
    <row r="6222" spans="9:14" x14ac:dyDescent="0.25">
      <c r="I6222" s="11" t="b">
        <f t="shared" si="307"/>
        <v>0</v>
      </c>
      <c r="M6222" s="17" t="str">
        <f t="shared" si="308"/>
        <v/>
      </c>
      <c r="N6222" s="11" t="str">
        <f t="shared" si="309"/>
        <v/>
      </c>
    </row>
    <row r="6223" spans="9:14" x14ac:dyDescent="0.25">
      <c r="I6223" s="11" t="b">
        <f t="shared" si="307"/>
        <v>0</v>
      </c>
      <c r="M6223" s="17" t="str">
        <f t="shared" si="308"/>
        <v/>
      </c>
      <c r="N6223" s="11" t="str">
        <f t="shared" si="309"/>
        <v/>
      </c>
    </row>
    <row r="6224" spans="9:14" x14ac:dyDescent="0.25">
      <c r="I6224" s="11" t="b">
        <f t="shared" si="307"/>
        <v>0</v>
      </c>
      <c r="M6224" s="17" t="str">
        <f t="shared" si="308"/>
        <v/>
      </c>
      <c r="N6224" s="11" t="str">
        <f t="shared" si="309"/>
        <v/>
      </c>
    </row>
    <row r="6225" spans="9:14" x14ac:dyDescent="0.25">
      <c r="I6225" s="11" t="b">
        <f t="shared" si="307"/>
        <v>0</v>
      </c>
      <c r="M6225" s="17" t="str">
        <f t="shared" si="308"/>
        <v/>
      </c>
      <c r="N6225" s="11" t="str">
        <f t="shared" si="309"/>
        <v/>
      </c>
    </row>
    <row r="6226" spans="9:14" x14ac:dyDescent="0.25">
      <c r="I6226" s="11" t="b">
        <f t="shared" si="307"/>
        <v>0</v>
      </c>
      <c r="M6226" s="17" t="str">
        <f t="shared" si="308"/>
        <v/>
      </c>
      <c r="N6226" s="11" t="str">
        <f t="shared" si="309"/>
        <v/>
      </c>
    </row>
    <row r="6227" spans="9:14" x14ac:dyDescent="0.25">
      <c r="I6227" s="11" t="b">
        <f t="shared" si="307"/>
        <v>0</v>
      </c>
      <c r="M6227" s="17" t="str">
        <f t="shared" si="308"/>
        <v/>
      </c>
      <c r="N6227" s="11" t="str">
        <f t="shared" si="309"/>
        <v/>
      </c>
    </row>
    <row r="6228" spans="9:14" x14ac:dyDescent="0.25">
      <c r="I6228" s="11" t="b">
        <f t="shared" si="307"/>
        <v>0</v>
      </c>
      <c r="M6228" s="17" t="str">
        <f t="shared" si="308"/>
        <v/>
      </c>
      <c r="N6228" s="11" t="str">
        <f t="shared" si="309"/>
        <v/>
      </c>
    </row>
    <row r="6229" spans="9:14" x14ac:dyDescent="0.25">
      <c r="I6229" s="11" t="b">
        <f t="shared" si="307"/>
        <v>0</v>
      </c>
      <c r="M6229" s="17" t="str">
        <f t="shared" si="308"/>
        <v/>
      </c>
      <c r="N6229" s="11" t="str">
        <f t="shared" si="309"/>
        <v/>
      </c>
    </row>
    <row r="6230" spans="9:14" x14ac:dyDescent="0.25">
      <c r="I6230" s="11" t="b">
        <f t="shared" si="307"/>
        <v>0</v>
      </c>
      <c r="M6230" s="17" t="str">
        <f t="shared" si="308"/>
        <v/>
      </c>
      <c r="N6230" s="11" t="str">
        <f t="shared" si="309"/>
        <v/>
      </c>
    </row>
    <row r="6231" spans="9:14" x14ac:dyDescent="0.25">
      <c r="I6231" s="11" t="b">
        <f t="shared" si="307"/>
        <v>0</v>
      </c>
      <c r="M6231" s="17" t="str">
        <f t="shared" si="308"/>
        <v/>
      </c>
      <c r="N6231" s="11" t="str">
        <f t="shared" si="309"/>
        <v/>
      </c>
    </row>
    <row r="6232" spans="9:14" x14ac:dyDescent="0.25">
      <c r="I6232" s="11" t="b">
        <f t="shared" si="307"/>
        <v>0</v>
      </c>
      <c r="M6232" s="17" t="str">
        <f t="shared" si="308"/>
        <v/>
      </c>
      <c r="N6232" s="11" t="str">
        <f t="shared" si="309"/>
        <v/>
      </c>
    </row>
    <row r="6233" spans="9:14" x14ac:dyDescent="0.25">
      <c r="I6233" s="11" t="b">
        <f t="shared" si="307"/>
        <v>0</v>
      </c>
      <c r="M6233" s="17" t="str">
        <f t="shared" si="308"/>
        <v/>
      </c>
      <c r="N6233" s="11" t="str">
        <f t="shared" si="309"/>
        <v/>
      </c>
    </row>
    <row r="6234" spans="9:14" x14ac:dyDescent="0.25">
      <c r="I6234" s="11" t="b">
        <f t="shared" si="307"/>
        <v>0</v>
      </c>
      <c r="M6234" s="17" t="str">
        <f t="shared" si="308"/>
        <v/>
      </c>
      <c r="N6234" s="11" t="str">
        <f t="shared" si="309"/>
        <v/>
      </c>
    </row>
    <row r="6235" spans="9:14" x14ac:dyDescent="0.25">
      <c r="I6235" s="11" t="b">
        <f t="shared" si="307"/>
        <v>0</v>
      </c>
      <c r="M6235" s="17" t="str">
        <f t="shared" si="308"/>
        <v/>
      </c>
      <c r="N6235" s="11" t="str">
        <f t="shared" si="309"/>
        <v/>
      </c>
    </row>
    <row r="6236" spans="9:14" x14ac:dyDescent="0.25">
      <c r="I6236" s="11" t="b">
        <f t="shared" si="307"/>
        <v>0</v>
      </c>
      <c r="M6236" s="17" t="str">
        <f t="shared" si="308"/>
        <v/>
      </c>
      <c r="N6236" s="11" t="str">
        <f t="shared" si="309"/>
        <v/>
      </c>
    </row>
    <row r="6237" spans="9:14" x14ac:dyDescent="0.25">
      <c r="I6237" s="11" t="b">
        <f t="shared" ref="I6237:I6300" si="310">IF(AND(G6237="MERCADO PAGO",A6237="FATURAMENTO"),1,IF(AND(OR(G6237="MERCADO PAGO",G6237="pix mercado pago",G6237= "débito automático mercado pago", G6237= "boleto mercado pago"),A6237="DESPESAS"),4,IF(AND(G6237="SAFRA",A6237="FATURAMENTO"),2,IF(AND(OR(G6237="SAFRA",G6237="PIX SAFRA", G6237="DÉBITO AUTOMÁTICO SAFRA", G6237= "BOLETO SAFRA", G6237= "transferência safra"), A6237="DESPESAS"),5,IF(AND(G6237="espécie",A6237="FATURAMENTO"),3,IF(AND(G6237="espécie",A6237="DESPESAS"),6))))))</f>
        <v>0</v>
      </c>
      <c r="M6237" s="17" t="str">
        <f t="shared" si="308"/>
        <v/>
      </c>
      <c r="N6237" s="11" t="str">
        <f t="shared" si="309"/>
        <v/>
      </c>
    </row>
    <row r="6238" spans="9:14" x14ac:dyDescent="0.25">
      <c r="I6238" s="11" t="b">
        <f t="shared" si="310"/>
        <v>0</v>
      </c>
      <c r="M6238" s="17" t="str">
        <f t="shared" si="308"/>
        <v/>
      </c>
      <c r="N6238" s="11" t="str">
        <f t="shared" si="309"/>
        <v/>
      </c>
    </row>
    <row r="6239" spans="9:14" x14ac:dyDescent="0.25">
      <c r="I6239" s="11" t="b">
        <f t="shared" si="310"/>
        <v>0</v>
      </c>
      <c r="M6239" s="17" t="str">
        <f t="shared" si="308"/>
        <v/>
      </c>
      <c r="N6239" s="11" t="str">
        <f t="shared" si="309"/>
        <v/>
      </c>
    </row>
    <row r="6240" spans="9:14" x14ac:dyDescent="0.25">
      <c r="I6240" s="11" t="b">
        <f t="shared" si="310"/>
        <v>0</v>
      </c>
      <c r="M6240" s="17" t="str">
        <f t="shared" si="308"/>
        <v/>
      </c>
      <c r="N6240" s="11" t="str">
        <f t="shared" si="309"/>
        <v/>
      </c>
    </row>
    <row r="6241" spans="9:14" x14ac:dyDescent="0.25">
      <c r="I6241" s="11" t="b">
        <f t="shared" si="310"/>
        <v>0</v>
      </c>
      <c r="M6241" s="17" t="str">
        <f t="shared" si="308"/>
        <v/>
      </c>
      <c r="N6241" s="11" t="str">
        <f t="shared" si="309"/>
        <v/>
      </c>
    </row>
    <row r="6242" spans="9:14" x14ac:dyDescent="0.25">
      <c r="I6242" s="11" t="b">
        <f t="shared" si="310"/>
        <v>0</v>
      </c>
      <c r="M6242" s="17" t="str">
        <f t="shared" si="308"/>
        <v/>
      </c>
      <c r="N6242" s="11" t="str">
        <f t="shared" si="309"/>
        <v/>
      </c>
    </row>
    <row r="6243" spans="9:14" x14ac:dyDescent="0.25">
      <c r="I6243" s="11" t="b">
        <f t="shared" si="310"/>
        <v>0</v>
      </c>
      <c r="M6243" s="17" t="str">
        <f t="shared" si="308"/>
        <v/>
      </c>
      <c r="N6243" s="11" t="str">
        <f t="shared" si="309"/>
        <v/>
      </c>
    </row>
    <row r="6244" spans="9:14" x14ac:dyDescent="0.25">
      <c r="I6244" s="11" t="b">
        <f t="shared" si="310"/>
        <v>0</v>
      </c>
      <c r="M6244" s="17" t="str">
        <f t="shared" si="308"/>
        <v/>
      </c>
      <c r="N6244" s="11" t="str">
        <f t="shared" si="309"/>
        <v/>
      </c>
    </row>
    <row r="6245" spans="9:14" x14ac:dyDescent="0.25">
      <c r="I6245" s="11" t="b">
        <f t="shared" si="310"/>
        <v>0</v>
      </c>
      <c r="M6245" s="17" t="str">
        <f t="shared" si="308"/>
        <v/>
      </c>
      <c r="N6245" s="11" t="str">
        <f t="shared" si="309"/>
        <v/>
      </c>
    </row>
    <row r="6246" spans="9:14" x14ac:dyDescent="0.25">
      <c r="I6246" s="11" t="b">
        <f t="shared" si="310"/>
        <v>0</v>
      </c>
      <c r="M6246" s="17" t="str">
        <f t="shared" si="308"/>
        <v/>
      </c>
      <c r="N6246" s="11" t="str">
        <f t="shared" si="309"/>
        <v/>
      </c>
    </row>
    <row r="6247" spans="9:14" x14ac:dyDescent="0.25">
      <c r="I6247" s="11" t="b">
        <f t="shared" si="310"/>
        <v>0</v>
      </c>
      <c r="M6247" s="17" t="str">
        <f t="shared" si="308"/>
        <v/>
      </c>
      <c r="N6247" s="11" t="str">
        <f t="shared" si="309"/>
        <v/>
      </c>
    </row>
    <row r="6248" spans="9:14" x14ac:dyDescent="0.25">
      <c r="I6248" s="11" t="b">
        <f t="shared" si="310"/>
        <v>0</v>
      </c>
      <c r="M6248" s="17" t="str">
        <f t="shared" si="308"/>
        <v/>
      </c>
      <c r="N6248" s="11" t="str">
        <f t="shared" si="309"/>
        <v/>
      </c>
    </row>
    <row r="6249" spans="9:14" x14ac:dyDescent="0.25">
      <c r="I6249" s="11" t="b">
        <f t="shared" si="310"/>
        <v>0</v>
      </c>
      <c r="M6249" s="17" t="str">
        <f t="shared" si="308"/>
        <v/>
      </c>
      <c r="N6249" s="11" t="str">
        <f t="shared" si="309"/>
        <v/>
      </c>
    </row>
    <row r="6250" spans="9:14" x14ac:dyDescent="0.25">
      <c r="I6250" s="11" t="b">
        <f t="shared" si="310"/>
        <v>0</v>
      </c>
      <c r="M6250" s="17" t="str">
        <f t="shared" si="308"/>
        <v/>
      </c>
      <c r="N6250" s="11" t="str">
        <f t="shared" si="309"/>
        <v/>
      </c>
    </row>
    <row r="6251" spans="9:14" x14ac:dyDescent="0.25">
      <c r="I6251" s="11" t="b">
        <f t="shared" si="310"/>
        <v>0</v>
      </c>
      <c r="M6251" s="17" t="str">
        <f t="shared" si="308"/>
        <v/>
      </c>
      <c r="N6251" s="11" t="str">
        <f t="shared" si="309"/>
        <v/>
      </c>
    </row>
    <row r="6252" spans="9:14" x14ac:dyDescent="0.25">
      <c r="I6252" s="11" t="b">
        <f t="shared" si="310"/>
        <v>0</v>
      </c>
      <c r="M6252" s="17" t="str">
        <f t="shared" si="308"/>
        <v/>
      </c>
      <c r="N6252" s="11" t="str">
        <f t="shared" si="309"/>
        <v/>
      </c>
    </row>
    <row r="6253" spans="9:14" x14ac:dyDescent="0.25">
      <c r="I6253" s="11" t="b">
        <f t="shared" si="310"/>
        <v>0</v>
      </c>
      <c r="M6253" s="17" t="str">
        <f t="shared" si="308"/>
        <v/>
      </c>
      <c r="N6253" s="11" t="str">
        <f t="shared" si="309"/>
        <v/>
      </c>
    </row>
    <row r="6254" spans="9:14" x14ac:dyDescent="0.25">
      <c r="I6254" s="11" t="b">
        <f t="shared" si="310"/>
        <v>0</v>
      </c>
      <c r="M6254" s="17" t="str">
        <f t="shared" si="308"/>
        <v/>
      </c>
      <c r="N6254" s="11" t="str">
        <f t="shared" si="309"/>
        <v/>
      </c>
    </row>
    <row r="6255" spans="9:14" x14ac:dyDescent="0.25">
      <c r="I6255" s="11" t="b">
        <f t="shared" si="310"/>
        <v>0</v>
      </c>
      <c r="M6255" s="17" t="str">
        <f t="shared" si="308"/>
        <v/>
      </c>
      <c r="N6255" s="11" t="str">
        <f t="shared" si="309"/>
        <v/>
      </c>
    </row>
    <row r="6256" spans="9:14" x14ac:dyDescent="0.25">
      <c r="I6256" s="11" t="b">
        <f t="shared" si="310"/>
        <v>0</v>
      </c>
      <c r="M6256" s="17" t="str">
        <f t="shared" si="308"/>
        <v/>
      </c>
      <c r="N6256" s="11" t="str">
        <f t="shared" si="309"/>
        <v/>
      </c>
    </row>
    <row r="6257" spans="9:14" x14ac:dyDescent="0.25">
      <c r="I6257" s="11" t="b">
        <f t="shared" si="310"/>
        <v>0</v>
      </c>
      <c r="M6257" s="17" t="str">
        <f t="shared" si="308"/>
        <v/>
      </c>
      <c r="N6257" s="11" t="str">
        <f t="shared" si="309"/>
        <v/>
      </c>
    </row>
    <row r="6258" spans="9:14" x14ac:dyDescent="0.25">
      <c r="I6258" s="11" t="b">
        <f t="shared" si="310"/>
        <v>0</v>
      </c>
      <c r="M6258" s="17" t="str">
        <f t="shared" si="308"/>
        <v/>
      </c>
      <c r="N6258" s="11" t="str">
        <f t="shared" si="309"/>
        <v/>
      </c>
    </row>
    <row r="6259" spans="9:14" x14ac:dyDescent="0.25">
      <c r="I6259" s="11" t="b">
        <f t="shared" si="310"/>
        <v>0</v>
      </c>
      <c r="M6259" s="17" t="str">
        <f t="shared" si="308"/>
        <v/>
      </c>
      <c r="N6259" s="11" t="str">
        <f t="shared" si="309"/>
        <v/>
      </c>
    </row>
    <row r="6260" spans="9:14" x14ac:dyDescent="0.25">
      <c r="I6260" s="11" t="b">
        <f t="shared" si="310"/>
        <v>0</v>
      </c>
      <c r="M6260" s="17" t="str">
        <f t="shared" si="308"/>
        <v/>
      </c>
      <c r="N6260" s="11" t="str">
        <f t="shared" si="309"/>
        <v/>
      </c>
    </row>
    <row r="6261" spans="9:14" x14ac:dyDescent="0.25">
      <c r="I6261" s="11" t="b">
        <f t="shared" si="310"/>
        <v>0</v>
      </c>
      <c r="M6261" s="17" t="str">
        <f t="shared" si="308"/>
        <v/>
      </c>
      <c r="N6261" s="11" t="str">
        <f t="shared" si="309"/>
        <v/>
      </c>
    </row>
    <row r="6262" spans="9:14" x14ac:dyDescent="0.25">
      <c r="I6262" s="11" t="b">
        <f t="shared" si="310"/>
        <v>0</v>
      </c>
      <c r="M6262" s="17" t="str">
        <f t="shared" si="308"/>
        <v/>
      </c>
      <c r="N6262" s="11" t="str">
        <f t="shared" si="309"/>
        <v/>
      </c>
    </row>
    <row r="6263" spans="9:14" x14ac:dyDescent="0.25">
      <c r="I6263" s="11" t="b">
        <f t="shared" si="310"/>
        <v>0</v>
      </c>
      <c r="M6263" s="17" t="str">
        <f t="shared" si="308"/>
        <v/>
      </c>
      <c r="N6263" s="11" t="str">
        <f t="shared" si="309"/>
        <v/>
      </c>
    </row>
    <row r="6264" spans="9:14" x14ac:dyDescent="0.25">
      <c r="I6264" s="11" t="b">
        <f t="shared" si="310"/>
        <v>0</v>
      </c>
      <c r="M6264" s="17" t="str">
        <f t="shared" si="308"/>
        <v/>
      </c>
      <c r="N6264" s="11" t="str">
        <f t="shared" si="309"/>
        <v/>
      </c>
    </row>
    <row r="6265" spans="9:14" x14ac:dyDescent="0.25">
      <c r="I6265" s="11" t="b">
        <f t="shared" si="310"/>
        <v>0</v>
      </c>
      <c r="M6265" s="17" t="str">
        <f t="shared" si="308"/>
        <v/>
      </c>
      <c r="N6265" s="11" t="str">
        <f t="shared" si="309"/>
        <v/>
      </c>
    </row>
    <row r="6266" spans="9:14" x14ac:dyDescent="0.25">
      <c r="I6266" s="11" t="b">
        <f t="shared" si="310"/>
        <v>0</v>
      </c>
      <c r="M6266" s="17" t="str">
        <f t="shared" si="308"/>
        <v/>
      </c>
      <c r="N6266" s="11" t="str">
        <f t="shared" si="309"/>
        <v/>
      </c>
    </row>
    <row r="6267" spans="9:14" x14ac:dyDescent="0.25">
      <c r="I6267" s="11" t="b">
        <f t="shared" si="310"/>
        <v>0</v>
      </c>
      <c r="M6267" s="17" t="str">
        <f t="shared" si="308"/>
        <v/>
      </c>
      <c r="N6267" s="11" t="str">
        <f t="shared" si="309"/>
        <v/>
      </c>
    </row>
    <row r="6268" spans="9:14" x14ac:dyDescent="0.25">
      <c r="I6268" s="11" t="b">
        <f t="shared" si="310"/>
        <v>0</v>
      </c>
      <c r="M6268" s="17" t="str">
        <f t="shared" si="308"/>
        <v/>
      </c>
      <c r="N6268" s="11" t="str">
        <f t="shared" si="309"/>
        <v/>
      </c>
    </row>
    <row r="6269" spans="9:14" x14ac:dyDescent="0.25">
      <c r="I6269" s="11" t="b">
        <f t="shared" si="310"/>
        <v>0</v>
      </c>
      <c r="M6269" s="17" t="str">
        <f t="shared" si="308"/>
        <v/>
      </c>
      <c r="N6269" s="11" t="str">
        <f t="shared" si="309"/>
        <v/>
      </c>
    </row>
    <row r="6270" spans="9:14" x14ac:dyDescent="0.25">
      <c r="I6270" s="11" t="b">
        <f t="shared" si="310"/>
        <v>0</v>
      </c>
      <c r="M6270" s="17" t="str">
        <f t="shared" si="308"/>
        <v/>
      </c>
      <c r="N6270" s="11" t="str">
        <f t="shared" si="309"/>
        <v/>
      </c>
    </row>
    <row r="6271" spans="9:14" x14ac:dyDescent="0.25">
      <c r="I6271" s="11" t="b">
        <f t="shared" si="310"/>
        <v>0</v>
      </c>
      <c r="M6271" s="17" t="str">
        <f t="shared" si="308"/>
        <v/>
      </c>
      <c r="N6271" s="11" t="str">
        <f t="shared" si="309"/>
        <v/>
      </c>
    </row>
    <row r="6272" spans="9:14" x14ac:dyDescent="0.25">
      <c r="I6272" s="11" t="b">
        <f t="shared" si="310"/>
        <v>0</v>
      </c>
      <c r="M6272" s="17" t="str">
        <f t="shared" si="308"/>
        <v/>
      </c>
      <c r="N6272" s="11" t="str">
        <f t="shared" si="309"/>
        <v/>
      </c>
    </row>
    <row r="6273" spans="9:14" x14ac:dyDescent="0.25">
      <c r="I6273" s="11" t="b">
        <f t="shared" si="310"/>
        <v>0</v>
      </c>
      <c r="M6273" s="17" t="str">
        <f t="shared" ref="M6273:M6336" si="311">IF(B6273=0, "",M6272+ J6273-K6273)</f>
        <v/>
      </c>
      <c r="N6273" s="11" t="str">
        <f t="shared" ref="N6273:N6336" si="312">IF(B6273=0, "", MONTH(B6273))</f>
        <v/>
      </c>
    </row>
    <row r="6274" spans="9:14" x14ac:dyDescent="0.25">
      <c r="I6274" s="11" t="b">
        <f t="shared" si="310"/>
        <v>0</v>
      </c>
      <c r="M6274" s="17" t="str">
        <f t="shared" si="311"/>
        <v/>
      </c>
      <c r="N6274" s="11" t="str">
        <f t="shared" si="312"/>
        <v/>
      </c>
    </row>
    <row r="6275" spans="9:14" x14ac:dyDescent="0.25">
      <c r="I6275" s="11" t="b">
        <f t="shared" si="310"/>
        <v>0</v>
      </c>
      <c r="M6275" s="17" t="str">
        <f t="shared" si="311"/>
        <v/>
      </c>
      <c r="N6275" s="11" t="str">
        <f t="shared" si="312"/>
        <v/>
      </c>
    </row>
    <row r="6276" spans="9:14" x14ac:dyDescent="0.25">
      <c r="I6276" s="11" t="b">
        <f t="shared" si="310"/>
        <v>0</v>
      </c>
      <c r="M6276" s="17" t="str">
        <f t="shared" si="311"/>
        <v/>
      </c>
      <c r="N6276" s="11" t="str">
        <f t="shared" si="312"/>
        <v/>
      </c>
    </row>
    <row r="6277" spans="9:14" x14ac:dyDescent="0.25">
      <c r="I6277" s="11" t="b">
        <f t="shared" si="310"/>
        <v>0</v>
      </c>
      <c r="M6277" s="17" t="str">
        <f t="shared" si="311"/>
        <v/>
      </c>
      <c r="N6277" s="11" t="str">
        <f t="shared" si="312"/>
        <v/>
      </c>
    </row>
    <row r="6278" spans="9:14" x14ac:dyDescent="0.25">
      <c r="I6278" s="11" t="b">
        <f t="shared" si="310"/>
        <v>0</v>
      </c>
      <c r="M6278" s="17" t="str">
        <f t="shared" si="311"/>
        <v/>
      </c>
      <c r="N6278" s="11" t="str">
        <f t="shared" si="312"/>
        <v/>
      </c>
    </row>
    <row r="6279" spans="9:14" x14ac:dyDescent="0.25">
      <c r="I6279" s="11" t="b">
        <f t="shared" si="310"/>
        <v>0</v>
      </c>
      <c r="M6279" s="17" t="str">
        <f t="shared" si="311"/>
        <v/>
      </c>
      <c r="N6279" s="11" t="str">
        <f t="shared" si="312"/>
        <v/>
      </c>
    </row>
    <row r="6280" spans="9:14" x14ac:dyDescent="0.25">
      <c r="I6280" s="11" t="b">
        <f t="shared" si="310"/>
        <v>0</v>
      </c>
      <c r="M6280" s="17" t="str">
        <f t="shared" si="311"/>
        <v/>
      </c>
      <c r="N6280" s="11" t="str">
        <f t="shared" si="312"/>
        <v/>
      </c>
    </row>
    <row r="6281" spans="9:14" x14ac:dyDescent="0.25">
      <c r="I6281" s="11" t="b">
        <f t="shared" si="310"/>
        <v>0</v>
      </c>
      <c r="M6281" s="17" t="str">
        <f t="shared" si="311"/>
        <v/>
      </c>
      <c r="N6281" s="11" t="str">
        <f t="shared" si="312"/>
        <v/>
      </c>
    </row>
    <row r="6282" spans="9:14" x14ac:dyDescent="0.25">
      <c r="I6282" s="11" t="b">
        <f t="shared" si="310"/>
        <v>0</v>
      </c>
      <c r="M6282" s="17" t="str">
        <f t="shared" si="311"/>
        <v/>
      </c>
      <c r="N6282" s="11" t="str">
        <f t="shared" si="312"/>
        <v/>
      </c>
    </row>
    <row r="6283" spans="9:14" x14ac:dyDescent="0.25">
      <c r="I6283" s="11" t="b">
        <f t="shared" si="310"/>
        <v>0</v>
      </c>
      <c r="M6283" s="17" t="str">
        <f t="shared" si="311"/>
        <v/>
      </c>
      <c r="N6283" s="11" t="str">
        <f t="shared" si="312"/>
        <v/>
      </c>
    </row>
    <row r="6284" spans="9:14" x14ac:dyDescent="0.25">
      <c r="I6284" s="11" t="b">
        <f t="shared" si="310"/>
        <v>0</v>
      </c>
      <c r="M6284" s="17" t="str">
        <f t="shared" si="311"/>
        <v/>
      </c>
      <c r="N6284" s="11" t="str">
        <f t="shared" si="312"/>
        <v/>
      </c>
    </row>
    <row r="6285" spans="9:14" x14ac:dyDescent="0.25">
      <c r="I6285" s="11" t="b">
        <f t="shared" si="310"/>
        <v>0</v>
      </c>
      <c r="M6285" s="17" t="str">
        <f t="shared" si="311"/>
        <v/>
      </c>
      <c r="N6285" s="11" t="str">
        <f t="shared" si="312"/>
        <v/>
      </c>
    </row>
    <row r="6286" spans="9:14" x14ac:dyDescent="0.25">
      <c r="I6286" s="11" t="b">
        <f t="shared" si="310"/>
        <v>0</v>
      </c>
      <c r="M6286" s="17" t="str">
        <f t="shared" si="311"/>
        <v/>
      </c>
      <c r="N6286" s="11" t="str">
        <f t="shared" si="312"/>
        <v/>
      </c>
    </row>
    <row r="6287" spans="9:14" x14ac:dyDescent="0.25">
      <c r="I6287" s="11" t="b">
        <f t="shared" si="310"/>
        <v>0</v>
      </c>
      <c r="M6287" s="17" t="str">
        <f t="shared" si="311"/>
        <v/>
      </c>
      <c r="N6287" s="11" t="str">
        <f t="shared" si="312"/>
        <v/>
      </c>
    </row>
    <row r="6288" spans="9:14" x14ac:dyDescent="0.25">
      <c r="I6288" s="11" t="b">
        <f t="shared" si="310"/>
        <v>0</v>
      </c>
      <c r="M6288" s="17" t="str">
        <f t="shared" si="311"/>
        <v/>
      </c>
      <c r="N6288" s="11" t="str">
        <f t="shared" si="312"/>
        <v/>
      </c>
    </row>
    <row r="6289" spans="9:14" x14ac:dyDescent="0.25">
      <c r="I6289" s="11" t="b">
        <f t="shared" si="310"/>
        <v>0</v>
      </c>
      <c r="M6289" s="17" t="str">
        <f t="shared" si="311"/>
        <v/>
      </c>
      <c r="N6289" s="11" t="str">
        <f t="shared" si="312"/>
        <v/>
      </c>
    </row>
    <row r="6290" spans="9:14" x14ac:dyDescent="0.25">
      <c r="I6290" s="11" t="b">
        <f t="shared" si="310"/>
        <v>0</v>
      </c>
      <c r="M6290" s="17" t="str">
        <f t="shared" si="311"/>
        <v/>
      </c>
      <c r="N6290" s="11" t="str">
        <f t="shared" si="312"/>
        <v/>
      </c>
    </row>
    <row r="6291" spans="9:14" x14ac:dyDescent="0.25">
      <c r="I6291" s="11" t="b">
        <f t="shared" si="310"/>
        <v>0</v>
      </c>
      <c r="M6291" s="17" t="str">
        <f t="shared" si="311"/>
        <v/>
      </c>
      <c r="N6291" s="11" t="str">
        <f t="shared" si="312"/>
        <v/>
      </c>
    </row>
    <row r="6292" spans="9:14" x14ac:dyDescent="0.25">
      <c r="I6292" s="11" t="b">
        <f t="shared" si="310"/>
        <v>0</v>
      </c>
      <c r="M6292" s="17" t="str">
        <f t="shared" si="311"/>
        <v/>
      </c>
      <c r="N6292" s="11" t="str">
        <f t="shared" si="312"/>
        <v/>
      </c>
    </row>
    <row r="6293" spans="9:14" x14ac:dyDescent="0.25">
      <c r="I6293" s="11" t="b">
        <f t="shared" si="310"/>
        <v>0</v>
      </c>
      <c r="M6293" s="17" t="str">
        <f t="shared" si="311"/>
        <v/>
      </c>
      <c r="N6293" s="11" t="str">
        <f t="shared" si="312"/>
        <v/>
      </c>
    </row>
    <row r="6294" spans="9:14" x14ac:dyDescent="0.25">
      <c r="I6294" s="11" t="b">
        <f t="shared" si="310"/>
        <v>0</v>
      </c>
      <c r="M6294" s="17" t="str">
        <f t="shared" si="311"/>
        <v/>
      </c>
      <c r="N6294" s="11" t="str">
        <f t="shared" si="312"/>
        <v/>
      </c>
    </row>
    <row r="6295" spans="9:14" x14ac:dyDescent="0.25">
      <c r="I6295" s="11" t="b">
        <f t="shared" si="310"/>
        <v>0</v>
      </c>
      <c r="M6295" s="17" t="str">
        <f t="shared" si="311"/>
        <v/>
      </c>
      <c r="N6295" s="11" t="str">
        <f t="shared" si="312"/>
        <v/>
      </c>
    </row>
    <row r="6296" spans="9:14" x14ac:dyDescent="0.25">
      <c r="I6296" s="11" t="b">
        <f t="shared" si="310"/>
        <v>0</v>
      </c>
      <c r="M6296" s="17" t="str">
        <f t="shared" si="311"/>
        <v/>
      </c>
      <c r="N6296" s="11" t="str">
        <f t="shared" si="312"/>
        <v/>
      </c>
    </row>
    <row r="6297" spans="9:14" x14ac:dyDescent="0.25">
      <c r="I6297" s="11" t="b">
        <f t="shared" si="310"/>
        <v>0</v>
      </c>
      <c r="M6297" s="17" t="str">
        <f t="shared" si="311"/>
        <v/>
      </c>
      <c r="N6297" s="11" t="str">
        <f t="shared" si="312"/>
        <v/>
      </c>
    </row>
    <row r="6298" spans="9:14" x14ac:dyDescent="0.25">
      <c r="I6298" s="11" t="b">
        <f t="shared" si="310"/>
        <v>0</v>
      </c>
      <c r="M6298" s="17" t="str">
        <f t="shared" si="311"/>
        <v/>
      </c>
      <c r="N6298" s="11" t="str">
        <f t="shared" si="312"/>
        <v/>
      </c>
    </row>
    <row r="6299" spans="9:14" x14ac:dyDescent="0.25">
      <c r="I6299" s="11" t="b">
        <f t="shared" si="310"/>
        <v>0</v>
      </c>
      <c r="M6299" s="17" t="str">
        <f t="shared" si="311"/>
        <v/>
      </c>
      <c r="N6299" s="11" t="str">
        <f t="shared" si="312"/>
        <v/>
      </c>
    </row>
    <row r="6300" spans="9:14" x14ac:dyDescent="0.25">
      <c r="I6300" s="11" t="b">
        <f t="shared" si="310"/>
        <v>0</v>
      </c>
      <c r="M6300" s="17" t="str">
        <f t="shared" si="311"/>
        <v/>
      </c>
      <c r="N6300" s="11" t="str">
        <f t="shared" si="312"/>
        <v/>
      </c>
    </row>
    <row r="6301" spans="9:14" x14ac:dyDescent="0.25">
      <c r="I6301" s="11" t="b">
        <f t="shared" ref="I6301:I6364" si="313">IF(AND(G6301="MERCADO PAGO",A6301="FATURAMENTO"),1,IF(AND(OR(G6301="MERCADO PAGO",G6301="pix mercado pago",G6301= "débito automático mercado pago", G6301= "boleto mercado pago"),A6301="DESPESAS"),4,IF(AND(G6301="SAFRA",A6301="FATURAMENTO"),2,IF(AND(OR(G6301="SAFRA",G6301="PIX SAFRA", G6301="DÉBITO AUTOMÁTICO SAFRA", G6301= "BOLETO SAFRA", G6301= "transferência safra"), A6301="DESPESAS"),5,IF(AND(G6301="espécie",A6301="FATURAMENTO"),3,IF(AND(G6301="espécie",A6301="DESPESAS"),6))))))</f>
        <v>0</v>
      </c>
      <c r="M6301" s="17" t="str">
        <f t="shared" si="311"/>
        <v/>
      </c>
      <c r="N6301" s="11" t="str">
        <f t="shared" si="312"/>
        <v/>
      </c>
    </row>
    <row r="6302" spans="9:14" x14ac:dyDescent="0.25">
      <c r="I6302" s="11" t="b">
        <f t="shared" si="313"/>
        <v>0</v>
      </c>
      <c r="M6302" s="17" t="str">
        <f t="shared" si="311"/>
        <v/>
      </c>
      <c r="N6302" s="11" t="str">
        <f t="shared" si="312"/>
        <v/>
      </c>
    </row>
    <row r="6303" spans="9:14" x14ac:dyDescent="0.25">
      <c r="I6303" s="11" t="b">
        <f t="shared" si="313"/>
        <v>0</v>
      </c>
      <c r="M6303" s="17" t="str">
        <f t="shared" si="311"/>
        <v/>
      </c>
      <c r="N6303" s="11" t="str">
        <f t="shared" si="312"/>
        <v/>
      </c>
    </row>
    <row r="6304" spans="9:14" x14ac:dyDescent="0.25">
      <c r="I6304" s="11" t="b">
        <f t="shared" si="313"/>
        <v>0</v>
      </c>
      <c r="M6304" s="17" t="str">
        <f t="shared" si="311"/>
        <v/>
      </c>
      <c r="N6304" s="11" t="str">
        <f t="shared" si="312"/>
        <v/>
      </c>
    </row>
    <row r="6305" spans="9:14" x14ac:dyDescent="0.25">
      <c r="I6305" s="11" t="b">
        <f t="shared" si="313"/>
        <v>0</v>
      </c>
      <c r="M6305" s="17" t="str">
        <f t="shared" si="311"/>
        <v/>
      </c>
      <c r="N6305" s="11" t="str">
        <f t="shared" si="312"/>
        <v/>
      </c>
    </row>
    <row r="6306" spans="9:14" x14ac:dyDescent="0.25">
      <c r="I6306" s="11" t="b">
        <f t="shared" si="313"/>
        <v>0</v>
      </c>
      <c r="M6306" s="17" t="str">
        <f t="shared" si="311"/>
        <v/>
      </c>
      <c r="N6306" s="11" t="str">
        <f t="shared" si="312"/>
        <v/>
      </c>
    </row>
    <row r="6307" spans="9:14" x14ac:dyDescent="0.25">
      <c r="I6307" s="11" t="b">
        <f t="shared" si="313"/>
        <v>0</v>
      </c>
      <c r="M6307" s="17" t="str">
        <f t="shared" si="311"/>
        <v/>
      </c>
      <c r="N6307" s="11" t="str">
        <f t="shared" si="312"/>
        <v/>
      </c>
    </row>
    <row r="6308" spans="9:14" x14ac:dyDescent="0.25">
      <c r="I6308" s="11" t="b">
        <f t="shared" si="313"/>
        <v>0</v>
      </c>
      <c r="M6308" s="17" t="str">
        <f t="shared" si="311"/>
        <v/>
      </c>
      <c r="N6308" s="11" t="str">
        <f t="shared" si="312"/>
        <v/>
      </c>
    </row>
    <row r="6309" spans="9:14" x14ac:dyDescent="0.25">
      <c r="I6309" s="11" t="b">
        <f t="shared" si="313"/>
        <v>0</v>
      </c>
      <c r="M6309" s="17" t="str">
        <f t="shared" si="311"/>
        <v/>
      </c>
      <c r="N6309" s="11" t="str">
        <f t="shared" si="312"/>
        <v/>
      </c>
    </row>
    <row r="6310" spans="9:14" x14ac:dyDescent="0.25">
      <c r="I6310" s="11" t="b">
        <f t="shared" si="313"/>
        <v>0</v>
      </c>
      <c r="M6310" s="17" t="str">
        <f t="shared" si="311"/>
        <v/>
      </c>
      <c r="N6310" s="11" t="str">
        <f t="shared" si="312"/>
        <v/>
      </c>
    </row>
    <row r="6311" spans="9:14" x14ac:dyDescent="0.25">
      <c r="I6311" s="11" t="b">
        <f t="shared" si="313"/>
        <v>0</v>
      </c>
      <c r="M6311" s="17" t="str">
        <f t="shared" si="311"/>
        <v/>
      </c>
      <c r="N6311" s="11" t="str">
        <f t="shared" si="312"/>
        <v/>
      </c>
    </row>
    <row r="6312" spans="9:14" x14ac:dyDescent="0.25">
      <c r="I6312" s="11" t="b">
        <f t="shared" si="313"/>
        <v>0</v>
      </c>
      <c r="M6312" s="17" t="str">
        <f t="shared" si="311"/>
        <v/>
      </c>
      <c r="N6312" s="11" t="str">
        <f t="shared" si="312"/>
        <v/>
      </c>
    </row>
    <row r="6313" spans="9:14" x14ac:dyDescent="0.25">
      <c r="I6313" s="11" t="b">
        <f t="shared" si="313"/>
        <v>0</v>
      </c>
      <c r="M6313" s="17" t="str">
        <f t="shared" si="311"/>
        <v/>
      </c>
      <c r="N6313" s="11" t="str">
        <f t="shared" si="312"/>
        <v/>
      </c>
    </row>
    <row r="6314" spans="9:14" x14ac:dyDescent="0.25">
      <c r="I6314" s="11" t="b">
        <f t="shared" si="313"/>
        <v>0</v>
      </c>
      <c r="M6314" s="17" t="str">
        <f t="shared" si="311"/>
        <v/>
      </c>
      <c r="N6314" s="11" t="str">
        <f t="shared" si="312"/>
        <v/>
      </c>
    </row>
    <row r="6315" spans="9:14" x14ac:dyDescent="0.25">
      <c r="I6315" s="11" t="b">
        <f t="shared" si="313"/>
        <v>0</v>
      </c>
      <c r="M6315" s="17" t="str">
        <f t="shared" si="311"/>
        <v/>
      </c>
      <c r="N6315" s="11" t="str">
        <f t="shared" si="312"/>
        <v/>
      </c>
    </row>
    <row r="6316" spans="9:14" x14ac:dyDescent="0.25">
      <c r="I6316" s="11" t="b">
        <f t="shared" si="313"/>
        <v>0</v>
      </c>
      <c r="M6316" s="17" t="str">
        <f t="shared" si="311"/>
        <v/>
      </c>
      <c r="N6316" s="11" t="str">
        <f t="shared" si="312"/>
        <v/>
      </c>
    </row>
    <row r="6317" spans="9:14" x14ac:dyDescent="0.25">
      <c r="I6317" s="11" t="b">
        <f t="shared" si="313"/>
        <v>0</v>
      </c>
      <c r="M6317" s="17" t="str">
        <f t="shared" si="311"/>
        <v/>
      </c>
      <c r="N6317" s="11" t="str">
        <f t="shared" si="312"/>
        <v/>
      </c>
    </row>
    <row r="6318" spans="9:14" x14ac:dyDescent="0.25">
      <c r="I6318" s="11" t="b">
        <f t="shared" si="313"/>
        <v>0</v>
      </c>
      <c r="M6318" s="17" t="str">
        <f t="shared" si="311"/>
        <v/>
      </c>
      <c r="N6318" s="11" t="str">
        <f t="shared" si="312"/>
        <v/>
      </c>
    </row>
    <row r="6319" spans="9:14" x14ac:dyDescent="0.25">
      <c r="I6319" s="11" t="b">
        <f t="shared" si="313"/>
        <v>0</v>
      </c>
      <c r="M6319" s="17" t="str">
        <f t="shared" si="311"/>
        <v/>
      </c>
      <c r="N6319" s="11" t="str">
        <f t="shared" si="312"/>
        <v/>
      </c>
    </row>
    <row r="6320" spans="9:14" x14ac:dyDescent="0.25">
      <c r="I6320" s="11" t="b">
        <f t="shared" si="313"/>
        <v>0</v>
      </c>
      <c r="M6320" s="17" t="str">
        <f t="shared" si="311"/>
        <v/>
      </c>
      <c r="N6320" s="11" t="str">
        <f t="shared" si="312"/>
        <v/>
      </c>
    </row>
    <row r="6321" spans="9:14" x14ac:dyDescent="0.25">
      <c r="I6321" s="11" t="b">
        <f t="shared" si="313"/>
        <v>0</v>
      </c>
      <c r="M6321" s="17" t="str">
        <f t="shared" si="311"/>
        <v/>
      </c>
      <c r="N6321" s="11" t="str">
        <f t="shared" si="312"/>
        <v/>
      </c>
    </row>
    <row r="6322" spans="9:14" x14ac:dyDescent="0.25">
      <c r="I6322" s="11" t="b">
        <f t="shared" si="313"/>
        <v>0</v>
      </c>
      <c r="M6322" s="17" t="str">
        <f t="shared" si="311"/>
        <v/>
      </c>
      <c r="N6322" s="11" t="str">
        <f t="shared" si="312"/>
        <v/>
      </c>
    </row>
    <row r="6323" spans="9:14" x14ac:dyDescent="0.25">
      <c r="I6323" s="11" t="b">
        <f t="shared" si="313"/>
        <v>0</v>
      </c>
      <c r="M6323" s="17" t="str">
        <f t="shared" si="311"/>
        <v/>
      </c>
      <c r="N6323" s="11" t="str">
        <f t="shared" si="312"/>
        <v/>
      </c>
    </row>
    <row r="6324" spans="9:14" x14ac:dyDescent="0.25">
      <c r="I6324" s="11" t="b">
        <f t="shared" si="313"/>
        <v>0</v>
      </c>
      <c r="M6324" s="17" t="str">
        <f t="shared" si="311"/>
        <v/>
      </c>
      <c r="N6324" s="11" t="str">
        <f t="shared" si="312"/>
        <v/>
      </c>
    </row>
    <row r="6325" spans="9:14" x14ac:dyDescent="0.25">
      <c r="I6325" s="11" t="b">
        <f t="shared" si="313"/>
        <v>0</v>
      </c>
      <c r="M6325" s="17" t="str">
        <f t="shared" si="311"/>
        <v/>
      </c>
      <c r="N6325" s="11" t="str">
        <f t="shared" si="312"/>
        <v/>
      </c>
    </row>
    <row r="6326" spans="9:14" x14ac:dyDescent="0.25">
      <c r="I6326" s="11" t="b">
        <f t="shared" si="313"/>
        <v>0</v>
      </c>
      <c r="M6326" s="17" t="str">
        <f t="shared" si="311"/>
        <v/>
      </c>
      <c r="N6326" s="11" t="str">
        <f t="shared" si="312"/>
        <v/>
      </c>
    </row>
    <row r="6327" spans="9:14" x14ac:dyDescent="0.25">
      <c r="I6327" s="11" t="b">
        <f t="shared" si="313"/>
        <v>0</v>
      </c>
      <c r="M6327" s="17" t="str">
        <f t="shared" si="311"/>
        <v/>
      </c>
      <c r="N6327" s="11" t="str">
        <f t="shared" si="312"/>
        <v/>
      </c>
    </row>
    <row r="6328" spans="9:14" x14ac:dyDescent="0.25">
      <c r="I6328" s="11" t="b">
        <f t="shared" si="313"/>
        <v>0</v>
      </c>
      <c r="M6328" s="17" t="str">
        <f t="shared" si="311"/>
        <v/>
      </c>
      <c r="N6328" s="11" t="str">
        <f t="shared" si="312"/>
        <v/>
      </c>
    </row>
    <row r="6329" spans="9:14" x14ac:dyDescent="0.25">
      <c r="I6329" s="11" t="b">
        <f t="shared" si="313"/>
        <v>0</v>
      </c>
      <c r="M6329" s="17" t="str">
        <f t="shared" si="311"/>
        <v/>
      </c>
      <c r="N6329" s="11" t="str">
        <f t="shared" si="312"/>
        <v/>
      </c>
    </row>
    <row r="6330" spans="9:14" x14ac:dyDescent="0.25">
      <c r="I6330" s="11" t="b">
        <f t="shared" si="313"/>
        <v>0</v>
      </c>
      <c r="M6330" s="17" t="str">
        <f t="shared" si="311"/>
        <v/>
      </c>
      <c r="N6330" s="11" t="str">
        <f t="shared" si="312"/>
        <v/>
      </c>
    </row>
    <row r="6331" spans="9:14" x14ac:dyDescent="0.25">
      <c r="I6331" s="11" t="b">
        <f t="shared" si="313"/>
        <v>0</v>
      </c>
      <c r="M6331" s="17" t="str">
        <f t="shared" si="311"/>
        <v/>
      </c>
      <c r="N6331" s="11" t="str">
        <f t="shared" si="312"/>
        <v/>
      </c>
    </row>
    <row r="6332" spans="9:14" x14ac:dyDescent="0.25">
      <c r="I6332" s="11" t="b">
        <f t="shared" si="313"/>
        <v>0</v>
      </c>
      <c r="M6332" s="17" t="str">
        <f t="shared" si="311"/>
        <v/>
      </c>
      <c r="N6332" s="11" t="str">
        <f t="shared" si="312"/>
        <v/>
      </c>
    </row>
    <row r="6333" spans="9:14" x14ac:dyDescent="0.25">
      <c r="I6333" s="11" t="b">
        <f t="shared" si="313"/>
        <v>0</v>
      </c>
      <c r="M6333" s="17" t="str">
        <f t="shared" si="311"/>
        <v/>
      </c>
      <c r="N6333" s="11" t="str">
        <f t="shared" si="312"/>
        <v/>
      </c>
    </row>
    <row r="6334" spans="9:14" x14ac:dyDescent="0.25">
      <c r="I6334" s="11" t="b">
        <f t="shared" si="313"/>
        <v>0</v>
      </c>
      <c r="M6334" s="17" t="str">
        <f t="shared" si="311"/>
        <v/>
      </c>
      <c r="N6334" s="11" t="str">
        <f t="shared" si="312"/>
        <v/>
      </c>
    </row>
    <row r="6335" spans="9:14" x14ac:dyDescent="0.25">
      <c r="I6335" s="11" t="b">
        <f t="shared" si="313"/>
        <v>0</v>
      </c>
      <c r="M6335" s="17" t="str">
        <f t="shared" si="311"/>
        <v/>
      </c>
      <c r="N6335" s="11" t="str">
        <f t="shared" si="312"/>
        <v/>
      </c>
    </row>
    <row r="6336" spans="9:14" x14ac:dyDescent="0.25">
      <c r="I6336" s="11" t="b">
        <f t="shared" si="313"/>
        <v>0</v>
      </c>
      <c r="M6336" s="17" t="str">
        <f t="shared" si="311"/>
        <v/>
      </c>
      <c r="N6336" s="11" t="str">
        <f t="shared" si="312"/>
        <v/>
      </c>
    </row>
    <row r="6337" spans="9:14" x14ac:dyDescent="0.25">
      <c r="I6337" s="11" t="b">
        <f t="shared" si="313"/>
        <v>0</v>
      </c>
      <c r="M6337" s="17" t="str">
        <f t="shared" ref="M6337:M6400" si="314">IF(B6337=0, "",M6336+ J6337-K6337)</f>
        <v/>
      </c>
      <c r="N6337" s="11" t="str">
        <f t="shared" ref="N6337:N6400" si="315">IF(B6337=0, "", MONTH(B6337))</f>
        <v/>
      </c>
    </row>
    <row r="6338" spans="9:14" x14ac:dyDescent="0.25">
      <c r="I6338" s="11" t="b">
        <f t="shared" si="313"/>
        <v>0</v>
      </c>
      <c r="M6338" s="17" t="str">
        <f t="shared" si="314"/>
        <v/>
      </c>
      <c r="N6338" s="11" t="str">
        <f t="shared" si="315"/>
        <v/>
      </c>
    </row>
    <row r="6339" spans="9:14" x14ac:dyDescent="0.25">
      <c r="I6339" s="11" t="b">
        <f t="shared" si="313"/>
        <v>0</v>
      </c>
      <c r="M6339" s="17" t="str">
        <f t="shared" si="314"/>
        <v/>
      </c>
      <c r="N6339" s="11" t="str">
        <f t="shared" si="315"/>
        <v/>
      </c>
    </row>
    <row r="6340" spans="9:14" x14ac:dyDescent="0.25">
      <c r="I6340" s="11" t="b">
        <f t="shared" si="313"/>
        <v>0</v>
      </c>
      <c r="M6340" s="17" t="str">
        <f t="shared" si="314"/>
        <v/>
      </c>
      <c r="N6340" s="11" t="str">
        <f t="shared" si="315"/>
        <v/>
      </c>
    </row>
    <row r="6341" spans="9:14" x14ac:dyDescent="0.25">
      <c r="I6341" s="11" t="b">
        <f t="shared" si="313"/>
        <v>0</v>
      </c>
      <c r="M6341" s="17" t="str">
        <f t="shared" si="314"/>
        <v/>
      </c>
      <c r="N6341" s="11" t="str">
        <f t="shared" si="315"/>
        <v/>
      </c>
    </row>
    <row r="6342" spans="9:14" x14ac:dyDescent="0.25">
      <c r="I6342" s="11" t="b">
        <f t="shared" si="313"/>
        <v>0</v>
      </c>
      <c r="M6342" s="17" t="str">
        <f t="shared" si="314"/>
        <v/>
      </c>
      <c r="N6342" s="11" t="str">
        <f t="shared" si="315"/>
        <v/>
      </c>
    </row>
    <row r="6343" spans="9:14" x14ac:dyDescent="0.25">
      <c r="I6343" s="11" t="b">
        <f t="shared" si="313"/>
        <v>0</v>
      </c>
      <c r="M6343" s="17" t="str">
        <f t="shared" si="314"/>
        <v/>
      </c>
      <c r="N6343" s="11" t="str">
        <f t="shared" si="315"/>
        <v/>
      </c>
    </row>
    <row r="6344" spans="9:14" x14ac:dyDescent="0.25">
      <c r="I6344" s="11" t="b">
        <f t="shared" si="313"/>
        <v>0</v>
      </c>
      <c r="M6344" s="17" t="str">
        <f t="shared" si="314"/>
        <v/>
      </c>
      <c r="N6344" s="11" t="str">
        <f t="shared" si="315"/>
        <v/>
      </c>
    </row>
    <row r="6345" spans="9:14" x14ac:dyDescent="0.25">
      <c r="I6345" s="11" t="b">
        <f t="shared" si="313"/>
        <v>0</v>
      </c>
      <c r="M6345" s="17" t="str">
        <f t="shared" si="314"/>
        <v/>
      </c>
      <c r="N6345" s="11" t="str">
        <f t="shared" si="315"/>
        <v/>
      </c>
    </row>
    <row r="6346" spans="9:14" x14ac:dyDescent="0.25">
      <c r="I6346" s="11" t="b">
        <f t="shared" si="313"/>
        <v>0</v>
      </c>
      <c r="M6346" s="17" t="str">
        <f t="shared" si="314"/>
        <v/>
      </c>
      <c r="N6346" s="11" t="str">
        <f t="shared" si="315"/>
        <v/>
      </c>
    </row>
    <row r="6347" spans="9:14" x14ac:dyDescent="0.25">
      <c r="I6347" s="11" t="b">
        <f t="shared" si="313"/>
        <v>0</v>
      </c>
      <c r="M6347" s="17" t="str">
        <f t="shared" si="314"/>
        <v/>
      </c>
      <c r="N6347" s="11" t="str">
        <f t="shared" si="315"/>
        <v/>
      </c>
    </row>
    <row r="6348" spans="9:14" x14ac:dyDescent="0.25">
      <c r="I6348" s="11" t="b">
        <f t="shared" si="313"/>
        <v>0</v>
      </c>
      <c r="M6348" s="17" t="str">
        <f t="shared" si="314"/>
        <v/>
      </c>
      <c r="N6348" s="11" t="str">
        <f t="shared" si="315"/>
        <v/>
      </c>
    </row>
    <row r="6349" spans="9:14" x14ac:dyDescent="0.25">
      <c r="I6349" s="11" t="b">
        <f t="shared" si="313"/>
        <v>0</v>
      </c>
      <c r="M6349" s="17" t="str">
        <f t="shared" si="314"/>
        <v/>
      </c>
      <c r="N6349" s="11" t="str">
        <f t="shared" si="315"/>
        <v/>
      </c>
    </row>
    <row r="6350" spans="9:14" x14ac:dyDescent="0.25">
      <c r="I6350" s="11" t="b">
        <f t="shared" si="313"/>
        <v>0</v>
      </c>
      <c r="M6350" s="17" t="str">
        <f t="shared" si="314"/>
        <v/>
      </c>
      <c r="N6350" s="11" t="str">
        <f t="shared" si="315"/>
        <v/>
      </c>
    </row>
    <row r="6351" spans="9:14" x14ac:dyDescent="0.25">
      <c r="I6351" s="11" t="b">
        <f t="shared" si="313"/>
        <v>0</v>
      </c>
      <c r="M6351" s="17" t="str">
        <f t="shared" si="314"/>
        <v/>
      </c>
      <c r="N6351" s="11" t="str">
        <f t="shared" si="315"/>
        <v/>
      </c>
    </row>
    <row r="6352" spans="9:14" x14ac:dyDescent="0.25">
      <c r="I6352" s="11" t="b">
        <f t="shared" si="313"/>
        <v>0</v>
      </c>
      <c r="M6352" s="17" t="str">
        <f t="shared" si="314"/>
        <v/>
      </c>
      <c r="N6352" s="11" t="str">
        <f t="shared" si="315"/>
        <v/>
      </c>
    </row>
    <row r="6353" spans="9:14" x14ac:dyDescent="0.25">
      <c r="I6353" s="11" t="b">
        <f t="shared" si="313"/>
        <v>0</v>
      </c>
      <c r="M6353" s="17" t="str">
        <f t="shared" si="314"/>
        <v/>
      </c>
      <c r="N6353" s="11" t="str">
        <f t="shared" si="315"/>
        <v/>
      </c>
    </row>
    <row r="6354" spans="9:14" x14ac:dyDescent="0.25">
      <c r="I6354" s="11" t="b">
        <f t="shared" si="313"/>
        <v>0</v>
      </c>
      <c r="M6354" s="17" t="str">
        <f t="shared" si="314"/>
        <v/>
      </c>
      <c r="N6354" s="11" t="str">
        <f t="shared" si="315"/>
        <v/>
      </c>
    </row>
    <row r="6355" spans="9:14" x14ac:dyDescent="0.25">
      <c r="I6355" s="11" t="b">
        <f t="shared" si="313"/>
        <v>0</v>
      </c>
      <c r="M6355" s="17" t="str">
        <f t="shared" si="314"/>
        <v/>
      </c>
      <c r="N6355" s="11" t="str">
        <f t="shared" si="315"/>
        <v/>
      </c>
    </row>
    <row r="6356" spans="9:14" x14ac:dyDescent="0.25">
      <c r="I6356" s="11" t="b">
        <f t="shared" si="313"/>
        <v>0</v>
      </c>
      <c r="M6356" s="17" t="str">
        <f t="shared" si="314"/>
        <v/>
      </c>
      <c r="N6356" s="11" t="str">
        <f t="shared" si="315"/>
        <v/>
      </c>
    </row>
    <row r="6357" spans="9:14" x14ac:dyDescent="0.25">
      <c r="I6357" s="11" t="b">
        <f t="shared" si="313"/>
        <v>0</v>
      </c>
      <c r="M6357" s="17" t="str">
        <f t="shared" si="314"/>
        <v/>
      </c>
      <c r="N6357" s="11" t="str">
        <f t="shared" si="315"/>
        <v/>
      </c>
    </row>
    <row r="6358" spans="9:14" x14ac:dyDescent="0.25">
      <c r="I6358" s="11" t="b">
        <f t="shared" si="313"/>
        <v>0</v>
      </c>
      <c r="M6358" s="17" t="str">
        <f t="shared" si="314"/>
        <v/>
      </c>
      <c r="N6358" s="11" t="str">
        <f t="shared" si="315"/>
        <v/>
      </c>
    </row>
    <row r="6359" spans="9:14" x14ac:dyDescent="0.25">
      <c r="I6359" s="11" t="b">
        <f t="shared" si="313"/>
        <v>0</v>
      </c>
      <c r="M6359" s="17" t="str">
        <f t="shared" si="314"/>
        <v/>
      </c>
      <c r="N6359" s="11" t="str">
        <f t="shared" si="315"/>
        <v/>
      </c>
    </row>
    <row r="6360" spans="9:14" x14ac:dyDescent="0.25">
      <c r="I6360" s="11" t="b">
        <f t="shared" si="313"/>
        <v>0</v>
      </c>
      <c r="M6360" s="17" t="str">
        <f t="shared" si="314"/>
        <v/>
      </c>
      <c r="N6360" s="11" t="str">
        <f t="shared" si="315"/>
        <v/>
      </c>
    </row>
    <row r="6361" spans="9:14" x14ac:dyDescent="0.25">
      <c r="I6361" s="11" t="b">
        <f t="shared" si="313"/>
        <v>0</v>
      </c>
      <c r="M6361" s="17" t="str">
        <f t="shared" si="314"/>
        <v/>
      </c>
      <c r="N6361" s="11" t="str">
        <f t="shared" si="315"/>
        <v/>
      </c>
    </row>
    <row r="6362" spans="9:14" x14ac:dyDescent="0.25">
      <c r="I6362" s="11" t="b">
        <f t="shared" si="313"/>
        <v>0</v>
      </c>
      <c r="M6362" s="17" t="str">
        <f t="shared" si="314"/>
        <v/>
      </c>
      <c r="N6362" s="11" t="str">
        <f t="shared" si="315"/>
        <v/>
      </c>
    </row>
    <row r="6363" spans="9:14" x14ac:dyDescent="0.25">
      <c r="I6363" s="11" t="b">
        <f t="shared" si="313"/>
        <v>0</v>
      </c>
      <c r="M6363" s="17" t="str">
        <f t="shared" si="314"/>
        <v/>
      </c>
      <c r="N6363" s="11" t="str">
        <f t="shared" si="315"/>
        <v/>
      </c>
    </row>
    <row r="6364" spans="9:14" x14ac:dyDescent="0.25">
      <c r="I6364" s="11" t="b">
        <f t="shared" si="313"/>
        <v>0</v>
      </c>
      <c r="M6364" s="17" t="str">
        <f t="shared" si="314"/>
        <v/>
      </c>
      <c r="N6364" s="11" t="str">
        <f t="shared" si="315"/>
        <v/>
      </c>
    </row>
    <row r="6365" spans="9:14" x14ac:dyDescent="0.25">
      <c r="I6365" s="11" t="b">
        <f t="shared" ref="I6365:I6428" si="316">IF(AND(G6365="MERCADO PAGO",A6365="FATURAMENTO"),1,IF(AND(OR(G6365="MERCADO PAGO",G6365="pix mercado pago",G6365= "débito automático mercado pago", G6365= "boleto mercado pago"),A6365="DESPESAS"),4,IF(AND(G6365="SAFRA",A6365="FATURAMENTO"),2,IF(AND(OR(G6365="SAFRA",G6365="PIX SAFRA", G6365="DÉBITO AUTOMÁTICO SAFRA", G6365= "BOLETO SAFRA", G6365= "transferência safra"), A6365="DESPESAS"),5,IF(AND(G6365="espécie",A6365="FATURAMENTO"),3,IF(AND(G6365="espécie",A6365="DESPESAS"),6))))))</f>
        <v>0</v>
      </c>
      <c r="M6365" s="17" t="str">
        <f t="shared" si="314"/>
        <v/>
      </c>
      <c r="N6365" s="11" t="str">
        <f t="shared" si="315"/>
        <v/>
      </c>
    </row>
    <row r="6366" spans="9:14" x14ac:dyDescent="0.25">
      <c r="I6366" s="11" t="b">
        <f t="shared" si="316"/>
        <v>0</v>
      </c>
      <c r="M6366" s="17" t="str">
        <f t="shared" si="314"/>
        <v/>
      </c>
      <c r="N6366" s="11" t="str">
        <f t="shared" si="315"/>
        <v/>
      </c>
    </row>
    <row r="6367" spans="9:14" x14ac:dyDescent="0.25">
      <c r="I6367" s="11" t="b">
        <f t="shared" si="316"/>
        <v>0</v>
      </c>
      <c r="M6367" s="17" t="str">
        <f t="shared" si="314"/>
        <v/>
      </c>
      <c r="N6367" s="11" t="str">
        <f t="shared" si="315"/>
        <v/>
      </c>
    </row>
    <row r="6368" spans="9:14" x14ac:dyDescent="0.25">
      <c r="I6368" s="11" t="b">
        <f t="shared" si="316"/>
        <v>0</v>
      </c>
      <c r="M6368" s="17" t="str">
        <f t="shared" si="314"/>
        <v/>
      </c>
      <c r="N6368" s="11" t="str">
        <f t="shared" si="315"/>
        <v/>
      </c>
    </row>
    <row r="6369" spans="9:14" x14ac:dyDescent="0.25">
      <c r="I6369" s="11" t="b">
        <f t="shared" si="316"/>
        <v>0</v>
      </c>
      <c r="M6369" s="17" t="str">
        <f t="shared" si="314"/>
        <v/>
      </c>
      <c r="N6369" s="11" t="str">
        <f t="shared" si="315"/>
        <v/>
      </c>
    </row>
    <row r="6370" spans="9:14" x14ac:dyDescent="0.25">
      <c r="I6370" s="11" t="b">
        <f t="shared" si="316"/>
        <v>0</v>
      </c>
      <c r="M6370" s="17" t="str">
        <f t="shared" si="314"/>
        <v/>
      </c>
      <c r="N6370" s="11" t="str">
        <f t="shared" si="315"/>
        <v/>
      </c>
    </row>
    <row r="6371" spans="9:14" x14ac:dyDescent="0.25">
      <c r="I6371" s="11" t="b">
        <f t="shared" si="316"/>
        <v>0</v>
      </c>
      <c r="M6371" s="17" t="str">
        <f t="shared" si="314"/>
        <v/>
      </c>
      <c r="N6371" s="11" t="str">
        <f t="shared" si="315"/>
        <v/>
      </c>
    </row>
    <row r="6372" spans="9:14" x14ac:dyDescent="0.25">
      <c r="I6372" s="11" t="b">
        <f t="shared" si="316"/>
        <v>0</v>
      </c>
      <c r="M6372" s="17" t="str">
        <f t="shared" si="314"/>
        <v/>
      </c>
      <c r="N6372" s="11" t="str">
        <f t="shared" si="315"/>
        <v/>
      </c>
    </row>
    <row r="6373" spans="9:14" x14ac:dyDescent="0.25">
      <c r="I6373" s="11" t="b">
        <f t="shared" si="316"/>
        <v>0</v>
      </c>
      <c r="M6373" s="17" t="str">
        <f t="shared" si="314"/>
        <v/>
      </c>
      <c r="N6373" s="11" t="str">
        <f t="shared" si="315"/>
        <v/>
      </c>
    </row>
    <row r="6374" spans="9:14" x14ac:dyDescent="0.25">
      <c r="I6374" s="11" t="b">
        <f t="shared" si="316"/>
        <v>0</v>
      </c>
      <c r="M6374" s="17" t="str">
        <f t="shared" si="314"/>
        <v/>
      </c>
      <c r="N6374" s="11" t="str">
        <f t="shared" si="315"/>
        <v/>
      </c>
    </row>
    <row r="6375" spans="9:14" x14ac:dyDescent="0.25">
      <c r="I6375" s="11" t="b">
        <f t="shared" si="316"/>
        <v>0</v>
      </c>
      <c r="M6375" s="17" t="str">
        <f t="shared" si="314"/>
        <v/>
      </c>
      <c r="N6375" s="11" t="str">
        <f t="shared" si="315"/>
        <v/>
      </c>
    </row>
    <row r="6376" spans="9:14" x14ac:dyDescent="0.25">
      <c r="I6376" s="11" t="b">
        <f t="shared" si="316"/>
        <v>0</v>
      </c>
      <c r="M6376" s="17" t="str">
        <f t="shared" si="314"/>
        <v/>
      </c>
      <c r="N6376" s="11" t="str">
        <f t="shared" si="315"/>
        <v/>
      </c>
    </row>
    <row r="6377" spans="9:14" x14ac:dyDescent="0.25">
      <c r="I6377" s="11" t="b">
        <f t="shared" si="316"/>
        <v>0</v>
      </c>
      <c r="M6377" s="17" t="str">
        <f t="shared" si="314"/>
        <v/>
      </c>
      <c r="N6377" s="11" t="str">
        <f t="shared" si="315"/>
        <v/>
      </c>
    </row>
    <row r="6378" spans="9:14" x14ac:dyDescent="0.25">
      <c r="I6378" s="11" t="b">
        <f t="shared" si="316"/>
        <v>0</v>
      </c>
      <c r="M6378" s="17" t="str">
        <f t="shared" si="314"/>
        <v/>
      </c>
      <c r="N6378" s="11" t="str">
        <f t="shared" si="315"/>
        <v/>
      </c>
    </row>
    <row r="6379" spans="9:14" x14ac:dyDescent="0.25">
      <c r="I6379" s="11" t="b">
        <f t="shared" si="316"/>
        <v>0</v>
      </c>
      <c r="M6379" s="17" t="str">
        <f t="shared" si="314"/>
        <v/>
      </c>
      <c r="N6379" s="11" t="str">
        <f t="shared" si="315"/>
        <v/>
      </c>
    </row>
    <row r="6380" spans="9:14" x14ac:dyDescent="0.25">
      <c r="I6380" s="11" t="b">
        <f t="shared" si="316"/>
        <v>0</v>
      </c>
      <c r="M6380" s="17" t="str">
        <f t="shared" si="314"/>
        <v/>
      </c>
      <c r="N6380" s="11" t="str">
        <f t="shared" si="315"/>
        <v/>
      </c>
    </row>
    <row r="6381" spans="9:14" x14ac:dyDescent="0.25">
      <c r="I6381" s="11" t="b">
        <f t="shared" si="316"/>
        <v>0</v>
      </c>
      <c r="M6381" s="17" t="str">
        <f t="shared" si="314"/>
        <v/>
      </c>
      <c r="N6381" s="11" t="str">
        <f t="shared" si="315"/>
        <v/>
      </c>
    </row>
    <row r="6382" spans="9:14" x14ac:dyDescent="0.25">
      <c r="I6382" s="11" t="b">
        <f t="shared" si="316"/>
        <v>0</v>
      </c>
      <c r="M6382" s="17" t="str">
        <f t="shared" si="314"/>
        <v/>
      </c>
      <c r="N6382" s="11" t="str">
        <f t="shared" si="315"/>
        <v/>
      </c>
    </row>
    <row r="6383" spans="9:14" x14ac:dyDescent="0.25">
      <c r="I6383" s="11" t="b">
        <f t="shared" si="316"/>
        <v>0</v>
      </c>
      <c r="M6383" s="17" t="str">
        <f t="shared" si="314"/>
        <v/>
      </c>
      <c r="N6383" s="11" t="str">
        <f t="shared" si="315"/>
        <v/>
      </c>
    </row>
    <row r="6384" spans="9:14" x14ac:dyDescent="0.25">
      <c r="I6384" s="11" t="b">
        <f t="shared" si="316"/>
        <v>0</v>
      </c>
      <c r="M6384" s="17" t="str">
        <f t="shared" si="314"/>
        <v/>
      </c>
      <c r="N6384" s="11" t="str">
        <f t="shared" si="315"/>
        <v/>
      </c>
    </row>
    <row r="6385" spans="9:14" x14ac:dyDescent="0.25">
      <c r="I6385" s="11" t="b">
        <f t="shared" si="316"/>
        <v>0</v>
      </c>
      <c r="M6385" s="17" t="str">
        <f t="shared" si="314"/>
        <v/>
      </c>
      <c r="N6385" s="11" t="str">
        <f t="shared" si="315"/>
        <v/>
      </c>
    </row>
    <row r="6386" spans="9:14" x14ac:dyDescent="0.25">
      <c r="I6386" s="11" t="b">
        <f t="shared" si="316"/>
        <v>0</v>
      </c>
      <c r="M6386" s="17" t="str">
        <f t="shared" si="314"/>
        <v/>
      </c>
      <c r="N6386" s="11" t="str">
        <f t="shared" si="315"/>
        <v/>
      </c>
    </row>
    <row r="6387" spans="9:14" x14ac:dyDescent="0.25">
      <c r="I6387" s="11" t="b">
        <f t="shared" si="316"/>
        <v>0</v>
      </c>
      <c r="M6387" s="17" t="str">
        <f t="shared" si="314"/>
        <v/>
      </c>
      <c r="N6387" s="11" t="str">
        <f t="shared" si="315"/>
        <v/>
      </c>
    </row>
    <row r="6388" spans="9:14" x14ac:dyDescent="0.25">
      <c r="I6388" s="11" t="b">
        <f t="shared" si="316"/>
        <v>0</v>
      </c>
      <c r="M6388" s="17" t="str">
        <f t="shared" si="314"/>
        <v/>
      </c>
      <c r="N6388" s="11" t="str">
        <f t="shared" si="315"/>
        <v/>
      </c>
    </row>
    <row r="6389" spans="9:14" x14ac:dyDescent="0.25">
      <c r="I6389" s="11" t="b">
        <f t="shared" si="316"/>
        <v>0</v>
      </c>
      <c r="M6389" s="17" t="str">
        <f t="shared" si="314"/>
        <v/>
      </c>
      <c r="N6389" s="11" t="str">
        <f t="shared" si="315"/>
        <v/>
      </c>
    </row>
    <row r="6390" spans="9:14" x14ac:dyDescent="0.25">
      <c r="I6390" s="11" t="b">
        <f t="shared" si="316"/>
        <v>0</v>
      </c>
      <c r="M6390" s="17" t="str">
        <f t="shared" si="314"/>
        <v/>
      </c>
      <c r="N6390" s="11" t="str">
        <f t="shared" si="315"/>
        <v/>
      </c>
    </row>
    <row r="6391" spans="9:14" x14ac:dyDescent="0.25">
      <c r="I6391" s="11" t="b">
        <f t="shared" si="316"/>
        <v>0</v>
      </c>
      <c r="M6391" s="17" t="str">
        <f t="shared" si="314"/>
        <v/>
      </c>
      <c r="N6391" s="11" t="str">
        <f t="shared" si="315"/>
        <v/>
      </c>
    </row>
    <row r="6392" spans="9:14" x14ac:dyDescent="0.25">
      <c r="I6392" s="11" t="b">
        <f t="shared" si="316"/>
        <v>0</v>
      </c>
      <c r="M6392" s="17" t="str">
        <f t="shared" si="314"/>
        <v/>
      </c>
      <c r="N6392" s="11" t="str">
        <f t="shared" si="315"/>
        <v/>
      </c>
    </row>
    <row r="6393" spans="9:14" x14ac:dyDescent="0.25">
      <c r="I6393" s="11" t="b">
        <f t="shared" si="316"/>
        <v>0</v>
      </c>
      <c r="M6393" s="17" t="str">
        <f t="shared" si="314"/>
        <v/>
      </c>
      <c r="N6393" s="11" t="str">
        <f t="shared" si="315"/>
        <v/>
      </c>
    </row>
    <row r="6394" spans="9:14" x14ac:dyDescent="0.25">
      <c r="I6394" s="11" t="b">
        <f t="shared" si="316"/>
        <v>0</v>
      </c>
      <c r="M6394" s="17" t="str">
        <f t="shared" si="314"/>
        <v/>
      </c>
      <c r="N6394" s="11" t="str">
        <f t="shared" si="315"/>
        <v/>
      </c>
    </row>
    <row r="6395" spans="9:14" x14ac:dyDescent="0.25">
      <c r="I6395" s="11" t="b">
        <f t="shared" si="316"/>
        <v>0</v>
      </c>
      <c r="M6395" s="17" t="str">
        <f t="shared" si="314"/>
        <v/>
      </c>
      <c r="N6395" s="11" t="str">
        <f t="shared" si="315"/>
        <v/>
      </c>
    </row>
    <row r="6396" spans="9:14" x14ac:dyDescent="0.25">
      <c r="I6396" s="11" t="b">
        <f t="shared" si="316"/>
        <v>0</v>
      </c>
      <c r="M6396" s="17" t="str">
        <f t="shared" si="314"/>
        <v/>
      </c>
      <c r="N6396" s="11" t="str">
        <f t="shared" si="315"/>
        <v/>
      </c>
    </row>
    <row r="6397" spans="9:14" x14ac:dyDescent="0.25">
      <c r="I6397" s="11" t="b">
        <f t="shared" si="316"/>
        <v>0</v>
      </c>
      <c r="M6397" s="17" t="str">
        <f t="shared" si="314"/>
        <v/>
      </c>
      <c r="N6397" s="11" t="str">
        <f t="shared" si="315"/>
        <v/>
      </c>
    </row>
    <row r="6398" spans="9:14" x14ac:dyDescent="0.25">
      <c r="I6398" s="11" t="b">
        <f t="shared" si="316"/>
        <v>0</v>
      </c>
      <c r="M6398" s="17" t="str">
        <f t="shared" si="314"/>
        <v/>
      </c>
      <c r="N6398" s="11" t="str">
        <f t="shared" si="315"/>
        <v/>
      </c>
    </row>
    <row r="6399" spans="9:14" x14ac:dyDescent="0.25">
      <c r="I6399" s="11" t="b">
        <f t="shared" si="316"/>
        <v>0</v>
      </c>
      <c r="M6399" s="17" t="str">
        <f t="shared" si="314"/>
        <v/>
      </c>
      <c r="N6399" s="11" t="str">
        <f t="shared" si="315"/>
        <v/>
      </c>
    </row>
    <row r="6400" spans="9:14" x14ac:dyDescent="0.25">
      <c r="I6400" s="11" t="b">
        <f t="shared" si="316"/>
        <v>0</v>
      </c>
      <c r="M6400" s="17" t="str">
        <f t="shared" si="314"/>
        <v/>
      </c>
      <c r="N6400" s="11" t="str">
        <f t="shared" si="315"/>
        <v/>
      </c>
    </row>
    <row r="6401" spans="9:14" x14ac:dyDescent="0.25">
      <c r="I6401" s="11" t="b">
        <f t="shared" si="316"/>
        <v>0</v>
      </c>
      <c r="M6401" s="17" t="str">
        <f t="shared" ref="M6401:M6464" si="317">IF(B6401=0, "",M6400+ J6401-K6401)</f>
        <v/>
      </c>
      <c r="N6401" s="11" t="str">
        <f t="shared" ref="N6401:N6464" si="318">IF(B6401=0, "", MONTH(B6401))</f>
        <v/>
      </c>
    </row>
    <row r="6402" spans="9:14" x14ac:dyDescent="0.25">
      <c r="I6402" s="11" t="b">
        <f t="shared" si="316"/>
        <v>0</v>
      </c>
      <c r="M6402" s="17" t="str">
        <f t="shared" si="317"/>
        <v/>
      </c>
      <c r="N6402" s="11" t="str">
        <f t="shared" si="318"/>
        <v/>
      </c>
    </row>
    <row r="6403" spans="9:14" x14ac:dyDescent="0.25">
      <c r="I6403" s="11" t="b">
        <f t="shared" si="316"/>
        <v>0</v>
      </c>
      <c r="M6403" s="17" t="str">
        <f t="shared" si="317"/>
        <v/>
      </c>
      <c r="N6403" s="11" t="str">
        <f t="shared" si="318"/>
        <v/>
      </c>
    </row>
    <row r="6404" spans="9:14" x14ac:dyDescent="0.25">
      <c r="I6404" s="11" t="b">
        <f t="shared" si="316"/>
        <v>0</v>
      </c>
      <c r="M6404" s="17" t="str">
        <f t="shared" si="317"/>
        <v/>
      </c>
      <c r="N6404" s="11" t="str">
        <f t="shared" si="318"/>
        <v/>
      </c>
    </row>
    <row r="6405" spans="9:14" x14ac:dyDescent="0.25">
      <c r="I6405" s="11" t="b">
        <f t="shared" si="316"/>
        <v>0</v>
      </c>
      <c r="M6405" s="17" t="str">
        <f t="shared" si="317"/>
        <v/>
      </c>
      <c r="N6405" s="11" t="str">
        <f t="shared" si="318"/>
        <v/>
      </c>
    </row>
    <row r="6406" spans="9:14" x14ac:dyDescent="0.25">
      <c r="I6406" s="11" t="b">
        <f t="shared" si="316"/>
        <v>0</v>
      </c>
      <c r="M6406" s="17" t="str">
        <f t="shared" si="317"/>
        <v/>
      </c>
      <c r="N6406" s="11" t="str">
        <f t="shared" si="318"/>
        <v/>
      </c>
    </row>
    <row r="6407" spans="9:14" x14ac:dyDescent="0.25">
      <c r="I6407" s="11" t="b">
        <f t="shared" si="316"/>
        <v>0</v>
      </c>
      <c r="M6407" s="17" t="str">
        <f t="shared" si="317"/>
        <v/>
      </c>
      <c r="N6407" s="11" t="str">
        <f t="shared" si="318"/>
        <v/>
      </c>
    </row>
    <row r="6408" spans="9:14" x14ac:dyDescent="0.25">
      <c r="I6408" s="11" t="b">
        <f t="shared" si="316"/>
        <v>0</v>
      </c>
      <c r="M6408" s="17" t="str">
        <f t="shared" si="317"/>
        <v/>
      </c>
      <c r="N6408" s="11" t="str">
        <f t="shared" si="318"/>
        <v/>
      </c>
    </row>
    <row r="6409" spans="9:14" x14ac:dyDescent="0.25">
      <c r="I6409" s="11" t="b">
        <f t="shared" si="316"/>
        <v>0</v>
      </c>
      <c r="M6409" s="17" t="str">
        <f t="shared" si="317"/>
        <v/>
      </c>
      <c r="N6409" s="11" t="str">
        <f t="shared" si="318"/>
        <v/>
      </c>
    </row>
    <row r="6410" spans="9:14" x14ac:dyDescent="0.25">
      <c r="I6410" s="11" t="b">
        <f t="shared" si="316"/>
        <v>0</v>
      </c>
      <c r="M6410" s="17" t="str">
        <f t="shared" si="317"/>
        <v/>
      </c>
      <c r="N6410" s="11" t="str">
        <f t="shared" si="318"/>
        <v/>
      </c>
    </row>
    <row r="6411" spans="9:14" x14ac:dyDescent="0.25">
      <c r="I6411" s="11" t="b">
        <f t="shared" si="316"/>
        <v>0</v>
      </c>
      <c r="M6411" s="17" t="str">
        <f t="shared" si="317"/>
        <v/>
      </c>
      <c r="N6411" s="11" t="str">
        <f t="shared" si="318"/>
        <v/>
      </c>
    </row>
    <row r="6412" spans="9:14" x14ac:dyDescent="0.25">
      <c r="I6412" s="11" t="b">
        <f t="shared" si="316"/>
        <v>0</v>
      </c>
      <c r="M6412" s="17" t="str">
        <f t="shared" si="317"/>
        <v/>
      </c>
      <c r="N6412" s="11" t="str">
        <f t="shared" si="318"/>
        <v/>
      </c>
    </row>
    <row r="6413" spans="9:14" x14ac:dyDescent="0.25">
      <c r="I6413" s="11" t="b">
        <f t="shared" si="316"/>
        <v>0</v>
      </c>
      <c r="M6413" s="17" t="str">
        <f t="shared" si="317"/>
        <v/>
      </c>
      <c r="N6413" s="11" t="str">
        <f t="shared" si="318"/>
        <v/>
      </c>
    </row>
    <row r="6414" spans="9:14" x14ac:dyDescent="0.25">
      <c r="I6414" s="11" t="b">
        <f t="shared" si="316"/>
        <v>0</v>
      </c>
      <c r="M6414" s="17" t="str">
        <f t="shared" si="317"/>
        <v/>
      </c>
      <c r="N6414" s="11" t="str">
        <f t="shared" si="318"/>
        <v/>
      </c>
    </row>
    <row r="6415" spans="9:14" x14ac:dyDescent="0.25">
      <c r="I6415" s="11" t="b">
        <f t="shared" si="316"/>
        <v>0</v>
      </c>
      <c r="M6415" s="17" t="str">
        <f t="shared" si="317"/>
        <v/>
      </c>
      <c r="N6415" s="11" t="str">
        <f t="shared" si="318"/>
        <v/>
      </c>
    </row>
    <row r="6416" spans="9:14" x14ac:dyDescent="0.25">
      <c r="I6416" s="11" t="b">
        <f t="shared" si="316"/>
        <v>0</v>
      </c>
      <c r="M6416" s="17" t="str">
        <f t="shared" si="317"/>
        <v/>
      </c>
      <c r="N6416" s="11" t="str">
        <f t="shared" si="318"/>
        <v/>
      </c>
    </row>
    <row r="6417" spans="9:14" x14ac:dyDescent="0.25">
      <c r="I6417" s="11" t="b">
        <f t="shared" si="316"/>
        <v>0</v>
      </c>
      <c r="M6417" s="17" t="str">
        <f t="shared" si="317"/>
        <v/>
      </c>
      <c r="N6417" s="11" t="str">
        <f t="shared" si="318"/>
        <v/>
      </c>
    </row>
    <row r="6418" spans="9:14" x14ac:dyDescent="0.25">
      <c r="I6418" s="11" t="b">
        <f t="shared" si="316"/>
        <v>0</v>
      </c>
      <c r="M6418" s="17" t="str">
        <f t="shared" si="317"/>
        <v/>
      </c>
      <c r="N6418" s="11" t="str">
        <f t="shared" si="318"/>
        <v/>
      </c>
    </row>
    <row r="6419" spans="9:14" x14ac:dyDescent="0.25">
      <c r="I6419" s="11" t="b">
        <f t="shared" si="316"/>
        <v>0</v>
      </c>
      <c r="M6419" s="17" t="str">
        <f t="shared" si="317"/>
        <v/>
      </c>
      <c r="N6419" s="11" t="str">
        <f t="shared" si="318"/>
        <v/>
      </c>
    </row>
    <row r="6420" spans="9:14" x14ac:dyDescent="0.25">
      <c r="I6420" s="11" t="b">
        <f t="shared" si="316"/>
        <v>0</v>
      </c>
      <c r="M6420" s="17" t="str">
        <f t="shared" si="317"/>
        <v/>
      </c>
      <c r="N6420" s="11" t="str">
        <f t="shared" si="318"/>
        <v/>
      </c>
    </row>
    <row r="6421" spans="9:14" x14ac:dyDescent="0.25">
      <c r="I6421" s="11" t="b">
        <f t="shared" si="316"/>
        <v>0</v>
      </c>
      <c r="M6421" s="17" t="str">
        <f t="shared" si="317"/>
        <v/>
      </c>
      <c r="N6421" s="11" t="str">
        <f t="shared" si="318"/>
        <v/>
      </c>
    </row>
    <row r="6422" spans="9:14" x14ac:dyDescent="0.25">
      <c r="I6422" s="11" t="b">
        <f t="shared" si="316"/>
        <v>0</v>
      </c>
      <c r="M6422" s="17" t="str">
        <f t="shared" si="317"/>
        <v/>
      </c>
      <c r="N6422" s="11" t="str">
        <f t="shared" si="318"/>
        <v/>
      </c>
    </row>
    <row r="6423" spans="9:14" x14ac:dyDescent="0.25">
      <c r="I6423" s="11" t="b">
        <f t="shared" si="316"/>
        <v>0</v>
      </c>
      <c r="M6423" s="17" t="str">
        <f t="shared" si="317"/>
        <v/>
      </c>
      <c r="N6423" s="11" t="str">
        <f t="shared" si="318"/>
        <v/>
      </c>
    </row>
    <row r="6424" spans="9:14" x14ac:dyDescent="0.25">
      <c r="I6424" s="11" t="b">
        <f t="shared" si="316"/>
        <v>0</v>
      </c>
      <c r="M6424" s="17" t="str">
        <f t="shared" si="317"/>
        <v/>
      </c>
      <c r="N6424" s="11" t="str">
        <f t="shared" si="318"/>
        <v/>
      </c>
    </row>
    <row r="6425" spans="9:14" x14ac:dyDescent="0.25">
      <c r="I6425" s="11" t="b">
        <f t="shared" si="316"/>
        <v>0</v>
      </c>
      <c r="M6425" s="17" t="str">
        <f t="shared" si="317"/>
        <v/>
      </c>
      <c r="N6425" s="11" t="str">
        <f t="shared" si="318"/>
        <v/>
      </c>
    </row>
    <row r="6426" spans="9:14" x14ac:dyDescent="0.25">
      <c r="I6426" s="11" t="b">
        <f t="shared" si="316"/>
        <v>0</v>
      </c>
      <c r="M6426" s="17" t="str">
        <f t="shared" si="317"/>
        <v/>
      </c>
      <c r="N6426" s="11" t="str">
        <f t="shared" si="318"/>
        <v/>
      </c>
    </row>
    <row r="6427" spans="9:14" x14ac:dyDescent="0.25">
      <c r="I6427" s="11" t="b">
        <f t="shared" si="316"/>
        <v>0</v>
      </c>
      <c r="M6427" s="17" t="str">
        <f t="shared" si="317"/>
        <v/>
      </c>
      <c r="N6427" s="11" t="str">
        <f t="shared" si="318"/>
        <v/>
      </c>
    </row>
    <row r="6428" spans="9:14" x14ac:dyDescent="0.25">
      <c r="I6428" s="11" t="b">
        <f t="shared" si="316"/>
        <v>0</v>
      </c>
      <c r="M6428" s="17" t="str">
        <f t="shared" si="317"/>
        <v/>
      </c>
      <c r="N6428" s="11" t="str">
        <f t="shared" si="318"/>
        <v/>
      </c>
    </row>
    <row r="6429" spans="9:14" x14ac:dyDescent="0.25">
      <c r="I6429" s="11" t="b">
        <f t="shared" ref="I6429:I6492" si="319">IF(AND(G6429="MERCADO PAGO",A6429="FATURAMENTO"),1,IF(AND(OR(G6429="MERCADO PAGO",G6429="pix mercado pago",G6429= "débito automático mercado pago", G6429= "boleto mercado pago"),A6429="DESPESAS"),4,IF(AND(G6429="SAFRA",A6429="FATURAMENTO"),2,IF(AND(OR(G6429="SAFRA",G6429="PIX SAFRA", G6429="DÉBITO AUTOMÁTICO SAFRA", G6429= "BOLETO SAFRA", G6429= "transferência safra"), A6429="DESPESAS"),5,IF(AND(G6429="espécie",A6429="FATURAMENTO"),3,IF(AND(G6429="espécie",A6429="DESPESAS"),6))))))</f>
        <v>0</v>
      </c>
      <c r="M6429" s="17" t="str">
        <f t="shared" si="317"/>
        <v/>
      </c>
      <c r="N6429" s="11" t="str">
        <f t="shared" si="318"/>
        <v/>
      </c>
    </row>
    <row r="6430" spans="9:14" x14ac:dyDescent="0.25">
      <c r="I6430" s="11" t="b">
        <f t="shared" si="319"/>
        <v>0</v>
      </c>
      <c r="M6430" s="17" t="str">
        <f t="shared" si="317"/>
        <v/>
      </c>
      <c r="N6430" s="11" t="str">
        <f t="shared" si="318"/>
        <v/>
      </c>
    </row>
    <row r="6431" spans="9:14" x14ac:dyDescent="0.25">
      <c r="I6431" s="11" t="b">
        <f t="shared" si="319"/>
        <v>0</v>
      </c>
      <c r="M6431" s="17" t="str">
        <f t="shared" si="317"/>
        <v/>
      </c>
      <c r="N6431" s="11" t="str">
        <f t="shared" si="318"/>
        <v/>
      </c>
    </row>
    <row r="6432" spans="9:14" x14ac:dyDescent="0.25">
      <c r="I6432" s="11" t="b">
        <f t="shared" si="319"/>
        <v>0</v>
      </c>
      <c r="M6432" s="17" t="str">
        <f t="shared" si="317"/>
        <v/>
      </c>
      <c r="N6432" s="11" t="str">
        <f t="shared" si="318"/>
        <v/>
      </c>
    </row>
    <row r="6433" spans="9:14" x14ac:dyDescent="0.25">
      <c r="I6433" s="11" t="b">
        <f t="shared" si="319"/>
        <v>0</v>
      </c>
      <c r="M6433" s="17" t="str">
        <f t="shared" si="317"/>
        <v/>
      </c>
      <c r="N6433" s="11" t="str">
        <f t="shared" si="318"/>
        <v/>
      </c>
    </row>
    <row r="6434" spans="9:14" x14ac:dyDescent="0.25">
      <c r="I6434" s="11" t="b">
        <f t="shared" si="319"/>
        <v>0</v>
      </c>
      <c r="M6434" s="17" t="str">
        <f t="shared" si="317"/>
        <v/>
      </c>
      <c r="N6434" s="11" t="str">
        <f t="shared" si="318"/>
        <v/>
      </c>
    </row>
    <row r="6435" spans="9:14" x14ac:dyDescent="0.25">
      <c r="I6435" s="11" t="b">
        <f t="shared" si="319"/>
        <v>0</v>
      </c>
      <c r="M6435" s="17" t="str">
        <f t="shared" si="317"/>
        <v/>
      </c>
      <c r="N6435" s="11" t="str">
        <f t="shared" si="318"/>
        <v/>
      </c>
    </row>
    <row r="6436" spans="9:14" x14ac:dyDescent="0.25">
      <c r="I6436" s="11" t="b">
        <f t="shared" si="319"/>
        <v>0</v>
      </c>
      <c r="M6436" s="17" t="str">
        <f t="shared" si="317"/>
        <v/>
      </c>
      <c r="N6436" s="11" t="str">
        <f t="shared" si="318"/>
        <v/>
      </c>
    </row>
    <row r="6437" spans="9:14" x14ac:dyDescent="0.25">
      <c r="I6437" s="11" t="b">
        <f t="shared" si="319"/>
        <v>0</v>
      </c>
      <c r="M6437" s="17" t="str">
        <f t="shared" si="317"/>
        <v/>
      </c>
      <c r="N6437" s="11" t="str">
        <f t="shared" si="318"/>
        <v/>
      </c>
    </row>
    <row r="6438" spans="9:14" x14ac:dyDescent="0.25">
      <c r="I6438" s="11" t="b">
        <f t="shared" si="319"/>
        <v>0</v>
      </c>
      <c r="M6438" s="17" t="str">
        <f t="shared" si="317"/>
        <v/>
      </c>
      <c r="N6438" s="11" t="str">
        <f t="shared" si="318"/>
        <v/>
      </c>
    </row>
    <row r="6439" spans="9:14" x14ac:dyDescent="0.25">
      <c r="I6439" s="11" t="b">
        <f t="shared" si="319"/>
        <v>0</v>
      </c>
      <c r="M6439" s="17" t="str">
        <f t="shared" si="317"/>
        <v/>
      </c>
      <c r="N6439" s="11" t="str">
        <f t="shared" si="318"/>
        <v/>
      </c>
    </row>
    <row r="6440" spans="9:14" x14ac:dyDescent="0.25">
      <c r="I6440" s="11" t="b">
        <f t="shared" si="319"/>
        <v>0</v>
      </c>
      <c r="M6440" s="17" t="str">
        <f t="shared" si="317"/>
        <v/>
      </c>
      <c r="N6440" s="11" t="str">
        <f t="shared" si="318"/>
        <v/>
      </c>
    </row>
    <row r="6441" spans="9:14" x14ac:dyDescent="0.25">
      <c r="I6441" s="11" t="b">
        <f t="shared" si="319"/>
        <v>0</v>
      </c>
      <c r="M6441" s="17" t="str">
        <f t="shared" si="317"/>
        <v/>
      </c>
      <c r="N6441" s="11" t="str">
        <f t="shared" si="318"/>
        <v/>
      </c>
    </row>
    <row r="6442" spans="9:14" x14ac:dyDescent="0.25">
      <c r="I6442" s="11" t="b">
        <f t="shared" si="319"/>
        <v>0</v>
      </c>
      <c r="M6442" s="17" t="str">
        <f t="shared" si="317"/>
        <v/>
      </c>
      <c r="N6442" s="11" t="str">
        <f t="shared" si="318"/>
        <v/>
      </c>
    </row>
    <row r="6443" spans="9:14" x14ac:dyDescent="0.25">
      <c r="I6443" s="11" t="b">
        <f t="shared" si="319"/>
        <v>0</v>
      </c>
      <c r="M6443" s="17" t="str">
        <f t="shared" si="317"/>
        <v/>
      </c>
      <c r="N6443" s="11" t="str">
        <f t="shared" si="318"/>
        <v/>
      </c>
    </row>
    <row r="6444" spans="9:14" x14ac:dyDescent="0.25">
      <c r="I6444" s="11" t="b">
        <f t="shared" si="319"/>
        <v>0</v>
      </c>
      <c r="M6444" s="17" t="str">
        <f t="shared" si="317"/>
        <v/>
      </c>
      <c r="N6444" s="11" t="str">
        <f t="shared" si="318"/>
        <v/>
      </c>
    </row>
    <row r="6445" spans="9:14" x14ac:dyDescent="0.25">
      <c r="I6445" s="11" t="b">
        <f t="shared" si="319"/>
        <v>0</v>
      </c>
      <c r="M6445" s="17" t="str">
        <f t="shared" si="317"/>
        <v/>
      </c>
      <c r="N6445" s="11" t="str">
        <f t="shared" si="318"/>
        <v/>
      </c>
    </row>
    <row r="6446" spans="9:14" x14ac:dyDescent="0.25">
      <c r="I6446" s="11" t="b">
        <f t="shared" si="319"/>
        <v>0</v>
      </c>
      <c r="M6446" s="17" t="str">
        <f t="shared" si="317"/>
        <v/>
      </c>
      <c r="N6446" s="11" t="str">
        <f t="shared" si="318"/>
        <v/>
      </c>
    </row>
    <row r="6447" spans="9:14" x14ac:dyDescent="0.25">
      <c r="I6447" s="11" t="b">
        <f t="shared" si="319"/>
        <v>0</v>
      </c>
      <c r="M6447" s="17" t="str">
        <f t="shared" si="317"/>
        <v/>
      </c>
      <c r="N6447" s="11" t="str">
        <f t="shared" si="318"/>
        <v/>
      </c>
    </row>
    <row r="6448" spans="9:14" x14ac:dyDescent="0.25">
      <c r="I6448" s="11" t="b">
        <f t="shared" si="319"/>
        <v>0</v>
      </c>
      <c r="M6448" s="17" t="str">
        <f t="shared" si="317"/>
        <v/>
      </c>
      <c r="N6448" s="11" t="str">
        <f t="shared" si="318"/>
        <v/>
      </c>
    </row>
    <row r="6449" spans="9:14" x14ac:dyDescent="0.25">
      <c r="I6449" s="11" t="b">
        <f t="shared" si="319"/>
        <v>0</v>
      </c>
      <c r="M6449" s="17" t="str">
        <f t="shared" si="317"/>
        <v/>
      </c>
      <c r="N6449" s="11" t="str">
        <f t="shared" si="318"/>
        <v/>
      </c>
    </row>
    <row r="6450" spans="9:14" x14ac:dyDescent="0.25">
      <c r="I6450" s="11" t="b">
        <f t="shared" si="319"/>
        <v>0</v>
      </c>
      <c r="M6450" s="17" t="str">
        <f t="shared" si="317"/>
        <v/>
      </c>
      <c r="N6450" s="11" t="str">
        <f t="shared" si="318"/>
        <v/>
      </c>
    </row>
    <row r="6451" spans="9:14" x14ac:dyDescent="0.25">
      <c r="I6451" s="11" t="b">
        <f t="shared" si="319"/>
        <v>0</v>
      </c>
      <c r="M6451" s="17" t="str">
        <f t="shared" si="317"/>
        <v/>
      </c>
      <c r="N6451" s="11" t="str">
        <f t="shared" si="318"/>
        <v/>
      </c>
    </row>
    <row r="6452" spans="9:14" x14ac:dyDescent="0.25">
      <c r="I6452" s="11" t="b">
        <f t="shared" si="319"/>
        <v>0</v>
      </c>
      <c r="M6452" s="17" t="str">
        <f t="shared" si="317"/>
        <v/>
      </c>
      <c r="N6452" s="11" t="str">
        <f t="shared" si="318"/>
        <v/>
      </c>
    </row>
    <row r="6453" spans="9:14" x14ac:dyDescent="0.25">
      <c r="I6453" s="11" t="b">
        <f t="shared" si="319"/>
        <v>0</v>
      </c>
      <c r="M6453" s="17" t="str">
        <f t="shared" si="317"/>
        <v/>
      </c>
      <c r="N6453" s="11" t="str">
        <f t="shared" si="318"/>
        <v/>
      </c>
    </row>
    <row r="6454" spans="9:14" x14ac:dyDescent="0.25">
      <c r="I6454" s="11" t="b">
        <f t="shared" si="319"/>
        <v>0</v>
      </c>
      <c r="M6454" s="17" t="str">
        <f t="shared" si="317"/>
        <v/>
      </c>
      <c r="N6454" s="11" t="str">
        <f t="shared" si="318"/>
        <v/>
      </c>
    </row>
    <row r="6455" spans="9:14" x14ac:dyDescent="0.25">
      <c r="I6455" s="11" t="b">
        <f t="shared" si="319"/>
        <v>0</v>
      </c>
      <c r="M6455" s="17" t="str">
        <f t="shared" si="317"/>
        <v/>
      </c>
      <c r="N6455" s="11" t="str">
        <f t="shared" si="318"/>
        <v/>
      </c>
    </row>
    <row r="6456" spans="9:14" x14ac:dyDescent="0.25">
      <c r="I6456" s="11" t="b">
        <f t="shared" si="319"/>
        <v>0</v>
      </c>
      <c r="M6456" s="17" t="str">
        <f t="shared" si="317"/>
        <v/>
      </c>
      <c r="N6456" s="11" t="str">
        <f t="shared" si="318"/>
        <v/>
      </c>
    </row>
    <row r="6457" spans="9:14" x14ac:dyDescent="0.25">
      <c r="I6457" s="11" t="b">
        <f t="shared" si="319"/>
        <v>0</v>
      </c>
      <c r="M6457" s="17" t="str">
        <f t="shared" si="317"/>
        <v/>
      </c>
      <c r="N6457" s="11" t="str">
        <f t="shared" si="318"/>
        <v/>
      </c>
    </row>
    <row r="6458" spans="9:14" x14ac:dyDescent="0.25">
      <c r="I6458" s="11" t="b">
        <f t="shared" si="319"/>
        <v>0</v>
      </c>
      <c r="M6458" s="17" t="str">
        <f t="shared" si="317"/>
        <v/>
      </c>
      <c r="N6458" s="11" t="str">
        <f t="shared" si="318"/>
        <v/>
      </c>
    </row>
    <row r="6459" spans="9:14" x14ac:dyDescent="0.25">
      <c r="I6459" s="11" t="b">
        <f t="shared" si="319"/>
        <v>0</v>
      </c>
      <c r="M6459" s="17" t="str">
        <f t="shared" si="317"/>
        <v/>
      </c>
      <c r="N6459" s="11" t="str">
        <f t="shared" si="318"/>
        <v/>
      </c>
    </row>
    <row r="6460" spans="9:14" x14ac:dyDescent="0.25">
      <c r="I6460" s="11" t="b">
        <f t="shared" si="319"/>
        <v>0</v>
      </c>
      <c r="M6460" s="17" t="str">
        <f t="shared" si="317"/>
        <v/>
      </c>
      <c r="N6460" s="11" t="str">
        <f t="shared" si="318"/>
        <v/>
      </c>
    </row>
    <row r="6461" spans="9:14" x14ac:dyDescent="0.25">
      <c r="I6461" s="11" t="b">
        <f t="shared" si="319"/>
        <v>0</v>
      </c>
      <c r="M6461" s="17" t="str">
        <f t="shared" si="317"/>
        <v/>
      </c>
      <c r="N6461" s="11" t="str">
        <f t="shared" si="318"/>
        <v/>
      </c>
    </row>
    <row r="6462" spans="9:14" x14ac:dyDescent="0.25">
      <c r="I6462" s="11" t="b">
        <f t="shared" si="319"/>
        <v>0</v>
      </c>
      <c r="M6462" s="17" t="str">
        <f t="shared" si="317"/>
        <v/>
      </c>
      <c r="N6462" s="11" t="str">
        <f t="shared" si="318"/>
        <v/>
      </c>
    </row>
    <row r="6463" spans="9:14" x14ac:dyDescent="0.25">
      <c r="I6463" s="11" t="b">
        <f t="shared" si="319"/>
        <v>0</v>
      </c>
      <c r="M6463" s="17" t="str">
        <f t="shared" si="317"/>
        <v/>
      </c>
      <c r="N6463" s="11" t="str">
        <f t="shared" si="318"/>
        <v/>
      </c>
    </row>
    <row r="6464" spans="9:14" x14ac:dyDescent="0.25">
      <c r="I6464" s="11" t="b">
        <f t="shared" si="319"/>
        <v>0</v>
      </c>
      <c r="M6464" s="17" t="str">
        <f t="shared" si="317"/>
        <v/>
      </c>
      <c r="N6464" s="11" t="str">
        <f t="shared" si="318"/>
        <v/>
      </c>
    </row>
    <row r="6465" spans="9:14" x14ac:dyDescent="0.25">
      <c r="I6465" s="11" t="b">
        <f t="shared" si="319"/>
        <v>0</v>
      </c>
      <c r="M6465" s="17" t="str">
        <f t="shared" ref="M6465:M6528" si="320">IF(B6465=0, "",M6464+ J6465-K6465)</f>
        <v/>
      </c>
      <c r="N6465" s="11" t="str">
        <f t="shared" ref="N6465:N6528" si="321">IF(B6465=0, "", MONTH(B6465))</f>
        <v/>
      </c>
    </row>
    <row r="6466" spans="9:14" x14ac:dyDescent="0.25">
      <c r="I6466" s="11" t="b">
        <f t="shared" si="319"/>
        <v>0</v>
      </c>
      <c r="M6466" s="17" t="str">
        <f t="shared" si="320"/>
        <v/>
      </c>
      <c r="N6466" s="11" t="str">
        <f t="shared" si="321"/>
        <v/>
      </c>
    </row>
    <row r="6467" spans="9:14" x14ac:dyDescent="0.25">
      <c r="I6467" s="11" t="b">
        <f t="shared" si="319"/>
        <v>0</v>
      </c>
      <c r="M6467" s="17" t="str">
        <f t="shared" si="320"/>
        <v/>
      </c>
      <c r="N6467" s="11" t="str">
        <f t="shared" si="321"/>
        <v/>
      </c>
    </row>
    <row r="6468" spans="9:14" x14ac:dyDescent="0.25">
      <c r="I6468" s="11" t="b">
        <f t="shared" si="319"/>
        <v>0</v>
      </c>
      <c r="M6468" s="17" t="str">
        <f t="shared" si="320"/>
        <v/>
      </c>
      <c r="N6468" s="11" t="str">
        <f t="shared" si="321"/>
        <v/>
      </c>
    </row>
    <row r="6469" spans="9:14" x14ac:dyDescent="0.25">
      <c r="I6469" s="11" t="b">
        <f t="shared" si="319"/>
        <v>0</v>
      </c>
      <c r="M6469" s="17" t="str">
        <f t="shared" si="320"/>
        <v/>
      </c>
      <c r="N6469" s="11" t="str">
        <f t="shared" si="321"/>
        <v/>
      </c>
    </row>
    <row r="6470" spans="9:14" x14ac:dyDescent="0.25">
      <c r="I6470" s="11" t="b">
        <f t="shared" si="319"/>
        <v>0</v>
      </c>
      <c r="M6470" s="17" t="str">
        <f t="shared" si="320"/>
        <v/>
      </c>
      <c r="N6470" s="11" t="str">
        <f t="shared" si="321"/>
        <v/>
      </c>
    </row>
    <row r="6471" spans="9:14" x14ac:dyDescent="0.25">
      <c r="I6471" s="11" t="b">
        <f t="shared" si="319"/>
        <v>0</v>
      </c>
      <c r="M6471" s="17" t="str">
        <f t="shared" si="320"/>
        <v/>
      </c>
      <c r="N6471" s="11" t="str">
        <f t="shared" si="321"/>
        <v/>
      </c>
    </row>
    <row r="6472" spans="9:14" x14ac:dyDescent="0.25">
      <c r="I6472" s="11" t="b">
        <f t="shared" si="319"/>
        <v>0</v>
      </c>
      <c r="M6472" s="17" t="str">
        <f t="shared" si="320"/>
        <v/>
      </c>
      <c r="N6472" s="11" t="str">
        <f t="shared" si="321"/>
        <v/>
      </c>
    </row>
    <row r="6473" spans="9:14" x14ac:dyDescent="0.25">
      <c r="I6473" s="11" t="b">
        <f t="shared" si="319"/>
        <v>0</v>
      </c>
      <c r="M6473" s="17" t="str">
        <f t="shared" si="320"/>
        <v/>
      </c>
      <c r="N6473" s="11" t="str">
        <f t="shared" si="321"/>
        <v/>
      </c>
    </row>
    <row r="6474" spans="9:14" x14ac:dyDescent="0.25">
      <c r="I6474" s="11" t="b">
        <f t="shared" si="319"/>
        <v>0</v>
      </c>
      <c r="M6474" s="17" t="str">
        <f t="shared" si="320"/>
        <v/>
      </c>
      <c r="N6474" s="11" t="str">
        <f t="shared" si="321"/>
        <v/>
      </c>
    </row>
    <row r="6475" spans="9:14" x14ac:dyDescent="0.25">
      <c r="I6475" s="11" t="b">
        <f t="shared" si="319"/>
        <v>0</v>
      </c>
      <c r="M6475" s="17" t="str">
        <f t="shared" si="320"/>
        <v/>
      </c>
      <c r="N6475" s="11" t="str">
        <f t="shared" si="321"/>
        <v/>
      </c>
    </row>
    <row r="6476" spans="9:14" x14ac:dyDescent="0.25">
      <c r="I6476" s="11" t="b">
        <f t="shared" si="319"/>
        <v>0</v>
      </c>
      <c r="M6476" s="17" t="str">
        <f t="shared" si="320"/>
        <v/>
      </c>
      <c r="N6476" s="11" t="str">
        <f t="shared" si="321"/>
        <v/>
      </c>
    </row>
    <row r="6477" spans="9:14" x14ac:dyDescent="0.25">
      <c r="I6477" s="11" t="b">
        <f t="shared" si="319"/>
        <v>0</v>
      </c>
      <c r="M6477" s="17" t="str">
        <f t="shared" si="320"/>
        <v/>
      </c>
      <c r="N6477" s="11" t="str">
        <f t="shared" si="321"/>
        <v/>
      </c>
    </row>
    <row r="6478" spans="9:14" x14ac:dyDescent="0.25">
      <c r="I6478" s="11" t="b">
        <f t="shared" si="319"/>
        <v>0</v>
      </c>
      <c r="M6478" s="17" t="str">
        <f t="shared" si="320"/>
        <v/>
      </c>
      <c r="N6478" s="11" t="str">
        <f t="shared" si="321"/>
        <v/>
      </c>
    </row>
    <row r="6479" spans="9:14" x14ac:dyDescent="0.25">
      <c r="I6479" s="11" t="b">
        <f t="shared" si="319"/>
        <v>0</v>
      </c>
      <c r="M6479" s="17" t="str">
        <f t="shared" si="320"/>
        <v/>
      </c>
      <c r="N6479" s="11" t="str">
        <f t="shared" si="321"/>
        <v/>
      </c>
    </row>
    <row r="6480" spans="9:14" x14ac:dyDescent="0.25">
      <c r="I6480" s="11" t="b">
        <f t="shared" si="319"/>
        <v>0</v>
      </c>
      <c r="M6480" s="17" t="str">
        <f t="shared" si="320"/>
        <v/>
      </c>
      <c r="N6480" s="11" t="str">
        <f t="shared" si="321"/>
        <v/>
      </c>
    </row>
    <row r="6481" spans="9:14" x14ac:dyDescent="0.25">
      <c r="I6481" s="11" t="b">
        <f t="shared" si="319"/>
        <v>0</v>
      </c>
      <c r="M6481" s="17" t="str">
        <f t="shared" si="320"/>
        <v/>
      </c>
      <c r="N6481" s="11" t="str">
        <f t="shared" si="321"/>
        <v/>
      </c>
    </row>
    <row r="6482" spans="9:14" x14ac:dyDescent="0.25">
      <c r="I6482" s="11" t="b">
        <f t="shared" si="319"/>
        <v>0</v>
      </c>
      <c r="M6482" s="17" t="str">
        <f t="shared" si="320"/>
        <v/>
      </c>
      <c r="N6482" s="11" t="str">
        <f t="shared" si="321"/>
        <v/>
      </c>
    </row>
    <row r="6483" spans="9:14" x14ac:dyDescent="0.25">
      <c r="I6483" s="11" t="b">
        <f t="shared" si="319"/>
        <v>0</v>
      </c>
      <c r="M6483" s="17" t="str">
        <f t="shared" si="320"/>
        <v/>
      </c>
      <c r="N6483" s="11" t="str">
        <f t="shared" si="321"/>
        <v/>
      </c>
    </row>
    <row r="6484" spans="9:14" x14ac:dyDescent="0.25">
      <c r="I6484" s="11" t="b">
        <f t="shared" si="319"/>
        <v>0</v>
      </c>
      <c r="M6484" s="17" t="str">
        <f t="shared" si="320"/>
        <v/>
      </c>
      <c r="N6484" s="11" t="str">
        <f t="shared" si="321"/>
        <v/>
      </c>
    </row>
    <row r="6485" spans="9:14" x14ac:dyDescent="0.25">
      <c r="I6485" s="11" t="b">
        <f t="shared" si="319"/>
        <v>0</v>
      </c>
      <c r="M6485" s="17" t="str">
        <f t="shared" si="320"/>
        <v/>
      </c>
      <c r="N6485" s="11" t="str">
        <f t="shared" si="321"/>
        <v/>
      </c>
    </row>
    <row r="6486" spans="9:14" x14ac:dyDescent="0.25">
      <c r="I6486" s="11" t="b">
        <f t="shared" si="319"/>
        <v>0</v>
      </c>
      <c r="M6486" s="17" t="str">
        <f t="shared" si="320"/>
        <v/>
      </c>
      <c r="N6486" s="11" t="str">
        <f t="shared" si="321"/>
        <v/>
      </c>
    </row>
    <row r="6487" spans="9:14" x14ac:dyDescent="0.25">
      <c r="I6487" s="11" t="b">
        <f t="shared" si="319"/>
        <v>0</v>
      </c>
      <c r="M6487" s="17" t="str">
        <f t="shared" si="320"/>
        <v/>
      </c>
      <c r="N6487" s="11" t="str">
        <f t="shared" si="321"/>
        <v/>
      </c>
    </row>
    <row r="6488" spans="9:14" x14ac:dyDescent="0.25">
      <c r="I6488" s="11" t="b">
        <f t="shared" si="319"/>
        <v>0</v>
      </c>
      <c r="M6488" s="17" t="str">
        <f t="shared" si="320"/>
        <v/>
      </c>
      <c r="N6488" s="11" t="str">
        <f t="shared" si="321"/>
        <v/>
      </c>
    </row>
    <row r="6489" spans="9:14" x14ac:dyDescent="0.25">
      <c r="I6489" s="11" t="b">
        <f t="shared" si="319"/>
        <v>0</v>
      </c>
      <c r="M6489" s="17" t="str">
        <f t="shared" si="320"/>
        <v/>
      </c>
      <c r="N6489" s="11" t="str">
        <f t="shared" si="321"/>
        <v/>
      </c>
    </row>
    <row r="6490" spans="9:14" x14ac:dyDescent="0.25">
      <c r="I6490" s="11" t="b">
        <f t="shared" si="319"/>
        <v>0</v>
      </c>
      <c r="M6490" s="17" t="str">
        <f t="shared" si="320"/>
        <v/>
      </c>
      <c r="N6490" s="11" t="str">
        <f t="shared" si="321"/>
        <v/>
      </c>
    </row>
    <row r="6491" spans="9:14" x14ac:dyDescent="0.25">
      <c r="I6491" s="11" t="b">
        <f t="shared" si="319"/>
        <v>0</v>
      </c>
      <c r="M6491" s="17" t="str">
        <f t="shared" si="320"/>
        <v/>
      </c>
      <c r="N6491" s="11" t="str">
        <f t="shared" si="321"/>
        <v/>
      </c>
    </row>
    <row r="6492" spans="9:14" x14ac:dyDescent="0.25">
      <c r="I6492" s="11" t="b">
        <f t="shared" si="319"/>
        <v>0</v>
      </c>
      <c r="M6492" s="17" t="str">
        <f t="shared" si="320"/>
        <v/>
      </c>
      <c r="N6492" s="11" t="str">
        <f t="shared" si="321"/>
        <v/>
      </c>
    </row>
    <row r="6493" spans="9:14" x14ac:dyDescent="0.25">
      <c r="I6493" s="11" t="b">
        <f t="shared" ref="I6493:I6556" si="322">IF(AND(G6493="MERCADO PAGO",A6493="FATURAMENTO"),1,IF(AND(OR(G6493="MERCADO PAGO",G6493="pix mercado pago",G6493= "débito automático mercado pago", G6493= "boleto mercado pago"),A6493="DESPESAS"),4,IF(AND(G6493="SAFRA",A6493="FATURAMENTO"),2,IF(AND(OR(G6493="SAFRA",G6493="PIX SAFRA", G6493="DÉBITO AUTOMÁTICO SAFRA", G6493= "BOLETO SAFRA", G6493= "transferência safra"), A6493="DESPESAS"),5,IF(AND(G6493="espécie",A6493="FATURAMENTO"),3,IF(AND(G6493="espécie",A6493="DESPESAS"),6))))))</f>
        <v>0</v>
      </c>
      <c r="M6493" s="17" t="str">
        <f t="shared" si="320"/>
        <v/>
      </c>
      <c r="N6493" s="11" t="str">
        <f t="shared" si="321"/>
        <v/>
      </c>
    </row>
    <row r="6494" spans="9:14" x14ac:dyDescent="0.25">
      <c r="I6494" s="11" t="b">
        <f t="shared" si="322"/>
        <v>0</v>
      </c>
      <c r="M6494" s="17" t="str">
        <f t="shared" si="320"/>
        <v/>
      </c>
      <c r="N6494" s="11" t="str">
        <f t="shared" si="321"/>
        <v/>
      </c>
    </row>
    <row r="6495" spans="9:14" x14ac:dyDescent="0.25">
      <c r="I6495" s="11" t="b">
        <f t="shared" si="322"/>
        <v>0</v>
      </c>
      <c r="M6495" s="17" t="str">
        <f t="shared" si="320"/>
        <v/>
      </c>
      <c r="N6495" s="11" t="str">
        <f t="shared" si="321"/>
        <v/>
      </c>
    </row>
    <row r="6496" spans="9:14" x14ac:dyDescent="0.25">
      <c r="I6496" s="11" t="b">
        <f t="shared" si="322"/>
        <v>0</v>
      </c>
      <c r="M6496" s="17" t="str">
        <f t="shared" si="320"/>
        <v/>
      </c>
      <c r="N6496" s="11" t="str">
        <f t="shared" si="321"/>
        <v/>
      </c>
    </row>
    <row r="6497" spans="9:14" x14ac:dyDescent="0.25">
      <c r="I6497" s="11" t="b">
        <f t="shared" si="322"/>
        <v>0</v>
      </c>
      <c r="M6497" s="17" t="str">
        <f t="shared" si="320"/>
        <v/>
      </c>
      <c r="N6497" s="11" t="str">
        <f t="shared" si="321"/>
        <v/>
      </c>
    </row>
    <row r="6498" spans="9:14" x14ac:dyDescent="0.25">
      <c r="I6498" s="11" t="b">
        <f t="shared" si="322"/>
        <v>0</v>
      </c>
      <c r="M6498" s="17" t="str">
        <f t="shared" si="320"/>
        <v/>
      </c>
      <c r="N6498" s="11" t="str">
        <f t="shared" si="321"/>
        <v/>
      </c>
    </row>
    <row r="6499" spans="9:14" x14ac:dyDescent="0.25">
      <c r="I6499" s="11" t="b">
        <f t="shared" si="322"/>
        <v>0</v>
      </c>
      <c r="M6499" s="17" t="str">
        <f t="shared" si="320"/>
        <v/>
      </c>
      <c r="N6499" s="11" t="str">
        <f t="shared" si="321"/>
        <v/>
      </c>
    </row>
    <row r="6500" spans="9:14" x14ac:dyDescent="0.25">
      <c r="I6500" s="11" t="b">
        <f t="shared" si="322"/>
        <v>0</v>
      </c>
      <c r="M6500" s="17" t="str">
        <f t="shared" si="320"/>
        <v/>
      </c>
      <c r="N6500" s="11" t="str">
        <f t="shared" si="321"/>
        <v/>
      </c>
    </row>
    <row r="6501" spans="9:14" x14ac:dyDescent="0.25">
      <c r="I6501" s="11" t="b">
        <f t="shared" si="322"/>
        <v>0</v>
      </c>
      <c r="M6501" s="17" t="str">
        <f t="shared" si="320"/>
        <v/>
      </c>
      <c r="N6501" s="11" t="str">
        <f t="shared" si="321"/>
        <v/>
      </c>
    </row>
    <row r="6502" spans="9:14" x14ac:dyDescent="0.25">
      <c r="I6502" s="11" t="b">
        <f t="shared" si="322"/>
        <v>0</v>
      </c>
      <c r="M6502" s="17" t="str">
        <f t="shared" si="320"/>
        <v/>
      </c>
      <c r="N6502" s="11" t="str">
        <f t="shared" si="321"/>
        <v/>
      </c>
    </row>
    <row r="6503" spans="9:14" x14ac:dyDescent="0.25">
      <c r="I6503" s="11" t="b">
        <f t="shared" si="322"/>
        <v>0</v>
      </c>
      <c r="M6503" s="17" t="str">
        <f t="shared" si="320"/>
        <v/>
      </c>
      <c r="N6503" s="11" t="str">
        <f t="shared" si="321"/>
        <v/>
      </c>
    </row>
    <row r="6504" spans="9:14" x14ac:dyDescent="0.25">
      <c r="I6504" s="11" t="b">
        <f t="shared" si="322"/>
        <v>0</v>
      </c>
      <c r="M6504" s="17" t="str">
        <f t="shared" si="320"/>
        <v/>
      </c>
      <c r="N6504" s="11" t="str">
        <f t="shared" si="321"/>
        <v/>
      </c>
    </row>
    <row r="6505" spans="9:14" x14ac:dyDescent="0.25">
      <c r="I6505" s="11" t="b">
        <f t="shared" si="322"/>
        <v>0</v>
      </c>
      <c r="M6505" s="17" t="str">
        <f t="shared" si="320"/>
        <v/>
      </c>
      <c r="N6505" s="11" t="str">
        <f t="shared" si="321"/>
        <v/>
      </c>
    </row>
    <row r="6506" spans="9:14" x14ac:dyDescent="0.25">
      <c r="I6506" s="11" t="b">
        <f t="shared" si="322"/>
        <v>0</v>
      </c>
      <c r="M6506" s="17" t="str">
        <f t="shared" si="320"/>
        <v/>
      </c>
      <c r="N6506" s="11" t="str">
        <f t="shared" si="321"/>
        <v/>
      </c>
    </row>
    <row r="6507" spans="9:14" x14ac:dyDescent="0.25">
      <c r="I6507" s="11" t="b">
        <f t="shared" si="322"/>
        <v>0</v>
      </c>
      <c r="M6507" s="17" t="str">
        <f t="shared" si="320"/>
        <v/>
      </c>
      <c r="N6507" s="11" t="str">
        <f t="shared" si="321"/>
        <v/>
      </c>
    </row>
    <row r="6508" spans="9:14" x14ac:dyDescent="0.25">
      <c r="I6508" s="11" t="b">
        <f t="shared" si="322"/>
        <v>0</v>
      </c>
      <c r="M6508" s="17" t="str">
        <f t="shared" si="320"/>
        <v/>
      </c>
      <c r="N6508" s="11" t="str">
        <f t="shared" si="321"/>
        <v/>
      </c>
    </row>
    <row r="6509" spans="9:14" x14ac:dyDescent="0.25">
      <c r="I6509" s="11" t="b">
        <f t="shared" si="322"/>
        <v>0</v>
      </c>
      <c r="M6509" s="17" t="str">
        <f t="shared" si="320"/>
        <v/>
      </c>
      <c r="N6509" s="11" t="str">
        <f t="shared" si="321"/>
        <v/>
      </c>
    </row>
    <row r="6510" spans="9:14" x14ac:dyDescent="0.25">
      <c r="I6510" s="11" t="b">
        <f t="shared" si="322"/>
        <v>0</v>
      </c>
      <c r="M6510" s="17" t="str">
        <f t="shared" si="320"/>
        <v/>
      </c>
      <c r="N6510" s="11" t="str">
        <f t="shared" si="321"/>
        <v/>
      </c>
    </row>
    <row r="6511" spans="9:14" x14ac:dyDescent="0.25">
      <c r="I6511" s="11" t="b">
        <f t="shared" si="322"/>
        <v>0</v>
      </c>
      <c r="M6511" s="17" t="str">
        <f t="shared" si="320"/>
        <v/>
      </c>
      <c r="N6511" s="11" t="str">
        <f t="shared" si="321"/>
        <v/>
      </c>
    </row>
    <row r="6512" spans="9:14" x14ac:dyDescent="0.25">
      <c r="I6512" s="11" t="b">
        <f t="shared" si="322"/>
        <v>0</v>
      </c>
      <c r="M6512" s="17" t="str">
        <f t="shared" si="320"/>
        <v/>
      </c>
      <c r="N6512" s="11" t="str">
        <f t="shared" si="321"/>
        <v/>
      </c>
    </row>
    <row r="6513" spans="9:14" x14ac:dyDescent="0.25">
      <c r="I6513" s="11" t="b">
        <f t="shared" si="322"/>
        <v>0</v>
      </c>
      <c r="M6513" s="17" t="str">
        <f t="shared" si="320"/>
        <v/>
      </c>
      <c r="N6513" s="11" t="str">
        <f t="shared" si="321"/>
        <v/>
      </c>
    </row>
    <row r="6514" spans="9:14" x14ac:dyDescent="0.25">
      <c r="I6514" s="11" t="b">
        <f t="shared" si="322"/>
        <v>0</v>
      </c>
      <c r="M6514" s="17" t="str">
        <f t="shared" si="320"/>
        <v/>
      </c>
      <c r="N6514" s="11" t="str">
        <f t="shared" si="321"/>
        <v/>
      </c>
    </row>
    <row r="6515" spans="9:14" x14ac:dyDescent="0.25">
      <c r="I6515" s="11" t="b">
        <f t="shared" si="322"/>
        <v>0</v>
      </c>
      <c r="M6515" s="17" t="str">
        <f t="shared" si="320"/>
        <v/>
      </c>
      <c r="N6515" s="11" t="str">
        <f t="shared" si="321"/>
        <v/>
      </c>
    </row>
    <row r="6516" spans="9:14" x14ac:dyDescent="0.25">
      <c r="I6516" s="11" t="b">
        <f t="shared" si="322"/>
        <v>0</v>
      </c>
      <c r="M6516" s="17" t="str">
        <f t="shared" si="320"/>
        <v/>
      </c>
      <c r="N6516" s="11" t="str">
        <f t="shared" si="321"/>
        <v/>
      </c>
    </row>
    <row r="6517" spans="9:14" x14ac:dyDescent="0.25">
      <c r="I6517" s="11" t="b">
        <f t="shared" si="322"/>
        <v>0</v>
      </c>
      <c r="M6517" s="17" t="str">
        <f t="shared" si="320"/>
        <v/>
      </c>
      <c r="N6517" s="11" t="str">
        <f t="shared" si="321"/>
        <v/>
      </c>
    </row>
    <row r="6518" spans="9:14" x14ac:dyDescent="0.25">
      <c r="I6518" s="11" t="b">
        <f t="shared" si="322"/>
        <v>0</v>
      </c>
      <c r="M6518" s="17" t="str">
        <f t="shared" si="320"/>
        <v/>
      </c>
      <c r="N6518" s="11" t="str">
        <f t="shared" si="321"/>
        <v/>
      </c>
    </row>
    <row r="6519" spans="9:14" x14ac:dyDescent="0.25">
      <c r="I6519" s="11" t="b">
        <f t="shared" si="322"/>
        <v>0</v>
      </c>
      <c r="M6519" s="17" t="str">
        <f t="shared" si="320"/>
        <v/>
      </c>
      <c r="N6519" s="11" t="str">
        <f t="shared" si="321"/>
        <v/>
      </c>
    </row>
    <row r="6520" spans="9:14" x14ac:dyDescent="0.25">
      <c r="I6520" s="11" t="b">
        <f t="shared" si="322"/>
        <v>0</v>
      </c>
      <c r="M6520" s="17" t="str">
        <f t="shared" si="320"/>
        <v/>
      </c>
      <c r="N6520" s="11" t="str">
        <f t="shared" si="321"/>
        <v/>
      </c>
    </row>
    <row r="6521" spans="9:14" x14ac:dyDescent="0.25">
      <c r="I6521" s="11" t="b">
        <f t="shared" si="322"/>
        <v>0</v>
      </c>
      <c r="M6521" s="17" t="str">
        <f t="shared" si="320"/>
        <v/>
      </c>
      <c r="N6521" s="11" t="str">
        <f t="shared" si="321"/>
        <v/>
      </c>
    </row>
    <row r="6522" spans="9:14" x14ac:dyDescent="0.25">
      <c r="I6522" s="11" t="b">
        <f t="shared" si="322"/>
        <v>0</v>
      </c>
      <c r="M6522" s="17" t="str">
        <f t="shared" si="320"/>
        <v/>
      </c>
      <c r="N6522" s="11" t="str">
        <f t="shared" si="321"/>
        <v/>
      </c>
    </row>
    <row r="6523" spans="9:14" x14ac:dyDescent="0.25">
      <c r="I6523" s="11" t="b">
        <f t="shared" si="322"/>
        <v>0</v>
      </c>
      <c r="M6523" s="17" t="str">
        <f t="shared" si="320"/>
        <v/>
      </c>
      <c r="N6523" s="11" t="str">
        <f t="shared" si="321"/>
        <v/>
      </c>
    </row>
    <row r="6524" spans="9:14" x14ac:dyDescent="0.25">
      <c r="I6524" s="11" t="b">
        <f t="shared" si="322"/>
        <v>0</v>
      </c>
      <c r="M6524" s="17" t="str">
        <f t="shared" si="320"/>
        <v/>
      </c>
      <c r="N6524" s="11" t="str">
        <f t="shared" si="321"/>
        <v/>
      </c>
    </row>
    <row r="6525" spans="9:14" x14ac:dyDescent="0.25">
      <c r="I6525" s="11" t="b">
        <f t="shared" si="322"/>
        <v>0</v>
      </c>
      <c r="M6525" s="17" t="str">
        <f t="shared" si="320"/>
        <v/>
      </c>
      <c r="N6525" s="11" t="str">
        <f t="shared" si="321"/>
        <v/>
      </c>
    </row>
    <row r="6526" spans="9:14" x14ac:dyDescent="0.25">
      <c r="I6526" s="11" t="b">
        <f t="shared" si="322"/>
        <v>0</v>
      </c>
      <c r="M6526" s="17" t="str">
        <f t="shared" si="320"/>
        <v/>
      </c>
      <c r="N6526" s="11" t="str">
        <f t="shared" si="321"/>
        <v/>
      </c>
    </row>
    <row r="6527" spans="9:14" x14ac:dyDescent="0.25">
      <c r="I6527" s="11" t="b">
        <f t="shared" si="322"/>
        <v>0</v>
      </c>
      <c r="M6527" s="17" t="str">
        <f t="shared" si="320"/>
        <v/>
      </c>
      <c r="N6527" s="11" t="str">
        <f t="shared" si="321"/>
        <v/>
      </c>
    </row>
    <row r="6528" spans="9:14" x14ac:dyDescent="0.25">
      <c r="I6528" s="11" t="b">
        <f t="shared" si="322"/>
        <v>0</v>
      </c>
      <c r="M6528" s="17" t="str">
        <f t="shared" si="320"/>
        <v/>
      </c>
      <c r="N6528" s="11" t="str">
        <f t="shared" si="321"/>
        <v/>
      </c>
    </row>
    <row r="6529" spans="9:14" x14ac:dyDescent="0.25">
      <c r="I6529" s="11" t="b">
        <f t="shared" si="322"/>
        <v>0</v>
      </c>
      <c r="M6529" s="17" t="str">
        <f t="shared" ref="M6529:M6592" si="323">IF(B6529=0, "",M6528+ J6529-K6529)</f>
        <v/>
      </c>
      <c r="N6529" s="11" t="str">
        <f t="shared" ref="N6529:N6592" si="324">IF(B6529=0, "", MONTH(B6529))</f>
        <v/>
      </c>
    </row>
    <row r="6530" spans="9:14" x14ac:dyDescent="0.25">
      <c r="I6530" s="11" t="b">
        <f t="shared" si="322"/>
        <v>0</v>
      </c>
      <c r="M6530" s="17" t="str">
        <f t="shared" si="323"/>
        <v/>
      </c>
      <c r="N6530" s="11" t="str">
        <f t="shared" si="324"/>
        <v/>
      </c>
    </row>
    <row r="6531" spans="9:14" x14ac:dyDescent="0.25">
      <c r="I6531" s="11" t="b">
        <f t="shared" si="322"/>
        <v>0</v>
      </c>
      <c r="M6531" s="17" t="str">
        <f t="shared" si="323"/>
        <v/>
      </c>
      <c r="N6531" s="11" t="str">
        <f t="shared" si="324"/>
        <v/>
      </c>
    </row>
    <row r="6532" spans="9:14" x14ac:dyDescent="0.25">
      <c r="I6532" s="11" t="b">
        <f t="shared" si="322"/>
        <v>0</v>
      </c>
      <c r="M6532" s="17" t="str">
        <f t="shared" si="323"/>
        <v/>
      </c>
      <c r="N6532" s="11" t="str">
        <f t="shared" si="324"/>
        <v/>
      </c>
    </row>
    <row r="6533" spans="9:14" x14ac:dyDescent="0.25">
      <c r="I6533" s="11" t="b">
        <f t="shared" si="322"/>
        <v>0</v>
      </c>
      <c r="M6533" s="17" t="str">
        <f t="shared" si="323"/>
        <v/>
      </c>
      <c r="N6533" s="11" t="str">
        <f t="shared" si="324"/>
        <v/>
      </c>
    </row>
    <row r="6534" spans="9:14" x14ac:dyDescent="0.25">
      <c r="I6534" s="11" t="b">
        <f t="shared" si="322"/>
        <v>0</v>
      </c>
      <c r="M6534" s="17" t="str">
        <f t="shared" si="323"/>
        <v/>
      </c>
      <c r="N6534" s="11" t="str">
        <f t="shared" si="324"/>
        <v/>
      </c>
    </row>
    <row r="6535" spans="9:14" x14ac:dyDescent="0.25">
      <c r="I6535" s="11" t="b">
        <f t="shared" si="322"/>
        <v>0</v>
      </c>
      <c r="M6535" s="17" t="str">
        <f t="shared" si="323"/>
        <v/>
      </c>
      <c r="N6535" s="11" t="str">
        <f t="shared" si="324"/>
        <v/>
      </c>
    </row>
    <row r="6536" spans="9:14" x14ac:dyDescent="0.25">
      <c r="I6536" s="11" t="b">
        <f t="shared" si="322"/>
        <v>0</v>
      </c>
      <c r="M6536" s="17" t="str">
        <f t="shared" si="323"/>
        <v/>
      </c>
      <c r="N6536" s="11" t="str">
        <f t="shared" si="324"/>
        <v/>
      </c>
    </row>
    <row r="6537" spans="9:14" x14ac:dyDescent="0.25">
      <c r="I6537" s="11" t="b">
        <f t="shared" si="322"/>
        <v>0</v>
      </c>
      <c r="M6537" s="17" t="str">
        <f t="shared" si="323"/>
        <v/>
      </c>
      <c r="N6537" s="11" t="str">
        <f t="shared" si="324"/>
        <v/>
      </c>
    </row>
    <row r="6538" spans="9:14" x14ac:dyDescent="0.25">
      <c r="I6538" s="11" t="b">
        <f t="shared" si="322"/>
        <v>0</v>
      </c>
      <c r="M6538" s="17" t="str">
        <f t="shared" si="323"/>
        <v/>
      </c>
      <c r="N6538" s="11" t="str">
        <f t="shared" si="324"/>
        <v/>
      </c>
    </row>
    <row r="6539" spans="9:14" x14ac:dyDescent="0.25">
      <c r="I6539" s="11" t="b">
        <f t="shared" si="322"/>
        <v>0</v>
      </c>
      <c r="M6539" s="17" t="str">
        <f t="shared" si="323"/>
        <v/>
      </c>
      <c r="N6539" s="11" t="str">
        <f t="shared" si="324"/>
        <v/>
      </c>
    </row>
    <row r="6540" spans="9:14" x14ac:dyDescent="0.25">
      <c r="I6540" s="11" t="b">
        <f t="shared" si="322"/>
        <v>0</v>
      </c>
      <c r="M6540" s="17" t="str">
        <f t="shared" si="323"/>
        <v/>
      </c>
      <c r="N6540" s="11" t="str">
        <f t="shared" si="324"/>
        <v/>
      </c>
    </row>
    <row r="6541" spans="9:14" x14ac:dyDescent="0.25">
      <c r="I6541" s="11" t="b">
        <f t="shared" si="322"/>
        <v>0</v>
      </c>
      <c r="M6541" s="17" t="str">
        <f t="shared" si="323"/>
        <v/>
      </c>
      <c r="N6541" s="11" t="str">
        <f t="shared" si="324"/>
        <v/>
      </c>
    </row>
    <row r="6542" spans="9:14" x14ac:dyDescent="0.25">
      <c r="I6542" s="11" t="b">
        <f t="shared" si="322"/>
        <v>0</v>
      </c>
      <c r="M6542" s="17" t="str">
        <f t="shared" si="323"/>
        <v/>
      </c>
      <c r="N6542" s="11" t="str">
        <f t="shared" si="324"/>
        <v/>
      </c>
    </row>
    <row r="6543" spans="9:14" x14ac:dyDescent="0.25">
      <c r="I6543" s="11" t="b">
        <f t="shared" si="322"/>
        <v>0</v>
      </c>
      <c r="M6543" s="17" t="str">
        <f t="shared" si="323"/>
        <v/>
      </c>
      <c r="N6543" s="11" t="str">
        <f t="shared" si="324"/>
        <v/>
      </c>
    </row>
    <row r="6544" spans="9:14" x14ac:dyDescent="0.25">
      <c r="I6544" s="11" t="b">
        <f t="shared" si="322"/>
        <v>0</v>
      </c>
      <c r="M6544" s="17" t="str">
        <f t="shared" si="323"/>
        <v/>
      </c>
      <c r="N6544" s="11" t="str">
        <f t="shared" si="324"/>
        <v/>
      </c>
    </row>
    <row r="6545" spans="9:14" x14ac:dyDescent="0.25">
      <c r="I6545" s="11" t="b">
        <f t="shared" si="322"/>
        <v>0</v>
      </c>
      <c r="M6545" s="17" t="str">
        <f t="shared" si="323"/>
        <v/>
      </c>
      <c r="N6545" s="11" t="str">
        <f t="shared" si="324"/>
        <v/>
      </c>
    </row>
    <row r="6546" spans="9:14" x14ac:dyDescent="0.25">
      <c r="I6546" s="11" t="b">
        <f t="shared" si="322"/>
        <v>0</v>
      </c>
      <c r="M6546" s="17" t="str">
        <f t="shared" si="323"/>
        <v/>
      </c>
      <c r="N6546" s="11" t="str">
        <f t="shared" si="324"/>
        <v/>
      </c>
    </row>
    <row r="6547" spans="9:14" x14ac:dyDescent="0.25">
      <c r="I6547" s="11" t="b">
        <f t="shared" si="322"/>
        <v>0</v>
      </c>
      <c r="M6547" s="17" t="str">
        <f t="shared" si="323"/>
        <v/>
      </c>
      <c r="N6547" s="11" t="str">
        <f t="shared" si="324"/>
        <v/>
      </c>
    </row>
    <row r="6548" spans="9:14" x14ac:dyDescent="0.25">
      <c r="I6548" s="11" t="b">
        <f t="shared" si="322"/>
        <v>0</v>
      </c>
      <c r="M6548" s="17" t="str">
        <f t="shared" si="323"/>
        <v/>
      </c>
      <c r="N6548" s="11" t="str">
        <f t="shared" si="324"/>
        <v/>
      </c>
    </row>
    <row r="6549" spans="9:14" x14ac:dyDescent="0.25">
      <c r="I6549" s="11" t="b">
        <f t="shared" si="322"/>
        <v>0</v>
      </c>
      <c r="M6549" s="17" t="str">
        <f t="shared" si="323"/>
        <v/>
      </c>
      <c r="N6549" s="11" t="str">
        <f t="shared" si="324"/>
        <v/>
      </c>
    </row>
    <row r="6550" spans="9:14" x14ac:dyDescent="0.25">
      <c r="I6550" s="11" t="b">
        <f t="shared" si="322"/>
        <v>0</v>
      </c>
      <c r="M6550" s="17" t="str">
        <f t="shared" si="323"/>
        <v/>
      </c>
      <c r="N6550" s="11" t="str">
        <f t="shared" si="324"/>
        <v/>
      </c>
    </row>
    <row r="6551" spans="9:14" x14ac:dyDescent="0.25">
      <c r="I6551" s="11" t="b">
        <f t="shared" si="322"/>
        <v>0</v>
      </c>
      <c r="M6551" s="17" t="str">
        <f t="shared" si="323"/>
        <v/>
      </c>
      <c r="N6551" s="11" t="str">
        <f t="shared" si="324"/>
        <v/>
      </c>
    </row>
    <row r="6552" spans="9:14" x14ac:dyDescent="0.25">
      <c r="I6552" s="11" t="b">
        <f t="shared" si="322"/>
        <v>0</v>
      </c>
      <c r="M6552" s="17" t="str">
        <f t="shared" si="323"/>
        <v/>
      </c>
      <c r="N6552" s="11" t="str">
        <f t="shared" si="324"/>
        <v/>
      </c>
    </row>
    <row r="6553" spans="9:14" x14ac:dyDescent="0.25">
      <c r="I6553" s="11" t="b">
        <f t="shared" si="322"/>
        <v>0</v>
      </c>
      <c r="M6553" s="17" t="str">
        <f t="shared" si="323"/>
        <v/>
      </c>
      <c r="N6553" s="11" t="str">
        <f t="shared" si="324"/>
        <v/>
      </c>
    </row>
    <row r="6554" spans="9:14" x14ac:dyDescent="0.25">
      <c r="I6554" s="11" t="b">
        <f t="shared" si="322"/>
        <v>0</v>
      </c>
      <c r="M6554" s="17" t="str">
        <f t="shared" si="323"/>
        <v/>
      </c>
      <c r="N6554" s="11" t="str">
        <f t="shared" si="324"/>
        <v/>
      </c>
    </row>
    <row r="6555" spans="9:14" x14ac:dyDescent="0.25">
      <c r="I6555" s="11" t="b">
        <f t="shared" si="322"/>
        <v>0</v>
      </c>
      <c r="M6555" s="17" t="str">
        <f t="shared" si="323"/>
        <v/>
      </c>
      <c r="N6555" s="11" t="str">
        <f t="shared" si="324"/>
        <v/>
      </c>
    </row>
    <row r="6556" spans="9:14" x14ac:dyDescent="0.25">
      <c r="I6556" s="11" t="b">
        <f t="shared" si="322"/>
        <v>0</v>
      </c>
      <c r="M6556" s="17" t="str">
        <f t="shared" si="323"/>
        <v/>
      </c>
      <c r="N6556" s="11" t="str">
        <f t="shared" si="324"/>
        <v/>
      </c>
    </row>
    <row r="6557" spans="9:14" x14ac:dyDescent="0.25">
      <c r="I6557" s="11" t="b">
        <f t="shared" ref="I6557:I6620" si="325">IF(AND(G6557="MERCADO PAGO",A6557="FATURAMENTO"),1,IF(AND(OR(G6557="MERCADO PAGO",G6557="pix mercado pago",G6557= "débito automático mercado pago", G6557= "boleto mercado pago"),A6557="DESPESAS"),4,IF(AND(G6557="SAFRA",A6557="FATURAMENTO"),2,IF(AND(OR(G6557="SAFRA",G6557="PIX SAFRA", G6557="DÉBITO AUTOMÁTICO SAFRA", G6557= "BOLETO SAFRA", G6557= "transferência safra"), A6557="DESPESAS"),5,IF(AND(G6557="espécie",A6557="FATURAMENTO"),3,IF(AND(G6557="espécie",A6557="DESPESAS"),6))))))</f>
        <v>0</v>
      </c>
      <c r="M6557" s="17" t="str">
        <f t="shared" si="323"/>
        <v/>
      </c>
      <c r="N6557" s="11" t="str">
        <f t="shared" si="324"/>
        <v/>
      </c>
    </row>
    <row r="6558" spans="9:14" x14ac:dyDescent="0.25">
      <c r="I6558" s="11" t="b">
        <f t="shared" si="325"/>
        <v>0</v>
      </c>
      <c r="M6558" s="17" t="str">
        <f t="shared" si="323"/>
        <v/>
      </c>
      <c r="N6558" s="11" t="str">
        <f t="shared" si="324"/>
        <v/>
      </c>
    </row>
    <row r="6559" spans="9:14" x14ac:dyDescent="0.25">
      <c r="I6559" s="11" t="b">
        <f t="shared" si="325"/>
        <v>0</v>
      </c>
      <c r="M6559" s="17" t="str">
        <f t="shared" si="323"/>
        <v/>
      </c>
      <c r="N6559" s="11" t="str">
        <f t="shared" si="324"/>
        <v/>
      </c>
    </row>
    <row r="6560" spans="9:14" x14ac:dyDescent="0.25">
      <c r="I6560" s="11" t="b">
        <f t="shared" si="325"/>
        <v>0</v>
      </c>
      <c r="M6560" s="17" t="str">
        <f t="shared" si="323"/>
        <v/>
      </c>
      <c r="N6560" s="11" t="str">
        <f t="shared" si="324"/>
        <v/>
      </c>
    </row>
    <row r="6561" spans="9:14" x14ac:dyDescent="0.25">
      <c r="I6561" s="11" t="b">
        <f t="shared" si="325"/>
        <v>0</v>
      </c>
      <c r="M6561" s="17" t="str">
        <f t="shared" si="323"/>
        <v/>
      </c>
      <c r="N6561" s="11" t="str">
        <f t="shared" si="324"/>
        <v/>
      </c>
    </row>
    <row r="6562" spans="9:14" x14ac:dyDescent="0.25">
      <c r="I6562" s="11" t="b">
        <f t="shared" si="325"/>
        <v>0</v>
      </c>
      <c r="M6562" s="17" t="str">
        <f t="shared" si="323"/>
        <v/>
      </c>
      <c r="N6562" s="11" t="str">
        <f t="shared" si="324"/>
        <v/>
      </c>
    </row>
    <row r="6563" spans="9:14" x14ac:dyDescent="0.25">
      <c r="I6563" s="11" t="b">
        <f t="shared" si="325"/>
        <v>0</v>
      </c>
      <c r="M6563" s="17" t="str">
        <f t="shared" si="323"/>
        <v/>
      </c>
      <c r="N6563" s="11" t="str">
        <f t="shared" si="324"/>
        <v/>
      </c>
    </row>
    <row r="6564" spans="9:14" x14ac:dyDescent="0.25">
      <c r="I6564" s="11" t="b">
        <f t="shared" si="325"/>
        <v>0</v>
      </c>
      <c r="M6564" s="17" t="str">
        <f t="shared" si="323"/>
        <v/>
      </c>
      <c r="N6564" s="11" t="str">
        <f t="shared" si="324"/>
        <v/>
      </c>
    </row>
    <row r="6565" spans="9:14" x14ac:dyDescent="0.25">
      <c r="I6565" s="11" t="b">
        <f t="shared" si="325"/>
        <v>0</v>
      </c>
      <c r="M6565" s="17" t="str">
        <f t="shared" si="323"/>
        <v/>
      </c>
      <c r="N6565" s="11" t="str">
        <f t="shared" si="324"/>
        <v/>
      </c>
    </row>
    <row r="6566" spans="9:14" x14ac:dyDescent="0.25">
      <c r="I6566" s="11" t="b">
        <f t="shared" si="325"/>
        <v>0</v>
      </c>
      <c r="M6566" s="17" t="str">
        <f t="shared" si="323"/>
        <v/>
      </c>
      <c r="N6566" s="11" t="str">
        <f t="shared" si="324"/>
        <v/>
      </c>
    </row>
    <row r="6567" spans="9:14" x14ac:dyDescent="0.25">
      <c r="I6567" s="11" t="b">
        <f t="shared" si="325"/>
        <v>0</v>
      </c>
      <c r="M6567" s="17" t="str">
        <f t="shared" si="323"/>
        <v/>
      </c>
      <c r="N6567" s="11" t="str">
        <f t="shared" si="324"/>
        <v/>
      </c>
    </row>
    <row r="6568" spans="9:14" x14ac:dyDescent="0.25">
      <c r="I6568" s="11" t="b">
        <f t="shared" si="325"/>
        <v>0</v>
      </c>
      <c r="M6568" s="17" t="str">
        <f t="shared" si="323"/>
        <v/>
      </c>
      <c r="N6568" s="11" t="str">
        <f t="shared" si="324"/>
        <v/>
      </c>
    </row>
    <row r="6569" spans="9:14" x14ac:dyDescent="0.25">
      <c r="I6569" s="11" t="b">
        <f t="shared" si="325"/>
        <v>0</v>
      </c>
      <c r="M6569" s="17" t="str">
        <f t="shared" si="323"/>
        <v/>
      </c>
      <c r="N6569" s="11" t="str">
        <f t="shared" si="324"/>
        <v/>
      </c>
    </row>
    <row r="6570" spans="9:14" x14ac:dyDescent="0.25">
      <c r="I6570" s="11" t="b">
        <f t="shared" si="325"/>
        <v>0</v>
      </c>
      <c r="M6570" s="17" t="str">
        <f t="shared" si="323"/>
        <v/>
      </c>
      <c r="N6570" s="11" t="str">
        <f t="shared" si="324"/>
        <v/>
      </c>
    </row>
    <row r="6571" spans="9:14" x14ac:dyDescent="0.25">
      <c r="I6571" s="11" t="b">
        <f t="shared" si="325"/>
        <v>0</v>
      </c>
      <c r="M6571" s="17" t="str">
        <f t="shared" si="323"/>
        <v/>
      </c>
      <c r="N6571" s="11" t="str">
        <f t="shared" si="324"/>
        <v/>
      </c>
    </row>
    <row r="6572" spans="9:14" x14ac:dyDescent="0.25">
      <c r="I6572" s="11" t="b">
        <f t="shared" si="325"/>
        <v>0</v>
      </c>
      <c r="M6572" s="17" t="str">
        <f t="shared" si="323"/>
        <v/>
      </c>
      <c r="N6572" s="11" t="str">
        <f t="shared" si="324"/>
        <v/>
      </c>
    </row>
    <row r="6573" spans="9:14" x14ac:dyDescent="0.25">
      <c r="I6573" s="11" t="b">
        <f t="shared" si="325"/>
        <v>0</v>
      </c>
      <c r="M6573" s="17" t="str">
        <f t="shared" si="323"/>
        <v/>
      </c>
      <c r="N6573" s="11" t="str">
        <f t="shared" si="324"/>
        <v/>
      </c>
    </row>
    <row r="6574" spans="9:14" x14ac:dyDescent="0.25">
      <c r="I6574" s="11" t="b">
        <f t="shared" si="325"/>
        <v>0</v>
      </c>
      <c r="M6574" s="17" t="str">
        <f t="shared" si="323"/>
        <v/>
      </c>
      <c r="N6574" s="11" t="str">
        <f t="shared" si="324"/>
        <v/>
      </c>
    </row>
    <row r="6575" spans="9:14" x14ac:dyDescent="0.25">
      <c r="I6575" s="11" t="b">
        <f t="shared" si="325"/>
        <v>0</v>
      </c>
      <c r="M6575" s="17" t="str">
        <f t="shared" si="323"/>
        <v/>
      </c>
      <c r="N6575" s="11" t="str">
        <f t="shared" si="324"/>
        <v/>
      </c>
    </row>
    <row r="6576" spans="9:14" x14ac:dyDescent="0.25">
      <c r="I6576" s="11" t="b">
        <f t="shared" si="325"/>
        <v>0</v>
      </c>
      <c r="M6576" s="17" t="str">
        <f t="shared" si="323"/>
        <v/>
      </c>
      <c r="N6576" s="11" t="str">
        <f t="shared" si="324"/>
        <v/>
      </c>
    </row>
    <row r="6577" spans="9:14" x14ac:dyDescent="0.25">
      <c r="I6577" s="11" t="b">
        <f t="shared" si="325"/>
        <v>0</v>
      </c>
      <c r="M6577" s="17" t="str">
        <f t="shared" si="323"/>
        <v/>
      </c>
      <c r="N6577" s="11" t="str">
        <f t="shared" si="324"/>
        <v/>
      </c>
    </row>
    <row r="6578" spans="9:14" x14ac:dyDescent="0.25">
      <c r="I6578" s="11" t="b">
        <f t="shared" si="325"/>
        <v>0</v>
      </c>
      <c r="M6578" s="17" t="str">
        <f t="shared" si="323"/>
        <v/>
      </c>
      <c r="N6578" s="11" t="str">
        <f t="shared" si="324"/>
        <v/>
      </c>
    </row>
    <row r="6579" spans="9:14" x14ac:dyDescent="0.25">
      <c r="I6579" s="11" t="b">
        <f t="shared" si="325"/>
        <v>0</v>
      </c>
      <c r="M6579" s="17" t="str">
        <f t="shared" si="323"/>
        <v/>
      </c>
      <c r="N6579" s="11" t="str">
        <f t="shared" si="324"/>
        <v/>
      </c>
    </row>
    <row r="6580" spans="9:14" x14ac:dyDescent="0.25">
      <c r="I6580" s="11" t="b">
        <f t="shared" si="325"/>
        <v>0</v>
      </c>
      <c r="M6580" s="17" t="str">
        <f t="shared" si="323"/>
        <v/>
      </c>
      <c r="N6580" s="11" t="str">
        <f t="shared" si="324"/>
        <v/>
      </c>
    </row>
    <row r="6581" spans="9:14" x14ac:dyDescent="0.25">
      <c r="I6581" s="11" t="b">
        <f t="shared" si="325"/>
        <v>0</v>
      </c>
      <c r="M6581" s="17" t="str">
        <f t="shared" si="323"/>
        <v/>
      </c>
      <c r="N6581" s="11" t="str">
        <f t="shared" si="324"/>
        <v/>
      </c>
    </row>
    <row r="6582" spans="9:14" x14ac:dyDescent="0.25">
      <c r="I6582" s="11" t="b">
        <f t="shared" si="325"/>
        <v>0</v>
      </c>
      <c r="M6582" s="17" t="str">
        <f t="shared" si="323"/>
        <v/>
      </c>
      <c r="N6582" s="11" t="str">
        <f t="shared" si="324"/>
        <v/>
      </c>
    </row>
    <row r="6583" spans="9:14" x14ac:dyDescent="0.25">
      <c r="I6583" s="11" t="b">
        <f t="shared" si="325"/>
        <v>0</v>
      </c>
      <c r="M6583" s="17" t="str">
        <f t="shared" si="323"/>
        <v/>
      </c>
      <c r="N6583" s="11" t="str">
        <f t="shared" si="324"/>
        <v/>
      </c>
    </row>
    <row r="6584" spans="9:14" x14ac:dyDescent="0.25">
      <c r="I6584" s="11" t="b">
        <f t="shared" si="325"/>
        <v>0</v>
      </c>
      <c r="M6584" s="17" t="str">
        <f t="shared" si="323"/>
        <v/>
      </c>
      <c r="N6584" s="11" t="str">
        <f t="shared" si="324"/>
        <v/>
      </c>
    </row>
    <row r="6585" spans="9:14" x14ac:dyDescent="0.25">
      <c r="I6585" s="11" t="b">
        <f t="shared" si="325"/>
        <v>0</v>
      </c>
      <c r="M6585" s="17" t="str">
        <f t="shared" si="323"/>
        <v/>
      </c>
      <c r="N6585" s="11" t="str">
        <f t="shared" si="324"/>
        <v/>
      </c>
    </row>
    <row r="6586" spans="9:14" x14ac:dyDescent="0.25">
      <c r="I6586" s="11" t="b">
        <f t="shared" si="325"/>
        <v>0</v>
      </c>
      <c r="M6586" s="17" t="str">
        <f t="shared" si="323"/>
        <v/>
      </c>
      <c r="N6586" s="11" t="str">
        <f t="shared" si="324"/>
        <v/>
      </c>
    </row>
    <row r="6587" spans="9:14" x14ac:dyDescent="0.25">
      <c r="I6587" s="11" t="b">
        <f t="shared" si="325"/>
        <v>0</v>
      </c>
      <c r="M6587" s="17" t="str">
        <f t="shared" si="323"/>
        <v/>
      </c>
      <c r="N6587" s="11" t="str">
        <f t="shared" si="324"/>
        <v/>
      </c>
    </row>
    <row r="6588" spans="9:14" x14ac:dyDescent="0.25">
      <c r="I6588" s="11" t="b">
        <f t="shared" si="325"/>
        <v>0</v>
      </c>
      <c r="M6588" s="17" t="str">
        <f t="shared" si="323"/>
        <v/>
      </c>
      <c r="N6588" s="11" t="str">
        <f t="shared" si="324"/>
        <v/>
      </c>
    </row>
    <row r="6589" spans="9:14" x14ac:dyDescent="0.25">
      <c r="I6589" s="11" t="b">
        <f t="shared" si="325"/>
        <v>0</v>
      </c>
      <c r="M6589" s="17" t="str">
        <f t="shared" si="323"/>
        <v/>
      </c>
      <c r="N6589" s="11" t="str">
        <f t="shared" si="324"/>
        <v/>
      </c>
    </row>
    <row r="6590" spans="9:14" x14ac:dyDescent="0.25">
      <c r="I6590" s="11" t="b">
        <f t="shared" si="325"/>
        <v>0</v>
      </c>
      <c r="M6590" s="17" t="str">
        <f t="shared" si="323"/>
        <v/>
      </c>
      <c r="N6590" s="11" t="str">
        <f t="shared" si="324"/>
        <v/>
      </c>
    </row>
    <row r="6591" spans="9:14" x14ac:dyDescent="0.25">
      <c r="I6591" s="11" t="b">
        <f t="shared" si="325"/>
        <v>0</v>
      </c>
      <c r="M6591" s="17" t="str">
        <f t="shared" si="323"/>
        <v/>
      </c>
      <c r="N6591" s="11" t="str">
        <f t="shared" si="324"/>
        <v/>
      </c>
    </row>
    <row r="6592" spans="9:14" x14ac:dyDescent="0.25">
      <c r="I6592" s="11" t="b">
        <f t="shared" si="325"/>
        <v>0</v>
      </c>
      <c r="M6592" s="17" t="str">
        <f t="shared" si="323"/>
        <v/>
      </c>
      <c r="N6592" s="11" t="str">
        <f t="shared" si="324"/>
        <v/>
      </c>
    </row>
    <row r="6593" spans="9:14" x14ac:dyDescent="0.25">
      <c r="I6593" s="11" t="b">
        <f t="shared" si="325"/>
        <v>0</v>
      </c>
      <c r="M6593" s="17" t="str">
        <f t="shared" ref="M6593:M6656" si="326">IF(B6593=0, "",M6592+ J6593-K6593)</f>
        <v/>
      </c>
      <c r="N6593" s="11" t="str">
        <f t="shared" ref="N6593:N6656" si="327">IF(B6593=0, "", MONTH(B6593))</f>
        <v/>
      </c>
    </row>
    <row r="6594" spans="9:14" x14ac:dyDescent="0.25">
      <c r="I6594" s="11" t="b">
        <f t="shared" si="325"/>
        <v>0</v>
      </c>
      <c r="M6594" s="17" t="str">
        <f t="shared" si="326"/>
        <v/>
      </c>
      <c r="N6594" s="11" t="str">
        <f t="shared" si="327"/>
        <v/>
      </c>
    </row>
    <row r="6595" spans="9:14" x14ac:dyDescent="0.25">
      <c r="I6595" s="11" t="b">
        <f t="shared" si="325"/>
        <v>0</v>
      </c>
      <c r="M6595" s="17" t="str">
        <f t="shared" si="326"/>
        <v/>
      </c>
      <c r="N6595" s="11" t="str">
        <f t="shared" si="327"/>
        <v/>
      </c>
    </row>
    <row r="6596" spans="9:14" x14ac:dyDescent="0.25">
      <c r="I6596" s="11" t="b">
        <f t="shared" si="325"/>
        <v>0</v>
      </c>
      <c r="M6596" s="17" t="str">
        <f t="shared" si="326"/>
        <v/>
      </c>
      <c r="N6596" s="11" t="str">
        <f t="shared" si="327"/>
        <v/>
      </c>
    </row>
    <row r="6597" spans="9:14" x14ac:dyDescent="0.25">
      <c r="I6597" s="11" t="b">
        <f t="shared" si="325"/>
        <v>0</v>
      </c>
      <c r="M6597" s="17" t="str">
        <f t="shared" si="326"/>
        <v/>
      </c>
      <c r="N6597" s="11" t="str">
        <f t="shared" si="327"/>
        <v/>
      </c>
    </row>
    <row r="6598" spans="9:14" x14ac:dyDescent="0.25">
      <c r="I6598" s="11" t="b">
        <f t="shared" si="325"/>
        <v>0</v>
      </c>
      <c r="M6598" s="17" t="str">
        <f t="shared" si="326"/>
        <v/>
      </c>
      <c r="N6598" s="11" t="str">
        <f t="shared" si="327"/>
        <v/>
      </c>
    </row>
    <row r="6599" spans="9:14" x14ac:dyDescent="0.25">
      <c r="I6599" s="11" t="b">
        <f t="shared" si="325"/>
        <v>0</v>
      </c>
      <c r="M6599" s="17" t="str">
        <f t="shared" si="326"/>
        <v/>
      </c>
      <c r="N6599" s="11" t="str">
        <f t="shared" si="327"/>
        <v/>
      </c>
    </row>
    <row r="6600" spans="9:14" x14ac:dyDescent="0.25">
      <c r="I6600" s="11" t="b">
        <f t="shared" si="325"/>
        <v>0</v>
      </c>
      <c r="M6600" s="17" t="str">
        <f t="shared" si="326"/>
        <v/>
      </c>
      <c r="N6600" s="11" t="str">
        <f t="shared" si="327"/>
        <v/>
      </c>
    </row>
    <row r="6601" spans="9:14" x14ac:dyDescent="0.25">
      <c r="I6601" s="11" t="b">
        <f t="shared" si="325"/>
        <v>0</v>
      </c>
      <c r="M6601" s="17" t="str">
        <f t="shared" si="326"/>
        <v/>
      </c>
      <c r="N6601" s="11" t="str">
        <f t="shared" si="327"/>
        <v/>
      </c>
    </row>
    <row r="6602" spans="9:14" x14ac:dyDescent="0.25">
      <c r="I6602" s="11" t="b">
        <f t="shared" si="325"/>
        <v>0</v>
      </c>
      <c r="M6602" s="17" t="str">
        <f t="shared" si="326"/>
        <v/>
      </c>
      <c r="N6602" s="11" t="str">
        <f t="shared" si="327"/>
        <v/>
      </c>
    </row>
    <row r="6603" spans="9:14" x14ac:dyDescent="0.25">
      <c r="I6603" s="11" t="b">
        <f t="shared" si="325"/>
        <v>0</v>
      </c>
      <c r="M6603" s="17" t="str">
        <f t="shared" si="326"/>
        <v/>
      </c>
      <c r="N6603" s="11" t="str">
        <f t="shared" si="327"/>
        <v/>
      </c>
    </row>
    <row r="6604" spans="9:14" x14ac:dyDescent="0.25">
      <c r="I6604" s="11" t="b">
        <f t="shared" si="325"/>
        <v>0</v>
      </c>
      <c r="M6604" s="17" t="str">
        <f t="shared" si="326"/>
        <v/>
      </c>
      <c r="N6604" s="11" t="str">
        <f t="shared" si="327"/>
        <v/>
      </c>
    </row>
    <row r="6605" spans="9:14" x14ac:dyDescent="0.25">
      <c r="I6605" s="11" t="b">
        <f t="shared" si="325"/>
        <v>0</v>
      </c>
      <c r="M6605" s="17" t="str">
        <f t="shared" si="326"/>
        <v/>
      </c>
      <c r="N6605" s="11" t="str">
        <f t="shared" si="327"/>
        <v/>
      </c>
    </row>
    <row r="6606" spans="9:14" x14ac:dyDescent="0.25">
      <c r="I6606" s="11" t="b">
        <f t="shared" si="325"/>
        <v>0</v>
      </c>
      <c r="M6606" s="17" t="str">
        <f t="shared" si="326"/>
        <v/>
      </c>
      <c r="N6606" s="11" t="str">
        <f t="shared" si="327"/>
        <v/>
      </c>
    </row>
    <row r="6607" spans="9:14" x14ac:dyDescent="0.25">
      <c r="I6607" s="11" t="b">
        <f t="shared" si="325"/>
        <v>0</v>
      </c>
      <c r="M6607" s="17" t="str">
        <f t="shared" si="326"/>
        <v/>
      </c>
      <c r="N6607" s="11" t="str">
        <f t="shared" si="327"/>
        <v/>
      </c>
    </row>
    <row r="6608" spans="9:14" x14ac:dyDescent="0.25">
      <c r="I6608" s="11" t="b">
        <f t="shared" si="325"/>
        <v>0</v>
      </c>
      <c r="M6608" s="17" t="str">
        <f t="shared" si="326"/>
        <v/>
      </c>
      <c r="N6608" s="11" t="str">
        <f t="shared" si="327"/>
        <v/>
      </c>
    </row>
    <row r="6609" spans="9:14" x14ac:dyDescent="0.25">
      <c r="I6609" s="11" t="b">
        <f t="shared" si="325"/>
        <v>0</v>
      </c>
      <c r="M6609" s="17" t="str">
        <f t="shared" si="326"/>
        <v/>
      </c>
      <c r="N6609" s="11" t="str">
        <f t="shared" si="327"/>
        <v/>
      </c>
    </row>
    <row r="6610" spans="9:14" x14ac:dyDescent="0.25">
      <c r="I6610" s="11" t="b">
        <f t="shared" si="325"/>
        <v>0</v>
      </c>
      <c r="M6610" s="17" t="str">
        <f t="shared" si="326"/>
        <v/>
      </c>
      <c r="N6610" s="11" t="str">
        <f t="shared" si="327"/>
        <v/>
      </c>
    </row>
    <row r="6611" spans="9:14" x14ac:dyDescent="0.25">
      <c r="I6611" s="11" t="b">
        <f t="shared" si="325"/>
        <v>0</v>
      </c>
      <c r="M6611" s="17" t="str">
        <f t="shared" si="326"/>
        <v/>
      </c>
      <c r="N6611" s="11" t="str">
        <f t="shared" si="327"/>
        <v/>
      </c>
    </row>
    <row r="6612" spans="9:14" x14ac:dyDescent="0.25">
      <c r="I6612" s="11" t="b">
        <f t="shared" si="325"/>
        <v>0</v>
      </c>
      <c r="M6612" s="17" t="str">
        <f t="shared" si="326"/>
        <v/>
      </c>
      <c r="N6612" s="11" t="str">
        <f t="shared" si="327"/>
        <v/>
      </c>
    </row>
    <row r="6613" spans="9:14" x14ac:dyDescent="0.25">
      <c r="I6613" s="11" t="b">
        <f t="shared" si="325"/>
        <v>0</v>
      </c>
      <c r="M6613" s="17" t="str">
        <f t="shared" si="326"/>
        <v/>
      </c>
      <c r="N6613" s="11" t="str">
        <f t="shared" si="327"/>
        <v/>
      </c>
    </row>
    <row r="6614" spans="9:14" x14ac:dyDescent="0.25">
      <c r="I6614" s="11" t="b">
        <f t="shared" si="325"/>
        <v>0</v>
      </c>
      <c r="M6614" s="17" t="str">
        <f t="shared" si="326"/>
        <v/>
      </c>
      <c r="N6614" s="11" t="str">
        <f t="shared" si="327"/>
        <v/>
      </c>
    </row>
    <row r="6615" spans="9:14" x14ac:dyDescent="0.25">
      <c r="I6615" s="11" t="b">
        <f t="shared" si="325"/>
        <v>0</v>
      </c>
      <c r="M6615" s="17" t="str">
        <f t="shared" si="326"/>
        <v/>
      </c>
      <c r="N6615" s="11" t="str">
        <f t="shared" si="327"/>
        <v/>
      </c>
    </row>
    <row r="6616" spans="9:14" x14ac:dyDescent="0.25">
      <c r="I6616" s="11" t="b">
        <f t="shared" si="325"/>
        <v>0</v>
      </c>
      <c r="M6616" s="17" t="str">
        <f t="shared" si="326"/>
        <v/>
      </c>
      <c r="N6616" s="11" t="str">
        <f t="shared" si="327"/>
        <v/>
      </c>
    </row>
    <row r="6617" spans="9:14" x14ac:dyDescent="0.25">
      <c r="I6617" s="11" t="b">
        <f t="shared" si="325"/>
        <v>0</v>
      </c>
      <c r="M6617" s="17" t="str">
        <f t="shared" si="326"/>
        <v/>
      </c>
      <c r="N6617" s="11" t="str">
        <f t="shared" si="327"/>
        <v/>
      </c>
    </row>
    <row r="6618" spans="9:14" x14ac:dyDescent="0.25">
      <c r="I6618" s="11" t="b">
        <f t="shared" si="325"/>
        <v>0</v>
      </c>
      <c r="M6618" s="17" t="str">
        <f t="shared" si="326"/>
        <v/>
      </c>
      <c r="N6618" s="11" t="str">
        <f t="shared" si="327"/>
        <v/>
      </c>
    </row>
    <row r="6619" spans="9:14" x14ac:dyDescent="0.25">
      <c r="I6619" s="11" t="b">
        <f t="shared" si="325"/>
        <v>0</v>
      </c>
      <c r="M6619" s="17" t="str">
        <f t="shared" si="326"/>
        <v/>
      </c>
      <c r="N6619" s="11" t="str">
        <f t="shared" si="327"/>
        <v/>
      </c>
    </row>
    <row r="6620" spans="9:14" x14ac:dyDescent="0.25">
      <c r="I6620" s="11" t="b">
        <f t="shared" si="325"/>
        <v>0</v>
      </c>
      <c r="M6620" s="17" t="str">
        <f t="shared" si="326"/>
        <v/>
      </c>
      <c r="N6620" s="11" t="str">
        <f t="shared" si="327"/>
        <v/>
      </c>
    </row>
    <row r="6621" spans="9:14" x14ac:dyDescent="0.25">
      <c r="I6621" s="11" t="b">
        <f t="shared" ref="I6621:I6684" si="328">IF(AND(G6621="MERCADO PAGO",A6621="FATURAMENTO"),1,IF(AND(OR(G6621="MERCADO PAGO",G6621="pix mercado pago",G6621= "débito automático mercado pago", G6621= "boleto mercado pago"),A6621="DESPESAS"),4,IF(AND(G6621="SAFRA",A6621="FATURAMENTO"),2,IF(AND(OR(G6621="SAFRA",G6621="PIX SAFRA", G6621="DÉBITO AUTOMÁTICO SAFRA", G6621= "BOLETO SAFRA", G6621= "transferência safra"), A6621="DESPESAS"),5,IF(AND(G6621="espécie",A6621="FATURAMENTO"),3,IF(AND(G6621="espécie",A6621="DESPESAS"),6))))))</f>
        <v>0</v>
      </c>
      <c r="M6621" s="17" t="str">
        <f t="shared" si="326"/>
        <v/>
      </c>
      <c r="N6621" s="11" t="str">
        <f t="shared" si="327"/>
        <v/>
      </c>
    </row>
    <row r="6622" spans="9:14" x14ac:dyDescent="0.25">
      <c r="I6622" s="11" t="b">
        <f t="shared" si="328"/>
        <v>0</v>
      </c>
      <c r="M6622" s="17" t="str">
        <f t="shared" si="326"/>
        <v/>
      </c>
      <c r="N6622" s="11" t="str">
        <f t="shared" si="327"/>
        <v/>
      </c>
    </row>
    <row r="6623" spans="9:14" x14ac:dyDescent="0.25">
      <c r="I6623" s="11" t="b">
        <f t="shared" si="328"/>
        <v>0</v>
      </c>
      <c r="M6623" s="17" t="str">
        <f t="shared" si="326"/>
        <v/>
      </c>
      <c r="N6623" s="11" t="str">
        <f t="shared" si="327"/>
        <v/>
      </c>
    </row>
    <row r="6624" spans="9:14" x14ac:dyDescent="0.25">
      <c r="I6624" s="11" t="b">
        <f t="shared" si="328"/>
        <v>0</v>
      </c>
      <c r="M6624" s="17" t="str">
        <f t="shared" si="326"/>
        <v/>
      </c>
      <c r="N6624" s="11" t="str">
        <f t="shared" si="327"/>
        <v/>
      </c>
    </row>
    <row r="6625" spans="9:14" x14ac:dyDescent="0.25">
      <c r="I6625" s="11" t="b">
        <f t="shared" si="328"/>
        <v>0</v>
      </c>
      <c r="M6625" s="17" t="str">
        <f t="shared" si="326"/>
        <v/>
      </c>
      <c r="N6625" s="11" t="str">
        <f t="shared" si="327"/>
        <v/>
      </c>
    </row>
    <row r="6626" spans="9:14" x14ac:dyDescent="0.25">
      <c r="I6626" s="11" t="b">
        <f t="shared" si="328"/>
        <v>0</v>
      </c>
      <c r="M6626" s="17" t="str">
        <f t="shared" si="326"/>
        <v/>
      </c>
      <c r="N6626" s="11" t="str">
        <f t="shared" si="327"/>
        <v/>
      </c>
    </row>
    <row r="6627" spans="9:14" x14ac:dyDescent="0.25">
      <c r="I6627" s="11" t="b">
        <f t="shared" si="328"/>
        <v>0</v>
      </c>
      <c r="M6627" s="17" t="str">
        <f t="shared" si="326"/>
        <v/>
      </c>
      <c r="N6627" s="11" t="str">
        <f t="shared" si="327"/>
        <v/>
      </c>
    </row>
    <row r="6628" spans="9:14" x14ac:dyDescent="0.25">
      <c r="I6628" s="11" t="b">
        <f t="shared" si="328"/>
        <v>0</v>
      </c>
      <c r="M6628" s="17" t="str">
        <f t="shared" si="326"/>
        <v/>
      </c>
      <c r="N6628" s="11" t="str">
        <f t="shared" si="327"/>
        <v/>
      </c>
    </row>
    <row r="6629" spans="9:14" x14ac:dyDescent="0.25">
      <c r="I6629" s="11" t="b">
        <f t="shared" si="328"/>
        <v>0</v>
      </c>
      <c r="M6629" s="17" t="str">
        <f t="shared" si="326"/>
        <v/>
      </c>
      <c r="N6629" s="11" t="str">
        <f t="shared" si="327"/>
        <v/>
      </c>
    </row>
    <row r="6630" spans="9:14" x14ac:dyDescent="0.25">
      <c r="I6630" s="11" t="b">
        <f t="shared" si="328"/>
        <v>0</v>
      </c>
      <c r="M6630" s="17" t="str">
        <f t="shared" si="326"/>
        <v/>
      </c>
      <c r="N6630" s="11" t="str">
        <f t="shared" si="327"/>
        <v/>
      </c>
    </row>
    <row r="6631" spans="9:14" x14ac:dyDescent="0.25">
      <c r="I6631" s="11" t="b">
        <f t="shared" si="328"/>
        <v>0</v>
      </c>
      <c r="M6631" s="17" t="str">
        <f t="shared" si="326"/>
        <v/>
      </c>
      <c r="N6631" s="11" t="str">
        <f t="shared" si="327"/>
        <v/>
      </c>
    </row>
    <row r="6632" spans="9:14" x14ac:dyDescent="0.25">
      <c r="I6632" s="11" t="b">
        <f t="shared" si="328"/>
        <v>0</v>
      </c>
      <c r="M6632" s="17" t="str">
        <f t="shared" si="326"/>
        <v/>
      </c>
      <c r="N6632" s="11" t="str">
        <f t="shared" si="327"/>
        <v/>
      </c>
    </row>
    <row r="6633" spans="9:14" x14ac:dyDescent="0.25">
      <c r="I6633" s="11" t="b">
        <f t="shared" si="328"/>
        <v>0</v>
      </c>
      <c r="M6633" s="17" t="str">
        <f t="shared" si="326"/>
        <v/>
      </c>
      <c r="N6633" s="11" t="str">
        <f t="shared" si="327"/>
        <v/>
      </c>
    </row>
    <row r="6634" spans="9:14" x14ac:dyDescent="0.25">
      <c r="I6634" s="11" t="b">
        <f t="shared" si="328"/>
        <v>0</v>
      </c>
      <c r="M6634" s="17" t="str">
        <f t="shared" si="326"/>
        <v/>
      </c>
      <c r="N6634" s="11" t="str">
        <f t="shared" si="327"/>
        <v/>
      </c>
    </row>
    <row r="6635" spans="9:14" x14ac:dyDescent="0.25">
      <c r="I6635" s="11" t="b">
        <f t="shared" si="328"/>
        <v>0</v>
      </c>
      <c r="M6635" s="17" t="str">
        <f t="shared" si="326"/>
        <v/>
      </c>
      <c r="N6635" s="11" t="str">
        <f t="shared" si="327"/>
        <v/>
      </c>
    </row>
    <row r="6636" spans="9:14" x14ac:dyDescent="0.25">
      <c r="I6636" s="11" t="b">
        <f t="shared" si="328"/>
        <v>0</v>
      </c>
      <c r="M6636" s="17" t="str">
        <f t="shared" si="326"/>
        <v/>
      </c>
      <c r="N6636" s="11" t="str">
        <f t="shared" si="327"/>
        <v/>
      </c>
    </row>
    <row r="6637" spans="9:14" x14ac:dyDescent="0.25">
      <c r="I6637" s="11" t="b">
        <f t="shared" si="328"/>
        <v>0</v>
      </c>
      <c r="M6637" s="17" t="str">
        <f t="shared" si="326"/>
        <v/>
      </c>
      <c r="N6637" s="11" t="str">
        <f t="shared" si="327"/>
        <v/>
      </c>
    </row>
    <row r="6638" spans="9:14" x14ac:dyDescent="0.25">
      <c r="I6638" s="11" t="b">
        <f t="shared" si="328"/>
        <v>0</v>
      </c>
      <c r="M6638" s="17" t="str">
        <f t="shared" si="326"/>
        <v/>
      </c>
      <c r="N6638" s="11" t="str">
        <f t="shared" si="327"/>
        <v/>
      </c>
    </row>
    <row r="6639" spans="9:14" x14ac:dyDescent="0.25">
      <c r="I6639" s="11" t="b">
        <f t="shared" si="328"/>
        <v>0</v>
      </c>
      <c r="M6639" s="17" t="str">
        <f t="shared" si="326"/>
        <v/>
      </c>
      <c r="N6639" s="11" t="str">
        <f t="shared" si="327"/>
        <v/>
      </c>
    </row>
    <row r="6640" spans="9:14" x14ac:dyDescent="0.25">
      <c r="I6640" s="11" t="b">
        <f t="shared" si="328"/>
        <v>0</v>
      </c>
      <c r="M6640" s="17" t="str">
        <f t="shared" si="326"/>
        <v/>
      </c>
      <c r="N6640" s="11" t="str">
        <f t="shared" si="327"/>
        <v/>
      </c>
    </row>
    <row r="6641" spans="9:14" x14ac:dyDescent="0.25">
      <c r="I6641" s="11" t="b">
        <f t="shared" si="328"/>
        <v>0</v>
      </c>
      <c r="M6641" s="17" t="str">
        <f t="shared" si="326"/>
        <v/>
      </c>
      <c r="N6641" s="11" t="str">
        <f t="shared" si="327"/>
        <v/>
      </c>
    </row>
    <row r="6642" spans="9:14" x14ac:dyDescent="0.25">
      <c r="I6642" s="11" t="b">
        <f t="shared" si="328"/>
        <v>0</v>
      </c>
      <c r="M6642" s="17" t="str">
        <f t="shared" si="326"/>
        <v/>
      </c>
      <c r="N6642" s="11" t="str">
        <f t="shared" si="327"/>
        <v/>
      </c>
    </row>
    <row r="6643" spans="9:14" x14ac:dyDescent="0.25">
      <c r="I6643" s="11" t="b">
        <f t="shared" si="328"/>
        <v>0</v>
      </c>
      <c r="M6643" s="17" t="str">
        <f t="shared" si="326"/>
        <v/>
      </c>
      <c r="N6643" s="11" t="str">
        <f t="shared" si="327"/>
        <v/>
      </c>
    </row>
    <row r="6644" spans="9:14" x14ac:dyDescent="0.25">
      <c r="I6644" s="11" t="b">
        <f t="shared" si="328"/>
        <v>0</v>
      </c>
      <c r="M6644" s="17" t="str">
        <f t="shared" si="326"/>
        <v/>
      </c>
      <c r="N6644" s="11" t="str">
        <f t="shared" si="327"/>
        <v/>
      </c>
    </row>
    <row r="6645" spans="9:14" x14ac:dyDescent="0.25">
      <c r="I6645" s="11" t="b">
        <f t="shared" si="328"/>
        <v>0</v>
      </c>
      <c r="M6645" s="17" t="str">
        <f t="shared" si="326"/>
        <v/>
      </c>
      <c r="N6645" s="11" t="str">
        <f t="shared" si="327"/>
        <v/>
      </c>
    </row>
    <row r="6646" spans="9:14" x14ac:dyDescent="0.25">
      <c r="I6646" s="11" t="b">
        <f t="shared" si="328"/>
        <v>0</v>
      </c>
      <c r="M6646" s="17" t="str">
        <f t="shared" si="326"/>
        <v/>
      </c>
      <c r="N6646" s="11" t="str">
        <f t="shared" si="327"/>
        <v/>
      </c>
    </row>
    <row r="6647" spans="9:14" x14ac:dyDescent="0.25">
      <c r="I6647" s="11" t="b">
        <f t="shared" si="328"/>
        <v>0</v>
      </c>
      <c r="M6647" s="17" t="str">
        <f t="shared" si="326"/>
        <v/>
      </c>
      <c r="N6647" s="11" t="str">
        <f t="shared" si="327"/>
        <v/>
      </c>
    </row>
    <row r="6648" spans="9:14" x14ac:dyDescent="0.25">
      <c r="I6648" s="11" t="b">
        <f t="shared" si="328"/>
        <v>0</v>
      </c>
      <c r="M6648" s="17" t="str">
        <f t="shared" si="326"/>
        <v/>
      </c>
      <c r="N6648" s="11" t="str">
        <f t="shared" si="327"/>
        <v/>
      </c>
    </row>
    <row r="6649" spans="9:14" x14ac:dyDescent="0.25">
      <c r="I6649" s="11" t="b">
        <f t="shared" si="328"/>
        <v>0</v>
      </c>
      <c r="M6649" s="17" t="str">
        <f t="shared" si="326"/>
        <v/>
      </c>
      <c r="N6649" s="11" t="str">
        <f t="shared" si="327"/>
        <v/>
      </c>
    </row>
    <row r="6650" spans="9:14" x14ac:dyDescent="0.25">
      <c r="I6650" s="11" t="b">
        <f t="shared" si="328"/>
        <v>0</v>
      </c>
      <c r="M6650" s="17" t="str">
        <f t="shared" si="326"/>
        <v/>
      </c>
      <c r="N6650" s="11" t="str">
        <f t="shared" si="327"/>
        <v/>
      </c>
    </row>
    <row r="6651" spans="9:14" x14ac:dyDescent="0.25">
      <c r="I6651" s="11" t="b">
        <f t="shared" si="328"/>
        <v>0</v>
      </c>
      <c r="M6651" s="17" t="str">
        <f t="shared" si="326"/>
        <v/>
      </c>
      <c r="N6651" s="11" t="str">
        <f t="shared" si="327"/>
        <v/>
      </c>
    </row>
    <row r="6652" spans="9:14" x14ac:dyDescent="0.25">
      <c r="I6652" s="11" t="b">
        <f t="shared" si="328"/>
        <v>0</v>
      </c>
      <c r="M6652" s="17" t="str">
        <f t="shared" si="326"/>
        <v/>
      </c>
      <c r="N6652" s="11" t="str">
        <f t="shared" si="327"/>
        <v/>
      </c>
    </row>
    <row r="6653" spans="9:14" x14ac:dyDescent="0.25">
      <c r="I6653" s="11" t="b">
        <f t="shared" si="328"/>
        <v>0</v>
      </c>
      <c r="M6653" s="17" t="str">
        <f t="shared" si="326"/>
        <v/>
      </c>
      <c r="N6653" s="11" t="str">
        <f t="shared" si="327"/>
        <v/>
      </c>
    </row>
    <row r="6654" spans="9:14" x14ac:dyDescent="0.25">
      <c r="I6654" s="11" t="b">
        <f t="shared" si="328"/>
        <v>0</v>
      </c>
      <c r="M6654" s="17" t="str">
        <f t="shared" si="326"/>
        <v/>
      </c>
      <c r="N6654" s="11" t="str">
        <f t="shared" si="327"/>
        <v/>
      </c>
    </row>
    <row r="6655" spans="9:14" x14ac:dyDescent="0.25">
      <c r="I6655" s="11" t="b">
        <f t="shared" si="328"/>
        <v>0</v>
      </c>
      <c r="M6655" s="17" t="str">
        <f t="shared" si="326"/>
        <v/>
      </c>
      <c r="N6655" s="11" t="str">
        <f t="shared" si="327"/>
        <v/>
      </c>
    </row>
    <row r="6656" spans="9:14" x14ac:dyDescent="0.25">
      <c r="I6656" s="11" t="b">
        <f t="shared" si="328"/>
        <v>0</v>
      </c>
      <c r="M6656" s="17" t="str">
        <f t="shared" si="326"/>
        <v/>
      </c>
      <c r="N6656" s="11" t="str">
        <f t="shared" si="327"/>
        <v/>
      </c>
    </row>
    <row r="6657" spans="9:14" x14ac:dyDescent="0.25">
      <c r="I6657" s="11" t="b">
        <f t="shared" si="328"/>
        <v>0</v>
      </c>
      <c r="M6657" s="17" t="str">
        <f t="shared" ref="M6657:M6720" si="329">IF(B6657=0, "",M6656+ J6657-K6657)</f>
        <v/>
      </c>
      <c r="N6657" s="11" t="str">
        <f t="shared" ref="N6657:N6720" si="330">IF(B6657=0, "", MONTH(B6657))</f>
        <v/>
      </c>
    </row>
    <row r="6658" spans="9:14" x14ac:dyDescent="0.25">
      <c r="I6658" s="11" t="b">
        <f t="shared" si="328"/>
        <v>0</v>
      </c>
      <c r="M6658" s="17" t="str">
        <f t="shared" si="329"/>
        <v/>
      </c>
      <c r="N6658" s="11" t="str">
        <f t="shared" si="330"/>
        <v/>
      </c>
    </row>
    <row r="6659" spans="9:14" x14ac:dyDescent="0.25">
      <c r="I6659" s="11" t="b">
        <f t="shared" si="328"/>
        <v>0</v>
      </c>
      <c r="M6659" s="17" t="str">
        <f t="shared" si="329"/>
        <v/>
      </c>
      <c r="N6659" s="11" t="str">
        <f t="shared" si="330"/>
        <v/>
      </c>
    </row>
    <row r="6660" spans="9:14" x14ac:dyDescent="0.25">
      <c r="I6660" s="11" t="b">
        <f t="shared" si="328"/>
        <v>0</v>
      </c>
      <c r="M6660" s="17" t="str">
        <f t="shared" si="329"/>
        <v/>
      </c>
      <c r="N6660" s="11" t="str">
        <f t="shared" si="330"/>
        <v/>
      </c>
    </row>
    <row r="6661" spans="9:14" x14ac:dyDescent="0.25">
      <c r="I6661" s="11" t="b">
        <f t="shared" si="328"/>
        <v>0</v>
      </c>
      <c r="M6661" s="17" t="str">
        <f t="shared" si="329"/>
        <v/>
      </c>
      <c r="N6661" s="11" t="str">
        <f t="shared" si="330"/>
        <v/>
      </c>
    </row>
    <row r="6662" spans="9:14" x14ac:dyDescent="0.25">
      <c r="I6662" s="11" t="b">
        <f t="shared" si="328"/>
        <v>0</v>
      </c>
      <c r="M6662" s="17" t="str">
        <f t="shared" si="329"/>
        <v/>
      </c>
      <c r="N6662" s="11" t="str">
        <f t="shared" si="330"/>
        <v/>
      </c>
    </row>
    <row r="6663" spans="9:14" x14ac:dyDescent="0.25">
      <c r="I6663" s="11" t="b">
        <f t="shared" si="328"/>
        <v>0</v>
      </c>
      <c r="M6663" s="17" t="str">
        <f t="shared" si="329"/>
        <v/>
      </c>
      <c r="N6663" s="11" t="str">
        <f t="shared" si="330"/>
        <v/>
      </c>
    </row>
    <row r="6664" spans="9:14" x14ac:dyDescent="0.25">
      <c r="I6664" s="11" t="b">
        <f t="shared" si="328"/>
        <v>0</v>
      </c>
      <c r="M6664" s="17" t="str">
        <f t="shared" si="329"/>
        <v/>
      </c>
      <c r="N6664" s="11" t="str">
        <f t="shared" si="330"/>
        <v/>
      </c>
    </row>
    <row r="6665" spans="9:14" x14ac:dyDescent="0.25">
      <c r="I6665" s="11" t="b">
        <f t="shared" si="328"/>
        <v>0</v>
      </c>
      <c r="M6665" s="17" t="str">
        <f t="shared" si="329"/>
        <v/>
      </c>
      <c r="N6665" s="11" t="str">
        <f t="shared" si="330"/>
        <v/>
      </c>
    </row>
    <row r="6666" spans="9:14" x14ac:dyDescent="0.25">
      <c r="I6666" s="11" t="b">
        <f t="shared" si="328"/>
        <v>0</v>
      </c>
      <c r="M6666" s="17" t="str">
        <f t="shared" si="329"/>
        <v/>
      </c>
      <c r="N6666" s="11" t="str">
        <f t="shared" si="330"/>
        <v/>
      </c>
    </row>
    <row r="6667" spans="9:14" x14ac:dyDescent="0.25">
      <c r="I6667" s="11" t="b">
        <f t="shared" si="328"/>
        <v>0</v>
      </c>
      <c r="M6667" s="17" t="str">
        <f t="shared" si="329"/>
        <v/>
      </c>
      <c r="N6667" s="11" t="str">
        <f t="shared" si="330"/>
        <v/>
      </c>
    </row>
    <row r="6668" spans="9:14" x14ac:dyDescent="0.25">
      <c r="I6668" s="11" t="b">
        <f t="shared" si="328"/>
        <v>0</v>
      </c>
      <c r="M6668" s="17" t="str">
        <f t="shared" si="329"/>
        <v/>
      </c>
      <c r="N6668" s="11" t="str">
        <f t="shared" si="330"/>
        <v/>
      </c>
    </row>
    <row r="6669" spans="9:14" x14ac:dyDescent="0.25">
      <c r="I6669" s="11" t="b">
        <f t="shared" si="328"/>
        <v>0</v>
      </c>
      <c r="M6669" s="17" t="str">
        <f t="shared" si="329"/>
        <v/>
      </c>
      <c r="N6669" s="11" t="str">
        <f t="shared" si="330"/>
        <v/>
      </c>
    </row>
    <row r="6670" spans="9:14" x14ac:dyDescent="0.25">
      <c r="I6670" s="11" t="b">
        <f t="shared" si="328"/>
        <v>0</v>
      </c>
      <c r="M6670" s="17" t="str">
        <f t="shared" si="329"/>
        <v/>
      </c>
      <c r="N6670" s="11" t="str">
        <f t="shared" si="330"/>
        <v/>
      </c>
    </row>
    <row r="6671" spans="9:14" x14ac:dyDescent="0.25">
      <c r="I6671" s="11" t="b">
        <f t="shared" si="328"/>
        <v>0</v>
      </c>
      <c r="M6671" s="17" t="str">
        <f t="shared" si="329"/>
        <v/>
      </c>
      <c r="N6671" s="11" t="str">
        <f t="shared" si="330"/>
        <v/>
      </c>
    </row>
    <row r="6672" spans="9:14" x14ac:dyDescent="0.25">
      <c r="I6672" s="11" t="b">
        <f t="shared" si="328"/>
        <v>0</v>
      </c>
      <c r="M6672" s="17" t="str">
        <f t="shared" si="329"/>
        <v/>
      </c>
      <c r="N6672" s="11" t="str">
        <f t="shared" si="330"/>
        <v/>
      </c>
    </row>
    <row r="6673" spans="9:14" x14ac:dyDescent="0.25">
      <c r="I6673" s="11" t="b">
        <f t="shared" si="328"/>
        <v>0</v>
      </c>
      <c r="M6673" s="17" t="str">
        <f t="shared" si="329"/>
        <v/>
      </c>
      <c r="N6673" s="11" t="str">
        <f t="shared" si="330"/>
        <v/>
      </c>
    </row>
    <row r="6674" spans="9:14" x14ac:dyDescent="0.25">
      <c r="I6674" s="11" t="b">
        <f t="shared" si="328"/>
        <v>0</v>
      </c>
      <c r="M6674" s="17" t="str">
        <f t="shared" si="329"/>
        <v/>
      </c>
      <c r="N6674" s="11" t="str">
        <f t="shared" si="330"/>
        <v/>
      </c>
    </row>
    <row r="6675" spans="9:14" x14ac:dyDescent="0.25">
      <c r="I6675" s="11" t="b">
        <f t="shared" si="328"/>
        <v>0</v>
      </c>
      <c r="M6675" s="17" t="str">
        <f t="shared" si="329"/>
        <v/>
      </c>
      <c r="N6675" s="11" t="str">
        <f t="shared" si="330"/>
        <v/>
      </c>
    </row>
    <row r="6676" spans="9:14" x14ac:dyDescent="0.25">
      <c r="I6676" s="11" t="b">
        <f t="shared" si="328"/>
        <v>0</v>
      </c>
      <c r="M6676" s="17" t="str">
        <f t="shared" si="329"/>
        <v/>
      </c>
      <c r="N6676" s="11" t="str">
        <f t="shared" si="330"/>
        <v/>
      </c>
    </row>
    <row r="6677" spans="9:14" x14ac:dyDescent="0.25">
      <c r="I6677" s="11" t="b">
        <f t="shared" si="328"/>
        <v>0</v>
      </c>
      <c r="M6677" s="17" t="str">
        <f t="shared" si="329"/>
        <v/>
      </c>
      <c r="N6677" s="11" t="str">
        <f t="shared" si="330"/>
        <v/>
      </c>
    </row>
    <row r="6678" spans="9:14" x14ac:dyDescent="0.25">
      <c r="I6678" s="11" t="b">
        <f t="shared" si="328"/>
        <v>0</v>
      </c>
      <c r="M6678" s="17" t="str">
        <f t="shared" si="329"/>
        <v/>
      </c>
      <c r="N6678" s="11" t="str">
        <f t="shared" si="330"/>
        <v/>
      </c>
    </row>
    <row r="6679" spans="9:14" x14ac:dyDescent="0.25">
      <c r="I6679" s="11" t="b">
        <f t="shared" si="328"/>
        <v>0</v>
      </c>
      <c r="M6679" s="17" t="str">
        <f t="shared" si="329"/>
        <v/>
      </c>
      <c r="N6679" s="11" t="str">
        <f t="shared" si="330"/>
        <v/>
      </c>
    </row>
    <row r="6680" spans="9:14" x14ac:dyDescent="0.25">
      <c r="I6680" s="11" t="b">
        <f t="shared" si="328"/>
        <v>0</v>
      </c>
      <c r="M6680" s="17" t="str">
        <f t="shared" si="329"/>
        <v/>
      </c>
      <c r="N6680" s="11" t="str">
        <f t="shared" si="330"/>
        <v/>
      </c>
    </row>
    <row r="6681" spans="9:14" x14ac:dyDescent="0.25">
      <c r="I6681" s="11" t="b">
        <f t="shared" si="328"/>
        <v>0</v>
      </c>
      <c r="M6681" s="17" t="str">
        <f t="shared" si="329"/>
        <v/>
      </c>
      <c r="N6681" s="11" t="str">
        <f t="shared" si="330"/>
        <v/>
      </c>
    </row>
    <row r="6682" spans="9:14" x14ac:dyDescent="0.25">
      <c r="I6682" s="11" t="b">
        <f t="shared" si="328"/>
        <v>0</v>
      </c>
      <c r="M6682" s="17" t="str">
        <f t="shared" si="329"/>
        <v/>
      </c>
      <c r="N6682" s="11" t="str">
        <f t="shared" si="330"/>
        <v/>
      </c>
    </row>
    <row r="6683" spans="9:14" x14ac:dyDescent="0.25">
      <c r="I6683" s="11" t="b">
        <f t="shared" si="328"/>
        <v>0</v>
      </c>
      <c r="M6683" s="17" t="str">
        <f t="shared" si="329"/>
        <v/>
      </c>
      <c r="N6683" s="11" t="str">
        <f t="shared" si="330"/>
        <v/>
      </c>
    </row>
    <row r="6684" spans="9:14" x14ac:dyDescent="0.25">
      <c r="I6684" s="11" t="b">
        <f t="shared" si="328"/>
        <v>0</v>
      </c>
      <c r="M6684" s="17" t="str">
        <f t="shared" si="329"/>
        <v/>
      </c>
      <c r="N6684" s="11" t="str">
        <f t="shared" si="330"/>
        <v/>
      </c>
    </row>
    <row r="6685" spans="9:14" x14ac:dyDescent="0.25">
      <c r="I6685" s="11" t="b">
        <f t="shared" ref="I6685:I6748" si="331">IF(AND(G6685="MERCADO PAGO",A6685="FATURAMENTO"),1,IF(AND(OR(G6685="MERCADO PAGO",G6685="pix mercado pago",G6685= "débito automático mercado pago", G6685= "boleto mercado pago"),A6685="DESPESAS"),4,IF(AND(G6685="SAFRA",A6685="FATURAMENTO"),2,IF(AND(OR(G6685="SAFRA",G6685="PIX SAFRA", G6685="DÉBITO AUTOMÁTICO SAFRA", G6685= "BOLETO SAFRA", G6685= "transferência safra"), A6685="DESPESAS"),5,IF(AND(G6685="espécie",A6685="FATURAMENTO"),3,IF(AND(G6685="espécie",A6685="DESPESAS"),6))))))</f>
        <v>0</v>
      </c>
      <c r="M6685" s="17" t="str">
        <f t="shared" si="329"/>
        <v/>
      </c>
      <c r="N6685" s="11" t="str">
        <f t="shared" si="330"/>
        <v/>
      </c>
    </row>
    <row r="6686" spans="9:14" x14ac:dyDescent="0.25">
      <c r="I6686" s="11" t="b">
        <f t="shared" si="331"/>
        <v>0</v>
      </c>
      <c r="M6686" s="17" t="str">
        <f t="shared" si="329"/>
        <v/>
      </c>
      <c r="N6686" s="11" t="str">
        <f t="shared" si="330"/>
        <v/>
      </c>
    </row>
    <row r="6687" spans="9:14" x14ac:dyDescent="0.25">
      <c r="I6687" s="11" t="b">
        <f t="shared" si="331"/>
        <v>0</v>
      </c>
      <c r="M6687" s="17" t="str">
        <f t="shared" si="329"/>
        <v/>
      </c>
      <c r="N6687" s="11" t="str">
        <f t="shared" si="330"/>
        <v/>
      </c>
    </row>
    <row r="6688" spans="9:14" x14ac:dyDescent="0.25">
      <c r="I6688" s="11" t="b">
        <f t="shared" si="331"/>
        <v>0</v>
      </c>
      <c r="M6688" s="17" t="str">
        <f t="shared" si="329"/>
        <v/>
      </c>
      <c r="N6688" s="11" t="str">
        <f t="shared" si="330"/>
        <v/>
      </c>
    </row>
    <row r="6689" spans="9:14" x14ac:dyDescent="0.25">
      <c r="I6689" s="11" t="b">
        <f t="shared" si="331"/>
        <v>0</v>
      </c>
      <c r="M6689" s="17" t="str">
        <f t="shared" si="329"/>
        <v/>
      </c>
      <c r="N6689" s="11" t="str">
        <f t="shared" si="330"/>
        <v/>
      </c>
    </row>
    <row r="6690" spans="9:14" x14ac:dyDescent="0.25">
      <c r="I6690" s="11" t="b">
        <f t="shared" si="331"/>
        <v>0</v>
      </c>
      <c r="M6690" s="17" t="str">
        <f t="shared" si="329"/>
        <v/>
      </c>
      <c r="N6690" s="11" t="str">
        <f t="shared" si="330"/>
        <v/>
      </c>
    </row>
    <row r="6691" spans="9:14" x14ac:dyDescent="0.25">
      <c r="I6691" s="11" t="b">
        <f t="shared" si="331"/>
        <v>0</v>
      </c>
      <c r="M6691" s="17" t="str">
        <f t="shared" si="329"/>
        <v/>
      </c>
      <c r="N6691" s="11" t="str">
        <f t="shared" si="330"/>
        <v/>
      </c>
    </row>
    <row r="6692" spans="9:14" x14ac:dyDescent="0.25">
      <c r="I6692" s="11" t="b">
        <f t="shared" si="331"/>
        <v>0</v>
      </c>
      <c r="M6692" s="17" t="str">
        <f t="shared" si="329"/>
        <v/>
      </c>
      <c r="N6692" s="11" t="str">
        <f t="shared" si="330"/>
        <v/>
      </c>
    </row>
    <row r="6693" spans="9:14" x14ac:dyDescent="0.25">
      <c r="I6693" s="11" t="b">
        <f t="shared" si="331"/>
        <v>0</v>
      </c>
      <c r="M6693" s="17" t="str">
        <f t="shared" si="329"/>
        <v/>
      </c>
      <c r="N6693" s="11" t="str">
        <f t="shared" si="330"/>
        <v/>
      </c>
    </row>
    <row r="6694" spans="9:14" x14ac:dyDescent="0.25">
      <c r="I6694" s="11" t="b">
        <f t="shared" si="331"/>
        <v>0</v>
      </c>
      <c r="M6694" s="17" t="str">
        <f t="shared" si="329"/>
        <v/>
      </c>
      <c r="N6694" s="11" t="str">
        <f t="shared" si="330"/>
        <v/>
      </c>
    </row>
    <row r="6695" spans="9:14" x14ac:dyDescent="0.25">
      <c r="I6695" s="11" t="b">
        <f t="shared" si="331"/>
        <v>0</v>
      </c>
      <c r="M6695" s="17" t="str">
        <f t="shared" si="329"/>
        <v/>
      </c>
      <c r="N6695" s="11" t="str">
        <f t="shared" si="330"/>
        <v/>
      </c>
    </row>
    <row r="6696" spans="9:14" x14ac:dyDescent="0.25">
      <c r="I6696" s="11" t="b">
        <f t="shared" si="331"/>
        <v>0</v>
      </c>
      <c r="M6696" s="17" t="str">
        <f t="shared" si="329"/>
        <v/>
      </c>
      <c r="N6696" s="11" t="str">
        <f t="shared" si="330"/>
        <v/>
      </c>
    </row>
    <row r="6697" spans="9:14" x14ac:dyDescent="0.25">
      <c r="I6697" s="11" t="b">
        <f t="shared" si="331"/>
        <v>0</v>
      </c>
      <c r="M6697" s="17" t="str">
        <f t="shared" si="329"/>
        <v/>
      </c>
      <c r="N6697" s="11" t="str">
        <f t="shared" si="330"/>
        <v/>
      </c>
    </row>
    <row r="6698" spans="9:14" x14ac:dyDescent="0.25">
      <c r="I6698" s="11" t="b">
        <f t="shared" si="331"/>
        <v>0</v>
      </c>
      <c r="M6698" s="17" t="str">
        <f t="shared" si="329"/>
        <v/>
      </c>
      <c r="N6698" s="11" t="str">
        <f t="shared" si="330"/>
        <v/>
      </c>
    </row>
    <row r="6699" spans="9:14" x14ac:dyDescent="0.25">
      <c r="I6699" s="11" t="b">
        <f t="shared" si="331"/>
        <v>0</v>
      </c>
      <c r="M6699" s="17" t="str">
        <f t="shared" si="329"/>
        <v/>
      </c>
      <c r="N6699" s="11" t="str">
        <f t="shared" si="330"/>
        <v/>
      </c>
    </row>
    <row r="6700" spans="9:14" x14ac:dyDescent="0.25">
      <c r="I6700" s="11" t="b">
        <f t="shared" si="331"/>
        <v>0</v>
      </c>
      <c r="M6700" s="17" t="str">
        <f t="shared" si="329"/>
        <v/>
      </c>
      <c r="N6700" s="11" t="str">
        <f t="shared" si="330"/>
        <v/>
      </c>
    </row>
    <row r="6701" spans="9:14" x14ac:dyDescent="0.25">
      <c r="I6701" s="11" t="b">
        <f t="shared" si="331"/>
        <v>0</v>
      </c>
      <c r="M6701" s="17" t="str">
        <f t="shared" si="329"/>
        <v/>
      </c>
      <c r="N6701" s="11" t="str">
        <f t="shared" si="330"/>
        <v/>
      </c>
    </row>
    <row r="6702" spans="9:14" x14ac:dyDescent="0.25">
      <c r="I6702" s="11" t="b">
        <f t="shared" si="331"/>
        <v>0</v>
      </c>
      <c r="M6702" s="17" t="str">
        <f t="shared" si="329"/>
        <v/>
      </c>
      <c r="N6702" s="11" t="str">
        <f t="shared" si="330"/>
        <v/>
      </c>
    </row>
    <row r="6703" spans="9:14" x14ac:dyDescent="0.25">
      <c r="I6703" s="11" t="b">
        <f t="shared" si="331"/>
        <v>0</v>
      </c>
      <c r="M6703" s="17" t="str">
        <f t="shared" si="329"/>
        <v/>
      </c>
      <c r="N6703" s="11" t="str">
        <f t="shared" si="330"/>
        <v/>
      </c>
    </row>
    <row r="6704" spans="9:14" x14ac:dyDescent="0.25">
      <c r="I6704" s="11" t="b">
        <f t="shared" si="331"/>
        <v>0</v>
      </c>
      <c r="M6704" s="17" t="str">
        <f t="shared" si="329"/>
        <v/>
      </c>
      <c r="N6704" s="11" t="str">
        <f t="shared" si="330"/>
        <v/>
      </c>
    </row>
    <row r="6705" spans="9:14" x14ac:dyDescent="0.25">
      <c r="I6705" s="11" t="b">
        <f t="shared" si="331"/>
        <v>0</v>
      </c>
      <c r="M6705" s="17" t="str">
        <f t="shared" si="329"/>
        <v/>
      </c>
      <c r="N6705" s="11" t="str">
        <f t="shared" si="330"/>
        <v/>
      </c>
    </row>
    <row r="6706" spans="9:14" x14ac:dyDescent="0.25">
      <c r="I6706" s="11" t="b">
        <f t="shared" si="331"/>
        <v>0</v>
      </c>
      <c r="M6706" s="17" t="str">
        <f t="shared" si="329"/>
        <v/>
      </c>
      <c r="N6706" s="11" t="str">
        <f t="shared" si="330"/>
        <v/>
      </c>
    </row>
    <row r="6707" spans="9:14" x14ac:dyDescent="0.25">
      <c r="I6707" s="11" t="b">
        <f t="shared" si="331"/>
        <v>0</v>
      </c>
      <c r="M6707" s="17" t="str">
        <f t="shared" si="329"/>
        <v/>
      </c>
      <c r="N6707" s="11" t="str">
        <f t="shared" si="330"/>
        <v/>
      </c>
    </row>
    <row r="6708" spans="9:14" x14ac:dyDescent="0.25">
      <c r="I6708" s="11" t="b">
        <f t="shared" si="331"/>
        <v>0</v>
      </c>
      <c r="M6708" s="17" t="str">
        <f t="shared" si="329"/>
        <v/>
      </c>
      <c r="N6708" s="11" t="str">
        <f t="shared" si="330"/>
        <v/>
      </c>
    </row>
    <row r="6709" spans="9:14" x14ac:dyDescent="0.25">
      <c r="I6709" s="11" t="b">
        <f t="shared" si="331"/>
        <v>0</v>
      </c>
      <c r="M6709" s="17" t="str">
        <f t="shared" si="329"/>
        <v/>
      </c>
      <c r="N6709" s="11" t="str">
        <f t="shared" si="330"/>
        <v/>
      </c>
    </row>
    <row r="6710" spans="9:14" x14ac:dyDescent="0.25">
      <c r="I6710" s="11" t="b">
        <f t="shared" si="331"/>
        <v>0</v>
      </c>
      <c r="M6710" s="17" t="str">
        <f t="shared" si="329"/>
        <v/>
      </c>
      <c r="N6710" s="11" t="str">
        <f t="shared" si="330"/>
        <v/>
      </c>
    </row>
    <row r="6711" spans="9:14" x14ac:dyDescent="0.25">
      <c r="I6711" s="11" t="b">
        <f t="shared" si="331"/>
        <v>0</v>
      </c>
      <c r="M6711" s="17" t="str">
        <f t="shared" si="329"/>
        <v/>
      </c>
      <c r="N6711" s="11" t="str">
        <f t="shared" si="330"/>
        <v/>
      </c>
    </row>
    <row r="6712" spans="9:14" x14ac:dyDescent="0.25">
      <c r="I6712" s="11" t="b">
        <f t="shared" si="331"/>
        <v>0</v>
      </c>
      <c r="M6712" s="17" t="str">
        <f t="shared" si="329"/>
        <v/>
      </c>
      <c r="N6712" s="11" t="str">
        <f t="shared" si="330"/>
        <v/>
      </c>
    </row>
    <row r="6713" spans="9:14" x14ac:dyDescent="0.25">
      <c r="I6713" s="11" t="b">
        <f t="shared" si="331"/>
        <v>0</v>
      </c>
      <c r="M6713" s="17" t="str">
        <f t="shared" si="329"/>
        <v/>
      </c>
      <c r="N6713" s="11" t="str">
        <f t="shared" si="330"/>
        <v/>
      </c>
    </row>
    <row r="6714" spans="9:14" x14ac:dyDescent="0.25">
      <c r="I6714" s="11" t="b">
        <f t="shared" si="331"/>
        <v>0</v>
      </c>
      <c r="M6714" s="17" t="str">
        <f t="shared" si="329"/>
        <v/>
      </c>
      <c r="N6714" s="11" t="str">
        <f t="shared" si="330"/>
        <v/>
      </c>
    </row>
    <row r="6715" spans="9:14" x14ac:dyDescent="0.25">
      <c r="I6715" s="11" t="b">
        <f t="shared" si="331"/>
        <v>0</v>
      </c>
      <c r="M6715" s="17" t="str">
        <f t="shared" si="329"/>
        <v/>
      </c>
      <c r="N6715" s="11" t="str">
        <f t="shared" si="330"/>
        <v/>
      </c>
    </row>
    <row r="6716" spans="9:14" x14ac:dyDescent="0.25">
      <c r="I6716" s="11" t="b">
        <f t="shared" si="331"/>
        <v>0</v>
      </c>
      <c r="M6716" s="17" t="str">
        <f t="shared" si="329"/>
        <v/>
      </c>
      <c r="N6716" s="11" t="str">
        <f t="shared" si="330"/>
        <v/>
      </c>
    </row>
    <row r="6717" spans="9:14" x14ac:dyDescent="0.25">
      <c r="I6717" s="11" t="b">
        <f t="shared" si="331"/>
        <v>0</v>
      </c>
      <c r="M6717" s="17" t="str">
        <f t="shared" si="329"/>
        <v/>
      </c>
      <c r="N6717" s="11" t="str">
        <f t="shared" si="330"/>
        <v/>
      </c>
    </row>
    <row r="6718" spans="9:14" x14ac:dyDescent="0.25">
      <c r="I6718" s="11" t="b">
        <f t="shared" si="331"/>
        <v>0</v>
      </c>
      <c r="M6718" s="17" t="str">
        <f t="shared" si="329"/>
        <v/>
      </c>
      <c r="N6718" s="11" t="str">
        <f t="shared" si="330"/>
        <v/>
      </c>
    </row>
    <row r="6719" spans="9:14" x14ac:dyDescent="0.25">
      <c r="I6719" s="11" t="b">
        <f t="shared" si="331"/>
        <v>0</v>
      </c>
      <c r="M6719" s="17" t="str">
        <f t="shared" si="329"/>
        <v/>
      </c>
      <c r="N6719" s="11" t="str">
        <f t="shared" si="330"/>
        <v/>
      </c>
    </row>
    <row r="6720" spans="9:14" x14ac:dyDescent="0.25">
      <c r="I6720" s="11" t="b">
        <f t="shared" si="331"/>
        <v>0</v>
      </c>
      <c r="M6720" s="17" t="str">
        <f t="shared" si="329"/>
        <v/>
      </c>
      <c r="N6720" s="11" t="str">
        <f t="shared" si="330"/>
        <v/>
      </c>
    </row>
    <row r="6721" spans="9:14" x14ac:dyDescent="0.25">
      <c r="I6721" s="11" t="b">
        <f t="shared" si="331"/>
        <v>0</v>
      </c>
      <c r="M6721" s="17" t="str">
        <f t="shared" ref="M6721:M6784" si="332">IF(B6721=0, "",M6720+ J6721-K6721)</f>
        <v/>
      </c>
      <c r="N6721" s="11" t="str">
        <f t="shared" ref="N6721:N6784" si="333">IF(B6721=0, "", MONTH(B6721))</f>
        <v/>
      </c>
    </row>
    <row r="6722" spans="9:14" x14ac:dyDescent="0.25">
      <c r="I6722" s="11" t="b">
        <f t="shared" si="331"/>
        <v>0</v>
      </c>
      <c r="M6722" s="17" t="str">
        <f t="shared" si="332"/>
        <v/>
      </c>
      <c r="N6722" s="11" t="str">
        <f t="shared" si="333"/>
        <v/>
      </c>
    </row>
    <row r="6723" spans="9:14" x14ac:dyDescent="0.25">
      <c r="I6723" s="11" t="b">
        <f t="shared" si="331"/>
        <v>0</v>
      </c>
      <c r="M6723" s="17" t="str">
        <f t="shared" si="332"/>
        <v/>
      </c>
      <c r="N6723" s="11" t="str">
        <f t="shared" si="333"/>
        <v/>
      </c>
    </row>
    <row r="6724" spans="9:14" x14ac:dyDescent="0.25">
      <c r="I6724" s="11" t="b">
        <f t="shared" si="331"/>
        <v>0</v>
      </c>
      <c r="M6724" s="17" t="str">
        <f t="shared" si="332"/>
        <v/>
      </c>
      <c r="N6724" s="11" t="str">
        <f t="shared" si="333"/>
        <v/>
      </c>
    </row>
    <row r="6725" spans="9:14" x14ac:dyDescent="0.25">
      <c r="I6725" s="11" t="b">
        <f t="shared" si="331"/>
        <v>0</v>
      </c>
      <c r="M6725" s="17" t="str">
        <f t="shared" si="332"/>
        <v/>
      </c>
      <c r="N6725" s="11" t="str">
        <f t="shared" si="333"/>
        <v/>
      </c>
    </row>
    <row r="6726" spans="9:14" x14ac:dyDescent="0.25">
      <c r="I6726" s="11" t="b">
        <f t="shared" si="331"/>
        <v>0</v>
      </c>
      <c r="M6726" s="17" t="str">
        <f t="shared" si="332"/>
        <v/>
      </c>
      <c r="N6726" s="11" t="str">
        <f t="shared" si="333"/>
        <v/>
      </c>
    </row>
    <row r="6727" spans="9:14" x14ac:dyDescent="0.25">
      <c r="I6727" s="11" t="b">
        <f t="shared" si="331"/>
        <v>0</v>
      </c>
      <c r="M6727" s="17" t="str">
        <f t="shared" si="332"/>
        <v/>
      </c>
      <c r="N6727" s="11" t="str">
        <f t="shared" si="333"/>
        <v/>
      </c>
    </row>
    <row r="6728" spans="9:14" x14ac:dyDescent="0.25">
      <c r="I6728" s="11" t="b">
        <f t="shared" si="331"/>
        <v>0</v>
      </c>
      <c r="M6728" s="17" t="str">
        <f t="shared" si="332"/>
        <v/>
      </c>
      <c r="N6728" s="11" t="str">
        <f t="shared" si="333"/>
        <v/>
      </c>
    </row>
    <row r="6729" spans="9:14" x14ac:dyDescent="0.25">
      <c r="I6729" s="11" t="b">
        <f t="shared" si="331"/>
        <v>0</v>
      </c>
      <c r="M6729" s="17" t="str">
        <f t="shared" si="332"/>
        <v/>
      </c>
      <c r="N6729" s="11" t="str">
        <f t="shared" si="333"/>
        <v/>
      </c>
    </row>
    <row r="6730" spans="9:14" x14ac:dyDescent="0.25">
      <c r="I6730" s="11" t="b">
        <f t="shared" si="331"/>
        <v>0</v>
      </c>
      <c r="M6730" s="17" t="str">
        <f t="shared" si="332"/>
        <v/>
      </c>
      <c r="N6730" s="11" t="str">
        <f t="shared" si="333"/>
        <v/>
      </c>
    </row>
    <row r="6731" spans="9:14" x14ac:dyDescent="0.25">
      <c r="I6731" s="11" t="b">
        <f t="shared" si="331"/>
        <v>0</v>
      </c>
      <c r="M6731" s="17" t="str">
        <f t="shared" si="332"/>
        <v/>
      </c>
      <c r="N6731" s="11" t="str">
        <f t="shared" si="333"/>
        <v/>
      </c>
    </row>
    <row r="6732" spans="9:14" x14ac:dyDescent="0.25">
      <c r="I6732" s="11" t="b">
        <f t="shared" si="331"/>
        <v>0</v>
      </c>
      <c r="M6732" s="17" t="str">
        <f t="shared" si="332"/>
        <v/>
      </c>
      <c r="N6732" s="11" t="str">
        <f t="shared" si="333"/>
        <v/>
      </c>
    </row>
    <row r="6733" spans="9:14" x14ac:dyDescent="0.25">
      <c r="I6733" s="11" t="b">
        <f t="shared" si="331"/>
        <v>0</v>
      </c>
      <c r="M6733" s="17" t="str">
        <f t="shared" si="332"/>
        <v/>
      </c>
      <c r="N6733" s="11" t="str">
        <f t="shared" si="333"/>
        <v/>
      </c>
    </row>
    <row r="6734" spans="9:14" x14ac:dyDescent="0.25">
      <c r="I6734" s="11" t="b">
        <f t="shared" si="331"/>
        <v>0</v>
      </c>
      <c r="M6734" s="17" t="str">
        <f t="shared" si="332"/>
        <v/>
      </c>
      <c r="N6734" s="11" t="str">
        <f t="shared" si="333"/>
        <v/>
      </c>
    </row>
    <row r="6735" spans="9:14" x14ac:dyDescent="0.25">
      <c r="I6735" s="11" t="b">
        <f t="shared" si="331"/>
        <v>0</v>
      </c>
      <c r="M6735" s="17" t="str">
        <f t="shared" si="332"/>
        <v/>
      </c>
      <c r="N6735" s="11" t="str">
        <f t="shared" si="333"/>
        <v/>
      </c>
    </row>
    <row r="6736" spans="9:14" x14ac:dyDescent="0.25">
      <c r="I6736" s="11" t="b">
        <f t="shared" si="331"/>
        <v>0</v>
      </c>
      <c r="M6736" s="17" t="str">
        <f t="shared" si="332"/>
        <v/>
      </c>
      <c r="N6736" s="11" t="str">
        <f t="shared" si="333"/>
        <v/>
      </c>
    </row>
    <row r="6737" spans="9:14" x14ac:dyDescent="0.25">
      <c r="I6737" s="11" t="b">
        <f t="shared" si="331"/>
        <v>0</v>
      </c>
      <c r="M6737" s="17" t="str">
        <f t="shared" si="332"/>
        <v/>
      </c>
      <c r="N6737" s="11" t="str">
        <f t="shared" si="333"/>
        <v/>
      </c>
    </row>
    <row r="6738" spans="9:14" x14ac:dyDescent="0.25">
      <c r="I6738" s="11" t="b">
        <f t="shared" si="331"/>
        <v>0</v>
      </c>
      <c r="M6738" s="17" t="str">
        <f t="shared" si="332"/>
        <v/>
      </c>
      <c r="N6738" s="11" t="str">
        <f t="shared" si="333"/>
        <v/>
      </c>
    </row>
    <row r="6739" spans="9:14" x14ac:dyDescent="0.25">
      <c r="I6739" s="11" t="b">
        <f t="shared" si="331"/>
        <v>0</v>
      </c>
      <c r="M6739" s="17" t="str">
        <f t="shared" si="332"/>
        <v/>
      </c>
      <c r="N6739" s="11" t="str">
        <f t="shared" si="333"/>
        <v/>
      </c>
    </row>
    <row r="6740" spans="9:14" x14ac:dyDescent="0.25">
      <c r="I6740" s="11" t="b">
        <f t="shared" si="331"/>
        <v>0</v>
      </c>
      <c r="M6740" s="17" t="str">
        <f t="shared" si="332"/>
        <v/>
      </c>
      <c r="N6740" s="11" t="str">
        <f t="shared" si="333"/>
        <v/>
      </c>
    </row>
    <row r="6741" spans="9:14" x14ac:dyDescent="0.25">
      <c r="I6741" s="11" t="b">
        <f t="shared" si="331"/>
        <v>0</v>
      </c>
      <c r="M6741" s="17" t="str">
        <f t="shared" si="332"/>
        <v/>
      </c>
      <c r="N6741" s="11" t="str">
        <f t="shared" si="333"/>
        <v/>
      </c>
    </row>
    <row r="6742" spans="9:14" x14ac:dyDescent="0.25">
      <c r="I6742" s="11" t="b">
        <f t="shared" si="331"/>
        <v>0</v>
      </c>
      <c r="M6742" s="17" t="str">
        <f t="shared" si="332"/>
        <v/>
      </c>
      <c r="N6742" s="11" t="str">
        <f t="shared" si="333"/>
        <v/>
      </c>
    </row>
    <row r="6743" spans="9:14" x14ac:dyDescent="0.25">
      <c r="I6743" s="11" t="b">
        <f t="shared" si="331"/>
        <v>0</v>
      </c>
      <c r="M6743" s="17" t="str">
        <f t="shared" si="332"/>
        <v/>
      </c>
      <c r="N6743" s="11" t="str">
        <f t="shared" si="333"/>
        <v/>
      </c>
    </row>
    <row r="6744" spans="9:14" x14ac:dyDescent="0.25">
      <c r="I6744" s="11" t="b">
        <f t="shared" si="331"/>
        <v>0</v>
      </c>
      <c r="M6744" s="17" t="str">
        <f t="shared" si="332"/>
        <v/>
      </c>
      <c r="N6744" s="11" t="str">
        <f t="shared" si="333"/>
        <v/>
      </c>
    </row>
    <row r="6745" spans="9:14" x14ac:dyDescent="0.25">
      <c r="I6745" s="11" t="b">
        <f t="shared" si="331"/>
        <v>0</v>
      </c>
      <c r="M6745" s="17" t="str">
        <f t="shared" si="332"/>
        <v/>
      </c>
      <c r="N6745" s="11" t="str">
        <f t="shared" si="333"/>
        <v/>
      </c>
    </row>
    <row r="6746" spans="9:14" x14ac:dyDescent="0.25">
      <c r="I6746" s="11" t="b">
        <f t="shared" si="331"/>
        <v>0</v>
      </c>
      <c r="M6746" s="17" t="str">
        <f t="shared" si="332"/>
        <v/>
      </c>
      <c r="N6746" s="11" t="str">
        <f t="shared" si="333"/>
        <v/>
      </c>
    </row>
    <row r="6747" spans="9:14" x14ac:dyDescent="0.25">
      <c r="I6747" s="11" t="b">
        <f t="shared" si="331"/>
        <v>0</v>
      </c>
      <c r="M6747" s="17" t="str">
        <f t="shared" si="332"/>
        <v/>
      </c>
      <c r="N6747" s="11" t="str">
        <f t="shared" si="333"/>
        <v/>
      </c>
    </row>
    <row r="6748" spans="9:14" x14ac:dyDescent="0.25">
      <c r="I6748" s="11" t="b">
        <f t="shared" si="331"/>
        <v>0</v>
      </c>
      <c r="M6748" s="17" t="str">
        <f t="shared" si="332"/>
        <v/>
      </c>
      <c r="N6748" s="11" t="str">
        <f t="shared" si="333"/>
        <v/>
      </c>
    </row>
    <row r="6749" spans="9:14" x14ac:dyDescent="0.25">
      <c r="I6749" s="11" t="b">
        <f t="shared" ref="I6749:I6812" si="334">IF(AND(G6749="MERCADO PAGO",A6749="FATURAMENTO"),1,IF(AND(OR(G6749="MERCADO PAGO",G6749="pix mercado pago",G6749= "débito automático mercado pago", G6749= "boleto mercado pago"),A6749="DESPESAS"),4,IF(AND(G6749="SAFRA",A6749="FATURAMENTO"),2,IF(AND(OR(G6749="SAFRA",G6749="PIX SAFRA", G6749="DÉBITO AUTOMÁTICO SAFRA", G6749= "BOLETO SAFRA", G6749= "transferência safra"), A6749="DESPESAS"),5,IF(AND(G6749="espécie",A6749="FATURAMENTO"),3,IF(AND(G6749="espécie",A6749="DESPESAS"),6))))))</f>
        <v>0</v>
      </c>
      <c r="M6749" s="17" t="str">
        <f t="shared" si="332"/>
        <v/>
      </c>
      <c r="N6749" s="11" t="str">
        <f t="shared" si="333"/>
        <v/>
      </c>
    </row>
    <row r="6750" spans="9:14" x14ac:dyDescent="0.25">
      <c r="I6750" s="11" t="b">
        <f t="shared" si="334"/>
        <v>0</v>
      </c>
      <c r="M6750" s="17" t="str">
        <f t="shared" si="332"/>
        <v/>
      </c>
      <c r="N6750" s="11" t="str">
        <f t="shared" si="333"/>
        <v/>
      </c>
    </row>
    <row r="6751" spans="9:14" x14ac:dyDescent="0.25">
      <c r="I6751" s="11" t="b">
        <f t="shared" si="334"/>
        <v>0</v>
      </c>
      <c r="M6751" s="17" t="str">
        <f t="shared" si="332"/>
        <v/>
      </c>
      <c r="N6751" s="11" t="str">
        <f t="shared" si="333"/>
        <v/>
      </c>
    </row>
    <row r="6752" spans="9:14" x14ac:dyDescent="0.25">
      <c r="I6752" s="11" t="b">
        <f t="shared" si="334"/>
        <v>0</v>
      </c>
      <c r="M6752" s="17" t="str">
        <f t="shared" si="332"/>
        <v/>
      </c>
      <c r="N6752" s="11" t="str">
        <f t="shared" si="333"/>
        <v/>
      </c>
    </row>
    <row r="6753" spans="9:14" x14ac:dyDescent="0.25">
      <c r="I6753" s="11" t="b">
        <f t="shared" si="334"/>
        <v>0</v>
      </c>
      <c r="M6753" s="17" t="str">
        <f t="shared" si="332"/>
        <v/>
      </c>
      <c r="N6753" s="11" t="str">
        <f t="shared" si="333"/>
        <v/>
      </c>
    </row>
    <row r="6754" spans="9:14" x14ac:dyDescent="0.25">
      <c r="I6754" s="11" t="b">
        <f t="shared" si="334"/>
        <v>0</v>
      </c>
      <c r="M6754" s="17" t="str">
        <f t="shared" si="332"/>
        <v/>
      </c>
      <c r="N6754" s="11" t="str">
        <f t="shared" si="333"/>
        <v/>
      </c>
    </row>
    <row r="6755" spans="9:14" x14ac:dyDescent="0.25">
      <c r="I6755" s="11" t="b">
        <f t="shared" si="334"/>
        <v>0</v>
      </c>
      <c r="M6755" s="17" t="str">
        <f t="shared" si="332"/>
        <v/>
      </c>
      <c r="N6755" s="11" t="str">
        <f t="shared" si="333"/>
        <v/>
      </c>
    </row>
    <row r="6756" spans="9:14" x14ac:dyDescent="0.25">
      <c r="I6756" s="11" t="b">
        <f t="shared" si="334"/>
        <v>0</v>
      </c>
      <c r="M6756" s="17" t="str">
        <f t="shared" si="332"/>
        <v/>
      </c>
      <c r="N6756" s="11" t="str">
        <f t="shared" si="333"/>
        <v/>
      </c>
    </row>
    <row r="6757" spans="9:14" x14ac:dyDescent="0.25">
      <c r="I6757" s="11" t="b">
        <f t="shared" si="334"/>
        <v>0</v>
      </c>
      <c r="M6757" s="17" t="str">
        <f t="shared" si="332"/>
        <v/>
      </c>
      <c r="N6757" s="11" t="str">
        <f t="shared" si="333"/>
        <v/>
      </c>
    </row>
    <row r="6758" spans="9:14" x14ac:dyDescent="0.25">
      <c r="I6758" s="11" t="b">
        <f t="shared" si="334"/>
        <v>0</v>
      </c>
      <c r="M6758" s="17" t="str">
        <f t="shared" si="332"/>
        <v/>
      </c>
      <c r="N6758" s="11" t="str">
        <f t="shared" si="333"/>
        <v/>
      </c>
    </row>
    <row r="6759" spans="9:14" x14ac:dyDescent="0.25">
      <c r="I6759" s="11" t="b">
        <f t="shared" si="334"/>
        <v>0</v>
      </c>
      <c r="M6759" s="17" t="str">
        <f t="shared" si="332"/>
        <v/>
      </c>
      <c r="N6759" s="11" t="str">
        <f t="shared" si="333"/>
        <v/>
      </c>
    </row>
    <row r="6760" spans="9:14" x14ac:dyDescent="0.25">
      <c r="I6760" s="11" t="b">
        <f t="shared" si="334"/>
        <v>0</v>
      </c>
      <c r="M6760" s="17" t="str">
        <f t="shared" si="332"/>
        <v/>
      </c>
      <c r="N6760" s="11" t="str">
        <f t="shared" si="333"/>
        <v/>
      </c>
    </row>
    <row r="6761" spans="9:14" x14ac:dyDescent="0.25">
      <c r="I6761" s="11" t="b">
        <f t="shared" si="334"/>
        <v>0</v>
      </c>
      <c r="M6761" s="17" t="str">
        <f t="shared" si="332"/>
        <v/>
      </c>
      <c r="N6761" s="11" t="str">
        <f t="shared" si="333"/>
        <v/>
      </c>
    </row>
    <row r="6762" spans="9:14" x14ac:dyDescent="0.25">
      <c r="I6762" s="11" t="b">
        <f t="shared" si="334"/>
        <v>0</v>
      </c>
      <c r="M6762" s="17" t="str">
        <f t="shared" si="332"/>
        <v/>
      </c>
      <c r="N6762" s="11" t="str">
        <f t="shared" si="333"/>
        <v/>
      </c>
    </row>
    <row r="6763" spans="9:14" x14ac:dyDescent="0.25">
      <c r="I6763" s="11" t="b">
        <f t="shared" si="334"/>
        <v>0</v>
      </c>
      <c r="M6763" s="17" t="str">
        <f t="shared" si="332"/>
        <v/>
      </c>
      <c r="N6763" s="11" t="str">
        <f t="shared" si="333"/>
        <v/>
      </c>
    </row>
    <row r="6764" spans="9:14" x14ac:dyDescent="0.25">
      <c r="I6764" s="11" t="b">
        <f t="shared" si="334"/>
        <v>0</v>
      </c>
      <c r="M6764" s="17" t="str">
        <f t="shared" si="332"/>
        <v/>
      </c>
      <c r="N6764" s="11" t="str">
        <f t="shared" si="333"/>
        <v/>
      </c>
    </row>
    <row r="6765" spans="9:14" x14ac:dyDescent="0.25">
      <c r="I6765" s="11" t="b">
        <f t="shared" si="334"/>
        <v>0</v>
      </c>
      <c r="M6765" s="17" t="str">
        <f t="shared" si="332"/>
        <v/>
      </c>
      <c r="N6765" s="11" t="str">
        <f t="shared" si="333"/>
        <v/>
      </c>
    </row>
    <row r="6766" spans="9:14" x14ac:dyDescent="0.25">
      <c r="I6766" s="11" t="b">
        <f t="shared" si="334"/>
        <v>0</v>
      </c>
      <c r="M6766" s="17" t="str">
        <f t="shared" si="332"/>
        <v/>
      </c>
      <c r="N6766" s="11" t="str">
        <f t="shared" si="333"/>
        <v/>
      </c>
    </row>
    <row r="6767" spans="9:14" x14ac:dyDescent="0.25">
      <c r="I6767" s="11" t="b">
        <f t="shared" si="334"/>
        <v>0</v>
      </c>
      <c r="M6767" s="17" t="str">
        <f t="shared" si="332"/>
        <v/>
      </c>
      <c r="N6767" s="11" t="str">
        <f t="shared" si="333"/>
        <v/>
      </c>
    </row>
    <row r="6768" spans="9:14" x14ac:dyDescent="0.25">
      <c r="I6768" s="11" t="b">
        <f t="shared" si="334"/>
        <v>0</v>
      </c>
      <c r="M6768" s="17" t="str">
        <f t="shared" si="332"/>
        <v/>
      </c>
      <c r="N6768" s="11" t="str">
        <f t="shared" si="333"/>
        <v/>
      </c>
    </row>
    <row r="6769" spans="9:14" x14ac:dyDescent="0.25">
      <c r="I6769" s="11" t="b">
        <f t="shared" si="334"/>
        <v>0</v>
      </c>
      <c r="M6769" s="17" t="str">
        <f t="shared" si="332"/>
        <v/>
      </c>
      <c r="N6769" s="11" t="str">
        <f t="shared" si="333"/>
        <v/>
      </c>
    </row>
    <row r="6770" spans="9:14" x14ac:dyDescent="0.25">
      <c r="I6770" s="11" t="b">
        <f t="shared" si="334"/>
        <v>0</v>
      </c>
      <c r="M6770" s="17" t="str">
        <f t="shared" si="332"/>
        <v/>
      </c>
      <c r="N6770" s="11" t="str">
        <f t="shared" si="333"/>
        <v/>
      </c>
    </row>
    <row r="6771" spans="9:14" x14ac:dyDescent="0.25">
      <c r="I6771" s="11" t="b">
        <f t="shared" si="334"/>
        <v>0</v>
      </c>
      <c r="M6771" s="17" t="str">
        <f t="shared" si="332"/>
        <v/>
      </c>
      <c r="N6771" s="11" t="str">
        <f t="shared" si="333"/>
        <v/>
      </c>
    </row>
    <row r="6772" spans="9:14" x14ac:dyDescent="0.25">
      <c r="I6772" s="11" t="b">
        <f t="shared" si="334"/>
        <v>0</v>
      </c>
      <c r="M6772" s="17" t="str">
        <f t="shared" si="332"/>
        <v/>
      </c>
      <c r="N6772" s="11" t="str">
        <f t="shared" si="333"/>
        <v/>
      </c>
    </row>
    <row r="6773" spans="9:14" x14ac:dyDescent="0.25">
      <c r="I6773" s="11" t="b">
        <f t="shared" si="334"/>
        <v>0</v>
      </c>
      <c r="M6773" s="17" t="str">
        <f t="shared" si="332"/>
        <v/>
      </c>
      <c r="N6773" s="11" t="str">
        <f t="shared" si="333"/>
        <v/>
      </c>
    </row>
    <row r="6774" spans="9:14" x14ac:dyDescent="0.25">
      <c r="I6774" s="11" t="b">
        <f t="shared" si="334"/>
        <v>0</v>
      </c>
      <c r="M6774" s="17" t="str">
        <f t="shared" si="332"/>
        <v/>
      </c>
      <c r="N6774" s="11" t="str">
        <f t="shared" si="333"/>
        <v/>
      </c>
    </row>
    <row r="6775" spans="9:14" x14ac:dyDescent="0.25">
      <c r="I6775" s="11" t="b">
        <f t="shared" si="334"/>
        <v>0</v>
      </c>
      <c r="M6775" s="17" t="str">
        <f t="shared" si="332"/>
        <v/>
      </c>
      <c r="N6775" s="11" t="str">
        <f t="shared" si="333"/>
        <v/>
      </c>
    </row>
    <row r="6776" spans="9:14" x14ac:dyDescent="0.25">
      <c r="I6776" s="11" t="b">
        <f t="shared" si="334"/>
        <v>0</v>
      </c>
      <c r="M6776" s="17" t="str">
        <f t="shared" si="332"/>
        <v/>
      </c>
      <c r="N6776" s="11" t="str">
        <f t="shared" si="333"/>
        <v/>
      </c>
    </row>
    <row r="6777" spans="9:14" x14ac:dyDescent="0.25">
      <c r="I6777" s="11" t="b">
        <f t="shared" si="334"/>
        <v>0</v>
      </c>
      <c r="M6777" s="17" t="str">
        <f t="shared" si="332"/>
        <v/>
      </c>
      <c r="N6777" s="11" t="str">
        <f t="shared" si="333"/>
        <v/>
      </c>
    </row>
    <row r="6778" spans="9:14" x14ac:dyDescent="0.25">
      <c r="I6778" s="11" t="b">
        <f t="shared" si="334"/>
        <v>0</v>
      </c>
      <c r="M6778" s="17" t="str">
        <f t="shared" si="332"/>
        <v/>
      </c>
      <c r="N6778" s="11" t="str">
        <f t="shared" si="333"/>
        <v/>
      </c>
    </row>
    <row r="6779" spans="9:14" x14ac:dyDescent="0.25">
      <c r="I6779" s="11" t="b">
        <f t="shared" si="334"/>
        <v>0</v>
      </c>
      <c r="M6779" s="17" t="str">
        <f t="shared" si="332"/>
        <v/>
      </c>
      <c r="N6779" s="11" t="str">
        <f t="shared" si="333"/>
        <v/>
      </c>
    </row>
    <row r="6780" spans="9:14" x14ac:dyDescent="0.25">
      <c r="I6780" s="11" t="b">
        <f t="shared" si="334"/>
        <v>0</v>
      </c>
      <c r="M6780" s="17" t="str">
        <f t="shared" si="332"/>
        <v/>
      </c>
      <c r="N6780" s="11" t="str">
        <f t="shared" si="333"/>
        <v/>
      </c>
    </row>
    <row r="6781" spans="9:14" x14ac:dyDescent="0.25">
      <c r="I6781" s="11" t="b">
        <f t="shared" si="334"/>
        <v>0</v>
      </c>
      <c r="M6781" s="17" t="str">
        <f t="shared" si="332"/>
        <v/>
      </c>
      <c r="N6781" s="11" t="str">
        <f t="shared" si="333"/>
        <v/>
      </c>
    </row>
    <row r="6782" spans="9:14" x14ac:dyDescent="0.25">
      <c r="I6782" s="11" t="b">
        <f t="shared" si="334"/>
        <v>0</v>
      </c>
      <c r="M6782" s="17" t="str">
        <f t="shared" si="332"/>
        <v/>
      </c>
      <c r="N6782" s="11" t="str">
        <f t="shared" si="333"/>
        <v/>
      </c>
    </row>
    <row r="6783" spans="9:14" x14ac:dyDescent="0.25">
      <c r="I6783" s="11" t="b">
        <f t="shared" si="334"/>
        <v>0</v>
      </c>
      <c r="M6783" s="17" t="str">
        <f t="shared" si="332"/>
        <v/>
      </c>
      <c r="N6783" s="11" t="str">
        <f t="shared" si="333"/>
        <v/>
      </c>
    </row>
    <row r="6784" spans="9:14" x14ac:dyDescent="0.25">
      <c r="I6784" s="11" t="b">
        <f t="shared" si="334"/>
        <v>0</v>
      </c>
      <c r="M6784" s="17" t="str">
        <f t="shared" si="332"/>
        <v/>
      </c>
      <c r="N6784" s="11" t="str">
        <f t="shared" si="333"/>
        <v/>
      </c>
    </row>
    <row r="6785" spans="9:14" x14ac:dyDescent="0.25">
      <c r="I6785" s="11" t="b">
        <f t="shared" si="334"/>
        <v>0</v>
      </c>
      <c r="M6785" s="17" t="str">
        <f t="shared" ref="M6785:M6848" si="335">IF(B6785=0, "",M6784+ J6785-K6785)</f>
        <v/>
      </c>
      <c r="N6785" s="11" t="str">
        <f t="shared" ref="N6785:N6848" si="336">IF(B6785=0, "", MONTH(B6785))</f>
        <v/>
      </c>
    </row>
    <row r="6786" spans="9:14" x14ac:dyDescent="0.25">
      <c r="I6786" s="11" t="b">
        <f t="shared" si="334"/>
        <v>0</v>
      </c>
      <c r="M6786" s="17" t="str">
        <f t="shared" si="335"/>
        <v/>
      </c>
      <c r="N6786" s="11" t="str">
        <f t="shared" si="336"/>
        <v/>
      </c>
    </row>
    <row r="6787" spans="9:14" x14ac:dyDescent="0.25">
      <c r="I6787" s="11" t="b">
        <f t="shared" si="334"/>
        <v>0</v>
      </c>
      <c r="M6787" s="17" t="str">
        <f t="shared" si="335"/>
        <v/>
      </c>
      <c r="N6787" s="11" t="str">
        <f t="shared" si="336"/>
        <v/>
      </c>
    </row>
    <row r="6788" spans="9:14" x14ac:dyDescent="0.25">
      <c r="I6788" s="11" t="b">
        <f t="shared" si="334"/>
        <v>0</v>
      </c>
      <c r="M6788" s="17" t="str">
        <f t="shared" si="335"/>
        <v/>
      </c>
      <c r="N6788" s="11" t="str">
        <f t="shared" si="336"/>
        <v/>
      </c>
    </row>
    <row r="6789" spans="9:14" x14ac:dyDescent="0.25">
      <c r="I6789" s="11" t="b">
        <f t="shared" si="334"/>
        <v>0</v>
      </c>
      <c r="M6789" s="17" t="str">
        <f t="shared" si="335"/>
        <v/>
      </c>
      <c r="N6789" s="11" t="str">
        <f t="shared" si="336"/>
        <v/>
      </c>
    </row>
    <row r="6790" spans="9:14" x14ac:dyDescent="0.25">
      <c r="I6790" s="11" t="b">
        <f t="shared" si="334"/>
        <v>0</v>
      </c>
      <c r="M6790" s="17" t="str">
        <f t="shared" si="335"/>
        <v/>
      </c>
      <c r="N6790" s="11" t="str">
        <f t="shared" si="336"/>
        <v/>
      </c>
    </row>
    <row r="6791" spans="9:14" x14ac:dyDescent="0.25">
      <c r="I6791" s="11" t="b">
        <f t="shared" si="334"/>
        <v>0</v>
      </c>
      <c r="M6791" s="17" t="str">
        <f t="shared" si="335"/>
        <v/>
      </c>
      <c r="N6791" s="11" t="str">
        <f t="shared" si="336"/>
        <v/>
      </c>
    </row>
    <row r="6792" spans="9:14" x14ac:dyDescent="0.25">
      <c r="I6792" s="11" t="b">
        <f t="shared" si="334"/>
        <v>0</v>
      </c>
      <c r="M6792" s="17" t="str">
        <f t="shared" si="335"/>
        <v/>
      </c>
      <c r="N6792" s="11" t="str">
        <f t="shared" si="336"/>
        <v/>
      </c>
    </row>
    <row r="6793" spans="9:14" x14ac:dyDescent="0.25">
      <c r="I6793" s="11" t="b">
        <f t="shared" si="334"/>
        <v>0</v>
      </c>
      <c r="M6793" s="17" t="str">
        <f t="shared" si="335"/>
        <v/>
      </c>
      <c r="N6793" s="11" t="str">
        <f t="shared" si="336"/>
        <v/>
      </c>
    </row>
    <row r="6794" spans="9:14" x14ac:dyDescent="0.25">
      <c r="I6794" s="11" t="b">
        <f t="shared" si="334"/>
        <v>0</v>
      </c>
      <c r="M6794" s="17" t="str">
        <f t="shared" si="335"/>
        <v/>
      </c>
      <c r="N6794" s="11" t="str">
        <f t="shared" si="336"/>
        <v/>
      </c>
    </row>
    <row r="6795" spans="9:14" x14ac:dyDescent="0.25">
      <c r="I6795" s="11" t="b">
        <f t="shared" si="334"/>
        <v>0</v>
      </c>
      <c r="M6795" s="17" t="str">
        <f t="shared" si="335"/>
        <v/>
      </c>
      <c r="N6795" s="11" t="str">
        <f t="shared" si="336"/>
        <v/>
      </c>
    </row>
    <row r="6796" spans="9:14" x14ac:dyDescent="0.25">
      <c r="I6796" s="11" t="b">
        <f t="shared" si="334"/>
        <v>0</v>
      </c>
      <c r="M6796" s="17" t="str">
        <f t="shared" si="335"/>
        <v/>
      </c>
      <c r="N6796" s="11" t="str">
        <f t="shared" si="336"/>
        <v/>
      </c>
    </row>
    <row r="6797" spans="9:14" x14ac:dyDescent="0.25">
      <c r="I6797" s="11" t="b">
        <f t="shared" si="334"/>
        <v>0</v>
      </c>
      <c r="M6797" s="17" t="str">
        <f t="shared" si="335"/>
        <v/>
      </c>
      <c r="N6797" s="11" t="str">
        <f t="shared" si="336"/>
        <v/>
      </c>
    </row>
    <row r="6798" spans="9:14" x14ac:dyDescent="0.25">
      <c r="I6798" s="11" t="b">
        <f t="shared" si="334"/>
        <v>0</v>
      </c>
      <c r="M6798" s="17" t="str">
        <f t="shared" si="335"/>
        <v/>
      </c>
      <c r="N6798" s="11" t="str">
        <f t="shared" si="336"/>
        <v/>
      </c>
    </row>
    <row r="6799" spans="9:14" x14ac:dyDescent="0.25">
      <c r="I6799" s="11" t="b">
        <f t="shared" si="334"/>
        <v>0</v>
      </c>
      <c r="M6799" s="17" t="str">
        <f t="shared" si="335"/>
        <v/>
      </c>
      <c r="N6799" s="11" t="str">
        <f t="shared" si="336"/>
        <v/>
      </c>
    </row>
    <row r="6800" spans="9:14" x14ac:dyDescent="0.25">
      <c r="I6800" s="11" t="b">
        <f t="shared" si="334"/>
        <v>0</v>
      </c>
      <c r="M6800" s="17" t="str">
        <f t="shared" si="335"/>
        <v/>
      </c>
      <c r="N6800" s="11" t="str">
        <f t="shared" si="336"/>
        <v/>
      </c>
    </row>
    <row r="6801" spans="9:14" x14ac:dyDescent="0.25">
      <c r="I6801" s="11" t="b">
        <f t="shared" si="334"/>
        <v>0</v>
      </c>
      <c r="M6801" s="17" t="str">
        <f t="shared" si="335"/>
        <v/>
      </c>
      <c r="N6801" s="11" t="str">
        <f t="shared" si="336"/>
        <v/>
      </c>
    </row>
    <row r="6802" spans="9:14" x14ac:dyDescent="0.25">
      <c r="I6802" s="11" t="b">
        <f t="shared" si="334"/>
        <v>0</v>
      </c>
      <c r="M6802" s="17" t="str">
        <f t="shared" si="335"/>
        <v/>
      </c>
      <c r="N6802" s="11" t="str">
        <f t="shared" si="336"/>
        <v/>
      </c>
    </row>
    <row r="6803" spans="9:14" x14ac:dyDescent="0.25">
      <c r="I6803" s="11" t="b">
        <f t="shared" si="334"/>
        <v>0</v>
      </c>
      <c r="M6803" s="17" t="str">
        <f t="shared" si="335"/>
        <v/>
      </c>
      <c r="N6803" s="11" t="str">
        <f t="shared" si="336"/>
        <v/>
      </c>
    </row>
    <row r="6804" spans="9:14" x14ac:dyDescent="0.25">
      <c r="I6804" s="11" t="b">
        <f t="shared" si="334"/>
        <v>0</v>
      </c>
      <c r="M6804" s="17" t="str">
        <f t="shared" si="335"/>
        <v/>
      </c>
      <c r="N6804" s="11" t="str">
        <f t="shared" si="336"/>
        <v/>
      </c>
    </row>
    <row r="6805" spans="9:14" x14ac:dyDescent="0.25">
      <c r="I6805" s="11" t="b">
        <f t="shared" si="334"/>
        <v>0</v>
      </c>
      <c r="M6805" s="17" t="str">
        <f t="shared" si="335"/>
        <v/>
      </c>
      <c r="N6805" s="11" t="str">
        <f t="shared" si="336"/>
        <v/>
      </c>
    </row>
    <row r="6806" spans="9:14" x14ac:dyDescent="0.25">
      <c r="I6806" s="11" t="b">
        <f t="shared" si="334"/>
        <v>0</v>
      </c>
      <c r="M6806" s="17" t="str">
        <f t="shared" si="335"/>
        <v/>
      </c>
      <c r="N6806" s="11" t="str">
        <f t="shared" si="336"/>
        <v/>
      </c>
    </row>
    <row r="6807" spans="9:14" x14ac:dyDescent="0.25">
      <c r="I6807" s="11" t="b">
        <f t="shared" si="334"/>
        <v>0</v>
      </c>
      <c r="M6807" s="17" t="str">
        <f t="shared" si="335"/>
        <v/>
      </c>
      <c r="N6807" s="11" t="str">
        <f t="shared" si="336"/>
        <v/>
      </c>
    </row>
    <row r="6808" spans="9:14" x14ac:dyDescent="0.25">
      <c r="I6808" s="11" t="b">
        <f t="shared" si="334"/>
        <v>0</v>
      </c>
      <c r="M6808" s="17" t="str">
        <f t="shared" si="335"/>
        <v/>
      </c>
      <c r="N6808" s="11" t="str">
        <f t="shared" si="336"/>
        <v/>
      </c>
    </row>
    <row r="6809" spans="9:14" x14ac:dyDescent="0.25">
      <c r="I6809" s="11" t="b">
        <f t="shared" si="334"/>
        <v>0</v>
      </c>
      <c r="M6809" s="17" t="str">
        <f t="shared" si="335"/>
        <v/>
      </c>
      <c r="N6809" s="11" t="str">
        <f t="shared" si="336"/>
        <v/>
      </c>
    </row>
    <row r="6810" spans="9:14" x14ac:dyDescent="0.25">
      <c r="I6810" s="11" t="b">
        <f t="shared" si="334"/>
        <v>0</v>
      </c>
      <c r="M6810" s="17" t="str">
        <f t="shared" si="335"/>
        <v/>
      </c>
      <c r="N6810" s="11" t="str">
        <f t="shared" si="336"/>
        <v/>
      </c>
    </row>
    <row r="6811" spans="9:14" x14ac:dyDescent="0.25">
      <c r="I6811" s="11" t="b">
        <f t="shared" si="334"/>
        <v>0</v>
      </c>
      <c r="M6811" s="17" t="str">
        <f t="shared" si="335"/>
        <v/>
      </c>
      <c r="N6811" s="11" t="str">
        <f t="shared" si="336"/>
        <v/>
      </c>
    </row>
    <row r="6812" spans="9:14" x14ac:dyDescent="0.25">
      <c r="I6812" s="11" t="b">
        <f t="shared" si="334"/>
        <v>0</v>
      </c>
      <c r="M6812" s="17" t="str">
        <f t="shared" si="335"/>
        <v/>
      </c>
      <c r="N6812" s="11" t="str">
        <f t="shared" si="336"/>
        <v/>
      </c>
    </row>
    <row r="6813" spans="9:14" x14ac:dyDescent="0.25">
      <c r="I6813" s="11" t="b">
        <f t="shared" ref="I6813:I6876" si="337">IF(AND(G6813="MERCADO PAGO",A6813="FATURAMENTO"),1,IF(AND(OR(G6813="MERCADO PAGO",G6813="pix mercado pago",G6813= "débito automático mercado pago", G6813= "boleto mercado pago"),A6813="DESPESAS"),4,IF(AND(G6813="SAFRA",A6813="FATURAMENTO"),2,IF(AND(OR(G6813="SAFRA",G6813="PIX SAFRA", G6813="DÉBITO AUTOMÁTICO SAFRA", G6813= "BOLETO SAFRA", G6813= "transferência safra"), A6813="DESPESAS"),5,IF(AND(G6813="espécie",A6813="FATURAMENTO"),3,IF(AND(G6813="espécie",A6813="DESPESAS"),6))))))</f>
        <v>0</v>
      </c>
      <c r="M6813" s="17" t="str">
        <f t="shared" si="335"/>
        <v/>
      </c>
      <c r="N6813" s="11" t="str">
        <f t="shared" si="336"/>
        <v/>
      </c>
    </row>
    <row r="6814" spans="9:14" x14ac:dyDescent="0.25">
      <c r="I6814" s="11" t="b">
        <f t="shared" si="337"/>
        <v>0</v>
      </c>
      <c r="M6814" s="17" t="str">
        <f t="shared" si="335"/>
        <v/>
      </c>
      <c r="N6814" s="11" t="str">
        <f t="shared" si="336"/>
        <v/>
      </c>
    </row>
    <row r="6815" spans="9:14" x14ac:dyDescent="0.25">
      <c r="I6815" s="11" t="b">
        <f t="shared" si="337"/>
        <v>0</v>
      </c>
      <c r="M6815" s="17" t="str">
        <f t="shared" si="335"/>
        <v/>
      </c>
      <c r="N6815" s="11" t="str">
        <f t="shared" si="336"/>
        <v/>
      </c>
    </row>
    <row r="6816" spans="9:14" x14ac:dyDescent="0.25">
      <c r="I6816" s="11" t="b">
        <f t="shared" si="337"/>
        <v>0</v>
      </c>
      <c r="M6816" s="17" t="str">
        <f t="shared" si="335"/>
        <v/>
      </c>
      <c r="N6816" s="11" t="str">
        <f t="shared" si="336"/>
        <v/>
      </c>
    </row>
    <row r="6817" spans="9:14" x14ac:dyDescent="0.25">
      <c r="I6817" s="11" t="b">
        <f t="shared" si="337"/>
        <v>0</v>
      </c>
      <c r="M6817" s="17" t="str">
        <f t="shared" si="335"/>
        <v/>
      </c>
      <c r="N6817" s="11" t="str">
        <f t="shared" si="336"/>
        <v/>
      </c>
    </row>
    <row r="6818" spans="9:14" x14ac:dyDescent="0.25">
      <c r="I6818" s="11" t="b">
        <f t="shared" si="337"/>
        <v>0</v>
      </c>
      <c r="M6818" s="17" t="str">
        <f t="shared" si="335"/>
        <v/>
      </c>
      <c r="N6818" s="11" t="str">
        <f t="shared" si="336"/>
        <v/>
      </c>
    </row>
    <row r="6819" spans="9:14" x14ac:dyDescent="0.25">
      <c r="I6819" s="11" t="b">
        <f t="shared" si="337"/>
        <v>0</v>
      </c>
      <c r="M6819" s="17" t="str">
        <f t="shared" si="335"/>
        <v/>
      </c>
      <c r="N6819" s="11" t="str">
        <f t="shared" si="336"/>
        <v/>
      </c>
    </row>
    <row r="6820" spans="9:14" x14ac:dyDescent="0.25">
      <c r="I6820" s="11" t="b">
        <f t="shared" si="337"/>
        <v>0</v>
      </c>
      <c r="M6820" s="17" t="str">
        <f t="shared" si="335"/>
        <v/>
      </c>
      <c r="N6820" s="11" t="str">
        <f t="shared" si="336"/>
        <v/>
      </c>
    </row>
    <row r="6821" spans="9:14" x14ac:dyDescent="0.25">
      <c r="I6821" s="11" t="b">
        <f t="shared" si="337"/>
        <v>0</v>
      </c>
      <c r="M6821" s="17" t="str">
        <f t="shared" si="335"/>
        <v/>
      </c>
      <c r="N6821" s="11" t="str">
        <f t="shared" si="336"/>
        <v/>
      </c>
    </row>
    <row r="6822" spans="9:14" x14ac:dyDescent="0.25">
      <c r="I6822" s="11" t="b">
        <f t="shared" si="337"/>
        <v>0</v>
      </c>
      <c r="M6822" s="17" t="str">
        <f t="shared" si="335"/>
        <v/>
      </c>
      <c r="N6822" s="11" t="str">
        <f t="shared" si="336"/>
        <v/>
      </c>
    </row>
    <row r="6823" spans="9:14" x14ac:dyDescent="0.25">
      <c r="I6823" s="11" t="b">
        <f t="shared" si="337"/>
        <v>0</v>
      </c>
      <c r="M6823" s="17" t="str">
        <f t="shared" si="335"/>
        <v/>
      </c>
      <c r="N6823" s="11" t="str">
        <f t="shared" si="336"/>
        <v/>
      </c>
    </row>
    <row r="6824" spans="9:14" x14ac:dyDescent="0.25">
      <c r="I6824" s="11" t="b">
        <f t="shared" si="337"/>
        <v>0</v>
      </c>
      <c r="M6824" s="17" t="str">
        <f t="shared" si="335"/>
        <v/>
      </c>
      <c r="N6824" s="11" t="str">
        <f t="shared" si="336"/>
        <v/>
      </c>
    </row>
    <row r="6825" spans="9:14" x14ac:dyDescent="0.25">
      <c r="I6825" s="11" t="b">
        <f t="shared" si="337"/>
        <v>0</v>
      </c>
      <c r="M6825" s="17" t="str">
        <f t="shared" si="335"/>
        <v/>
      </c>
      <c r="N6825" s="11" t="str">
        <f t="shared" si="336"/>
        <v/>
      </c>
    </row>
    <row r="6826" spans="9:14" x14ac:dyDescent="0.25">
      <c r="I6826" s="11" t="b">
        <f t="shared" si="337"/>
        <v>0</v>
      </c>
      <c r="M6826" s="17" t="str">
        <f t="shared" si="335"/>
        <v/>
      </c>
      <c r="N6826" s="11" t="str">
        <f t="shared" si="336"/>
        <v/>
      </c>
    </row>
    <row r="6827" spans="9:14" x14ac:dyDescent="0.25">
      <c r="I6827" s="11" t="b">
        <f t="shared" si="337"/>
        <v>0</v>
      </c>
      <c r="M6827" s="17" t="str">
        <f t="shared" si="335"/>
        <v/>
      </c>
      <c r="N6827" s="11" t="str">
        <f t="shared" si="336"/>
        <v/>
      </c>
    </row>
    <row r="6828" spans="9:14" x14ac:dyDescent="0.25">
      <c r="I6828" s="11" t="b">
        <f t="shared" si="337"/>
        <v>0</v>
      </c>
      <c r="M6828" s="17" t="str">
        <f t="shared" si="335"/>
        <v/>
      </c>
      <c r="N6828" s="11" t="str">
        <f t="shared" si="336"/>
        <v/>
      </c>
    </row>
    <row r="6829" spans="9:14" x14ac:dyDescent="0.25">
      <c r="I6829" s="11" t="b">
        <f t="shared" si="337"/>
        <v>0</v>
      </c>
      <c r="M6829" s="17" t="str">
        <f t="shared" si="335"/>
        <v/>
      </c>
      <c r="N6829" s="11" t="str">
        <f t="shared" si="336"/>
        <v/>
      </c>
    </row>
    <row r="6830" spans="9:14" x14ac:dyDescent="0.25">
      <c r="I6830" s="11" t="b">
        <f t="shared" si="337"/>
        <v>0</v>
      </c>
      <c r="M6830" s="17" t="str">
        <f t="shared" si="335"/>
        <v/>
      </c>
      <c r="N6830" s="11" t="str">
        <f t="shared" si="336"/>
        <v/>
      </c>
    </row>
    <row r="6831" spans="9:14" x14ac:dyDescent="0.25">
      <c r="I6831" s="11" t="b">
        <f t="shared" si="337"/>
        <v>0</v>
      </c>
      <c r="M6831" s="17" t="str">
        <f t="shared" si="335"/>
        <v/>
      </c>
      <c r="N6831" s="11" t="str">
        <f t="shared" si="336"/>
        <v/>
      </c>
    </row>
    <row r="6832" spans="9:14" x14ac:dyDescent="0.25">
      <c r="I6832" s="11" t="b">
        <f t="shared" si="337"/>
        <v>0</v>
      </c>
      <c r="M6832" s="17" t="str">
        <f t="shared" si="335"/>
        <v/>
      </c>
      <c r="N6832" s="11" t="str">
        <f t="shared" si="336"/>
        <v/>
      </c>
    </row>
    <row r="6833" spans="9:14" x14ac:dyDescent="0.25">
      <c r="I6833" s="11" t="b">
        <f t="shared" si="337"/>
        <v>0</v>
      </c>
      <c r="M6833" s="17" t="str">
        <f t="shared" si="335"/>
        <v/>
      </c>
      <c r="N6833" s="11" t="str">
        <f t="shared" si="336"/>
        <v/>
      </c>
    </row>
    <row r="6834" spans="9:14" x14ac:dyDescent="0.25">
      <c r="I6834" s="11" t="b">
        <f t="shared" si="337"/>
        <v>0</v>
      </c>
      <c r="M6834" s="17" t="str">
        <f t="shared" si="335"/>
        <v/>
      </c>
      <c r="N6834" s="11" t="str">
        <f t="shared" si="336"/>
        <v/>
      </c>
    </row>
    <row r="6835" spans="9:14" x14ac:dyDescent="0.25">
      <c r="I6835" s="11" t="b">
        <f t="shared" si="337"/>
        <v>0</v>
      </c>
      <c r="M6835" s="17" t="str">
        <f t="shared" si="335"/>
        <v/>
      </c>
      <c r="N6835" s="11" t="str">
        <f t="shared" si="336"/>
        <v/>
      </c>
    </row>
    <row r="6836" spans="9:14" x14ac:dyDescent="0.25">
      <c r="I6836" s="11" t="b">
        <f t="shared" si="337"/>
        <v>0</v>
      </c>
      <c r="M6836" s="17" t="str">
        <f t="shared" si="335"/>
        <v/>
      </c>
      <c r="N6836" s="11" t="str">
        <f t="shared" si="336"/>
        <v/>
      </c>
    </row>
    <row r="6837" spans="9:14" x14ac:dyDescent="0.25">
      <c r="I6837" s="11" t="b">
        <f t="shared" si="337"/>
        <v>0</v>
      </c>
      <c r="M6837" s="17" t="str">
        <f t="shared" si="335"/>
        <v/>
      </c>
      <c r="N6837" s="11" t="str">
        <f t="shared" si="336"/>
        <v/>
      </c>
    </row>
    <row r="6838" spans="9:14" x14ac:dyDescent="0.25">
      <c r="I6838" s="11" t="b">
        <f t="shared" si="337"/>
        <v>0</v>
      </c>
      <c r="M6838" s="17" t="str">
        <f t="shared" si="335"/>
        <v/>
      </c>
      <c r="N6838" s="11" t="str">
        <f t="shared" si="336"/>
        <v/>
      </c>
    </row>
    <row r="6839" spans="9:14" x14ac:dyDescent="0.25">
      <c r="I6839" s="11" t="b">
        <f t="shared" si="337"/>
        <v>0</v>
      </c>
      <c r="M6839" s="17" t="str">
        <f t="shared" si="335"/>
        <v/>
      </c>
      <c r="N6839" s="11" t="str">
        <f t="shared" si="336"/>
        <v/>
      </c>
    </row>
    <row r="6840" spans="9:14" x14ac:dyDescent="0.25">
      <c r="I6840" s="11" t="b">
        <f t="shared" si="337"/>
        <v>0</v>
      </c>
      <c r="M6840" s="17" t="str">
        <f t="shared" si="335"/>
        <v/>
      </c>
      <c r="N6840" s="11" t="str">
        <f t="shared" si="336"/>
        <v/>
      </c>
    </row>
    <row r="6841" spans="9:14" x14ac:dyDescent="0.25">
      <c r="I6841" s="11" t="b">
        <f t="shared" si="337"/>
        <v>0</v>
      </c>
      <c r="M6841" s="17" t="str">
        <f t="shared" si="335"/>
        <v/>
      </c>
      <c r="N6841" s="11" t="str">
        <f t="shared" si="336"/>
        <v/>
      </c>
    </row>
    <row r="6842" spans="9:14" x14ac:dyDescent="0.25">
      <c r="I6842" s="11" t="b">
        <f t="shared" si="337"/>
        <v>0</v>
      </c>
      <c r="M6842" s="17" t="str">
        <f t="shared" si="335"/>
        <v/>
      </c>
      <c r="N6842" s="11" t="str">
        <f t="shared" si="336"/>
        <v/>
      </c>
    </row>
    <row r="6843" spans="9:14" x14ac:dyDescent="0.25">
      <c r="I6843" s="11" t="b">
        <f t="shared" si="337"/>
        <v>0</v>
      </c>
      <c r="M6843" s="17" t="str">
        <f t="shared" si="335"/>
        <v/>
      </c>
      <c r="N6843" s="11" t="str">
        <f t="shared" si="336"/>
        <v/>
      </c>
    </row>
    <row r="6844" spans="9:14" x14ac:dyDescent="0.25">
      <c r="I6844" s="11" t="b">
        <f t="shared" si="337"/>
        <v>0</v>
      </c>
      <c r="M6844" s="17" t="str">
        <f t="shared" si="335"/>
        <v/>
      </c>
      <c r="N6844" s="11" t="str">
        <f t="shared" si="336"/>
        <v/>
      </c>
    </row>
    <row r="6845" spans="9:14" x14ac:dyDescent="0.25">
      <c r="I6845" s="11" t="b">
        <f t="shared" si="337"/>
        <v>0</v>
      </c>
      <c r="M6845" s="17" t="str">
        <f t="shared" si="335"/>
        <v/>
      </c>
      <c r="N6845" s="11" t="str">
        <f t="shared" si="336"/>
        <v/>
      </c>
    </row>
    <row r="6846" spans="9:14" x14ac:dyDescent="0.25">
      <c r="I6846" s="11" t="b">
        <f t="shared" si="337"/>
        <v>0</v>
      </c>
      <c r="M6846" s="17" t="str">
        <f t="shared" si="335"/>
        <v/>
      </c>
      <c r="N6846" s="11" t="str">
        <f t="shared" si="336"/>
        <v/>
      </c>
    </row>
    <row r="6847" spans="9:14" x14ac:dyDescent="0.25">
      <c r="I6847" s="11" t="b">
        <f t="shared" si="337"/>
        <v>0</v>
      </c>
      <c r="M6847" s="17" t="str">
        <f t="shared" si="335"/>
        <v/>
      </c>
      <c r="N6847" s="11" t="str">
        <f t="shared" si="336"/>
        <v/>
      </c>
    </row>
    <row r="6848" spans="9:14" x14ac:dyDescent="0.25">
      <c r="I6848" s="11" t="b">
        <f t="shared" si="337"/>
        <v>0</v>
      </c>
      <c r="M6848" s="17" t="str">
        <f t="shared" si="335"/>
        <v/>
      </c>
      <c r="N6848" s="11" t="str">
        <f t="shared" si="336"/>
        <v/>
      </c>
    </row>
    <row r="6849" spans="9:14" x14ac:dyDescent="0.25">
      <c r="I6849" s="11" t="b">
        <f t="shared" si="337"/>
        <v>0</v>
      </c>
      <c r="M6849" s="17" t="str">
        <f t="shared" ref="M6849:M6912" si="338">IF(B6849=0, "",M6848+ J6849-K6849)</f>
        <v/>
      </c>
      <c r="N6849" s="11" t="str">
        <f t="shared" ref="N6849:N6912" si="339">IF(B6849=0, "", MONTH(B6849))</f>
        <v/>
      </c>
    </row>
    <row r="6850" spans="9:14" x14ac:dyDescent="0.25">
      <c r="I6850" s="11" t="b">
        <f t="shared" si="337"/>
        <v>0</v>
      </c>
      <c r="M6850" s="17" t="str">
        <f t="shared" si="338"/>
        <v/>
      </c>
      <c r="N6850" s="11" t="str">
        <f t="shared" si="339"/>
        <v/>
      </c>
    </row>
    <row r="6851" spans="9:14" x14ac:dyDescent="0.25">
      <c r="I6851" s="11" t="b">
        <f t="shared" si="337"/>
        <v>0</v>
      </c>
      <c r="M6851" s="17" t="str">
        <f t="shared" si="338"/>
        <v/>
      </c>
      <c r="N6851" s="11" t="str">
        <f t="shared" si="339"/>
        <v/>
      </c>
    </row>
    <row r="6852" spans="9:14" x14ac:dyDescent="0.25">
      <c r="I6852" s="11" t="b">
        <f t="shared" si="337"/>
        <v>0</v>
      </c>
      <c r="M6852" s="17" t="str">
        <f t="shared" si="338"/>
        <v/>
      </c>
      <c r="N6852" s="11" t="str">
        <f t="shared" si="339"/>
        <v/>
      </c>
    </row>
    <row r="6853" spans="9:14" x14ac:dyDescent="0.25">
      <c r="I6853" s="11" t="b">
        <f t="shared" si="337"/>
        <v>0</v>
      </c>
      <c r="M6853" s="17" t="str">
        <f t="shared" si="338"/>
        <v/>
      </c>
      <c r="N6853" s="11" t="str">
        <f t="shared" si="339"/>
        <v/>
      </c>
    </row>
    <row r="6854" spans="9:14" x14ac:dyDescent="0.25">
      <c r="I6854" s="11" t="b">
        <f t="shared" si="337"/>
        <v>0</v>
      </c>
      <c r="M6854" s="17" t="str">
        <f t="shared" si="338"/>
        <v/>
      </c>
      <c r="N6854" s="11" t="str">
        <f t="shared" si="339"/>
        <v/>
      </c>
    </row>
    <row r="6855" spans="9:14" x14ac:dyDescent="0.25">
      <c r="I6855" s="11" t="b">
        <f t="shared" si="337"/>
        <v>0</v>
      </c>
      <c r="M6855" s="17" t="str">
        <f t="shared" si="338"/>
        <v/>
      </c>
      <c r="N6855" s="11" t="str">
        <f t="shared" si="339"/>
        <v/>
      </c>
    </row>
    <row r="6856" spans="9:14" x14ac:dyDescent="0.25">
      <c r="I6856" s="11" t="b">
        <f t="shared" si="337"/>
        <v>0</v>
      </c>
      <c r="M6856" s="17" t="str">
        <f t="shared" si="338"/>
        <v/>
      </c>
      <c r="N6856" s="11" t="str">
        <f t="shared" si="339"/>
        <v/>
      </c>
    </row>
    <row r="6857" spans="9:14" x14ac:dyDescent="0.25">
      <c r="I6857" s="11" t="b">
        <f t="shared" si="337"/>
        <v>0</v>
      </c>
      <c r="M6857" s="17" t="str">
        <f t="shared" si="338"/>
        <v/>
      </c>
      <c r="N6857" s="11" t="str">
        <f t="shared" si="339"/>
        <v/>
      </c>
    </row>
    <row r="6858" spans="9:14" x14ac:dyDescent="0.25">
      <c r="I6858" s="11" t="b">
        <f t="shared" si="337"/>
        <v>0</v>
      </c>
      <c r="M6858" s="17" t="str">
        <f t="shared" si="338"/>
        <v/>
      </c>
      <c r="N6858" s="11" t="str">
        <f t="shared" si="339"/>
        <v/>
      </c>
    </row>
    <row r="6859" spans="9:14" x14ac:dyDescent="0.25">
      <c r="I6859" s="11" t="b">
        <f t="shared" si="337"/>
        <v>0</v>
      </c>
      <c r="M6859" s="17" t="str">
        <f t="shared" si="338"/>
        <v/>
      </c>
      <c r="N6859" s="11" t="str">
        <f t="shared" si="339"/>
        <v/>
      </c>
    </row>
    <row r="6860" spans="9:14" x14ac:dyDescent="0.25">
      <c r="I6860" s="11" t="b">
        <f t="shared" si="337"/>
        <v>0</v>
      </c>
      <c r="M6860" s="17" t="str">
        <f t="shared" si="338"/>
        <v/>
      </c>
      <c r="N6860" s="11" t="str">
        <f t="shared" si="339"/>
        <v/>
      </c>
    </row>
    <row r="6861" spans="9:14" x14ac:dyDescent="0.25">
      <c r="I6861" s="11" t="b">
        <f t="shared" si="337"/>
        <v>0</v>
      </c>
      <c r="M6861" s="17" t="str">
        <f t="shared" si="338"/>
        <v/>
      </c>
      <c r="N6861" s="11" t="str">
        <f t="shared" si="339"/>
        <v/>
      </c>
    </row>
    <row r="6862" spans="9:14" x14ac:dyDescent="0.25">
      <c r="I6862" s="11" t="b">
        <f t="shared" si="337"/>
        <v>0</v>
      </c>
      <c r="M6862" s="17" t="str">
        <f t="shared" si="338"/>
        <v/>
      </c>
      <c r="N6862" s="11" t="str">
        <f t="shared" si="339"/>
        <v/>
      </c>
    </row>
    <row r="6863" spans="9:14" x14ac:dyDescent="0.25">
      <c r="I6863" s="11" t="b">
        <f t="shared" si="337"/>
        <v>0</v>
      </c>
      <c r="M6863" s="17" t="str">
        <f t="shared" si="338"/>
        <v/>
      </c>
      <c r="N6863" s="11" t="str">
        <f t="shared" si="339"/>
        <v/>
      </c>
    </row>
    <row r="6864" spans="9:14" x14ac:dyDescent="0.25">
      <c r="I6864" s="11" t="b">
        <f t="shared" si="337"/>
        <v>0</v>
      </c>
      <c r="M6864" s="17" t="str">
        <f t="shared" si="338"/>
        <v/>
      </c>
      <c r="N6864" s="11" t="str">
        <f t="shared" si="339"/>
        <v/>
      </c>
    </row>
    <row r="6865" spans="9:14" x14ac:dyDescent="0.25">
      <c r="I6865" s="11" t="b">
        <f t="shared" si="337"/>
        <v>0</v>
      </c>
      <c r="M6865" s="17" t="str">
        <f t="shared" si="338"/>
        <v/>
      </c>
      <c r="N6865" s="11" t="str">
        <f t="shared" si="339"/>
        <v/>
      </c>
    </row>
    <row r="6866" spans="9:14" x14ac:dyDescent="0.25">
      <c r="I6866" s="11" t="b">
        <f t="shared" si="337"/>
        <v>0</v>
      </c>
      <c r="M6866" s="17" t="str">
        <f t="shared" si="338"/>
        <v/>
      </c>
      <c r="N6866" s="11" t="str">
        <f t="shared" si="339"/>
        <v/>
      </c>
    </row>
    <row r="6867" spans="9:14" x14ac:dyDescent="0.25">
      <c r="I6867" s="11" t="b">
        <f t="shared" si="337"/>
        <v>0</v>
      </c>
      <c r="M6867" s="17" t="str">
        <f t="shared" si="338"/>
        <v/>
      </c>
      <c r="N6867" s="11" t="str">
        <f t="shared" si="339"/>
        <v/>
      </c>
    </row>
    <row r="6868" spans="9:14" x14ac:dyDescent="0.25">
      <c r="I6868" s="11" t="b">
        <f t="shared" si="337"/>
        <v>0</v>
      </c>
      <c r="M6868" s="17" t="str">
        <f t="shared" si="338"/>
        <v/>
      </c>
      <c r="N6868" s="11" t="str">
        <f t="shared" si="339"/>
        <v/>
      </c>
    </row>
    <row r="6869" spans="9:14" x14ac:dyDescent="0.25">
      <c r="I6869" s="11" t="b">
        <f t="shared" si="337"/>
        <v>0</v>
      </c>
      <c r="M6869" s="17" t="str">
        <f t="shared" si="338"/>
        <v/>
      </c>
      <c r="N6869" s="11" t="str">
        <f t="shared" si="339"/>
        <v/>
      </c>
    </row>
    <row r="6870" spans="9:14" x14ac:dyDescent="0.25">
      <c r="I6870" s="11" t="b">
        <f t="shared" si="337"/>
        <v>0</v>
      </c>
      <c r="M6870" s="17" t="str">
        <f t="shared" si="338"/>
        <v/>
      </c>
      <c r="N6870" s="11" t="str">
        <f t="shared" si="339"/>
        <v/>
      </c>
    </row>
    <row r="6871" spans="9:14" x14ac:dyDescent="0.25">
      <c r="I6871" s="11" t="b">
        <f t="shared" si="337"/>
        <v>0</v>
      </c>
      <c r="M6871" s="17" t="str">
        <f t="shared" si="338"/>
        <v/>
      </c>
      <c r="N6871" s="11" t="str">
        <f t="shared" si="339"/>
        <v/>
      </c>
    </row>
    <row r="6872" spans="9:14" x14ac:dyDescent="0.25">
      <c r="I6872" s="11" t="b">
        <f t="shared" si="337"/>
        <v>0</v>
      </c>
      <c r="M6872" s="17" t="str">
        <f t="shared" si="338"/>
        <v/>
      </c>
      <c r="N6872" s="11" t="str">
        <f t="shared" si="339"/>
        <v/>
      </c>
    </row>
    <row r="6873" spans="9:14" x14ac:dyDescent="0.25">
      <c r="I6873" s="11" t="b">
        <f t="shared" si="337"/>
        <v>0</v>
      </c>
      <c r="M6873" s="17" t="str">
        <f t="shared" si="338"/>
        <v/>
      </c>
      <c r="N6873" s="11" t="str">
        <f t="shared" si="339"/>
        <v/>
      </c>
    </row>
    <row r="6874" spans="9:14" x14ac:dyDescent="0.25">
      <c r="I6874" s="11" t="b">
        <f t="shared" si="337"/>
        <v>0</v>
      </c>
      <c r="M6874" s="17" t="str">
        <f t="shared" si="338"/>
        <v/>
      </c>
      <c r="N6874" s="11" t="str">
        <f t="shared" si="339"/>
        <v/>
      </c>
    </row>
    <row r="6875" spans="9:14" x14ac:dyDescent="0.25">
      <c r="I6875" s="11" t="b">
        <f t="shared" si="337"/>
        <v>0</v>
      </c>
      <c r="M6875" s="17" t="str">
        <f t="shared" si="338"/>
        <v/>
      </c>
      <c r="N6875" s="11" t="str">
        <f t="shared" si="339"/>
        <v/>
      </c>
    </row>
    <row r="6876" spans="9:14" x14ac:dyDescent="0.25">
      <c r="I6876" s="11" t="b">
        <f t="shared" si="337"/>
        <v>0</v>
      </c>
      <c r="M6876" s="17" t="str">
        <f t="shared" si="338"/>
        <v/>
      </c>
      <c r="N6876" s="11" t="str">
        <f t="shared" si="339"/>
        <v/>
      </c>
    </row>
    <row r="6877" spans="9:14" x14ac:dyDescent="0.25">
      <c r="I6877" s="11" t="b">
        <f t="shared" ref="I6877:I6940" si="340">IF(AND(G6877="MERCADO PAGO",A6877="FATURAMENTO"),1,IF(AND(OR(G6877="MERCADO PAGO",G6877="pix mercado pago",G6877= "débito automático mercado pago", G6877= "boleto mercado pago"),A6877="DESPESAS"),4,IF(AND(G6877="SAFRA",A6877="FATURAMENTO"),2,IF(AND(OR(G6877="SAFRA",G6877="PIX SAFRA", G6877="DÉBITO AUTOMÁTICO SAFRA", G6877= "BOLETO SAFRA", G6877= "transferência safra"), A6877="DESPESAS"),5,IF(AND(G6877="espécie",A6877="FATURAMENTO"),3,IF(AND(G6877="espécie",A6877="DESPESAS"),6))))))</f>
        <v>0</v>
      </c>
      <c r="M6877" s="17" t="str">
        <f t="shared" si="338"/>
        <v/>
      </c>
      <c r="N6877" s="11" t="str">
        <f t="shared" si="339"/>
        <v/>
      </c>
    </row>
    <row r="6878" spans="9:14" x14ac:dyDescent="0.25">
      <c r="I6878" s="11" t="b">
        <f t="shared" si="340"/>
        <v>0</v>
      </c>
      <c r="M6878" s="17" t="str">
        <f t="shared" si="338"/>
        <v/>
      </c>
      <c r="N6878" s="11" t="str">
        <f t="shared" si="339"/>
        <v/>
      </c>
    </row>
    <row r="6879" spans="9:14" x14ac:dyDescent="0.25">
      <c r="I6879" s="11" t="b">
        <f t="shared" si="340"/>
        <v>0</v>
      </c>
      <c r="M6879" s="17" t="str">
        <f t="shared" si="338"/>
        <v/>
      </c>
      <c r="N6879" s="11" t="str">
        <f t="shared" si="339"/>
        <v/>
      </c>
    </row>
    <row r="6880" spans="9:14" x14ac:dyDescent="0.25">
      <c r="I6880" s="11" t="b">
        <f t="shared" si="340"/>
        <v>0</v>
      </c>
      <c r="M6880" s="17" t="str">
        <f t="shared" si="338"/>
        <v/>
      </c>
      <c r="N6880" s="11" t="str">
        <f t="shared" si="339"/>
        <v/>
      </c>
    </row>
    <row r="6881" spans="9:14" x14ac:dyDescent="0.25">
      <c r="I6881" s="11" t="b">
        <f t="shared" si="340"/>
        <v>0</v>
      </c>
      <c r="M6881" s="17" t="str">
        <f t="shared" si="338"/>
        <v/>
      </c>
      <c r="N6881" s="11" t="str">
        <f t="shared" si="339"/>
        <v/>
      </c>
    </row>
    <row r="6882" spans="9:14" x14ac:dyDescent="0.25">
      <c r="I6882" s="11" t="b">
        <f t="shared" si="340"/>
        <v>0</v>
      </c>
      <c r="M6882" s="17" t="str">
        <f t="shared" si="338"/>
        <v/>
      </c>
      <c r="N6882" s="11" t="str">
        <f t="shared" si="339"/>
        <v/>
      </c>
    </row>
    <row r="6883" spans="9:14" x14ac:dyDescent="0.25">
      <c r="I6883" s="11" t="b">
        <f t="shared" si="340"/>
        <v>0</v>
      </c>
      <c r="M6883" s="17" t="str">
        <f t="shared" si="338"/>
        <v/>
      </c>
      <c r="N6883" s="11" t="str">
        <f t="shared" si="339"/>
        <v/>
      </c>
    </row>
    <row r="6884" spans="9:14" x14ac:dyDescent="0.25">
      <c r="I6884" s="11" t="b">
        <f t="shared" si="340"/>
        <v>0</v>
      </c>
      <c r="M6884" s="17" t="str">
        <f t="shared" si="338"/>
        <v/>
      </c>
      <c r="N6884" s="11" t="str">
        <f t="shared" si="339"/>
        <v/>
      </c>
    </row>
    <row r="6885" spans="9:14" x14ac:dyDescent="0.25">
      <c r="I6885" s="11" t="b">
        <f t="shared" si="340"/>
        <v>0</v>
      </c>
      <c r="M6885" s="17" t="str">
        <f t="shared" si="338"/>
        <v/>
      </c>
      <c r="N6885" s="11" t="str">
        <f t="shared" si="339"/>
        <v/>
      </c>
    </row>
    <row r="6886" spans="9:14" x14ac:dyDescent="0.25">
      <c r="I6886" s="11" t="b">
        <f t="shared" si="340"/>
        <v>0</v>
      </c>
      <c r="M6886" s="17" t="str">
        <f t="shared" si="338"/>
        <v/>
      </c>
      <c r="N6886" s="11" t="str">
        <f t="shared" si="339"/>
        <v/>
      </c>
    </row>
    <row r="6887" spans="9:14" x14ac:dyDescent="0.25">
      <c r="I6887" s="11" t="b">
        <f t="shared" si="340"/>
        <v>0</v>
      </c>
      <c r="M6887" s="17" t="str">
        <f t="shared" si="338"/>
        <v/>
      </c>
      <c r="N6887" s="11" t="str">
        <f t="shared" si="339"/>
        <v/>
      </c>
    </row>
    <row r="6888" spans="9:14" x14ac:dyDescent="0.25">
      <c r="I6888" s="11" t="b">
        <f t="shared" si="340"/>
        <v>0</v>
      </c>
      <c r="M6888" s="17" t="str">
        <f t="shared" si="338"/>
        <v/>
      </c>
      <c r="N6888" s="11" t="str">
        <f t="shared" si="339"/>
        <v/>
      </c>
    </row>
    <row r="6889" spans="9:14" x14ac:dyDescent="0.25">
      <c r="I6889" s="11" t="b">
        <f t="shared" si="340"/>
        <v>0</v>
      </c>
      <c r="M6889" s="17" t="str">
        <f t="shared" si="338"/>
        <v/>
      </c>
      <c r="N6889" s="11" t="str">
        <f t="shared" si="339"/>
        <v/>
      </c>
    </row>
    <row r="6890" spans="9:14" x14ac:dyDescent="0.25">
      <c r="I6890" s="11" t="b">
        <f t="shared" si="340"/>
        <v>0</v>
      </c>
      <c r="M6890" s="17" t="str">
        <f t="shared" si="338"/>
        <v/>
      </c>
      <c r="N6890" s="11" t="str">
        <f t="shared" si="339"/>
        <v/>
      </c>
    </row>
    <row r="6891" spans="9:14" x14ac:dyDescent="0.25">
      <c r="I6891" s="11" t="b">
        <f t="shared" si="340"/>
        <v>0</v>
      </c>
      <c r="M6891" s="17" t="str">
        <f t="shared" si="338"/>
        <v/>
      </c>
      <c r="N6891" s="11" t="str">
        <f t="shared" si="339"/>
        <v/>
      </c>
    </row>
    <row r="6892" spans="9:14" x14ac:dyDescent="0.25">
      <c r="I6892" s="11" t="b">
        <f t="shared" si="340"/>
        <v>0</v>
      </c>
      <c r="M6892" s="17" t="str">
        <f t="shared" si="338"/>
        <v/>
      </c>
      <c r="N6892" s="11" t="str">
        <f t="shared" si="339"/>
        <v/>
      </c>
    </row>
    <row r="6893" spans="9:14" x14ac:dyDescent="0.25">
      <c r="I6893" s="11" t="b">
        <f t="shared" si="340"/>
        <v>0</v>
      </c>
      <c r="M6893" s="17" t="str">
        <f t="shared" si="338"/>
        <v/>
      </c>
      <c r="N6893" s="11" t="str">
        <f t="shared" si="339"/>
        <v/>
      </c>
    </row>
    <row r="6894" spans="9:14" x14ac:dyDescent="0.25">
      <c r="I6894" s="11" t="b">
        <f t="shared" si="340"/>
        <v>0</v>
      </c>
      <c r="M6894" s="17" t="str">
        <f t="shared" si="338"/>
        <v/>
      </c>
      <c r="N6894" s="11" t="str">
        <f t="shared" si="339"/>
        <v/>
      </c>
    </row>
    <row r="6895" spans="9:14" x14ac:dyDescent="0.25">
      <c r="I6895" s="11" t="b">
        <f t="shared" si="340"/>
        <v>0</v>
      </c>
      <c r="M6895" s="17" t="str">
        <f t="shared" si="338"/>
        <v/>
      </c>
      <c r="N6895" s="11" t="str">
        <f t="shared" si="339"/>
        <v/>
      </c>
    </row>
    <row r="6896" spans="9:14" x14ac:dyDescent="0.25">
      <c r="I6896" s="11" t="b">
        <f t="shared" si="340"/>
        <v>0</v>
      </c>
      <c r="M6896" s="17" t="str">
        <f t="shared" si="338"/>
        <v/>
      </c>
      <c r="N6896" s="11" t="str">
        <f t="shared" si="339"/>
        <v/>
      </c>
    </row>
    <row r="6897" spans="9:14" x14ac:dyDescent="0.25">
      <c r="I6897" s="11" t="b">
        <f t="shared" si="340"/>
        <v>0</v>
      </c>
      <c r="M6897" s="17" t="str">
        <f t="shared" si="338"/>
        <v/>
      </c>
      <c r="N6897" s="11" t="str">
        <f t="shared" si="339"/>
        <v/>
      </c>
    </row>
    <row r="6898" spans="9:14" x14ac:dyDescent="0.25">
      <c r="I6898" s="11" t="b">
        <f t="shared" si="340"/>
        <v>0</v>
      </c>
      <c r="M6898" s="17" t="str">
        <f t="shared" si="338"/>
        <v/>
      </c>
      <c r="N6898" s="11" t="str">
        <f t="shared" si="339"/>
        <v/>
      </c>
    </row>
    <row r="6899" spans="9:14" x14ac:dyDescent="0.25">
      <c r="I6899" s="11" t="b">
        <f t="shared" si="340"/>
        <v>0</v>
      </c>
      <c r="M6899" s="17" t="str">
        <f t="shared" si="338"/>
        <v/>
      </c>
      <c r="N6899" s="11" t="str">
        <f t="shared" si="339"/>
        <v/>
      </c>
    </row>
    <row r="6900" spans="9:14" x14ac:dyDescent="0.25">
      <c r="I6900" s="11" t="b">
        <f t="shared" si="340"/>
        <v>0</v>
      </c>
      <c r="M6900" s="17" t="str">
        <f t="shared" si="338"/>
        <v/>
      </c>
      <c r="N6900" s="11" t="str">
        <f t="shared" si="339"/>
        <v/>
      </c>
    </row>
    <row r="6901" spans="9:14" x14ac:dyDescent="0.25">
      <c r="I6901" s="11" t="b">
        <f t="shared" si="340"/>
        <v>0</v>
      </c>
      <c r="M6901" s="17" t="str">
        <f t="shared" si="338"/>
        <v/>
      </c>
      <c r="N6901" s="11" t="str">
        <f t="shared" si="339"/>
        <v/>
      </c>
    </row>
    <row r="6902" spans="9:14" x14ac:dyDescent="0.25">
      <c r="I6902" s="11" t="b">
        <f t="shared" si="340"/>
        <v>0</v>
      </c>
      <c r="M6902" s="17" t="str">
        <f t="shared" si="338"/>
        <v/>
      </c>
      <c r="N6902" s="11" t="str">
        <f t="shared" si="339"/>
        <v/>
      </c>
    </row>
    <row r="6903" spans="9:14" x14ac:dyDescent="0.25">
      <c r="I6903" s="11" t="b">
        <f t="shared" si="340"/>
        <v>0</v>
      </c>
      <c r="M6903" s="17" t="str">
        <f t="shared" si="338"/>
        <v/>
      </c>
      <c r="N6903" s="11" t="str">
        <f t="shared" si="339"/>
        <v/>
      </c>
    </row>
    <row r="6904" spans="9:14" x14ac:dyDescent="0.25">
      <c r="I6904" s="11" t="b">
        <f t="shared" si="340"/>
        <v>0</v>
      </c>
      <c r="M6904" s="17" t="str">
        <f t="shared" si="338"/>
        <v/>
      </c>
      <c r="N6904" s="11" t="str">
        <f t="shared" si="339"/>
        <v/>
      </c>
    </row>
    <row r="6905" spans="9:14" x14ac:dyDescent="0.25">
      <c r="I6905" s="11" t="b">
        <f t="shared" si="340"/>
        <v>0</v>
      </c>
      <c r="M6905" s="17" t="str">
        <f t="shared" si="338"/>
        <v/>
      </c>
      <c r="N6905" s="11" t="str">
        <f t="shared" si="339"/>
        <v/>
      </c>
    </row>
    <row r="6906" spans="9:14" x14ac:dyDescent="0.25">
      <c r="I6906" s="11" t="b">
        <f t="shared" si="340"/>
        <v>0</v>
      </c>
      <c r="M6906" s="17" t="str">
        <f t="shared" si="338"/>
        <v/>
      </c>
      <c r="N6906" s="11" t="str">
        <f t="shared" si="339"/>
        <v/>
      </c>
    </row>
    <row r="6907" spans="9:14" x14ac:dyDescent="0.25">
      <c r="I6907" s="11" t="b">
        <f t="shared" si="340"/>
        <v>0</v>
      </c>
      <c r="M6907" s="17" t="str">
        <f t="shared" si="338"/>
        <v/>
      </c>
      <c r="N6907" s="11" t="str">
        <f t="shared" si="339"/>
        <v/>
      </c>
    </row>
    <row r="6908" spans="9:14" x14ac:dyDescent="0.25">
      <c r="I6908" s="11" t="b">
        <f t="shared" si="340"/>
        <v>0</v>
      </c>
      <c r="M6908" s="17" t="str">
        <f t="shared" si="338"/>
        <v/>
      </c>
      <c r="N6908" s="11" t="str">
        <f t="shared" si="339"/>
        <v/>
      </c>
    </row>
    <row r="6909" spans="9:14" x14ac:dyDescent="0.25">
      <c r="I6909" s="11" t="b">
        <f t="shared" si="340"/>
        <v>0</v>
      </c>
      <c r="M6909" s="17" t="str">
        <f t="shared" si="338"/>
        <v/>
      </c>
      <c r="N6909" s="11" t="str">
        <f t="shared" si="339"/>
        <v/>
      </c>
    </row>
    <row r="6910" spans="9:14" x14ac:dyDescent="0.25">
      <c r="I6910" s="11" t="b">
        <f t="shared" si="340"/>
        <v>0</v>
      </c>
      <c r="M6910" s="17" t="str">
        <f t="shared" si="338"/>
        <v/>
      </c>
      <c r="N6910" s="11" t="str">
        <f t="shared" si="339"/>
        <v/>
      </c>
    </row>
    <row r="6911" spans="9:14" x14ac:dyDescent="0.25">
      <c r="I6911" s="11" t="b">
        <f t="shared" si="340"/>
        <v>0</v>
      </c>
      <c r="M6911" s="17" t="str">
        <f t="shared" si="338"/>
        <v/>
      </c>
      <c r="N6911" s="11" t="str">
        <f t="shared" si="339"/>
        <v/>
      </c>
    </row>
    <row r="6912" spans="9:14" x14ac:dyDescent="0.25">
      <c r="I6912" s="11" t="b">
        <f t="shared" si="340"/>
        <v>0</v>
      </c>
      <c r="M6912" s="17" t="str">
        <f t="shared" si="338"/>
        <v/>
      </c>
      <c r="N6912" s="11" t="str">
        <f t="shared" si="339"/>
        <v/>
      </c>
    </row>
    <row r="6913" spans="9:14" x14ac:dyDescent="0.25">
      <c r="I6913" s="11" t="b">
        <f t="shared" si="340"/>
        <v>0</v>
      </c>
      <c r="M6913" s="17" t="str">
        <f t="shared" ref="M6913:M6976" si="341">IF(B6913=0, "",M6912+ J6913-K6913)</f>
        <v/>
      </c>
      <c r="N6913" s="11" t="str">
        <f t="shared" ref="N6913:N6976" si="342">IF(B6913=0, "", MONTH(B6913))</f>
        <v/>
      </c>
    </row>
    <row r="6914" spans="9:14" x14ac:dyDescent="0.25">
      <c r="I6914" s="11" t="b">
        <f t="shared" si="340"/>
        <v>0</v>
      </c>
      <c r="M6914" s="17" t="str">
        <f t="shared" si="341"/>
        <v/>
      </c>
      <c r="N6914" s="11" t="str">
        <f t="shared" si="342"/>
        <v/>
      </c>
    </row>
    <row r="6915" spans="9:14" x14ac:dyDescent="0.25">
      <c r="I6915" s="11" t="b">
        <f t="shared" si="340"/>
        <v>0</v>
      </c>
      <c r="M6915" s="17" t="str">
        <f t="shared" si="341"/>
        <v/>
      </c>
      <c r="N6915" s="11" t="str">
        <f t="shared" si="342"/>
        <v/>
      </c>
    </row>
    <row r="6916" spans="9:14" x14ac:dyDescent="0.25">
      <c r="I6916" s="11" t="b">
        <f t="shared" si="340"/>
        <v>0</v>
      </c>
      <c r="M6916" s="17" t="str">
        <f t="shared" si="341"/>
        <v/>
      </c>
      <c r="N6916" s="11" t="str">
        <f t="shared" si="342"/>
        <v/>
      </c>
    </row>
    <row r="6917" spans="9:14" x14ac:dyDescent="0.25">
      <c r="I6917" s="11" t="b">
        <f t="shared" si="340"/>
        <v>0</v>
      </c>
      <c r="M6917" s="17" t="str">
        <f t="shared" si="341"/>
        <v/>
      </c>
      <c r="N6917" s="11" t="str">
        <f t="shared" si="342"/>
        <v/>
      </c>
    </row>
    <row r="6918" spans="9:14" x14ac:dyDescent="0.25">
      <c r="I6918" s="11" t="b">
        <f t="shared" si="340"/>
        <v>0</v>
      </c>
      <c r="M6918" s="17" t="str">
        <f t="shared" si="341"/>
        <v/>
      </c>
      <c r="N6918" s="11" t="str">
        <f t="shared" si="342"/>
        <v/>
      </c>
    </row>
    <row r="6919" spans="9:14" x14ac:dyDescent="0.25">
      <c r="I6919" s="11" t="b">
        <f t="shared" si="340"/>
        <v>0</v>
      </c>
      <c r="M6919" s="17" t="str">
        <f t="shared" si="341"/>
        <v/>
      </c>
      <c r="N6919" s="11" t="str">
        <f t="shared" si="342"/>
        <v/>
      </c>
    </row>
    <row r="6920" spans="9:14" x14ac:dyDescent="0.25">
      <c r="I6920" s="11" t="b">
        <f t="shared" si="340"/>
        <v>0</v>
      </c>
      <c r="M6920" s="17" t="str">
        <f t="shared" si="341"/>
        <v/>
      </c>
      <c r="N6920" s="11" t="str">
        <f t="shared" si="342"/>
        <v/>
      </c>
    </row>
    <row r="6921" spans="9:14" x14ac:dyDescent="0.25">
      <c r="I6921" s="11" t="b">
        <f t="shared" si="340"/>
        <v>0</v>
      </c>
      <c r="M6921" s="17" t="str">
        <f t="shared" si="341"/>
        <v/>
      </c>
      <c r="N6921" s="11" t="str">
        <f t="shared" si="342"/>
        <v/>
      </c>
    </row>
    <row r="6922" spans="9:14" x14ac:dyDescent="0.25">
      <c r="I6922" s="11" t="b">
        <f t="shared" si="340"/>
        <v>0</v>
      </c>
      <c r="M6922" s="17" t="str">
        <f t="shared" si="341"/>
        <v/>
      </c>
      <c r="N6922" s="11" t="str">
        <f t="shared" si="342"/>
        <v/>
      </c>
    </row>
    <row r="6923" spans="9:14" x14ac:dyDescent="0.25">
      <c r="I6923" s="11" t="b">
        <f t="shared" si="340"/>
        <v>0</v>
      </c>
      <c r="M6923" s="17" t="str">
        <f t="shared" si="341"/>
        <v/>
      </c>
      <c r="N6923" s="11" t="str">
        <f t="shared" si="342"/>
        <v/>
      </c>
    </row>
    <row r="6924" spans="9:14" x14ac:dyDescent="0.25">
      <c r="I6924" s="11" t="b">
        <f t="shared" si="340"/>
        <v>0</v>
      </c>
      <c r="M6924" s="17" t="str">
        <f t="shared" si="341"/>
        <v/>
      </c>
      <c r="N6924" s="11" t="str">
        <f t="shared" si="342"/>
        <v/>
      </c>
    </row>
    <row r="6925" spans="9:14" x14ac:dyDescent="0.25">
      <c r="I6925" s="11" t="b">
        <f t="shared" si="340"/>
        <v>0</v>
      </c>
      <c r="M6925" s="17" t="str">
        <f t="shared" si="341"/>
        <v/>
      </c>
      <c r="N6925" s="11" t="str">
        <f t="shared" si="342"/>
        <v/>
      </c>
    </row>
    <row r="6926" spans="9:14" x14ac:dyDescent="0.25">
      <c r="I6926" s="11" t="b">
        <f t="shared" si="340"/>
        <v>0</v>
      </c>
      <c r="M6926" s="17" t="str">
        <f t="shared" si="341"/>
        <v/>
      </c>
      <c r="N6926" s="11" t="str">
        <f t="shared" si="342"/>
        <v/>
      </c>
    </row>
    <row r="6927" spans="9:14" x14ac:dyDescent="0.25">
      <c r="I6927" s="11" t="b">
        <f t="shared" si="340"/>
        <v>0</v>
      </c>
      <c r="M6927" s="17" t="str">
        <f t="shared" si="341"/>
        <v/>
      </c>
      <c r="N6927" s="11" t="str">
        <f t="shared" si="342"/>
        <v/>
      </c>
    </row>
    <row r="6928" spans="9:14" x14ac:dyDescent="0.25">
      <c r="I6928" s="11" t="b">
        <f t="shared" si="340"/>
        <v>0</v>
      </c>
      <c r="M6928" s="17" t="str">
        <f t="shared" si="341"/>
        <v/>
      </c>
      <c r="N6928" s="11" t="str">
        <f t="shared" si="342"/>
        <v/>
      </c>
    </row>
    <row r="6929" spans="9:14" x14ac:dyDescent="0.25">
      <c r="I6929" s="11" t="b">
        <f t="shared" si="340"/>
        <v>0</v>
      </c>
      <c r="M6929" s="17" t="str">
        <f t="shared" si="341"/>
        <v/>
      </c>
      <c r="N6929" s="11" t="str">
        <f t="shared" si="342"/>
        <v/>
      </c>
    </row>
    <row r="6930" spans="9:14" x14ac:dyDescent="0.25">
      <c r="I6930" s="11" t="b">
        <f t="shared" si="340"/>
        <v>0</v>
      </c>
      <c r="M6930" s="17" t="str">
        <f t="shared" si="341"/>
        <v/>
      </c>
      <c r="N6930" s="11" t="str">
        <f t="shared" si="342"/>
        <v/>
      </c>
    </row>
    <row r="6931" spans="9:14" x14ac:dyDescent="0.25">
      <c r="I6931" s="11" t="b">
        <f t="shared" si="340"/>
        <v>0</v>
      </c>
      <c r="M6931" s="17" t="str">
        <f t="shared" si="341"/>
        <v/>
      </c>
      <c r="N6931" s="11" t="str">
        <f t="shared" si="342"/>
        <v/>
      </c>
    </row>
    <row r="6932" spans="9:14" x14ac:dyDescent="0.25">
      <c r="I6932" s="11" t="b">
        <f t="shared" si="340"/>
        <v>0</v>
      </c>
      <c r="M6932" s="17" t="str">
        <f t="shared" si="341"/>
        <v/>
      </c>
      <c r="N6932" s="11" t="str">
        <f t="shared" si="342"/>
        <v/>
      </c>
    </row>
    <row r="6933" spans="9:14" x14ac:dyDescent="0.25">
      <c r="I6933" s="11" t="b">
        <f t="shared" si="340"/>
        <v>0</v>
      </c>
      <c r="M6933" s="17" t="str">
        <f t="shared" si="341"/>
        <v/>
      </c>
      <c r="N6933" s="11" t="str">
        <f t="shared" si="342"/>
        <v/>
      </c>
    </row>
    <row r="6934" spans="9:14" x14ac:dyDescent="0.25">
      <c r="I6934" s="11" t="b">
        <f t="shared" si="340"/>
        <v>0</v>
      </c>
      <c r="M6934" s="17" t="str">
        <f t="shared" si="341"/>
        <v/>
      </c>
      <c r="N6934" s="11" t="str">
        <f t="shared" si="342"/>
        <v/>
      </c>
    </row>
    <row r="6935" spans="9:14" x14ac:dyDescent="0.25">
      <c r="I6935" s="11" t="b">
        <f t="shared" si="340"/>
        <v>0</v>
      </c>
      <c r="M6935" s="17" t="str">
        <f t="shared" si="341"/>
        <v/>
      </c>
      <c r="N6935" s="11" t="str">
        <f t="shared" si="342"/>
        <v/>
      </c>
    </row>
    <row r="6936" spans="9:14" x14ac:dyDescent="0.25">
      <c r="I6936" s="11" t="b">
        <f t="shared" si="340"/>
        <v>0</v>
      </c>
      <c r="M6936" s="17" t="str">
        <f t="shared" si="341"/>
        <v/>
      </c>
      <c r="N6936" s="11" t="str">
        <f t="shared" si="342"/>
        <v/>
      </c>
    </row>
    <row r="6937" spans="9:14" x14ac:dyDescent="0.25">
      <c r="I6937" s="11" t="b">
        <f t="shared" si="340"/>
        <v>0</v>
      </c>
      <c r="M6937" s="17" t="str">
        <f t="shared" si="341"/>
        <v/>
      </c>
      <c r="N6937" s="11" t="str">
        <f t="shared" si="342"/>
        <v/>
      </c>
    </row>
    <row r="6938" spans="9:14" x14ac:dyDescent="0.25">
      <c r="I6938" s="11" t="b">
        <f t="shared" si="340"/>
        <v>0</v>
      </c>
      <c r="M6938" s="17" t="str">
        <f t="shared" si="341"/>
        <v/>
      </c>
      <c r="N6938" s="11" t="str">
        <f t="shared" si="342"/>
        <v/>
      </c>
    </row>
    <row r="6939" spans="9:14" x14ac:dyDescent="0.25">
      <c r="I6939" s="11" t="b">
        <f t="shared" si="340"/>
        <v>0</v>
      </c>
      <c r="M6939" s="17" t="str">
        <f t="shared" si="341"/>
        <v/>
      </c>
      <c r="N6939" s="11" t="str">
        <f t="shared" si="342"/>
        <v/>
      </c>
    </row>
    <row r="6940" spans="9:14" x14ac:dyDescent="0.25">
      <c r="I6940" s="11" t="b">
        <f t="shared" si="340"/>
        <v>0</v>
      </c>
      <c r="M6940" s="17" t="str">
        <f t="shared" si="341"/>
        <v/>
      </c>
      <c r="N6940" s="11" t="str">
        <f t="shared" si="342"/>
        <v/>
      </c>
    </row>
    <row r="6941" spans="9:14" x14ac:dyDescent="0.25">
      <c r="I6941" s="11" t="b">
        <f t="shared" ref="I6941:I7004" si="343">IF(AND(G6941="MERCADO PAGO",A6941="FATURAMENTO"),1,IF(AND(OR(G6941="MERCADO PAGO",G6941="pix mercado pago",G6941= "débito automático mercado pago", G6941= "boleto mercado pago"),A6941="DESPESAS"),4,IF(AND(G6941="SAFRA",A6941="FATURAMENTO"),2,IF(AND(OR(G6941="SAFRA",G6941="PIX SAFRA", G6941="DÉBITO AUTOMÁTICO SAFRA", G6941= "BOLETO SAFRA", G6941= "transferência safra"), A6941="DESPESAS"),5,IF(AND(G6941="espécie",A6941="FATURAMENTO"),3,IF(AND(G6941="espécie",A6941="DESPESAS"),6))))))</f>
        <v>0</v>
      </c>
      <c r="M6941" s="17" t="str">
        <f t="shared" si="341"/>
        <v/>
      </c>
      <c r="N6941" s="11" t="str">
        <f t="shared" si="342"/>
        <v/>
      </c>
    </row>
    <row r="6942" spans="9:14" x14ac:dyDescent="0.25">
      <c r="I6942" s="11" t="b">
        <f t="shared" si="343"/>
        <v>0</v>
      </c>
      <c r="M6942" s="17" t="str">
        <f t="shared" si="341"/>
        <v/>
      </c>
      <c r="N6942" s="11" t="str">
        <f t="shared" si="342"/>
        <v/>
      </c>
    </row>
    <row r="6943" spans="9:14" x14ac:dyDescent="0.25">
      <c r="I6943" s="11" t="b">
        <f t="shared" si="343"/>
        <v>0</v>
      </c>
      <c r="M6943" s="17" t="str">
        <f t="shared" si="341"/>
        <v/>
      </c>
      <c r="N6943" s="11" t="str">
        <f t="shared" si="342"/>
        <v/>
      </c>
    </row>
    <row r="6944" spans="9:14" x14ac:dyDescent="0.25">
      <c r="I6944" s="11" t="b">
        <f t="shared" si="343"/>
        <v>0</v>
      </c>
      <c r="M6944" s="17" t="str">
        <f t="shared" si="341"/>
        <v/>
      </c>
      <c r="N6944" s="11" t="str">
        <f t="shared" si="342"/>
        <v/>
      </c>
    </row>
    <row r="6945" spans="9:14" x14ac:dyDescent="0.25">
      <c r="I6945" s="11" t="b">
        <f t="shared" si="343"/>
        <v>0</v>
      </c>
      <c r="M6945" s="17" t="str">
        <f t="shared" si="341"/>
        <v/>
      </c>
      <c r="N6945" s="11" t="str">
        <f t="shared" si="342"/>
        <v/>
      </c>
    </row>
    <row r="6946" spans="9:14" x14ac:dyDescent="0.25">
      <c r="I6946" s="11" t="b">
        <f t="shared" si="343"/>
        <v>0</v>
      </c>
      <c r="M6946" s="17" t="str">
        <f t="shared" si="341"/>
        <v/>
      </c>
      <c r="N6946" s="11" t="str">
        <f t="shared" si="342"/>
        <v/>
      </c>
    </row>
    <row r="6947" spans="9:14" x14ac:dyDescent="0.25">
      <c r="I6947" s="11" t="b">
        <f t="shared" si="343"/>
        <v>0</v>
      </c>
      <c r="M6947" s="17" t="str">
        <f t="shared" si="341"/>
        <v/>
      </c>
      <c r="N6947" s="11" t="str">
        <f t="shared" si="342"/>
        <v/>
      </c>
    </row>
    <row r="6948" spans="9:14" x14ac:dyDescent="0.25">
      <c r="I6948" s="11" t="b">
        <f t="shared" si="343"/>
        <v>0</v>
      </c>
      <c r="M6948" s="17" t="str">
        <f t="shared" si="341"/>
        <v/>
      </c>
      <c r="N6948" s="11" t="str">
        <f t="shared" si="342"/>
        <v/>
      </c>
    </row>
    <row r="6949" spans="9:14" x14ac:dyDescent="0.25">
      <c r="I6949" s="11" t="b">
        <f t="shared" si="343"/>
        <v>0</v>
      </c>
      <c r="M6949" s="17" t="str">
        <f t="shared" si="341"/>
        <v/>
      </c>
      <c r="N6949" s="11" t="str">
        <f t="shared" si="342"/>
        <v/>
      </c>
    </row>
    <row r="6950" spans="9:14" x14ac:dyDescent="0.25">
      <c r="I6950" s="11" t="b">
        <f t="shared" si="343"/>
        <v>0</v>
      </c>
      <c r="M6950" s="17" t="str">
        <f t="shared" si="341"/>
        <v/>
      </c>
      <c r="N6950" s="11" t="str">
        <f t="shared" si="342"/>
        <v/>
      </c>
    </row>
    <row r="6951" spans="9:14" x14ac:dyDescent="0.25">
      <c r="I6951" s="11" t="b">
        <f t="shared" si="343"/>
        <v>0</v>
      </c>
      <c r="M6951" s="17" t="str">
        <f t="shared" si="341"/>
        <v/>
      </c>
      <c r="N6951" s="11" t="str">
        <f t="shared" si="342"/>
        <v/>
      </c>
    </row>
    <row r="6952" spans="9:14" x14ac:dyDescent="0.25">
      <c r="I6952" s="11" t="b">
        <f t="shared" si="343"/>
        <v>0</v>
      </c>
      <c r="M6952" s="17" t="str">
        <f t="shared" si="341"/>
        <v/>
      </c>
      <c r="N6952" s="11" t="str">
        <f t="shared" si="342"/>
        <v/>
      </c>
    </row>
    <row r="6953" spans="9:14" x14ac:dyDescent="0.25">
      <c r="I6953" s="11" t="b">
        <f t="shared" si="343"/>
        <v>0</v>
      </c>
      <c r="M6953" s="17" t="str">
        <f t="shared" si="341"/>
        <v/>
      </c>
      <c r="N6953" s="11" t="str">
        <f t="shared" si="342"/>
        <v/>
      </c>
    </row>
    <row r="6954" spans="9:14" x14ac:dyDescent="0.25">
      <c r="I6954" s="11" t="b">
        <f t="shared" si="343"/>
        <v>0</v>
      </c>
      <c r="M6954" s="17" t="str">
        <f t="shared" si="341"/>
        <v/>
      </c>
      <c r="N6954" s="11" t="str">
        <f t="shared" si="342"/>
        <v/>
      </c>
    </row>
    <row r="6955" spans="9:14" x14ac:dyDescent="0.25">
      <c r="I6955" s="11" t="b">
        <f t="shared" si="343"/>
        <v>0</v>
      </c>
      <c r="M6955" s="17" t="str">
        <f t="shared" si="341"/>
        <v/>
      </c>
      <c r="N6955" s="11" t="str">
        <f t="shared" si="342"/>
        <v/>
      </c>
    </row>
    <row r="6956" spans="9:14" x14ac:dyDescent="0.25">
      <c r="I6956" s="11" t="b">
        <f t="shared" si="343"/>
        <v>0</v>
      </c>
      <c r="M6956" s="17" t="str">
        <f t="shared" si="341"/>
        <v/>
      </c>
      <c r="N6956" s="11" t="str">
        <f t="shared" si="342"/>
        <v/>
      </c>
    </row>
    <row r="6957" spans="9:14" x14ac:dyDescent="0.25">
      <c r="I6957" s="11" t="b">
        <f t="shared" si="343"/>
        <v>0</v>
      </c>
      <c r="M6957" s="17" t="str">
        <f t="shared" si="341"/>
        <v/>
      </c>
      <c r="N6957" s="11" t="str">
        <f t="shared" si="342"/>
        <v/>
      </c>
    </row>
    <row r="6958" spans="9:14" x14ac:dyDescent="0.25">
      <c r="I6958" s="11" t="b">
        <f t="shared" si="343"/>
        <v>0</v>
      </c>
      <c r="M6958" s="17" t="str">
        <f t="shared" si="341"/>
        <v/>
      </c>
      <c r="N6958" s="11" t="str">
        <f t="shared" si="342"/>
        <v/>
      </c>
    </row>
    <row r="6959" spans="9:14" x14ac:dyDescent="0.25">
      <c r="I6959" s="11" t="b">
        <f t="shared" si="343"/>
        <v>0</v>
      </c>
      <c r="M6959" s="17" t="str">
        <f t="shared" si="341"/>
        <v/>
      </c>
      <c r="N6959" s="11" t="str">
        <f t="shared" si="342"/>
        <v/>
      </c>
    </row>
    <row r="6960" spans="9:14" x14ac:dyDescent="0.25">
      <c r="I6960" s="11" t="b">
        <f t="shared" si="343"/>
        <v>0</v>
      </c>
      <c r="M6960" s="17" t="str">
        <f t="shared" si="341"/>
        <v/>
      </c>
      <c r="N6960" s="11" t="str">
        <f t="shared" si="342"/>
        <v/>
      </c>
    </row>
    <row r="6961" spans="9:14" x14ac:dyDescent="0.25">
      <c r="I6961" s="11" t="b">
        <f t="shared" si="343"/>
        <v>0</v>
      </c>
      <c r="M6961" s="17" t="str">
        <f t="shared" si="341"/>
        <v/>
      </c>
      <c r="N6961" s="11" t="str">
        <f t="shared" si="342"/>
        <v/>
      </c>
    </row>
    <row r="6962" spans="9:14" x14ac:dyDescent="0.25">
      <c r="I6962" s="11" t="b">
        <f t="shared" si="343"/>
        <v>0</v>
      </c>
      <c r="M6962" s="17" t="str">
        <f t="shared" si="341"/>
        <v/>
      </c>
      <c r="N6962" s="11" t="str">
        <f t="shared" si="342"/>
        <v/>
      </c>
    </row>
    <row r="6963" spans="9:14" x14ac:dyDescent="0.25">
      <c r="I6963" s="11" t="b">
        <f t="shared" si="343"/>
        <v>0</v>
      </c>
      <c r="M6963" s="17" t="str">
        <f t="shared" si="341"/>
        <v/>
      </c>
      <c r="N6963" s="11" t="str">
        <f t="shared" si="342"/>
        <v/>
      </c>
    </row>
    <row r="6964" spans="9:14" x14ac:dyDescent="0.25">
      <c r="I6964" s="11" t="b">
        <f t="shared" si="343"/>
        <v>0</v>
      </c>
      <c r="M6964" s="17" t="str">
        <f t="shared" si="341"/>
        <v/>
      </c>
      <c r="N6964" s="11" t="str">
        <f t="shared" si="342"/>
        <v/>
      </c>
    </row>
    <row r="6965" spans="9:14" x14ac:dyDescent="0.25">
      <c r="I6965" s="11" t="b">
        <f t="shared" si="343"/>
        <v>0</v>
      </c>
      <c r="M6965" s="17" t="str">
        <f t="shared" si="341"/>
        <v/>
      </c>
      <c r="N6965" s="11" t="str">
        <f t="shared" si="342"/>
        <v/>
      </c>
    </row>
    <row r="6966" spans="9:14" x14ac:dyDescent="0.25">
      <c r="I6966" s="11" t="b">
        <f t="shared" si="343"/>
        <v>0</v>
      </c>
      <c r="M6966" s="17" t="str">
        <f t="shared" si="341"/>
        <v/>
      </c>
      <c r="N6966" s="11" t="str">
        <f t="shared" si="342"/>
        <v/>
      </c>
    </row>
    <row r="6967" spans="9:14" x14ac:dyDescent="0.25">
      <c r="I6967" s="11" t="b">
        <f t="shared" si="343"/>
        <v>0</v>
      </c>
      <c r="M6967" s="17" t="str">
        <f t="shared" si="341"/>
        <v/>
      </c>
      <c r="N6967" s="11" t="str">
        <f t="shared" si="342"/>
        <v/>
      </c>
    </row>
    <row r="6968" spans="9:14" x14ac:dyDescent="0.25">
      <c r="I6968" s="11" t="b">
        <f t="shared" si="343"/>
        <v>0</v>
      </c>
      <c r="M6968" s="17" t="str">
        <f t="shared" si="341"/>
        <v/>
      </c>
      <c r="N6968" s="11" t="str">
        <f t="shared" si="342"/>
        <v/>
      </c>
    </row>
    <row r="6969" spans="9:14" x14ac:dyDescent="0.25">
      <c r="I6969" s="11" t="b">
        <f t="shared" si="343"/>
        <v>0</v>
      </c>
      <c r="M6969" s="17" t="str">
        <f t="shared" si="341"/>
        <v/>
      </c>
      <c r="N6969" s="11" t="str">
        <f t="shared" si="342"/>
        <v/>
      </c>
    </row>
    <row r="6970" spans="9:14" x14ac:dyDescent="0.25">
      <c r="I6970" s="11" t="b">
        <f t="shared" si="343"/>
        <v>0</v>
      </c>
      <c r="M6970" s="17" t="str">
        <f t="shared" si="341"/>
        <v/>
      </c>
      <c r="N6970" s="11" t="str">
        <f t="shared" si="342"/>
        <v/>
      </c>
    </row>
    <row r="6971" spans="9:14" x14ac:dyDescent="0.25">
      <c r="I6971" s="11" t="b">
        <f t="shared" si="343"/>
        <v>0</v>
      </c>
      <c r="M6971" s="17" t="str">
        <f t="shared" si="341"/>
        <v/>
      </c>
      <c r="N6971" s="11" t="str">
        <f t="shared" si="342"/>
        <v/>
      </c>
    </row>
    <row r="6972" spans="9:14" x14ac:dyDescent="0.25">
      <c r="I6972" s="11" t="b">
        <f t="shared" si="343"/>
        <v>0</v>
      </c>
      <c r="M6972" s="17" t="str">
        <f t="shared" si="341"/>
        <v/>
      </c>
      <c r="N6972" s="11" t="str">
        <f t="shared" si="342"/>
        <v/>
      </c>
    </row>
    <row r="6973" spans="9:14" x14ac:dyDescent="0.25">
      <c r="I6973" s="11" t="b">
        <f t="shared" si="343"/>
        <v>0</v>
      </c>
      <c r="M6973" s="17" t="str">
        <f t="shared" si="341"/>
        <v/>
      </c>
      <c r="N6973" s="11" t="str">
        <f t="shared" si="342"/>
        <v/>
      </c>
    </row>
    <row r="6974" spans="9:14" x14ac:dyDescent="0.25">
      <c r="I6974" s="11" t="b">
        <f t="shared" si="343"/>
        <v>0</v>
      </c>
      <c r="M6974" s="17" t="str">
        <f t="shared" si="341"/>
        <v/>
      </c>
      <c r="N6974" s="11" t="str">
        <f t="shared" si="342"/>
        <v/>
      </c>
    </row>
    <row r="6975" spans="9:14" x14ac:dyDescent="0.25">
      <c r="I6975" s="11" t="b">
        <f t="shared" si="343"/>
        <v>0</v>
      </c>
      <c r="M6975" s="17" t="str">
        <f t="shared" si="341"/>
        <v/>
      </c>
      <c r="N6975" s="11" t="str">
        <f t="shared" si="342"/>
        <v/>
      </c>
    </row>
    <row r="6976" spans="9:14" x14ac:dyDescent="0.25">
      <c r="I6976" s="11" t="b">
        <f t="shared" si="343"/>
        <v>0</v>
      </c>
      <c r="M6976" s="17" t="str">
        <f t="shared" si="341"/>
        <v/>
      </c>
      <c r="N6976" s="11" t="str">
        <f t="shared" si="342"/>
        <v/>
      </c>
    </row>
    <row r="6977" spans="9:14" x14ac:dyDescent="0.25">
      <c r="I6977" s="11" t="b">
        <f t="shared" si="343"/>
        <v>0</v>
      </c>
      <c r="M6977" s="17" t="str">
        <f t="shared" ref="M6977:M7040" si="344">IF(B6977=0, "",M6976+ J6977-K6977)</f>
        <v/>
      </c>
      <c r="N6977" s="11" t="str">
        <f t="shared" ref="N6977:N7040" si="345">IF(B6977=0, "", MONTH(B6977))</f>
        <v/>
      </c>
    </row>
    <row r="6978" spans="9:14" x14ac:dyDescent="0.25">
      <c r="I6978" s="11" t="b">
        <f t="shared" si="343"/>
        <v>0</v>
      </c>
      <c r="M6978" s="17" t="str">
        <f t="shared" si="344"/>
        <v/>
      </c>
      <c r="N6978" s="11" t="str">
        <f t="shared" si="345"/>
        <v/>
      </c>
    </row>
    <row r="6979" spans="9:14" x14ac:dyDescent="0.25">
      <c r="I6979" s="11" t="b">
        <f t="shared" si="343"/>
        <v>0</v>
      </c>
      <c r="M6979" s="17" t="str">
        <f t="shared" si="344"/>
        <v/>
      </c>
      <c r="N6979" s="11" t="str">
        <f t="shared" si="345"/>
        <v/>
      </c>
    </row>
    <row r="6980" spans="9:14" x14ac:dyDescent="0.25">
      <c r="I6980" s="11" t="b">
        <f t="shared" si="343"/>
        <v>0</v>
      </c>
      <c r="M6980" s="17" t="str">
        <f t="shared" si="344"/>
        <v/>
      </c>
      <c r="N6980" s="11" t="str">
        <f t="shared" si="345"/>
        <v/>
      </c>
    </row>
    <row r="6981" spans="9:14" x14ac:dyDescent="0.25">
      <c r="I6981" s="11" t="b">
        <f t="shared" si="343"/>
        <v>0</v>
      </c>
      <c r="M6981" s="17" t="str">
        <f t="shared" si="344"/>
        <v/>
      </c>
      <c r="N6981" s="11" t="str">
        <f t="shared" si="345"/>
        <v/>
      </c>
    </row>
    <row r="6982" spans="9:14" x14ac:dyDescent="0.25">
      <c r="I6982" s="11" t="b">
        <f t="shared" si="343"/>
        <v>0</v>
      </c>
      <c r="M6982" s="17" t="str">
        <f t="shared" si="344"/>
        <v/>
      </c>
      <c r="N6982" s="11" t="str">
        <f t="shared" si="345"/>
        <v/>
      </c>
    </row>
    <row r="6983" spans="9:14" x14ac:dyDescent="0.25">
      <c r="I6983" s="11" t="b">
        <f t="shared" si="343"/>
        <v>0</v>
      </c>
      <c r="M6983" s="17" t="str">
        <f t="shared" si="344"/>
        <v/>
      </c>
      <c r="N6983" s="11" t="str">
        <f t="shared" si="345"/>
        <v/>
      </c>
    </row>
    <row r="6984" spans="9:14" x14ac:dyDescent="0.25">
      <c r="I6984" s="11" t="b">
        <f t="shared" si="343"/>
        <v>0</v>
      </c>
      <c r="M6984" s="17" t="str">
        <f t="shared" si="344"/>
        <v/>
      </c>
      <c r="N6984" s="11" t="str">
        <f t="shared" si="345"/>
        <v/>
      </c>
    </row>
    <row r="6985" spans="9:14" x14ac:dyDescent="0.25">
      <c r="I6985" s="11" t="b">
        <f t="shared" si="343"/>
        <v>0</v>
      </c>
      <c r="M6985" s="17" t="str">
        <f t="shared" si="344"/>
        <v/>
      </c>
      <c r="N6985" s="11" t="str">
        <f t="shared" si="345"/>
        <v/>
      </c>
    </row>
    <row r="6986" spans="9:14" x14ac:dyDescent="0.25">
      <c r="I6986" s="11" t="b">
        <f t="shared" si="343"/>
        <v>0</v>
      </c>
      <c r="M6986" s="17" t="str">
        <f t="shared" si="344"/>
        <v/>
      </c>
      <c r="N6986" s="11" t="str">
        <f t="shared" si="345"/>
        <v/>
      </c>
    </row>
    <row r="6987" spans="9:14" x14ac:dyDescent="0.25">
      <c r="I6987" s="11" t="b">
        <f t="shared" si="343"/>
        <v>0</v>
      </c>
      <c r="M6987" s="17" t="str">
        <f t="shared" si="344"/>
        <v/>
      </c>
      <c r="N6987" s="11" t="str">
        <f t="shared" si="345"/>
        <v/>
      </c>
    </row>
    <row r="6988" spans="9:14" x14ac:dyDescent="0.25">
      <c r="I6988" s="11" t="b">
        <f t="shared" si="343"/>
        <v>0</v>
      </c>
      <c r="M6988" s="17" t="str">
        <f t="shared" si="344"/>
        <v/>
      </c>
      <c r="N6988" s="11" t="str">
        <f t="shared" si="345"/>
        <v/>
      </c>
    </row>
    <row r="6989" spans="9:14" x14ac:dyDescent="0.25">
      <c r="I6989" s="11" t="b">
        <f t="shared" si="343"/>
        <v>0</v>
      </c>
      <c r="M6989" s="17" t="str">
        <f t="shared" si="344"/>
        <v/>
      </c>
      <c r="N6989" s="11" t="str">
        <f t="shared" si="345"/>
        <v/>
      </c>
    </row>
    <row r="6990" spans="9:14" x14ac:dyDescent="0.25">
      <c r="I6990" s="11" t="b">
        <f t="shared" si="343"/>
        <v>0</v>
      </c>
      <c r="M6990" s="17" t="str">
        <f t="shared" si="344"/>
        <v/>
      </c>
      <c r="N6990" s="11" t="str">
        <f t="shared" si="345"/>
        <v/>
      </c>
    </row>
    <row r="6991" spans="9:14" x14ac:dyDescent="0.25">
      <c r="I6991" s="11" t="b">
        <f t="shared" si="343"/>
        <v>0</v>
      </c>
      <c r="M6991" s="17" t="str">
        <f t="shared" si="344"/>
        <v/>
      </c>
      <c r="N6991" s="11" t="str">
        <f t="shared" si="345"/>
        <v/>
      </c>
    </row>
    <row r="6992" spans="9:14" x14ac:dyDescent="0.25">
      <c r="I6992" s="11" t="b">
        <f t="shared" si="343"/>
        <v>0</v>
      </c>
      <c r="M6992" s="17" t="str">
        <f t="shared" si="344"/>
        <v/>
      </c>
      <c r="N6992" s="11" t="str">
        <f t="shared" si="345"/>
        <v/>
      </c>
    </row>
    <row r="6993" spans="9:14" x14ac:dyDescent="0.25">
      <c r="I6993" s="11" t="b">
        <f t="shared" si="343"/>
        <v>0</v>
      </c>
      <c r="M6993" s="17" t="str">
        <f t="shared" si="344"/>
        <v/>
      </c>
      <c r="N6993" s="11" t="str">
        <f t="shared" si="345"/>
        <v/>
      </c>
    </row>
    <row r="6994" spans="9:14" x14ac:dyDescent="0.25">
      <c r="I6994" s="11" t="b">
        <f t="shared" si="343"/>
        <v>0</v>
      </c>
      <c r="M6994" s="17" t="str">
        <f t="shared" si="344"/>
        <v/>
      </c>
      <c r="N6994" s="11" t="str">
        <f t="shared" si="345"/>
        <v/>
      </c>
    </row>
    <row r="6995" spans="9:14" x14ac:dyDescent="0.25">
      <c r="I6995" s="11" t="b">
        <f t="shared" si="343"/>
        <v>0</v>
      </c>
      <c r="M6995" s="17" t="str">
        <f t="shared" si="344"/>
        <v/>
      </c>
      <c r="N6995" s="11" t="str">
        <f t="shared" si="345"/>
        <v/>
      </c>
    </row>
    <row r="6996" spans="9:14" x14ac:dyDescent="0.25">
      <c r="I6996" s="11" t="b">
        <f t="shared" si="343"/>
        <v>0</v>
      </c>
      <c r="M6996" s="17" t="str">
        <f t="shared" si="344"/>
        <v/>
      </c>
      <c r="N6996" s="11" t="str">
        <f t="shared" si="345"/>
        <v/>
      </c>
    </row>
    <row r="6997" spans="9:14" x14ac:dyDescent="0.25">
      <c r="I6997" s="11" t="b">
        <f t="shared" si="343"/>
        <v>0</v>
      </c>
      <c r="M6997" s="17" t="str">
        <f t="shared" si="344"/>
        <v/>
      </c>
      <c r="N6997" s="11" t="str">
        <f t="shared" si="345"/>
        <v/>
      </c>
    </row>
    <row r="6998" spans="9:14" x14ac:dyDescent="0.25">
      <c r="I6998" s="11" t="b">
        <f t="shared" si="343"/>
        <v>0</v>
      </c>
      <c r="M6998" s="17" t="str">
        <f t="shared" si="344"/>
        <v/>
      </c>
      <c r="N6998" s="11" t="str">
        <f t="shared" si="345"/>
        <v/>
      </c>
    </row>
    <row r="6999" spans="9:14" x14ac:dyDescent="0.25">
      <c r="I6999" s="11" t="b">
        <f t="shared" si="343"/>
        <v>0</v>
      </c>
      <c r="M6999" s="17" t="str">
        <f t="shared" si="344"/>
        <v/>
      </c>
      <c r="N6999" s="11" t="str">
        <f t="shared" si="345"/>
        <v/>
      </c>
    </row>
    <row r="7000" spans="9:14" x14ac:dyDescent="0.25">
      <c r="I7000" s="11" t="b">
        <f t="shared" si="343"/>
        <v>0</v>
      </c>
      <c r="M7000" s="17" t="str">
        <f t="shared" si="344"/>
        <v/>
      </c>
      <c r="N7000" s="11" t="str">
        <f t="shared" si="345"/>
        <v/>
      </c>
    </row>
    <row r="7001" spans="9:14" x14ac:dyDescent="0.25">
      <c r="I7001" s="11" t="b">
        <f t="shared" si="343"/>
        <v>0</v>
      </c>
      <c r="M7001" s="17" t="str">
        <f t="shared" si="344"/>
        <v/>
      </c>
      <c r="N7001" s="11" t="str">
        <f t="shared" si="345"/>
        <v/>
      </c>
    </row>
    <row r="7002" spans="9:14" x14ac:dyDescent="0.25">
      <c r="I7002" s="11" t="b">
        <f t="shared" si="343"/>
        <v>0</v>
      </c>
      <c r="M7002" s="17" t="str">
        <f t="shared" si="344"/>
        <v/>
      </c>
      <c r="N7002" s="11" t="str">
        <f t="shared" si="345"/>
        <v/>
      </c>
    </row>
    <row r="7003" spans="9:14" x14ac:dyDescent="0.25">
      <c r="I7003" s="11" t="b">
        <f t="shared" si="343"/>
        <v>0</v>
      </c>
      <c r="M7003" s="17" t="str">
        <f t="shared" si="344"/>
        <v/>
      </c>
      <c r="N7003" s="11" t="str">
        <f t="shared" si="345"/>
        <v/>
      </c>
    </row>
    <row r="7004" spans="9:14" x14ac:dyDescent="0.25">
      <c r="I7004" s="11" t="b">
        <f t="shared" si="343"/>
        <v>0</v>
      </c>
      <c r="M7004" s="17" t="str">
        <f t="shared" si="344"/>
        <v/>
      </c>
      <c r="N7004" s="11" t="str">
        <f t="shared" si="345"/>
        <v/>
      </c>
    </row>
    <row r="7005" spans="9:14" x14ac:dyDescent="0.25">
      <c r="I7005" s="11" t="b">
        <f t="shared" ref="I7005:I7068" si="346">IF(AND(G7005="MERCADO PAGO",A7005="FATURAMENTO"),1,IF(AND(OR(G7005="MERCADO PAGO",G7005="pix mercado pago",G7005= "débito automático mercado pago", G7005= "boleto mercado pago"),A7005="DESPESAS"),4,IF(AND(G7005="SAFRA",A7005="FATURAMENTO"),2,IF(AND(OR(G7005="SAFRA",G7005="PIX SAFRA", G7005="DÉBITO AUTOMÁTICO SAFRA", G7005= "BOLETO SAFRA", G7005= "transferência safra"), A7005="DESPESAS"),5,IF(AND(G7005="espécie",A7005="FATURAMENTO"),3,IF(AND(G7005="espécie",A7005="DESPESAS"),6))))))</f>
        <v>0</v>
      </c>
      <c r="M7005" s="17" t="str">
        <f t="shared" si="344"/>
        <v/>
      </c>
      <c r="N7005" s="11" t="str">
        <f t="shared" si="345"/>
        <v/>
      </c>
    </row>
    <row r="7006" spans="9:14" x14ac:dyDescent="0.25">
      <c r="I7006" s="11" t="b">
        <f t="shared" si="346"/>
        <v>0</v>
      </c>
      <c r="M7006" s="17" t="str">
        <f t="shared" si="344"/>
        <v/>
      </c>
      <c r="N7006" s="11" t="str">
        <f t="shared" si="345"/>
        <v/>
      </c>
    </row>
    <row r="7007" spans="9:14" x14ac:dyDescent="0.25">
      <c r="I7007" s="11" t="b">
        <f t="shared" si="346"/>
        <v>0</v>
      </c>
      <c r="M7007" s="17" t="str">
        <f t="shared" si="344"/>
        <v/>
      </c>
      <c r="N7007" s="11" t="str">
        <f t="shared" si="345"/>
        <v/>
      </c>
    </row>
    <row r="7008" spans="9:14" x14ac:dyDescent="0.25">
      <c r="I7008" s="11" t="b">
        <f t="shared" si="346"/>
        <v>0</v>
      </c>
      <c r="M7008" s="17" t="str">
        <f t="shared" si="344"/>
        <v/>
      </c>
      <c r="N7008" s="11" t="str">
        <f t="shared" si="345"/>
        <v/>
      </c>
    </row>
    <row r="7009" spans="9:14" x14ac:dyDescent="0.25">
      <c r="I7009" s="11" t="b">
        <f t="shared" si="346"/>
        <v>0</v>
      </c>
      <c r="M7009" s="17" t="str">
        <f t="shared" si="344"/>
        <v/>
      </c>
      <c r="N7009" s="11" t="str">
        <f t="shared" si="345"/>
        <v/>
      </c>
    </row>
    <row r="7010" spans="9:14" x14ac:dyDescent="0.25">
      <c r="I7010" s="11" t="b">
        <f t="shared" si="346"/>
        <v>0</v>
      </c>
      <c r="M7010" s="17" t="str">
        <f t="shared" si="344"/>
        <v/>
      </c>
      <c r="N7010" s="11" t="str">
        <f t="shared" si="345"/>
        <v/>
      </c>
    </row>
    <row r="7011" spans="9:14" x14ac:dyDescent="0.25">
      <c r="I7011" s="11" t="b">
        <f t="shared" si="346"/>
        <v>0</v>
      </c>
      <c r="M7011" s="17" t="str">
        <f t="shared" si="344"/>
        <v/>
      </c>
      <c r="N7011" s="11" t="str">
        <f t="shared" si="345"/>
        <v/>
      </c>
    </row>
    <row r="7012" spans="9:14" x14ac:dyDescent="0.25">
      <c r="I7012" s="11" t="b">
        <f t="shared" si="346"/>
        <v>0</v>
      </c>
      <c r="M7012" s="17" t="str">
        <f t="shared" si="344"/>
        <v/>
      </c>
      <c r="N7012" s="11" t="str">
        <f t="shared" si="345"/>
        <v/>
      </c>
    </row>
    <row r="7013" spans="9:14" x14ac:dyDescent="0.25">
      <c r="I7013" s="11" t="b">
        <f t="shared" si="346"/>
        <v>0</v>
      </c>
      <c r="M7013" s="17" t="str">
        <f t="shared" si="344"/>
        <v/>
      </c>
      <c r="N7013" s="11" t="str">
        <f t="shared" si="345"/>
        <v/>
      </c>
    </row>
    <row r="7014" spans="9:14" x14ac:dyDescent="0.25">
      <c r="I7014" s="11" t="b">
        <f t="shared" si="346"/>
        <v>0</v>
      </c>
      <c r="M7014" s="17" t="str">
        <f t="shared" si="344"/>
        <v/>
      </c>
      <c r="N7014" s="11" t="str">
        <f t="shared" si="345"/>
        <v/>
      </c>
    </row>
    <row r="7015" spans="9:14" x14ac:dyDescent="0.25">
      <c r="I7015" s="11" t="b">
        <f t="shared" si="346"/>
        <v>0</v>
      </c>
      <c r="M7015" s="17" t="str">
        <f t="shared" si="344"/>
        <v/>
      </c>
      <c r="N7015" s="11" t="str">
        <f t="shared" si="345"/>
        <v/>
      </c>
    </row>
    <row r="7016" spans="9:14" x14ac:dyDescent="0.25">
      <c r="I7016" s="11" t="b">
        <f t="shared" si="346"/>
        <v>0</v>
      </c>
      <c r="M7016" s="17" t="str">
        <f t="shared" si="344"/>
        <v/>
      </c>
      <c r="N7016" s="11" t="str">
        <f t="shared" si="345"/>
        <v/>
      </c>
    </row>
    <row r="7017" spans="9:14" x14ac:dyDescent="0.25">
      <c r="I7017" s="11" t="b">
        <f t="shared" si="346"/>
        <v>0</v>
      </c>
      <c r="M7017" s="17" t="str">
        <f t="shared" si="344"/>
        <v/>
      </c>
      <c r="N7017" s="11" t="str">
        <f t="shared" si="345"/>
        <v/>
      </c>
    </row>
    <row r="7018" spans="9:14" x14ac:dyDescent="0.25">
      <c r="I7018" s="11" t="b">
        <f t="shared" si="346"/>
        <v>0</v>
      </c>
      <c r="M7018" s="17" t="str">
        <f t="shared" si="344"/>
        <v/>
      </c>
      <c r="N7018" s="11" t="str">
        <f t="shared" si="345"/>
        <v/>
      </c>
    </row>
    <row r="7019" spans="9:14" x14ac:dyDescent="0.25">
      <c r="I7019" s="11" t="b">
        <f t="shared" si="346"/>
        <v>0</v>
      </c>
      <c r="M7019" s="17" t="str">
        <f t="shared" si="344"/>
        <v/>
      </c>
      <c r="N7019" s="11" t="str">
        <f t="shared" si="345"/>
        <v/>
      </c>
    </row>
    <row r="7020" spans="9:14" x14ac:dyDescent="0.25">
      <c r="I7020" s="11" t="b">
        <f t="shared" si="346"/>
        <v>0</v>
      </c>
      <c r="M7020" s="17" t="str">
        <f t="shared" si="344"/>
        <v/>
      </c>
      <c r="N7020" s="11" t="str">
        <f t="shared" si="345"/>
        <v/>
      </c>
    </row>
    <row r="7021" spans="9:14" x14ac:dyDescent="0.25">
      <c r="I7021" s="11" t="b">
        <f t="shared" si="346"/>
        <v>0</v>
      </c>
      <c r="M7021" s="17" t="str">
        <f t="shared" si="344"/>
        <v/>
      </c>
      <c r="N7021" s="11" t="str">
        <f t="shared" si="345"/>
        <v/>
      </c>
    </row>
    <row r="7022" spans="9:14" x14ac:dyDescent="0.25">
      <c r="I7022" s="11" t="b">
        <f t="shared" si="346"/>
        <v>0</v>
      </c>
      <c r="M7022" s="17" t="str">
        <f t="shared" si="344"/>
        <v/>
      </c>
      <c r="N7022" s="11" t="str">
        <f t="shared" si="345"/>
        <v/>
      </c>
    </row>
    <row r="7023" spans="9:14" x14ac:dyDescent="0.25">
      <c r="I7023" s="11" t="b">
        <f t="shared" si="346"/>
        <v>0</v>
      </c>
      <c r="M7023" s="17" t="str">
        <f t="shared" si="344"/>
        <v/>
      </c>
      <c r="N7023" s="11" t="str">
        <f t="shared" si="345"/>
        <v/>
      </c>
    </row>
    <row r="7024" spans="9:14" x14ac:dyDescent="0.25">
      <c r="I7024" s="11" t="b">
        <f t="shared" si="346"/>
        <v>0</v>
      </c>
      <c r="M7024" s="17" t="str">
        <f t="shared" si="344"/>
        <v/>
      </c>
      <c r="N7024" s="11" t="str">
        <f t="shared" si="345"/>
        <v/>
      </c>
    </row>
    <row r="7025" spans="9:14" x14ac:dyDescent="0.25">
      <c r="I7025" s="11" t="b">
        <f t="shared" si="346"/>
        <v>0</v>
      </c>
      <c r="M7025" s="17" t="str">
        <f t="shared" si="344"/>
        <v/>
      </c>
      <c r="N7025" s="11" t="str">
        <f t="shared" si="345"/>
        <v/>
      </c>
    </row>
    <row r="7026" spans="9:14" x14ac:dyDescent="0.25">
      <c r="I7026" s="11" t="b">
        <f t="shared" si="346"/>
        <v>0</v>
      </c>
      <c r="M7026" s="17" t="str">
        <f t="shared" si="344"/>
        <v/>
      </c>
      <c r="N7026" s="11" t="str">
        <f t="shared" si="345"/>
        <v/>
      </c>
    </row>
    <row r="7027" spans="9:14" x14ac:dyDescent="0.25">
      <c r="I7027" s="11" t="b">
        <f t="shared" si="346"/>
        <v>0</v>
      </c>
      <c r="M7027" s="17" t="str">
        <f t="shared" si="344"/>
        <v/>
      </c>
      <c r="N7027" s="11" t="str">
        <f t="shared" si="345"/>
        <v/>
      </c>
    </row>
    <row r="7028" spans="9:14" x14ac:dyDescent="0.25">
      <c r="I7028" s="11" t="b">
        <f t="shared" si="346"/>
        <v>0</v>
      </c>
      <c r="M7028" s="17" t="str">
        <f t="shared" si="344"/>
        <v/>
      </c>
      <c r="N7028" s="11" t="str">
        <f t="shared" si="345"/>
        <v/>
      </c>
    </row>
    <row r="7029" spans="9:14" x14ac:dyDescent="0.25">
      <c r="I7029" s="11" t="b">
        <f t="shared" si="346"/>
        <v>0</v>
      </c>
      <c r="M7029" s="17" t="str">
        <f t="shared" si="344"/>
        <v/>
      </c>
      <c r="N7029" s="11" t="str">
        <f t="shared" si="345"/>
        <v/>
      </c>
    </row>
    <row r="7030" spans="9:14" x14ac:dyDescent="0.25">
      <c r="I7030" s="11" t="b">
        <f t="shared" si="346"/>
        <v>0</v>
      </c>
      <c r="M7030" s="17" t="str">
        <f t="shared" si="344"/>
        <v/>
      </c>
      <c r="N7030" s="11" t="str">
        <f t="shared" si="345"/>
        <v/>
      </c>
    </row>
    <row r="7031" spans="9:14" x14ac:dyDescent="0.25">
      <c r="I7031" s="11" t="b">
        <f t="shared" si="346"/>
        <v>0</v>
      </c>
      <c r="M7031" s="17" t="str">
        <f t="shared" si="344"/>
        <v/>
      </c>
      <c r="N7031" s="11" t="str">
        <f t="shared" si="345"/>
        <v/>
      </c>
    </row>
    <row r="7032" spans="9:14" x14ac:dyDescent="0.25">
      <c r="I7032" s="11" t="b">
        <f t="shared" si="346"/>
        <v>0</v>
      </c>
      <c r="M7032" s="17" t="str">
        <f t="shared" si="344"/>
        <v/>
      </c>
      <c r="N7032" s="11" t="str">
        <f t="shared" si="345"/>
        <v/>
      </c>
    </row>
    <row r="7033" spans="9:14" x14ac:dyDescent="0.25">
      <c r="I7033" s="11" t="b">
        <f t="shared" si="346"/>
        <v>0</v>
      </c>
      <c r="M7033" s="17" t="str">
        <f t="shared" si="344"/>
        <v/>
      </c>
      <c r="N7033" s="11" t="str">
        <f t="shared" si="345"/>
        <v/>
      </c>
    </row>
    <row r="7034" spans="9:14" x14ac:dyDescent="0.25">
      <c r="I7034" s="11" t="b">
        <f t="shared" si="346"/>
        <v>0</v>
      </c>
      <c r="M7034" s="17" t="str">
        <f t="shared" si="344"/>
        <v/>
      </c>
      <c r="N7034" s="11" t="str">
        <f t="shared" si="345"/>
        <v/>
      </c>
    </row>
    <row r="7035" spans="9:14" x14ac:dyDescent="0.25">
      <c r="I7035" s="11" t="b">
        <f t="shared" si="346"/>
        <v>0</v>
      </c>
      <c r="M7035" s="17" t="str">
        <f t="shared" si="344"/>
        <v/>
      </c>
      <c r="N7035" s="11" t="str">
        <f t="shared" si="345"/>
        <v/>
      </c>
    </row>
    <row r="7036" spans="9:14" x14ac:dyDescent="0.25">
      <c r="I7036" s="11" t="b">
        <f t="shared" si="346"/>
        <v>0</v>
      </c>
      <c r="M7036" s="17" t="str">
        <f t="shared" si="344"/>
        <v/>
      </c>
      <c r="N7036" s="11" t="str">
        <f t="shared" si="345"/>
        <v/>
      </c>
    </row>
    <row r="7037" spans="9:14" x14ac:dyDescent="0.25">
      <c r="I7037" s="11" t="b">
        <f t="shared" si="346"/>
        <v>0</v>
      </c>
      <c r="M7037" s="17" t="str">
        <f t="shared" si="344"/>
        <v/>
      </c>
      <c r="N7037" s="11" t="str">
        <f t="shared" si="345"/>
        <v/>
      </c>
    </row>
    <row r="7038" spans="9:14" x14ac:dyDescent="0.25">
      <c r="I7038" s="11" t="b">
        <f t="shared" si="346"/>
        <v>0</v>
      </c>
      <c r="M7038" s="17" t="str">
        <f t="shared" si="344"/>
        <v/>
      </c>
      <c r="N7038" s="11" t="str">
        <f t="shared" si="345"/>
        <v/>
      </c>
    </row>
    <row r="7039" spans="9:14" x14ac:dyDescent="0.25">
      <c r="I7039" s="11" t="b">
        <f t="shared" si="346"/>
        <v>0</v>
      </c>
      <c r="M7039" s="17" t="str">
        <f t="shared" si="344"/>
        <v/>
      </c>
      <c r="N7039" s="11" t="str">
        <f t="shared" si="345"/>
        <v/>
      </c>
    </row>
    <row r="7040" spans="9:14" x14ac:dyDescent="0.25">
      <c r="I7040" s="11" t="b">
        <f t="shared" si="346"/>
        <v>0</v>
      </c>
      <c r="M7040" s="17" t="str">
        <f t="shared" si="344"/>
        <v/>
      </c>
      <c r="N7040" s="11" t="str">
        <f t="shared" si="345"/>
        <v/>
      </c>
    </row>
    <row r="7041" spans="9:14" x14ac:dyDescent="0.25">
      <c r="I7041" s="11" t="b">
        <f t="shared" si="346"/>
        <v>0</v>
      </c>
      <c r="M7041" s="17" t="str">
        <f t="shared" ref="M7041:M7104" si="347">IF(B7041=0, "",M7040+ J7041-K7041)</f>
        <v/>
      </c>
      <c r="N7041" s="11" t="str">
        <f t="shared" ref="N7041:N7104" si="348">IF(B7041=0, "", MONTH(B7041))</f>
        <v/>
      </c>
    </row>
    <row r="7042" spans="9:14" x14ac:dyDescent="0.25">
      <c r="I7042" s="11" t="b">
        <f t="shared" si="346"/>
        <v>0</v>
      </c>
      <c r="M7042" s="17" t="str">
        <f t="shared" si="347"/>
        <v/>
      </c>
      <c r="N7042" s="11" t="str">
        <f t="shared" si="348"/>
        <v/>
      </c>
    </row>
    <row r="7043" spans="9:14" x14ac:dyDescent="0.25">
      <c r="I7043" s="11" t="b">
        <f t="shared" si="346"/>
        <v>0</v>
      </c>
      <c r="M7043" s="17" t="str">
        <f t="shared" si="347"/>
        <v/>
      </c>
      <c r="N7043" s="11" t="str">
        <f t="shared" si="348"/>
        <v/>
      </c>
    </row>
    <row r="7044" spans="9:14" x14ac:dyDescent="0.25">
      <c r="I7044" s="11" t="b">
        <f t="shared" si="346"/>
        <v>0</v>
      </c>
      <c r="M7044" s="17" t="str">
        <f t="shared" si="347"/>
        <v/>
      </c>
      <c r="N7044" s="11" t="str">
        <f t="shared" si="348"/>
        <v/>
      </c>
    </row>
    <row r="7045" spans="9:14" x14ac:dyDescent="0.25">
      <c r="I7045" s="11" t="b">
        <f t="shared" si="346"/>
        <v>0</v>
      </c>
      <c r="M7045" s="17" t="str">
        <f t="shared" si="347"/>
        <v/>
      </c>
      <c r="N7045" s="11" t="str">
        <f t="shared" si="348"/>
        <v/>
      </c>
    </row>
    <row r="7046" spans="9:14" x14ac:dyDescent="0.25">
      <c r="I7046" s="11" t="b">
        <f t="shared" si="346"/>
        <v>0</v>
      </c>
      <c r="M7046" s="17" t="str">
        <f t="shared" si="347"/>
        <v/>
      </c>
      <c r="N7046" s="11" t="str">
        <f t="shared" si="348"/>
        <v/>
      </c>
    </row>
    <row r="7047" spans="9:14" x14ac:dyDescent="0.25">
      <c r="I7047" s="11" t="b">
        <f t="shared" si="346"/>
        <v>0</v>
      </c>
      <c r="M7047" s="17" t="str">
        <f t="shared" si="347"/>
        <v/>
      </c>
      <c r="N7047" s="11" t="str">
        <f t="shared" si="348"/>
        <v/>
      </c>
    </row>
    <row r="7048" spans="9:14" x14ac:dyDescent="0.25">
      <c r="I7048" s="11" t="b">
        <f t="shared" si="346"/>
        <v>0</v>
      </c>
      <c r="M7048" s="17" t="str">
        <f t="shared" si="347"/>
        <v/>
      </c>
      <c r="N7048" s="11" t="str">
        <f t="shared" si="348"/>
        <v/>
      </c>
    </row>
    <row r="7049" spans="9:14" x14ac:dyDescent="0.25">
      <c r="I7049" s="11" t="b">
        <f t="shared" si="346"/>
        <v>0</v>
      </c>
      <c r="M7049" s="17" t="str">
        <f t="shared" si="347"/>
        <v/>
      </c>
      <c r="N7049" s="11" t="str">
        <f t="shared" si="348"/>
        <v/>
      </c>
    </row>
    <row r="7050" spans="9:14" x14ac:dyDescent="0.25">
      <c r="I7050" s="11" t="b">
        <f t="shared" si="346"/>
        <v>0</v>
      </c>
      <c r="M7050" s="17" t="str">
        <f t="shared" si="347"/>
        <v/>
      </c>
      <c r="N7050" s="11" t="str">
        <f t="shared" si="348"/>
        <v/>
      </c>
    </row>
    <row r="7051" spans="9:14" x14ac:dyDescent="0.25">
      <c r="I7051" s="11" t="b">
        <f t="shared" si="346"/>
        <v>0</v>
      </c>
      <c r="M7051" s="17" t="str">
        <f t="shared" si="347"/>
        <v/>
      </c>
      <c r="N7051" s="11" t="str">
        <f t="shared" si="348"/>
        <v/>
      </c>
    </row>
    <row r="7052" spans="9:14" x14ac:dyDescent="0.25">
      <c r="I7052" s="11" t="b">
        <f t="shared" si="346"/>
        <v>0</v>
      </c>
      <c r="M7052" s="17" t="str">
        <f t="shared" si="347"/>
        <v/>
      </c>
      <c r="N7052" s="11" t="str">
        <f t="shared" si="348"/>
        <v/>
      </c>
    </row>
    <row r="7053" spans="9:14" x14ac:dyDescent="0.25">
      <c r="I7053" s="11" t="b">
        <f t="shared" si="346"/>
        <v>0</v>
      </c>
      <c r="M7053" s="17" t="str">
        <f t="shared" si="347"/>
        <v/>
      </c>
      <c r="N7053" s="11" t="str">
        <f t="shared" si="348"/>
        <v/>
      </c>
    </row>
    <row r="7054" spans="9:14" x14ac:dyDescent="0.25">
      <c r="I7054" s="11" t="b">
        <f t="shared" si="346"/>
        <v>0</v>
      </c>
      <c r="M7054" s="17" t="str">
        <f t="shared" si="347"/>
        <v/>
      </c>
      <c r="N7054" s="11" t="str">
        <f t="shared" si="348"/>
        <v/>
      </c>
    </row>
    <row r="7055" spans="9:14" x14ac:dyDescent="0.25">
      <c r="I7055" s="11" t="b">
        <f t="shared" si="346"/>
        <v>0</v>
      </c>
      <c r="M7055" s="17" t="str">
        <f t="shared" si="347"/>
        <v/>
      </c>
      <c r="N7055" s="11" t="str">
        <f t="shared" si="348"/>
        <v/>
      </c>
    </row>
    <row r="7056" spans="9:14" x14ac:dyDescent="0.25">
      <c r="I7056" s="11" t="b">
        <f t="shared" si="346"/>
        <v>0</v>
      </c>
      <c r="M7056" s="17" t="str">
        <f t="shared" si="347"/>
        <v/>
      </c>
      <c r="N7056" s="11" t="str">
        <f t="shared" si="348"/>
        <v/>
      </c>
    </row>
    <row r="7057" spans="9:14" x14ac:dyDescent="0.25">
      <c r="I7057" s="11" t="b">
        <f t="shared" si="346"/>
        <v>0</v>
      </c>
      <c r="M7057" s="17" t="str">
        <f t="shared" si="347"/>
        <v/>
      </c>
      <c r="N7057" s="11" t="str">
        <f t="shared" si="348"/>
        <v/>
      </c>
    </row>
    <row r="7058" spans="9:14" x14ac:dyDescent="0.25">
      <c r="I7058" s="11" t="b">
        <f t="shared" si="346"/>
        <v>0</v>
      </c>
      <c r="M7058" s="17" t="str">
        <f t="shared" si="347"/>
        <v/>
      </c>
      <c r="N7058" s="11" t="str">
        <f t="shared" si="348"/>
        <v/>
      </c>
    </row>
    <row r="7059" spans="9:14" x14ac:dyDescent="0.25">
      <c r="I7059" s="11" t="b">
        <f t="shared" si="346"/>
        <v>0</v>
      </c>
      <c r="M7059" s="17" t="str">
        <f t="shared" si="347"/>
        <v/>
      </c>
      <c r="N7059" s="11" t="str">
        <f t="shared" si="348"/>
        <v/>
      </c>
    </row>
    <row r="7060" spans="9:14" x14ac:dyDescent="0.25">
      <c r="I7060" s="11" t="b">
        <f t="shared" si="346"/>
        <v>0</v>
      </c>
      <c r="M7060" s="17" t="str">
        <f t="shared" si="347"/>
        <v/>
      </c>
      <c r="N7060" s="11" t="str">
        <f t="shared" si="348"/>
        <v/>
      </c>
    </row>
    <row r="7061" spans="9:14" x14ac:dyDescent="0.25">
      <c r="I7061" s="11" t="b">
        <f t="shared" si="346"/>
        <v>0</v>
      </c>
      <c r="M7061" s="17" t="str">
        <f t="shared" si="347"/>
        <v/>
      </c>
      <c r="N7061" s="11" t="str">
        <f t="shared" si="348"/>
        <v/>
      </c>
    </row>
    <row r="7062" spans="9:14" x14ac:dyDescent="0.25">
      <c r="I7062" s="11" t="b">
        <f t="shared" si="346"/>
        <v>0</v>
      </c>
      <c r="M7062" s="17" t="str">
        <f t="shared" si="347"/>
        <v/>
      </c>
      <c r="N7062" s="11" t="str">
        <f t="shared" si="348"/>
        <v/>
      </c>
    </row>
    <row r="7063" spans="9:14" x14ac:dyDescent="0.25">
      <c r="I7063" s="11" t="b">
        <f t="shared" si="346"/>
        <v>0</v>
      </c>
      <c r="M7063" s="17" t="str">
        <f t="shared" si="347"/>
        <v/>
      </c>
      <c r="N7063" s="11" t="str">
        <f t="shared" si="348"/>
        <v/>
      </c>
    </row>
    <row r="7064" spans="9:14" x14ac:dyDescent="0.25">
      <c r="I7064" s="11" t="b">
        <f t="shared" si="346"/>
        <v>0</v>
      </c>
      <c r="M7064" s="17" t="str">
        <f t="shared" si="347"/>
        <v/>
      </c>
      <c r="N7064" s="11" t="str">
        <f t="shared" si="348"/>
        <v/>
      </c>
    </row>
    <row r="7065" spans="9:14" x14ac:dyDescent="0.25">
      <c r="I7065" s="11" t="b">
        <f t="shared" si="346"/>
        <v>0</v>
      </c>
      <c r="M7065" s="17" t="str">
        <f t="shared" si="347"/>
        <v/>
      </c>
      <c r="N7065" s="11" t="str">
        <f t="shared" si="348"/>
        <v/>
      </c>
    </row>
    <row r="7066" spans="9:14" x14ac:dyDescent="0.25">
      <c r="I7066" s="11" t="b">
        <f t="shared" si="346"/>
        <v>0</v>
      </c>
      <c r="M7066" s="17" t="str">
        <f t="shared" si="347"/>
        <v/>
      </c>
      <c r="N7066" s="11" t="str">
        <f t="shared" si="348"/>
        <v/>
      </c>
    </row>
    <row r="7067" spans="9:14" x14ac:dyDescent="0.25">
      <c r="I7067" s="11" t="b">
        <f t="shared" si="346"/>
        <v>0</v>
      </c>
      <c r="M7067" s="17" t="str">
        <f t="shared" si="347"/>
        <v/>
      </c>
      <c r="N7067" s="11" t="str">
        <f t="shared" si="348"/>
        <v/>
      </c>
    </row>
    <row r="7068" spans="9:14" x14ac:dyDescent="0.25">
      <c r="I7068" s="11" t="b">
        <f t="shared" si="346"/>
        <v>0</v>
      </c>
      <c r="M7068" s="17" t="str">
        <f t="shared" si="347"/>
        <v/>
      </c>
      <c r="N7068" s="11" t="str">
        <f t="shared" si="348"/>
        <v/>
      </c>
    </row>
    <row r="7069" spans="9:14" x14ac:dyDescent="0.25">
      <c r="I7069" s="11" t="b">
        <f t="shared" ref="I7069:I7132" si="349">IF(AND(G7069="MERCADO PAGO",A7069="FATURAMENTO"),1,IF(AND(OR(G7069="MERCADO PAGO",G7069="pix mercado pago",G7069= "débito automático mercado pago", G7069= "boleto mercado pago"),A7069="DESPESAS"),4,IF(AND(G7069="SAFRA",A7069="FATURAMENTO"),2,IF(AND(OR(G7069="SAFRA",G7069="PIX SAFRA", G7069="DÉBITO AUTOMÁTICO SAFRA", G7069= "BOLETO SAFRA", G7069= "transferência safra"), A7069="DESPESAS"),5,IF(AND(G7069="espécie",A7069="FATURAMENTO"),3,IF(AND(G7069="espécie",A7069="DESPESAS"),6))))))</f>
        <v>0</v>
      </c>
      <c r="M7069" s="17" t="str">
        <f t="shared" si="347"/>
        <v/>
      </c>
      <c r="N7069" s="11" t="str">
        <f t="shared" si="348"/>
        <v/>
      </c>
    </row>
    <row r="7070" spans="9:14" x14ac:dyDescent="0.25">
      <c r="I7070" s="11" t="b">
        <f t="shared" si="349"/>
        <v>0</v>
      </c>
      <c r="M7070" s="17" t="str">
        <f t="shared" si="347"/>
        <v/>
      </c>
      <c r="N7070" s="11" t="str">
        <f t="shared" si="348"/>
        <v/>
      </c>
    </row>
    <row r="7071" spans="9:14" x14ac:dyDescent="0.25">
      <c r="I7071" s="11" t="b">
        <f t="shared" si="349"/>
        <v>0</v>
      </c>
      <c r="M7071" s="17" t="str">
        <f t="shared" si="347"/>
        <v/>
      </c>
      <c r="N7071" s="11" t="str">
        <f t="shared" si="348"/>
        <v/>
      </c>
    </row>
    <row r="7072" spans="9:14" x14ac:dyDescent="0.25">
      <c r="I7072" s="11" t="b">
        <f t="shared" si="349"/>
        <v>0</v>
      </c>
      <c r="M7072" s="17" t="str">
        <f t="shared" si="347"/>
        <v/>
      </c>
      <c r="N7072" s="11" t="str">
        <f t="shared" si="348"/>
        <v/>
      </c>
    </row>
    <row r="7073" spans="9:14" x14ac:dyDescent="0.25">
      <c r="I7073" s="11" t="b">
        <f t="shared" si="349"/>
        <v>0</v>
      </c>
      <c r="M7073" s="17" t="str">
        <f t="shared" si="347"/>
        <v/>
      </c>
      <c r="N7073" s="11" t="str">
        <f t="shared" si="348"/>
        <v/>
      </c>
    </row>
    <row r="7074" spans="9:14" x14ac:dyDescent="0.25">
      <c r="I7074" s="11" t="b">
        <f t="shared" si="349"/>
        <v>0</v>
      </c>
      <c r="M7074" s="17" t="str">
        <f t="shared" si="347"/>
        <v/>
      </c>
      <c r="N7074" s="11" t="str">
        <f t="shared" si="348"/>
        <v/>
      </c>
    </row>
    <row r="7075" spans="9:14" x14ac:dyDescent="0.25">
      <c r="I7075" s="11" t="b">
        <f t="shared" si="349"/>
        <v>0</v>
      </c>
      <c r="M7075" s="17" t="str">
        <f t="shared" si="347"/>
        <v/>
      </c>
      <c r="N7075" s="11" t="str">
        <f t="shared" si="348"/>
        <v/>
      </c>
    </row>
    <row r="7076" spans="9:14" x14ac:dyDescent="0.25">
      <c r="I7076" s="11" t="b">
        <f t="shared" si="349"/>
        <v>0</v>
      </c>
      <c r="M7076" s="17" t="str">
        <f t="shared" si="347"/>
        <v/>
      </c>
      <c r="N7076" s="11" t="str">
        <f t="shared" si="348"/>
        <v/>
      </c>
    </row>
    <row r="7077" spans="9:14" x14ac:dyDescent="0.25">
      <c r="I7077" s="11" t="b">
        <f t="shared" si="349"/>
        <v>0</v>
      </c>
      <c r="M7077" s="17" t="str">
        <f t="shared" si="347"/>
        <v/>
      </c>
      <c r="N7077" s="11" t="str">
        <f t="shared" si="348"/>
        <v/>
      </c>
    </row>
    <row r="7078" spans="9:14" x14ac:dyDescent="0.25">
      <c r="I7078" s="11" t="b">
        <f t="shared" si="349"/>
        <v>0</v>
      </c>
      <c r="M7078" s="17" t="str">
        <f t="shared" si="347"/>
        <v/>
      </c>
      <c r="N7078" s="11" t="str">
        <f t="shared" si="348"/>
        <v/>
      </c>
    </row>
    <row r="7079" spans="9:14" x14ac:dyDescent="0.25">
      <c r="I7079" s="11" t="b">
        <f t="shared" si="349"/>
        <v>0</v>
      </c>
      <c r="M7079" s="17" t="str">
        <f t="shared" si="347"/>
        <v/>
      </c>
      <c r="N7079" s="11" t="str">
        <f t="shared" si="348"/>
        <v/>
      </c>
    </row>
    <row r="7080" spans="9:14" x14ac:dyDescent="0.25">
      <c r="I7080" s="11" t="b">
        <f t="shared" si="349"/>
        <v>0</v>
      </c>
      <c r="M7080" s="17" t="str">
        <f t="shared" si="347"/>
        <v/>
      </c>
      <c r="N7080" s="11" t="str">
        <f t="shared" si="348"/>
        <v/>
      </c>
    </row>
    <row r="7081" spans="9:14" x14ac:dyDescent="0.25">
      <c r="I7081" s="11" t="b">
        <f t="shared" si="349"/>
        <v>0</v>
      </c>
      <c r="M7081" s="17" t="str">
        <f t="shared" si="347"/>
        <v/>
      </c>
      <c r="N7081" s="11" t="str">
        <f t="shared" si="348"/>
        <v/>
      </c>
    </row>
    <row r="7082" spans="9:14" x14ac:dyDescent="0.25">
      <c r="I7082" s="11" t="b">
        <f t="shared" si="349"/>
        <v>0</v>
      </c>
      <c r="M7082" s="17" t="str">
        <f t="shared" si="347"/>
        <v/>
      </c>
      <c r="N7082" s="11" t="str">
        <f t="shared" si="348"/>
        <v/>
      </c>
    </row>
    <row r="7083" spans="9:14" x14ac:dyDescent="0.25">
      <c r="I7083" s="11" t="b">
        <f t="shared" si="349"/>
        <v>0</v>
      </c>
      <c r="M7083" s="17" t="str">
        <f t="shared" si="347"/>
        <v/>
      </c>
      <c r="N7083" s="11" t="str">
        <f t="shared" si="348"/>
        <v/>
      </c>
    </row>
    <row r="7084" spans="9:14" x14ac:dyDescent="0.25">
      <c r="I7084" s="11" t="b">
        <f t="shared" si="349"/>
        <v>0</v>
      </c>
      <c r="M7084" s="17" t="str">
        <f t="shared" si="347"/>
        <v/>
      </c>
      <c r="N7084" s="11" t="str">
        <f t="shared" si="348"/>
        <v/>
      </c>
    </row>
    <row r="7085" spans="9:14" x14ac:dyDescent="0.25">
      <c r="I7085" s="11" t="b">
        <f t="shared" si="349"/>
        <v>0</v>
      </c>
      <c r="M7085" s="17" t="str">
        <f t="shared" si="347"/>
        <v/>
      </c>
      <c r="N7085" s="11" t="str">
        <f t="shared" si="348"/>
        <v/>
      </c>
    </row>
    <row r="7086" spans="9:14" x14ac:dyDescent="0.25">
      <c r="I7086" s="11" t="b">
        <f t="shared" si="349"/>
        <v>0</v>
      </c>
      <c r="M7086" s="17" t="str">
        <f t="shared" si="347"/>
        <v/>
      </c>
      <c r="N7086" s="11" t="str">
        <f t="shared" si="348"/>
        <v/>
      </c>
    </row>
    <row r="7087" spans="9:14" x14ac:dyDescent="0.25">
      <c r="I7087" s="11" t="b">
        <f t="shared" si="349"/>
        <v>0</v>
      </c>
      <c r="M7087" s="17" t="str">
        <f t="shared" si="347"/>
        <v/>
      </c>
      <c r="N7087" s="11" t="str">
        <f t="shared" si="348"/>
        <v/>
      </c>
    </row>
    <row r="7088" spans="9:14" x14ac:dyDescent="0.25">
      <c r="I7088" s="11" t="b">
        <f t="shared" si="349"/>
        <v>0</v>
      </c>
      <c r="M7088" s="17" t="str">
        <f t="shared" si="347"/>
        <v/>
      </c>
      <c r="N7088" s="11" t="str">
        <f t="shared" si="348"/>
        <v/>
      </c>
    </row>
    <row r="7089" spans="9:14" x14ac:dyDescent="0.25">
      <c r="I7089" s="11" t="b">
        <f t="shared" si="349"/>
        <v>0</v>
      </c>
      <c r="M7089" s="17" t="str">
        <f t="shared" si="347"/>
        <v/>
      </c>
      <c r="N7089" s="11" t="str">
        <f t="shared" si="348"/>
        <v/>
      </c>
    </row>
    <row r="7090" spans="9:14" x14ac:dyDescent="0.25">
      <c r="I7090" s="11" t="b">
        <f t="shared" si="349"/>
        <v>0</v>
      </c>
      <c r="M7090" s="17" t="str">
        <f t="shared" si="347"/>
        <v/>
      </c>
      <c r="N7090" s="11" t="str">
        <f t="shared" si="348"/>
        <v/>
      </c>
    </row>
    <row r="7091" spans="9:14" x14ac:dyDescent="0.25">
      <c r="I7091" s="11" t="b">
        <f t="shared" si="349"/>
        <v>0</v>
      </c>
      <c r="M7091" s="17" t="str">
        <f t="shared" si="347"/>
        <v/>
      </c>
      <c r="N7091" s="11" t="str">
        <f t="shared" si="348"/>
        <v/>
      </c>
    </row>
    <row r="7092" spans="9:14" x14ac:dyDescent="0.25">
      <c r="I7092" s="11" t="b">
        <f t="shared" si="349"/>
        <v>0</v>
      </c>
      <c r="M7092" s="17" t="str">
        <f t="shared" si="347"/>
        <v/>
      </c>
      <c r="N7092" s="11" t="str">
        <f t="shared" si="348"/>
        <v/>
      </c>
    </row>
    <row r="7093" spans="9:14" x14ac:dyDescent="0.25">
      <c r="I7093" s="11" t="b">
        <f t="shared" si="349"/>
        <v>0</v>
      </c>
      <c r="M7093" s="17" t="str">
        <f t="shared" si="347"/>
        <v/>
      </c>
      <c r="N7093" s="11" t="str">
        <f t="shared" si="348"/>
        <v/>
      </c>
    </row>
    <row r="7094" spans="9:14" x14ac:dyDescent="0.25">
      <c r="I7094" s="11" t="b">
        <f t="shared" si="349"/>
        <v>0</v>
      </c>
      <c r="M7094" s="17" t="str">
        <f t="shared" si="347"/>
        <v/>
      </c>
      <c r="N7094" s="11" t="str">
        <f t="shared" si="348"/>
        <v/>
      </c>
    </row>
    <row r="7095" spans="9:14" x14ac:dyDescent="0.25">
      <c r="I7095" s="11" t="b">
        <f t="shared" si="349"/>
        <v>0</v>
      </c>
      <c r="M7095" s="17" t="str">
        <f t="shared" si="347"/>
        <v/>
      </c>
      <c r="N7095" s="11" t="str">
        <f t="shared" si="348"/>
        <v/>
      </c>
    </row>
    <row r="7096" spans="9:14" x14ac:dyDescent="0.25">
      <c r="I7096" s="11" t="b">
        <f t="shared" si="349"/>
        <v>0</v>
      </c>
      <c r="M7096" s="17" t="str">
        <f t="shared" si="347"/>
        <v/>
      </c>
      <c r="N7096" s="11" t="str">
        <f t="shared" si="348"/>
        <v/>
      </c>
    </row>
    <row r="7097" spans="9:14" x14ac:dyDescent="0.25">
      <c r="I7097" s="11" t="b">
        <f t="shared" si="349"/>
        <v>0</v>
      </c>
      <c r="M7097" s="17" t="str">
        <f t="shared" si="347"/>
        <v/>
      </c>
      <c r="N7097" s="11" t="str">
        <f t="shared" si="348"/>
        <v/>
      </c>
    </row>
    <row r="7098" spans="9:14" x14ac:dyDescent="0.25">
      <c r="I7098" s="11" t="b">
        <f t="shared" si="349"/>
        <v>0</v>
      </c>
      <c r="M7098" s="17" t="str">
        <f t="shared" si="347"/>
        <v/>
      </c>
      <c r="N7098" s="11" t="str">
        <f t="shared" si="348"/>
        <v/>
      </c>
    </row>
    <row r="7099" spans="9:14" x14ac:dyDescent="0.25">
      <c r="I7099" s="11" t="b">
        <f t="shared" si="349"/>
        <v>0</v>
      </c>
      <c r="M7099" s="17" t="str">
        <f t="shared" si="347"/>
        <v/>
      </c>
      <c r="N7099" s="11" t="str">
        <f t="shared" si="348"/>
        <v/>
      </c>
    </row>
    <row r="7100" spans="9:14" x14ac:dyDescent="0.25">
      <c r="I7100" s="11" t="b">
        <f t="shared" si="349"/>
        <v>0</v>
      </c>
      <c r="M7100" s="17" t="str">
        <f t="shared" si="347"/>
        <v/>
      </c>
      <c r="N7100" s="11" t="str">
        <f t="shared" si="348"/>
        <v/>
      </c>
    </row>
    <row r="7101" spans="9:14" x14ac:dyDescent="0.25">
      <c r="I7101" s="11" t="b">
        <f t="shared" si="349"/>
        <v>0</v>
      </c>
      <c r="M7101" s="17" t="str">
        <f t="shared" si="347"/>
        <v/>
      </c>
      <c r="N7101" s="11" t="str">
        <f t="shared" si="348"/>
        <v/>
      </c>
    </row>
    <row r="7102" spans="9:14" x14ac:dyDescent="0.25">
      <c r="I7102" s="11" t="b">
        <f t="shared" si="349"/>
        <v>0</v>
      </c>
      <c r="M7102" s="17" t="str">
        <f t="shared" si="347"/>
        <v/>
      </c>
      <c r="N7102" s="11" t="str">
        <f t="shared" si="348"/>
        <v/>
      </c>
    </row>
    <row r="7103" spans="9:14" x14ac:dyDescent="0.25">
      <c r="I7103" s="11" t="b">
        <f t="shared" si="349"/>
        <v>0</v>
      </c>
      <c r="M7103" s="17" t="str">
        <f t="shared" si="347"/>
        <v/>
      </c>
      <c r="N7103" s="11" t="str">
        <f t="shared" si="348"/>
        <v/>
      </c>
    </row>
    <row r="7104" spans="9:14" x14ac:dyDescent="0.25">
      <c r="I7104" s="11" t="b">
        <f t="shared" si="349"/>
        <v>0</v>
      </c>
      <c r="M7104" s="17" t="str">
        <f t="shared" si="347"/>
        <v/>
      </c>
      <c r="N7104" s="11" t="str">
        <f t="shared" si="348"/>
        <v/>
      </c>
    </row>
    <row r="7105" spans="9:14" x14ac:dyDescent="0.25">
      <c r="I7105" s="11" t="b">
        <f t="shared" si="349"/>
        <v>0</v>
      </c>
      <c r="M7105" s="17" t="str">
        <f t="shared" ref="M7105:M7168" si="350">IF(B7105=0, "",M7104+ J7105-K7105)</f>
        <v/>
      </c>
      <c r="N7105" s="11" t="str">
        <f t="shared" ref="N7105:N7168" si="351">IF(B7105=0, "", MONTH(B7105))</f>
        <v/>
      </c>
    </row>
    <row r="7106" spans="9:14" x14ac:dyDescent="0.25">
      <c r="I7106" s="11" t="b">
        <f t="shared" si="349"/>
        <v>0</v>
      </c>
      <c r="M7106" s="17" t="str">
        <f t="shared" si="350"/>
        <v/>
      </c>
      <c r="N7106" s="11" t="str">
        <f t="shared" si="351"/>
        <v/>
      </c>
    </row>
    <row r="7107" spans="9:14" x14ac:dyDescent="0.25">
      <c r="I7107" s="11" t="b">
        <f t="shared" si="349"/>
        <v>0</v>
      </c>
      <c r="M7107" s="17" t="str">
        <f t="shared" si="350"/>
        <v/>
      </c>
      <c r="N7107" s="11" t="str">
        <f t="shared" si="351"/>
        <v/>
      </c>
    </row>
    <row r="7108" spans="9:14" x14ac:dyDescent="0.25">
      <c r="I7108" s="11" t="b">
        <f t="shared" si="349"/>
        <v>0</v>
      </c>
      <c r="M7108" s="17" t="str">
        <f t="shared" si="350"/>
        <v/>
      </c>
      <c r="N7108" s="11" t="str">
        <f t="shared" si="351"/>
        <v/>
      </c>
    </row>
    <row r="7109" spans="9:14" x14ac:dyDescent="0.25">
      <c r="I7109" s="11" t="b">
        <f t="shared" si="349"/>
        <v>0</v>
      </c>
      <c r="M7109" s="17" t="str">
        <f t="shared" si="350"/>
        <v/>
      </c>
      <c r="N7109" s="11" t="str">
        <f t="shared" si="351"/>
        <v/>
      </c>
    </row>
    <row r="7110" spans="9:14" x14ac:dyDescent="0.25">
      <c r="I7110" s="11" t="b">
        <f t="shared" si="349"/>
        <v>0</v>
      </c>
      <c r="M7110" s="17" t="str">
        <f t="shared" si="350"/>
        <v/>
      </c>
      <c r="N7110" s="11" t="str">
        <f t="shared" si="351"/>
        <v/>
      </c>
    </row>
    <row r="7111" spans="9:14" x14ac:dyDescent="0.25">
      <c r="I7111" s="11" t="b">
        <f t="shared" si="349"/>
        <v>0</v>
      </c>
      <c r="M7111" s="17" t="str">
        <f t="shared" si="350"/>
        <v/>
      </c>
      <c r="N7111" s="11" t="str">
        <f t="shared" si="351"/>
        <v/>
      </c>
    </row>
    <row r="7112" spans="9:14" x14ac:dyDescent="0.25">
      <c r="I7112" s="11" t="b">
        <f t="shared" si="349"/>
        <v>0</v>
      </c>
      <c r="M7112" s="17" t="str">
        <f t="shared" si="350"/>
        <v/>
      </c>
      <c r="N7112" s="11" t="str">
        <f t="shared" si="351"/>
        <v/>
      </c>
    </row>
    <row r="7113" spans="9:14" x14ac:dyDescent="0.25">
      <c r="I7113" s="11" t="b">
        <f t="shared" si="349"/>
        <v>0</v>
      </c>
      <c r="M7113" s="17" t="str">
        <f t="shared" si="350"/>
        <v/>
      </c>
      <c r="N7113" s="11" t="str">
        <f t="shared" si="351"/>
        <v/>
      </c>
    </row>
    <row r="7114" spans="9:14" x14ac:dyDescent="0.25">
      <c r="I7114" s="11" t="b">
        <f t="shared" si="349"/>
        <v>0</v>
      </c>
      <c r="M7114" s="17" t="str">
        <f t="shared" si="350"/>
        <v/>
      </c>
      <c r="N7114" s="11" t="str">
        <f t="shared" si="351"/>
        <v/>
      </c>
    </row>
    <row r="7115" spans="9:14" x14ac:dyDescent="0.25">
      <c r="I7115" s="11" t="b">
        <f t="shared" si="349"/>
        <v>0</v>
      </c>
      <c r="M7115" s="17" t="str">
        <f t="shared" si="350"/>
        <v/>
      </c>
      <c r="N7115" s="11" t="str">
        <f t="shared" si="351"/>
        <v/>
      </c>
    </row>
    <row r="7116" spans="9:14" x14ac:dyDescent="0.25">
      <c r="I7116" s="11" t="b">
        <f t="shared" si="349"/>
        <v>0</v>
      </c>
      <c r="M7116" s="17" t="str">
        <f t="shared" si="350"/>
        <v/>
      </c>
      <c r="N7116" s="11" t="str">
        <f t="shared" si="351"/>
        <v/>
      </c>
    </row>
    <row r="7117" spans="9:14" x14ac:dyDescent="0.25">
      <c r="I7117" s="11" t="b">
        <f t="shared" si="349"/>
        <v>0</v>
      </c>
      <c r="M7117" s="17" t="str">
        <f t="shared" si="350"/>
        <v/>
      </c>
      <c r="N7117" s="11" t="str">
        <f t="shared" si="351"/>
        <v/>
      </c>
    </row>
    <row r="7118" spans="9:14" x14ac:dyDescent="0.25">
      <c r="I7118" s="11" t="b">
        <f t="shared" si="349"/>
        <v>0</v>
      </c>
      <c r="M7118" s="17" t="str">
        <f t="shared" si="350"/>
        <v/>
      </c>
      <c r="N7118" s="11" t="str">
        <f t="shared" si="351"/>
        <v/>
      </c>
    </row>
    <row r="7119" spans="9:14" x14ac:dyDescent="0.25">
      <c r="I7119" s="11" t="b">
        <f t="shared" si="349"/>
        <v>0</v>
      </c>
      <c r="M7119" s="17" t="str">
        <f t="shared" si="350"/>
        <v/>
      </c>
      <c r="N7119" s="11" t="str">
        <f t="shared" si="351"/>
        <v/>
      </c>
    </row>
    <row r="7120" spans="9:14" x14ac:dyDescent="0.25">
      <c r="I7120" s="11" t="b">
        <f t="shared" si="349"/>
        <v>0</v>
      </c>
      <c r="M7120" s="17" t="str">
        <f t="shared" si="350"/>
        <v/>
      </c>
      <c r="N7120" s="11" t="str">
        <f t="shared" si="351"/>
        <v/>
      </c>
    </row>
    <row r="7121" spans="9:14" x14ac:dyDescent="0.25">
      <c r="I7121" s="11" t="b">
        <f t="shared" si="349"/>
        <v>0</v>
      </c>
      <c r="M7121" s="17" t="str">
        <f t="shared" si="350"/>
        <v/>
      </c>
      <c r="N7121" s="11" t="str">
        <f t="shared" si="351"/>
        <v/>
      </c>
    </row>
    <row r="7122" spans="9:14" x14ac:dyDescent="0.25">
      <c r="I7122" s="11" t="b">
        <f t="shared" si="349"/>
        <v>0</v>
      </c>
      <c r="M7122" s="17" t="str">
        <f t="shared" si="350"/>
        <v/>
      </c>
      <c r="N7122" s="11" t="str">
        <f t="shared" si="351"/>
        <v/>
      </c>
    </row>
    <row r="7123" spans="9:14" x14ac:dyDescent="0.25">
      <c r="I7123" s="11" t="b">
        <f t="shared" si="349"/>
        <v>0</v>
      </c>
      <c r="M7123" s="17" t="str">
        <f t="shared" si="350"/>
        <v/>
      </c>
      <c r="N7123" s="11" t="str">
        <f t="shared" si="351"/>
        <v/>
      </c>
    </row>
    <row r="7124" spans="9:14" x14ac:dyDescent="0.25">
      <c r="I7124" s="11" t="b">
        <f t="shared" si="349"/>
        <v>0</v>
      </c>
      <c r="M7124" s="17" t="str">
        <f t="shared" si="350"/>
        <v/>
      </c>
      <c r="N7124" s="11" t="str">
        <f t="shared" si="351"/>
        <v/>
      </c>
    </row>
    <row r="7125" spans="9:14" x14ac:dyDescent="0.25">
      <c r="I7125" s="11" t="b">
        <f t="shared" si="349"/>
        <v>0</v>
      </c>
      <c r="M7125" s="17" t="str">
        <f t="shared" si="350"/>
        <v/>
      </c>
      <c r="N7125" s="11" t="str">
        <f t="shared" si="351"/>
        <v/>
      </c>
    </row>
    <row r="7126" spans="9:14" x14ac:dyDescent="0.25">
      <c r="I7126" s="11" t="b">
        <f t="shared" si="349"/>
        <v>0</v>
      </c>
      <c r="M7126" s="17" t="str">
        <f t="shared" si="350"/>
        <v/>
      </c>
      <c r="N7126" s="11" t="str">
        <f t="shared" si="351"/>
        <v/>
      </c>
    </row>
    <row r="7127" spans="9:14" x14ac:dyDescent="0.25">
      <c r="I7127" s="11" t="b">
        <f t="shared" si="349"/>
        <v>0</v>
      </c>
      <c r="M7127" s="17" t="str">
        <f t="shared" si="350"/>
        <v/>
      </c>
      <c r="N7127" s="11" t="str">
        <f t="shared" si="351"/>
        <v/>
      </c>
    </row>
    <row r="7128" spans="9:14" x14ac:dyDescent="0.25">
      <c r="I7128" s="11" t="b">
        <f t="shared" si="349"/>
        <v>0</v>
      </c>
      <c r="M7128" s="17" t="str">
        <f t="shared" si="350"/>
        <v/>
      </c>
      <c r="N7128" s="11" t="str">
        <f t="shared" si="351"/>
        <v/>
      </c>
    </row>
    <row r="7129" spans="9:14" x14ac:dyDescent="0.25">
      <c r="I7129" s="11" t="b">
        <f t="shared" si="349"/>
        <v>0</v>
      </c>
      <c r="M7129" s="17" t="str">
        <f t="shared" si="350"/>
        <v/>
      </c>
      <c r="N7129" s="11" t="str">
        <f t="shared" si="351"/>
        <v/>
      </c>
    </row>
    <row r="7130" spans="9:14" x14ac:dyDescent="0.25">
      <c r="I7130" s="11" t="b">
        <f t="shared" si="349"/>
        <v>0</v>
      </c>
      <c r="M7130" s="17" t="str">
        <f t="shared" si="350"/>
        <v/>
      </c>
      <c r="N7130" s="11" t="str">
        <f t="shared" si="351"/>
        <v/>
      </c>
    </row>
    <row r="7131" spans="9:14" x14ac:dyDescent="0.25">
      <c r="I7131" s="11" t="b">
        <f t="shared" si="349"/>
        <v>0</v>
      </c>
      <c r="M7131" s="17" t="str">
        <f t="shared" si="350"/>
        <v/>
      </c>
      <c r="N7131" s="11" t="str">
        <f t="shared" si="351"/>
        <v/>
      </c>
    </row>
    <row r="7132" spans="9:14" x14ac:dyDescent="0.25">
      <c r="I7132" s="11" t="b">
        <f t="shared" si="349"/>
        <v>0</v>
      </c>
      <c r="M7132" s="17" t="str">
        <f t="shared" si="350"/>
        <v/>
      </c>
      <c r="N7132" s="11" t="str">
        <f t="shared" si="351"/>
        <v/>
      </c>
    </row>
    <row r="7133" spans="9:14" x14ac:dyDescent="0.25">
      <c r="I7133" s="11" t="b">
        <f t="shared" ref="I7133:I7196" si="352">IF(AND(G7133="MERCADO PAGO",A7133="FATURAMENTO"),1,IF(AND(OR(G7133="MERCADO PAGO",G7133="pix mercado pago",G7133= "débito automático mercado pago", G7133= "boleto mercado pago"),A7133="DESPESAS"),4,IF(AND(G7133="SAFRA",A7133="FATURAMENTO"),2,IF(AND(OR(G7133="SAFRA",G7133="PIX SAFRA", G7133="DÉBITO AUTOMÁTICO SAFRA", G7133= "BOLETO SAFRA", G7133= "transferência safra"), A7133="DESPESAS"),5,IF(AND(G7133="espécie",A7133="FATURAMENTO"),3,IF(AND(G7133="espécie",A7133="DESPESAS"),6))))))</f>
        <v>0</v>
      </c>
      <c r="M7133" s="17" t="str">
        <f t="shared" si="350"/>
        <v/>
      </c>
      <c r="N7133" s="11" t="str">
        <f t="shared" si="351"/>
        <v/>
      </c>
    </row>
    <row r="7134" spans="9:14" x14ac:dyDescent="0.25">
      <c r="I7134" s="11" t="b">
        <f t="shared" si="352"/>
        <v>0</v>
      </c>
      <c r="M7134" s="17" t="str">
        <f t="shared" si="350"/>
        <v/>
      </c>
      <c r="N7134" s="11" t="str">
        <f t="shared" si="351"/>
        <v/>
      </c>
    </row>
    <row r="7135" spans="9:14" x14ac:dyDescent="0.25">
      <c r="I7135" s="11" t="b">
        <f t="shared" si="352"/>
        <v>0</v>
      </c>
      <c r="M7135" s="17" t="str">
        <f t="shared" si="350"/>
        <v/>
      </c>
      <c r="N7135" s="11" t="str">
        <f t="shared" si="351"/>
        <v/>
      </c>
    </row>
    <row r="7136" spans="9:14" x14ac:dyDescent="0.25">
      <c r="I7136" s="11" t="b">
        <f t="shared" si="352"/>
        <v>0</v>
      </c>
      <c r="M7136" s="17" t="str">
        <f t="shared" si="350"/>
        <v/>
      </c>
      <c r="N7136" s="11" t="str">
        <f t="shared" si="351"/>
        <v/>
      </c>
    </row>
    <row r="7137" spans="9:14" x14ac:dyDescent="0.25">
      <c r="I7137" s="11" t="b">
        <f t="shared" si="352"/>
        <v>0</v>
      </c>
      <c r="M7137" s="17" t="str">
        <f t="shared" si="350"/>
        <v/>
      </c>
      <c r="N7137" s="11" t="str">
        <f t="shared" si="351"/>
        <v/>
      </c>
    </row>
    <row r="7138" spans="9:14" x14ac:dyDescent="0.25">
      <c r="I7138" s="11" t="b">
        <f t="shared" si="352"/>
        <v>0</v>
      </c>
      <c r="M7138" s="17" t="str">
        <f t="shared" si="350"/>
        <v/>
      </c>
      <c r="N7138" s="11" t="str">
        <f t="shared" si="351"/>
        <v/>
      </c>
    </row>
    <row r="7139" spans="9:14" x14ac:dyDescent="0.25">
      <c r="I7139" s="11" t="b">
        <f t="shared" si="352"/>
        <v>0</v>
      </c>
      <c r="M7139" s="17" t="str">
        <f t="shared" si="350"/>
        <v/>
      </c>
      <c r="N7139" s="11" t="str">
        <f t="shared" si="351"/>
        <v/>
      </c>
    </row>
    <row r="7140" spans="9:14" x14ac:dyDescent="0.25">
      <c r="I7140" s="11" t="b">
        <f t="shared" si="352"/>
        <v>0</v>
      </c>
      <c r="M7140" s="17" t="str">
        <f t="shared" si="350"/>
        <v/>
      </c>
      <c r="N7140" s="11" t="str">
        <f t="shared" si="351"/>
        <v/>
      </c>
    </row>
    <row r="7141" spans="9:14" x14ac:dyDescent="0.25">
      <c r="I7141" s="11" t="b">
        <f t="shared" si="352"/>
        <v>0</v>
      </c>
      <c r="M7141" s="17" t="str">
        <f t="shared" si="350"/>
        <v/>
      </c>
      <c r="N7141" s="11" t="str">
        <f t="shared" si="351"/>
        <v/>
      </c>
    </row>
    <row r="7142" spans="9:14" x14ac:dyDescent="0.25">
      <c r="I7142" s="11" t="b">
        <f t="shared" si="352"/>
        <v>0</v>
      </c>
      <c r="M7142" s="17" t="str">
        <f t="shared" si="350"/>
        <v/>
      </c>
      <c r="N7142" s="11" t="str">
        <f t="shared" si="351"/>
        <v/>
      </c>
    </row>
    <row r="7143" spans="9:14" x14ac:dyDescent="0.25">
      <c r="I7143" s="11" t="b">
        <f t="shared" si="352"/>
        <v>0</v>
      </c>
      <c r="M7143" s="17" t="str">
        <f t="shared" si="350"/>
        <v/>
      </c>
      <c r="N7143" s="11" t="str">
        <f t="shared" si="351"/>
        <v/>
      </c>
    </row>
    <row r="7144" spans="9:14" x14ac:dyDescent="0.25">
      <c r="I7144" s="11" t="b">
        <f t="shared" si="352"/>
        <v>0</v>
      </c>
      <c r="M7144" s="17" t="str">
        <f t="shared" si="350"/>
        <v/>
      </c>
      <c r="N7144" s="11" t="str">
        <f t="shared" si="351"/>
        <v/>
      </c>
    </row>
    <row r="7145" spans="9:14" x14ac:dyDescent="0.25">
      <c r="I7145" s="11" t="b">
        <f t="shared" si="352"/>
        <v>0</v>
      </c>
      <c r="M7145" s="17" t="str">
        <f t="shared" si="350"/>
        <v/>
      </c>
      <c r="N7145" s="11" t="str">
        <f t="shared" si="351"/>
        <v/>
      </c>
    </row>
    <row r="7146" spans="9:14" x14ac:dyDescent="0.25">
      <c r="I7146" s="11" t="b">
        <f t="shared" si="352"/>
        <v>0</v>
      </c>
      <c r="M7146" s="17" t="str">
        <f t="shared" si="350"/>
        <v/>
      </c>
      <c r="N7146" s="11" t="str">
        <f t="shared" si="351"/>
        <v/>
      </c>
    </row>
    <row r="7147" spans="9:14" x14ac:dyDescent="0.25">
      <c r="I7147" s="11" t="b">
        <f t="shared" si="352"/>
        <v>0</v>
      </c>
      <c r="M7147" s="17" t="str">
        <f t="shared" si="350"/>
        <v/>
      </c>
      <c r="N7147" s="11" t="str">
        <f t="shared" si="351"/>
        <v/>
      </c>
    </row>
    <row r="7148" spans="9:14" x14ac:dyDescent="0.25">
      <c r="I7148" s="11" t="b">
        <f t="shared" si="352"/>
        <v>0</v>
      </c>
      <c r="M7148" s="17" t="str">
        <f t="shared" si="350"/>
        <v/>
      </c>
      <c r="N7148" s="11" t="str">
        <f t="shared" si="351"/>
        <v/>
      </c>
    </row>
    <row r="7149" spans="9:14" x14ac:dyDescent="0.25">
      <c r="I7149" s="11" t="b">
        <f t="shared" si="352"/>
        <v>0</v>
      </c>
      <c r="M7149" s="17" t="str">
        <f t="shared" si="350"/>
        <v/>
      </c>
      <c r="N7149" s="11" t="str">
        <f t="shared" si="351"/>
        <v/>
      </c>
    </row>
    <row r="7150" spans="9:14" x14ac:dyDescent="0.25">
      <c r="I7150" s="11" t="b">
        <f t="shared" si="352"/>
        <v>0</v>
      </c>
      <c r="M7150" s="17" t="str">
        <f t="shared" si="350"/>
        <v/>
      </c>
      <c r="N7150" s="11" t="str">
        <f t="shared" si="351"/>
        <v/>
      </c>
    </row>
    <row r="7151" spans="9:14" x14ac:dyDescent="0.25">
      <c r="I7151" s="11" t="b">
        <f t="shared" si="352"/>
        <v>0</v>
      </c>
      <c r="M7151" s="17" t="str">
        <f t="shared" si="350"/>
        <v/>
      </c>
      <c r="N7151" s="11" t="str">
        <f t="shared" si="351"/>
        <v/>
      </c>
    </row>
    <row r="7152" spans="9:14" x14ac:dyDescent="0.25">
      <c r="I7152" s="11" t="b">
        <f t="shared" si="352"/>
        <v>0</v>
      </c>
      <c r="M7152" s="17" t="str">
        <f t="shared" si="350"/>
        <v/>
      </c>
      <c r="N7152" s="11" t="str">
        <f t="shared" si="351"/>
        <v/>
      </c>
    </row>
    <row r="7153" spans="9:14" x14ac:dyDescent="0.25">
      <c r="I7153" s="11" t="b">
        <f t="shared" si="352"/>
        <v>0</v>
      </c>
      <c r="M7153" s="17" t="str">
        <f t="shared" si="350"/>
        <v/>
      </c>
      <c r="N7153" s="11" t="str">
        <f t="shared" si="351"/>
        <v/>
      </c>
    </row>
    <row r="7154" spans="9:14" x14ac:dyDescent="0.25">
      <c r="I7154" s="11" t="b">
        <f t="shared" si="352"/>
        <v>0</v>
      </c>
      <c r="M7154" s="17" t="str">
        <f t="shared" si="350"/>
        <v/>
      </c>
      <c r="N7154" s="11" t="str">
        <f t="shared" si="351"/>
        <v/>
      </c>
    </row>
    <row r="7155" spans="9:14" x14ac:dyDescent="0.25">
      <c r="I7155" s="11" t="b">
        <f t="shared" si="352"/>
        <v>0</v>
      </c>
      <c r="M7155" s="17" t="str">
        <f t="shared" si="350"/>
        <v/>
      </c>
      <c r="N7155" s="11" t="str">
        <f t="shared" si="351"/>
        <v/>
      </c>
    </row>
    <row r="7156" spans="9:14" x14ac:dyDescent="0.25">
      <c r="I7156" s="11" t="b">
        <f t="shared" si="352"/>
        <v>0</v>
      </c>
      <c r="M7156" s="17" t="str">
        <f t="shared" si="350"/>
        <v/>
      </c>
      <c r="N7156" s="11" t="str">
        <f t="shared" si="351"/>
        <v/>
      </c>
    </row>
    <row r="7157" spans="9:14" x14ac:dyDescent="0.25">
      <c r="I7157" s="11" t="b">
        <f t="shared" si="352"/>
        <v>0</v>
      </c>
      <c r="M7157" s="17" t="str">
        <f t="shared" si="350"/>
        <v/>
      </c>
      <c r="N7157" s="11" t="str">
        <f t="shared" si="351"/>
        <v/>
      </c>
    </row>
    <row r="7158" spans="9:14" x14ac:dyDescent="0.25">
      <c r="I7158" s="11" t="b">
        <f t="shared" si="352"/>
        <v>0</v>
      </c>
      <c r="M7158" s="17" t="str">
        <f t="shared" si="350"/>
        <v/>
      </c>
      <c r="N7158" s="11" t="str">
        <f t="shared" si="351"/>
        <v/>
      </c>
    </row>
    <row r="7159" spans="9:14" x14ac:dyDescent="0.25">
      <c r="I7159" s="11" t="b">
        <f t="shared" si="352"/>
        <v>0</v>
      </c>
      <c r="M7159" s="17" t="str">
        <f t="shared" si="350"/>
        <v/>
      </c>
      <c r="N7159" s="11" t="str">
        <f t="shared" si="351"/>
        <v/>
      </c>
    </row>
    <row r="7160" spans="9:14" x14ac:dyDescent="0.25">
      <c r="I7160" s="11" t="b">
        <f t="shared" si="352"/>
        <v>0</v>
      </c>
      <c r="M7160" s="17" t="str">
        <f t="shared" si="350"/>
        <v/>
      </c>
      <c r="N7160" s="11" t="str">
        <f t="shared" si="351"/>
        <v/>
      </c>
    </row>
    <row r="7161" spans="9:14" x14ac:dyDescent="0.25">
      <c r="I7161" s="11" t="b">
        <f t="shared" si="352"/>
        <v>0</v>
      </c>
      <c r="M7161" s="17" t="str">
        <f t="shared" si="350"/>
        <v/>
      </c>
      <c r="N7161" s="11" t="str">
        <f t="shared" si="351"/>
        <v/>
      </c>
    </row>
    <row r="7162" spans="9:14" x14ac:dyDescent="0.25">
      <c r="I7162" s="11" t="b">
        <f t="shared" si="352"/>
        <v>0</v>
      </c>
      <c r="M7162" s="17" t="str">
        <f t="shared" si="350"/>
        <v/>
      </c>
      <c r="N7162" s="11" t="str">
        <f t="shared" si="351"/>
        <v/>
      </c>
    </row>
    <row r="7163" spans="9:14" x14ac:dyDescent="0.25">
      <c r="I7163" s="11" t="b">
        <f t="shared" si="352"/>
        <v>0</v>
      </c>
      <c r="M7163" s="17" t="str">
        <f t="shared" si="350"/>
        <v/>
      </c>
      <c r="N7163" s="11" t="str">
        <f t="shared" si="351"/>
        <v/>
      </c>
    </row>
    <row r="7164" spans="9:14" x14ac:dyDescent="0.25">
      <c r="I7164" s="11" t="b">
        <f t="shared" si="352"/>
        <v>0</v>
      </c>
      <c r="M7164" s="17" t="str">
        <f t="shared" si="350"/>
        <v/>
      </c>
      <c r="N7164" s="11" t="str">
        <f t="shared" si="351"/>
        <v/>
      </c>
    </row>
    <row r="7165" spans="9:14" x14ac:dyDescent="0.25">
      <c r="I7165" s="11" t="b">
        <f t="shared" si="352"/>
        <v>0</v>
      </c>
      <c r="M7165" s="17" t="str">
        <f t="shared" si="350"/>
        <v/>
      </c>
      <c r="N7165" s="11" t="str">
        <f t="shared" si="351"/>
        <v/>
      </c>
    </row>
    <row r="7166" spans="9:14" x14ac:dyDescent="0.25">
      <c r="I7166" s="11" t="b">
        <f t="shared" si="352"/>
        <v>0</v>
      </c>
      <c r="M7166" s="17" t="str">
        <f t="shared" si="350"/>
        <v/>
      </c>
      <c r="N7166" s="11" t="str">
        <f t="shared" si="351"/>
        <v/>
      </c>
    </row>
    <row r="7167" spans="9:14" x14ac:dyDescent="0.25">
      <c r="I7167" s="11" t="b">
        <f t="shared" si="352"/>
        <v>0</v>
      </c>
      <c r="M7167" s="17" t="str">
        <f t="shared" si="350"/>
        <v/>
      </c>
      <c r="N7167" s="11" t="str">
        <f t="shared" si="351"/>
        <v/>
      </c>
    </row>
    <row r="7168" spans="9:14" x14ac:dyDescent="0.25">
      <c r="I7168" s="11" t="b">
        <f t="shared" si="352"/>
        <v>0</v>
      </c>
      <c r="M7168" s="17" t="str">
        <f t="shared" si="350"/>
        <v/>
      </c>
      <c r="N7168" s="11" t="str">
        <f t="shared" si="351"/>
        <v/>
      </c>
    </row>
    <row r="7169" spans="9:14" x14ac:dyDescent="0.25">
      <c r="I7169" s="11" t="b">
        <f t="shared" si="352"/>
        <v>0</v>
      </c>
      <c r="M7169" s="17" t="str">
        <f t="shared" ref="M7169:M7232" si="353">IF(B7169=0, "",M7168+ J7169-K7169)</f>
        <v/>
      </c>
      <c r="N7169" s="11" t="str">
        <f t="shared" ref="N7169:N7232" si="354">IF(B7169=0, "", MONTH(B7169))</f>
        <v/>
      </c>
    </row>
    <row r="7170" spans="9:14" x14ac:dyDescent="0.25">
      <c r="I7170" s="11" t="b">
        <f t="shared" si="352"/>
        <v>0</v>
      </c>
      <c r="M7170" s="17" t="str">
        <f t="shared" si="353"/>
        <v/>
      </c>
      <c r="N7170" s="11" t="str">
        <f t="shared" si="354"/>
        <v/>
      </c>
    </row>
    <row r="7171" spans="9:14" x14ac:dyDescent="0.25">
      <c r="I7171" s="11" t="b">
        <f t="shared" si="352"/>
        <v>0</v>
      </c>
      <c r="M7171" s="17" t="str">
        <f t="shared" si="353"/>
        <v/>
      </c>
      <c r="N7171" s="11" t="str">
        <f t="shared" si="354"/>
        <v/>
      </c>
    </row>
    <row r="7172" spans="9:14" x14ac:dyDescent="0.25">
      <c r="I7172" s="11" t="b">
        <f t="shared" si="352"/>
        <v>0</v>
      </c>
      <c r="M7172" s="17" t="str">
        <f t="shared" si="353"/>
        <v/>
      </c>
      <c r="N7172" s="11" t="str">
        <f t="shared" si="354"/>
        <v/>
      </c>
    </row>
    <row r="7173" spans="9:14" x14ac:dyDescent="0.25">
      <c r="I7173" s="11" t="b">
        <f t="shared" si="352"/>
        <v>0</v>
      </c>
      <c r="M7173" s="17" t="str">
        <f t="shared" si="353"/>
        <v/>
      </c>
      <c r="N7173" s="11" t="str">
        <f t="shared" si="354"/>
        <v/>
      </c>
    </row>
    <row r="7174" spans="9:14" x14ac:dyDescent="0.25">
      <c r="I7174" s="11" t="b">
        <f t="shared" si="352"/>
        <v>0</v>
      </c>
      <c r="M7174" s="17" t="str">
        <f t="shared" si="353"/>
        <v/>
      </c>
      <c r="N7174" s="11" t="str">
        <f t="shared" si="354"/>
        <v/>
      </c>
    </row>
    <row r="7175" spans="9:14" x14ac:dyDescent="0.25">
      <c r="I7175" s="11" t="b">
        <f t="shared" si="352"/>
        <v>0</v>
      </c>
      <c r="M7175" s="17" t="str">
        <f t="shared" si="353"/>
        <v/>
      </c>
      <c r="N7175" s="11" t="str">
        <f t="shared" si="354"/>
        <v/>
      </c>
    </row>
    <row r="7176" spans="9:14" x14ac:dyDescent="0.25">
      <c r="I7176" s="11" t="b">
        <f t="shared" si="352"/>
        <v>0</v>
      </c>
      <c r="M7176" s="17" t="str">
        <f t="shared" si="353"/>
        <v/>
      </c>
      <c r="N7176" s="11" t="str">
        <f t="shared" si="354"/>
        <v/>
      </c>
    </row>
    <row r="7177" spans="9:14" x14ac:dyDescent="0.25">
      <c r="I7177" s="11" t="b">
        <f t="shared" si="352"/>
        <v>0</v>
      </c>
      <c r="M7177" s="17" t="str">
        <f t="shared" si="353"/>
        <v/>
      </c>
      <c r="N7177" s="11" t="str">
        <f t="shared" si="354"/>
        <v/>
      </c>
    </row>
    <row r="7178" spans="9:14" x14ac:dyDescent="0.25">
      <c r="I7178" s="11" t="b">
        <f t="shared" si="352"/>
        <v>0</v>
      </c>
      <c r="M7178" s="17" t="str">
        <f t="shared" si="353"/>
        <v/>
      </c>
      <c r="N7178" s="11" t="str">
        <f t="shared" si="354"/>
        <v/>
      </c>
    </row>
    <row r="7179" spans="9:14" x14ac:dyDescent="0.25">
      <c r="I7179" s="11" t="b">
        <f t="shared" si="352"/>
        <v>0</v>
      </c>
      <c r="M7179" s="17" t="str">
        <f t="shared" si="353"/>
        <v/>
      </c>
      <c r="N7179" s="11" t="str">
        <f t="shared" si="354"/>
        <v/>
      </c>
    </row>
    <row r="7180" spans="9:14" x14ac:dyDescent="0.25">
      <c r="I7180" s="11" t="b">
        <f t="shared" si="352"/>
        <v>0</v>
      </c>
      <c r="M7180" s="17" t="str">
        <f t="shared" si="353"/>
        <v/>
      </c>
      <c r="N7180" s="11" t="str">
        <f t="shared" si="354"/>
        <v/>
      </c>
    </row>
    <row r="7181" spans="9:14" x14ac:dyDescent="0.25">
      <c r="I7181" s="11" t="b">
        <f t="shared" si="352"/>
        <v>0</v>
      </c>
      <c r="M7181" s="17" t="str">
        <f t="shared" si="353"/>
        <v/>
      </c>
      <c r="N7181" s="11" t="str">
        <f t="shared" si="354"/>
        <v/>
      </c>
    </row>
    <row r="7182" spans="9:14" x14ac:dyDescent="0.25">
      <c r="I7182" s="11" t="b">
        <f t="shared" si="352"/>
        <v>0</v>
      </c>
      <c r="M7182" s="17" t="str">
        <f t="shared" si="353"/>
        <v/>
      </c>
      <c r="N7182" s="11" t="str">
        <f t="shared" si="354"/>
        <v/>
      </c>
    </row>
    <row r="7183" spans="9:14" x14ac:dyDescent="0.25">
      <c r="I7183" s="11" t="b">
        <f t="shared" si="352"/>
        <v>0</v>
      </c>
      <c r="M7183" s="17" t="str">
        <f t="shared" si="353"/>
        <v/>
      </c>
      <c r="N7183" s="11" t="str">
        <f t="shared" si="354"/>
        <v/>
      </c>
    </row>
    <row r="7184" spans="9:14" x14ac:dyDescent="0.25">
      <c r="I7184" s="11" t="b">
        <f t="shared" si="352"/>
        <v>0</v>
      </c>
      <c r="M7184" s="17" t="str">
        <f t="shared" si="353"/>
        <v/>
      </c>
      <c r="N7184" s="11" t="str">
        <f t="shared" si="354"/>
        <v/>
      </c>
    </row>
    <row r="7185" spans="9:14" x14ac:dyDescent="0.25">
      <c r="I7185" s="11" t="b">
        <f t="shared" si="352"/>
        <v>0</v>
      </c>
      <c r="M7185" s="17" t="str">
        <f t="shared" si="353"/>
        <v/>
      </c>
      <c r="N7185" s="11" t="str">
        <f t="shared" si="354"/>
        <v/>
      </c>
    </row>
    <row r="7186" spans="9:14" x14ac:dyDescent="0.25">
      <c r="I7186" s="11" t="b">
        <f t="shared" si="352"/>
        <v>0</v>
      </c>
      <c r="M7186" s="17" t="str">
        <f t="shared" si="353"/>
        <v/>
      </c>
      <c r="N7186" s="11" t="str">
        <f t="shared" si="354"/>
        <v/>
      </c>
    </row>
    <row r="7187" spans="9:14" x14ac:dyDescent="0.25">
      <c r="I7187" s="11" t="b">
        <f t="shared" si="352"/>
        <v>0</v>
      </c>
      <c r="M7187" s="17" t="str">
        <f t="shared" si="353"/>
        <v/>
      </c>
      <c r="N7187" s="11" t="str">
        <f t="shared" si="354"/>
        <v/>
      </c>
    </row>
    <row r="7188" spans="9:14" x14ac:dyDescent="0.25">
      <c r="I7188" s="11" t="b">
        <f t="shared" si="352"/>
        <v>0</v>
      </c>
      <c r="M7188" s="17" t="str">
        <f t="shared" si="353"/>
        <v/>
      </c>
      <c r="N7188" s="11" t="str">
        <f t="shared" si="354"/>
        <v/>
      </c>
    </row>
    <row r="7189" spans="9:14" x14ac:dyDescent="0.25">
      <c r="I7189" s="11" t="b">
        <f t="shared" si="352"/>
        <v>0</v>
      </c>
      <c r="M7189" s="17" t="str">
        <f t="shared" si="353"/>
        <v/>
      </c>
      <c r="N7189" s="11" t="str">
        <f t="shared" si="354"/>
        <v/>
      </c>
    </row>
    <row r="7190" spans="9:14" x14ac:dyDescent="0.25">
      <c r="I7190" s="11" t="b">
        <f t="shared" si="352"/>
        <v>0</v>
      </c>
      <c r="M7190" s="17" t="str">
        <f t="shared" si="353"/>
        <v/>
      </c>
      <c r="N7190" s="11" t="str">
        <f t="shared" si="354"/>
        <v/>
      </c>
    </row>
    <row r="7191" spans="9:14" x14ac:dyDescent="0.25">
      <c r="I7191" s="11" t="b">
        <f t="shared" si="352"/>
        <v>0</v>
      </c>
      <c r="M7191" s="17" t="str">
        <f t="shared" si="353"/>
        <v/>
      </c>
      <c r="N7191" s="11" t="str">
        <f t="shared" si="354"/>
        <v/>
      </c>
    </row>
    <row r="7192" spans="9:14" x14ac:dyDescent="0.25">
      <c r="I7192" s="11" t="b">
        <f t="shared" si="352"/>
        <v>0</v>
      </c>
      <c r="M7192" s="17" t="str">
        <f t="shared" si="353"/>
        <v/>
      </c>
      <c r="N7192" s="11" t="str">
        <f t="shared" si="354"/>
        <v/>
      </c>
    </row>
    <row r="7193" spans="9:14" x14ac:dyDescent="0.25">
      <c r="I7193" s="11" t="b">
        <f t="shared" si="352"/>
        <v>0</v>
      </c>
      <c r="M7193" s="17" t="str">
        <f t="shared" si="353"/>
        <v/>
      </c>
      <c r="N7193" s="11" t="str">
        <f t="shared" si="354"/>
        <v/>
      </c>
    </row>
    <row r="7194" spans="9:14" x14ac:dyDescent="0.25">
      <c r="I7194" s="11" t="b">
        <f t="shared" si="352"/>
        <v>0</v>
      </c>
      <c r="M7194" s="17" t="str">
        <f t="shared" si="353"/>
        <v/>
      </c>
      <c r="N7194" s="11" t="str">
        <f t="shared" si="354"/>
        <v/>
      </c>
    </row>
    <row r="7195" spans="9:14" x14ac:dyDescent="0.25">
      <c r="I7195" s="11" t="b">
        <f t="shared" si="352"/>
        <v>0</v>
      </c>
      <c r="M7195" s="17" t="str">
        <f t="shared" si="353"/>
        <v/>
      </c>
      <c r="N7195" s="11" t="str">
        <f t="shared" si="354"/>
        <v/>
      </c>
    </row>
    <row r="7196" spans="9:14" x14ac:dyDescent="0.25">
      <c r="I7196" s="11" t="b">
        <f t="shared" si="352"/>
        <v>0</v>
      </c>
      <c r="M7196" s="17" t="str">
        <f t="shared" si="353"/>
        <v/>
      </c>
      <c r="N7196" s="11" t="str">
        <f t="shared" si="354"/>
        <v/>
      </c>
    </row>
    <row r="7197" spans="9:14" x14ac:dyDescent="0.25">
      <c r="I7197" s="11" t="b">
        <f t="shared" ref="I7197:I7260" si="355">IF(AND(G7197="MERCADO PAGO",A7197="FATURAMENTO"),1,IF(AND(OR(G7197="MERCADO PAGO",G7197="pix mercado pago",G7197= "débito automático mercado pago", G7197= "boleto mercado pago"),A7197="DESPESAS"),4,IF(AND(G7197="SAFRA",A7197="FATURAMENTO"),2,IF(AND(OR(G7197="SAFRA",G7197="PIX SAFRA", G7197="DÉBITO AUTOMÁTICO SAFRA", G7197= "BOLETO SAFRA", G7197= "transferência safra"), A7197="DESPESAS"),5,IF(AND(G7197="espécie",A7197="FATURAMENTO"),3,IF(AND(G7197="espécie",A7197="DESPESAS"),6))))))</f>
        <v>0</v>
      </c>
      <c r="M7197" s="17" t="str">
        <f t="shared" si="353"/>
        <v/>
      </c>
      <c r="N7197" s="11" t="str">
        <f t="shared" si="354"/>
        <v/>
      </c>
    </row>
    <row r="7198" spans="9:14" x14ac:dyDescent="0.25">
      <c r="I7198" s="11" t="b">
        <f t="shared" si="355"/>
        <v>0</v>
      </c>
      <c r="M7198" s="17" t="str">
        <f t="shared" si="353"/>
        <v/>
      </c>
      <c r="N7198" s="11" t="str">
        <f t="shared" si="354"/>
        <v/>
      </c>
    </row>
    <row r="7199" spans="9:14" x14ac:dyDescent="0.25">
      <c r="I7199" s="11" t="b">
        <f t="shared" si="355"/>
        <v>0</v>
      </c>
      <c r="M7199" s="17" t="str">
        <f t="shared" si="353"/>
        <v/>
      </c>
      <c r="N7199" s="11" t="str">
        <f t="shared" si="354"/>
        <v/>
      </c>
    </row>
    <row r="7200" spans="9:14" x14ac:dyDescent="0.25">
      <c r="I7200" s="11" t="b">
        <f t="shared" si="355"/>
        <v>0</v>
      </c>
      <c r="M7200" s="17" t="str">
        <f t="shared" si="353"/>
        <v/>
      </c>
      <c r="N7200" s="11" t="str">
        <f t="shared" si="354"/>
        <v/>
      </c>
    </row>
    <row r="7201" spans="9:14" x14ac:dyDescent="0.25">
      <c r="I7201" s="11" t="b">
        <f t="shared" si="355"/>
        <v>0</v>
      </c>
      <c r="M7201" s="17" t="str">
        <f t="shared" si="353"/>
        <v/>
      </c>
      <c r="N7201" s="11" t="str">
        <f t="shared" si="354"/>
        <v/>
      </c>
    </row>
    <row r="7202" spans="9:14" x14ac:dyDescent="0.25">
      <c r="I7202" s="11" t="b">
        <f t="shared" si="355"/>
        <v>0</v>
      </c>
      <c r="M7202" s="17" t="str">
        <f t="shared" si="353"/>
        <v/>
      </c>
      <c r="N7202" s="11" t="str">
        <f t="shared" si="354"/>
        <v/>
      </c>
    </row>
    <row r="7203" spans="9:14" x14ac:dyDescent="0.25">
      <c r="I7203" s="11" t="b">
        <f t="shared" si="355"/>
        <v>0</v>
      </c>
      <c r="M7203" s="17" t="str">
        <f t="shared" si="353"/>
        <v/>
      </c>
      <c r="N7203" s="11" t="str">
        <f t="shared" si="354"/>
        <v/>
      </c>
    </row>
    <row r="7204" spans="9:14" x14ac:dyDescent="0.25">
      <c r="I7204" s="11" t="b">
        <f t="shared" si="355"/>
        <v>0</v>
      </c>
      <c r="M7204" s="17" t="str">
        <f t="shared" si="353"/>
        <v/>
      </c>
      <c r="N7204" s="11" t="str">
        <f t="shared" si="354"/>
        <v/>
      </c>
    </row>
    <row r="7205" spans="9:14" x14ac:dyDescent="0.25">
      <c r="I7205" s="11" t="b">
        <f t="shared" si="355"/>
        <v>0</v>
      </c>
      <c r="M7205" s="17" t="str">
        <f t="shared" si="353"/>
        <v/>
      </c>
      <c r="N7205" s="11" t="str">
        <f t="shared" si="354"/>
        <v/>
      </c>
    </row>
    <row r="7206" spans="9:14" x14ac:dyDescent="0.25">
      <c r="I7206" s="11" t="b">
        <f t="shared" si="355"/>
        <v>0</v>
      </c>
      <c r="M7206" s="17" t="str">
        <f t="shared" si="353"/>
        <v/>
      </c>
      <c r="N7206" s="11" t="str">
        <f t="shared" si="354"/>
        <v/>
      </c>
    </row>
    <row r="7207" spans="9:14" x14ac:dyDescent="0.25">
      <c r="I7207" s="11" t="b">
        <f t="shared" si="355"/>
        <v>0</v>
      </c>
      <c r="M7207" s="17" t="str">
        <f t="shared" si="353"/>
        <v/>
      </c>
      <c r="N7207" s="11" t="str">
        <f t="shared" si="354"/>
        <v/>
      </c>
    </row>
    <row r="7208" spans="9:14" x14ac:dyDescent="0.25">
      <c r="I7208" s="11" t="b">
        <f t="shared" si="355"/>
        <v>0</v>
      </c>
      <c r="M7208" s="17" t="str">
        <f t="shared" si="353"/>
        <v/>
      </c>
      <c r="N7208" s="11" t="str">
        <f t="shared" si="354"/>
        <v/>
      </c>
    </row>
    <row r="7209" spans="9:14" x14ac:dyDescent="0.25">
      <c r="I7209" s="11" t="b">
        <f t="shared" si="355"/>
        <v>0</v>
      </c>
      <c r="M7209" s="17" t="str">
        <f t="shared" si="353"/>
        <v/>
      </c>
      <c r="N7209" s="11" t="str">
        <f t="shared" si="354"/>
        <v/>
      </c>
    </row>
    <row r="7210" spans="9:14" x14ac:dyDescent="0.25">
      <c r="I7210" s="11" t="b">
        <f t="shared" si="355"/>
        <v>0</v>
      </c>
      <c r="M7210" s="17" t="str">
        <f t="shared" si="353"/>
        <v/>
      </c>
      <c r="N7210" s="11" t="str">
        <f t="shared" si="354"/>
        <v/>
      </c>
    </row>
    <row r="7211" spans="9:14" x14ac:dyDescent="0.25">
      <c r="I7211" s="11" t="b">
        <f t="shared" si="355"/>
        <v>0</v>
      </c>
      <c r="M7211" s="17" t="str">
        <f t="shared" si="353"/>
        <v/>
      </c>
      <c r="N7211" s="11" t="str">
        <f t="shared" si="354"/>
        <v/>
      </c>
    </row>
    <row r="7212" spans="9:14" x14ac:dyDescent="0.25">
      <c r="I7212" s="11" t="b">
        <f t="shared" si="355"/>
        <v>0</v>
      </c>
      <c r="M7212" s="17" t="str">
        <f t="shared" si="353"/>
        <v/>
      </c>
      <c r="N7212" s="11" t="str">
        <f t="shared" si="354"/>
        <v/>
      </c>
    </row>
    <row r="7213" spans="9:14" x14ac:dyDescent="0.25">
      <c r="I7213" s="11" t="b">
        <f t="shared" si="355"/>
        <v>0</v>
      </c>
      <c r="M7213" s="17" t="str">
        <f t="shared" si="353"/>
        <v/>
      </c>
      <c r="N7213" s="11" t="str">
        <f t="shared" si="354"/>
        <v/>
      </c>
    </row>
    <row r="7214" spans="9:14" x14ac:dyDescent="0.25">
      <c r="I7214" s="11" t="b">
        <f t="shared" si="355"/>
        <v>0</v>
      </c>
      <c r="M7214" s="17" t="str">
        <f t="shared" si="353"/>
        <v/>
      </c>
      <c r="N7214" s="11" t="str">
        <f t="shared" si="354"/>
        <v/>
      </c>
    </row>
    <row r="7215" spans="9:14" x14ac:dyDescent="0.25">
      <c r="I7215" s="11" t="b">
        <f t="shared" si="355"/>
        <v>0</v>
      </c>
      <c r="M7215" s="17" t="str">
        <f t="shared" si="353"/>
        <v/>
      </c>
      <c r="N7215" s="11" t="str">
        <f t="shared" si="354"/>
        <v/>
      </c>
    </row>
    <row r="7216" spans="9:14" x14ac:dyDescent="0.25">
      <c r="I7216" s="11" t="b">
        <f t="shared" si="355"/>
        <v>0</v>
      </c>
      <c r="M7216" s="17" t="str">
        <f t="shared" si="353"/>
        <v/>
      </c>
      <c r="N7216" s="11" t="str">
        <f t="shared" si="354"/>
        <v/>
      </c>
    </row>
    <row r="7217" spans="9:14" x14ac:dyDescent="0.25">
      <c r="I7217" s="11" t="b">
        <f t="shared" si="355"/>
        <v>0</v>
      </c>
      <c r="M7217" s="17" t="str">
        <f t="shared" si="353"/>
        <v/>
      </c>
      <c r="N7217" s="11" t="str">
        <f t="shared" si="354"/>
        <v/>
      </c>
    </row>
    <row r="7218" spans="9:14" x14ac:dyDescent="0.25">
      <c r="I7218" s="11" t="b">
        <f t="shared" si="355"/>
        <v>0</v>
      </c>
      <c r="M7218" s="17" t="str">
        <f t="shared" si="353"/>
        <v/>
      </c>
      <c r="N7218" s="11" t="str">
        <f t="shared" si="354"/>
        <v/>
      </c>
    </row>
    <row r="7219" spans="9:14" x14ac:dyDescent="0.25">
      <c r="I7219" s="11" t="b">
        <f t="shared" si="355"/>
        <v>0</v>
      </c>
      <c r="M7219" s="17" t="str">
        <f t="shared" si="353"/>
        <v/>
      </c>
      <c r="N7219" s="11" t="str">
        <f t="shared" si="354"/>
        <v/>
      </c>
    </row>
    <row r="7220" spans="9:14" x14ac:dyDescent="0.25">
      <c r="I7220" s="11" t="b">
        <f t="shared" si="355"/>
        <v>0</v>
      </c>
      <c r="M7220" s="17" t="str">
        <f t="shared" si="353"/>
        <v/>
      </c>
      <c r="N7220" s="11" t="str">
        <f t="shared" si="354"/>
        <v/>
      </c>
    </row>
    <row r="7221" spans="9:14" x14ac:dyDescent="0.25">
      <c r="I7221" s="11" t="b">
        <f t="shared" si="355"/>
        <v>0</v>
      </c>
      <c r="M7221" s="17" t="str">
        <f t="shared" si="353"/>
        <v/>
      </c>
      <c r="N7221" s="11" t="str">
        <f t="shared" si="354"/>
        <v/>
      </c>
    </row>
    <row r="7222" spans="9:14" x14ac:dyDescent="0.25">
      <c r="I7222" s="11" t="b">
        <f t="shared" si="355"/>
        <v>0</v>
      </c>
      <c r="M7222" s="17" t="str">
        <f t="shared" si="353"/>
        <v/>
      </c>
      <c r="N7222" s="11" t="str">
        <f t="shared" si="354"/>
        <v/>
      </c>
    </row>
    <row r="7223" spans="9:14" x14ac:dyDescent="0.25">
      <c r="I7223" s="11" t="b">
        <f t="shared" si="355"/>
        <v>0</v>
      </c>
      <c r="M7223" s="17" t="str">
        <f t="shared" si="353"/>
        <v/>
      </c>
      <c r="N7223" s="11" t="str">
        <f t="shared" si="354"/>
        <v/>
      </c>
    </row>
    <row r="7224" spans="9:14" x14ac:dyDescent="0.25">
      <c r="I7224" s="11" t="b">
        <f t="shared" si="355"/>
        <v>0</v>
      </c>
      <c r="M7224" s="17" t="str">
        <f t="shared" si="353"/>
        <v/>
      </c>
      <c r="N7224" s="11" t="str">
        <f t="shared" si="354"/>
        <v/>
      </c>
    </row>
    <row r="7225" spans="9:14" x14ac:dyDescent="0.25">
      <c r="I7225" s="11" t="b">
        <f t="shared" si="355"/>
        <v>0</v>
      </c>
      <c r="M7225" s="17" t="str">
        <f t="shared" si="353"/>
        <v/>
      </c>
      <c r="N7225" s="11" t="str">
        <f t="shared" si="354"/>
        <v/>
      </c>
    </row>
    <row r="7226" spans="9:14" x14ac:dyDescent="0.25">
      <c r="I7226" s="11" t="b">
        <f t="shared" si="355"/>
        <v>0</v>
      </c>
      <c r="M7226" s="17" t="str">
        <f t="shared" si="353"/>
        <v/>
      </c>
      <c r="N7226" s="11" t="str">
        <f t="shared" si="354"/>
        <v/>
      </c>
    </row>
    <row r="7227" spans="9:14" x14ac:dyDescent="0.25">
      <c r="I7227" s="11" t="b">
        <f t="shared" si="355"/>
        <v>0</v>
      </c>
      <c r="M7227" s="17" t="str">
        <f t="shared" si="353"/>
        <v/>
      </c>
      <c r="N7227" s="11" t="str">
        <f t="shared" si="354"/>
        <v/>
      </c>
    </row>
    <row r="7228" spans="9:14" x14ac:dyDescent="0.25">
      <c r="I7228" s="11" t="b">
        <f t="shared" si="355"/>
        <v>0</v>
      </c>
      <c r="M7228" s="17" t="str">
        <f t="shared" si="353"/>
        <v/>
      </c>
      <c r="N7228" s="11" t="str">
        <f t="shared" si="354"/>
        <v/>
      </c>
    </row>
    <row r="7229" spans="9:14" x14ac:dyDescent="0.25">
      <c r="I7229" s="11" t="b">
        <f t="shared" si="355"/>
        <v>0</v>
      </c>
      <c r="M7229" s="17" t="str">
        <f t="shared" si="353"/>
        <v/>
      </c>
      <c r="N7229" s="11" t="str">
        <f t="shared" si="354"/>
        <v/>
      </c>
    </row>
    <row r="7230" spans="9:14" x14ac:dyDescent="0.25">
      <c r="I7230" s="11" t="b">
        <f t="shared" si="355"/>
        <v>0</v>
      </c>
      <c r="M7230" s="17" t="str">
        <f t="shared" si="353"/>
        <v/>
      </c>
      <c r="N7230" s="11" t="str">
        <f t="shared" si="354"/>
        <v/>
      </c>
    </row>
    <row r="7231" spans="9:14" x14ac:dyDescent="0.25">
      <c r="I7231" s="11" t="b">
        <f t="shared" si="355"/>
        <v>0</v>
      </c>
      <c r="M7231" s="17" t="str">
        <f t="shared" si="353"/>
        <v/>
      </c>
      <c r="N7231" s="11" t="str">
        <f t="shared" si="354"/>
        <v/>
      </c>
    </row>
    <row r="7232" spans="9:14" x14ac:dyDescent="0.25">
      <c r="I7232" s="11" t="b">
        <f t="shared" si="355"/>
        <v>0</v>
      </c>
      <c r="M7232" s="17" t="str">
        <f t="shared" si="353"/>
        <v/>
      </c>
      <c r="N7232" s="11" t="str">
        <f t="shared" si="354"/>
        <v/>
      </c>
    </row>
    <row r="7233" spans="9:14" x14ac:dyDescent="0.25">
      <c r="I7233" s="11" t="b">
        <f t="shared" si="355"/>
        <v>0</v>
      </c>
      <c r="M7233" s="17" t="str">
        <f t="shared" ref="M7233:M7296" si="356">IF(B7233=0, "",M7232+ J7233-K7233)</f>
        <v/>
      </c>
      <c r="N7233" s="11" t="str">
        <f t="shared" ref="N7233:N7296" si="357">IF(B7233=0, "", MONTH(B7233))</f>
        <v/>
      </c>
    </row>
    <row r="7234" spans="9:14" x14ac:dyDescent="0.25">
      <c r="I7234" s="11" t="b">
        <f t="shared" si="355"/>
        <v>0</v>
      </c>
      <c r="M7234" s="17" t="str">
        <f t="shared" si="356"/>
        <v/>
      </c>
      <c r="N7234" s="11" t="str">
        <f t="shared" si="357"/>
        <v/>
      </c>
    </row>
    <row r="7235" spans="9:14" x14ac:dyDescent="0.25">
      <c r="I7235" s="11" t="b">
        <f t="shared" si="355"/>
        <v>0</v>
      </c>
      <c r="M7235" s="17" t="str">
        <f t="shared" si="356"/>
        <v/>
      </c>
      <c r="N7235" s="11" t="str">
        <f t="shared" si="357"/>
        <v/>
      </c>
    </row>
    <row r="7236" spans="9:14" x14ac:dyDescent="0.25">
      <c r="I7236" s="11" t="b">
        <f t="shared" si="355"/>
        <v>0</v>
      </c>
      <c r="M7236" s="17" t="str">
        <f t="shared" si="356"/>
        <v/>
      </c>
      <c r="N7236" s="11" t="str">
        <f t="shared" si="357"/>
        <v/>
      </c>
    </row>
    <row r="7237" spans="9:14" x14ac:dyDescent="0.25">
      <c r="I7237" s="11" t="b">
        <f t="shared" si="355"/>
        <v>0</v>
      </c>
      <c r="M7237" s="17" t="str">
        <f t="shared" si="356"/>
        <v/>
      </c>
      <c r="N7237" s="11" t="str">
        <f t="shared" si="357"/>
        <v/>
      </c>
    </row>
    <row r="7238" spans="9:14" x14ac:dyDescent="0.25">
      <c r="I7238" s="11" t="b">
        <f t="shared" si="355"/>
        <v>0</v>
      </c>
      <c r="M7238" s="17" t="str">
        <f t="shared" si="356"/>
        <v/>
      </c>
      <c r="N7238" s="11" t="str">
        <f t="shared" si="357"/>
        <v/>
      </c>
    </row>
    <row r="7239" spans="9:14" x14ac:dyDescent="0.25">
      <c r="I7239" s="11" t="b">
        <f t="shared" si="355"/>
        <v>0</v>
      </c>
      <c r="M7239" s="17" t="str">
        <f t="shared" si="356"/>
        <v/>
      </c>
      <c r="N7239" s="11" t="str">
        <f t="shared" si="357"/>
        <v/>
      </c>
    </row>
    <row r="7240" spans="9:14" x14ac:dyDescent="0.25">
      <c r="I7240" s="11" t="b">
        <f t="shared" si="355"/>
        <v>0</v>
      </c>
      <c r="M7240" s="17" t="str">
        <f t="shared" si="356"/>
        <v/>
      </c>
      <c r="N7240" s="11" t="str">
        <f t="shared" si="357"/>
        <v/>
      </c>
    </row>
    <row r="7241" spans="9:14" x14ac:dyDescent="0.25">
      <c r="I7241" s="11" t="b">
        <f t="shared" si="355"/>
        <v>0</v>
      </c>
      <c r="M7241" s="17" t="str">
        <f t="shared" si="356"/>
        <v/>
      </c>
      <c r="N7241" s="11" t="str">
        <f t="shared" si="357"/>
        <v/>
      </c>
    </row>
    <row r="7242" spans="9:14" x14ac:dyDescent="0.25">
      <c r="I7242" s="11" t="b">
        <f t="shared" si="355"/>
        <v>0</v>
      </c>
      <c r="M7242" s="17" t="str">
        <f t="shared" si="356"/>
        <v/>
      </c>
      <c r="N7242" s="11" t="str">
        <f t="shared" si="357"/>
        <v/>
      </c>
    </row>
    <row r="7243" spans="9:14" x14ac:dyDescent="0.25">
      <c r="I7243" s="11" t="b">
        <f t="shared" si="355"/>
        <v>0</v>
      </c>
      <c r="M7243" s="17" t="str">
        <f t="shared" si="356"/>
        <v/>
      </c>
      <c r="N7243" s="11" t="str">
        <f t="shared" si="357"/>
        <v/>
      </c>
    </row>
    <row r="7244" spans="9:14" x14ac:dyDescent="0.25">
      <c r="I7244" s="11" t="b">
        <f t="shared" si="355"/>
        <v>0</v>
      </c>
      <c r="M7244" s="17" t="str">
        <f t="shared" si="356"/>
        <v/>
      </c>
      <c r="N7244" s="11" t="str">
        <f t="shared" si="357"/>
        <v/>
      </c>
    </row>
    <row r="7245" spans="9:14" x14ac:dyDescent="0.25">
      <c r="I7245" s="11" t="b">
        <f t="shared" si="355"/>
        <v>0</v>
      </c>
      <c r="M7245" s="17" t="str">
        <f t="shared" si="356"/>
        <v/>
      </c>
      <c r="N7245" s="11" t="str">
        <f t="shared" si="357"/>
        <v/>
      </c>
    </row>
    <row r="7246" spans="9:14" x14ac:dyDescent="0.25">
      <c r="I7246" s="11" t="b">
        <f t="shared" si="355"/>
        <v>0</v>
      </c>
      <c r="M7246" s="17" t="str">
        <f t="shared" si="356"/>
        <v/>
      </c>
      <c r="N7246" s="11" t="str">
        <f t="shared" si="357"/>
        <v/>
      </c>
    </row>
    <row r="7247" spans="9:14" x14ac:dyDescent="0.25">
      <c r="I7247" s="11" t="b">
        <f t="shared" si="355"/>
        <v>0</v>
      </c>
      <c r="M7247" s="17" t="str">
        <f t="shared" si="356"/>
        <v/>
      </c>
      <c r="N7247" s="11" t="str">
        <f t="shared" si="357"/>
        <v/>
      </c>
    </row>
    <row r="7248" spans="9:14" x14ac:dyDescent="0.25">
      <c r="I7248" s="11" t="b">
        <f t="shared" si="355"/>
        <v>0</v>
      </c>
      <c r="M7248" s="17" t="str">
        <f t="shared" si="356"/>
        <v/>
      </c>
      <c r="N7248" s="11" t="str">
        <f t="shared" si="357"/>
        <v/>
      </c>
    </row>
    <row r="7249" spans="9:14" x14ac:dyDescent="0.25">
      <c r="I7249" s="11" t="b">
        <f t="shared" si="355"/>
        <v>0</v>
      </c>
      <c r="M7249" s="17" t="str">
        <f t="shared" si="356"/>
        <v/>
      </c>
      <c r="N7249" s="11" t="str">
        <f t="shared" si="357"/>
        <v/>
      </c>
    </row>
    <row r="7250" spans="9:14" x14ac:dyDescent="0.25">
      <c r="I7250" s="11" t="b">
        <f t="shared" si="355"/>
        <v>0</v>
      </c>
      <c r="M7250" s="17" t="str">
        <f t="shared" si="356"/>
        <v/>
      </c>
      <c r="N7250" s="11" t="str">
        <f t="shared" si="357"/>
        <v/>
      </c>
    </row>
    <row r="7251" spans="9:14" x14ac:dyDescent="0.25">
      <c r="I7251" s="11" t="b">
        <f t="shared" si="355"/>
        <v>0</v>
      </c>
      <c r="M7251" s="17" t="str">
        <f t="shared" si="356"/>
        <v/>
      </c>
      <c r="N7251" s="11" t="str">
        <f t="shared" si="357"/>
        <v/>
      </c>
    </row>
    <row r="7252" spans="9:14" x14ac:dyDescent="0.25">
      <c r="I7252" s="11" t="b">
        <f t="shared" si="355"/>
        <v>0</v>
      </c>
      <c r="M7252" s="17" t="str">
        <f t="shared" si="356"/>
        <v/>
      </c>
      <c r="N7252" s="11" t="str">
        <f t="shared" si="357"/>
        <v/>
      </c>
    </row>
    <row r="7253" spans="9:14" x14ac:dyDescent="0.25">
      <c r="I7253" s="11" t="b">
        <f t="shared" si="355"/>
        <v>0</v>
      </c>
      <c r="M7253" s="17" t="str">
        <f t="shared" si="356"/>
        <v/>
      </c>
      <c r="N7253" s="11" t="str">
        <f t="shared" si="357"/>
        <v/>
      </c>
    </row>
    <row r="7254" spans="9:14" x14ac:dyDescent="0.25">
      <c r="I7254" s="11" t="b">
        <f t="shared" si="355"/>
        <v>0</v>
      </c>
      <c r="M7254" s="17" t="str">
        <f t="shared" si="356"/>
        <v/>
      </c>
      <c r="N7254" s="11" t="str">
        <f t="shared" si="357"/>
        <v/>
      </c>
    </row>
    <row r="7255" spans="9:14" x14ac:dyDescent="0.25">
      <c r="I7255" s="11" t="b">
        <f t="shared" si="355"/>
        <v>0</v>
      </c>
      <c r="M7255" s="17" t="str">
        <f t="shared" si="356"/>
        <v/>
      </c>
      <c r="N7255" s="11" t="str">
        <f t="shared" si="357"/>
        <v/>
      </c>
    </row>
    <row r="7256" spans="9:14" x14ac:dyDescent="0.25">
      <c r="I7256" s="11" t="b">
        <f t="shared" si="355"/>
        <v>0</v>
      </c>
      <c r="M7256" s="17" t="str">
        <f t="shared" si="356"/>
        <v/>
      </c>
      <c r="N7256" s="11" t="str">
        <f t="shared" si="357"/>
        <v/>
      </c>
    </row>
    <row r="7257" spans="9:14" x14ac:dyDescent="0.25">
      <c r="I7257" s="11" t="b">
        <f t="shared" si="355"/>
        <v>0</v>
      </c>
      <c r="M7257" s="17" t="str">
        <f t="shared" si="356"/>
        <v/>
      </c>
      <c r="N7257" s="11" t="str">
        <f t="shared" si="357"/>
        <v/>
      </c>
    </row>
    <row r="7258" spans="9:14" x14ac:dyDescent="0.25">
      <c r="I7258" s="11" t="b">
        <f t="shared" si="355"/>
        <v>0</v>
      </c>
      <c r="M7258" s="17" t="str">
        <f t="shared" si="356"/>
        <v/>
      </c>
      <c r="N7258" s="11" t="str">
        <f t="shared" si="357"/>
        <v/>
      </c>
    </row>
    <row r="7259" spans="9:14" x14ac:dyDescent="0.25">
      <c r="I7259" s="11" t="b">
        <f t="shared" si="355"/>
        <v>0</v>
      </c>
      <c r="M7259" s="17" t="str">
        <f t="shared" si="356"/>
        <v/>
      </c>
      <c r="N7259" s="11" t="str">
        <f t="shared" si="357"/>
        <v/>
      </c>
    </row>
    <row r="7260" spans="9:14" x14ac:dyDescent="0.25">
      <c r="I7260" s="11" t="b">
        <f t="shared" si="355"/>
        <v>0</v>
      </c>
      <c r="M7260" s="17" t="str">
        <f t="shared" si="356"/>
        <v/>
      </c>
      <c r="N7260" s="11" t="str">
        <f t="shared" si="357"/>
        <v/>
      </c>
    </row>
    <row r="7261" spans="9:14" x14ac:dyDescent="0.25">
      <c r="I7261" s="11" t="b">
        <f t="shared" ref="I7261:I7324" si="358">IF(AND(G7261="MERCADO PAGO",A7261="FATURAMENTO"),1,IF(AND(OR(G7261="MERCADO PAGO",G7261="pix mercado pago",G7261= "débito automático mercado pago", G7261= "boleto mercado pago"),A7261="DESPESAS"),4,IF(AND(G7261="SAFRA",A7261="FATURAMENTO"),2,IF(AND(OR(G7261="SAFRA",G7261="PIX SAFRA", G7261="DÉBITO AUTOMÁTICO SAFRA", G7261= "BOLETO SAFRA", G7261= "transferência safra"), A7261="DESPESAS"),5,IF(AND(G7261="espécie",A7261="FATURAMENTO"),3,IF(AND(G7261="espécie",A7261="DESPESAS"),6))))))</f>
        <v>0</v>
      </c>
      <c r="M7261" s="17" t="str">
        <f t="shared" si="356"/>
        <v/>
      </c>
      <c r="N7261" s="11" t="str">
        <f t="shared" si="357"/>
        <v/>
      </c>
    </row>
    <row r="7262" spans="9:14" x14ac:dyDescent="0.25">
      <c r="I7262" s="11" t="b">
        <f t="shared" si="358"/>
        <v>0</v>
      </c>
      <c r="M7262" s="17" t="str">
        <f t="shared" si="356"/>
        <v/>
      </c>
      <c r="N7262" s="11" t="str">
        <f t="shared" si="357"/>
        <v/>
      </c>
    </row>
    <row r="7263" spans="9:14" x14ac:dyDescent="0.25">
      <c r="I7263" s="11" t="b">
        <f t="shared" si="358"/>
        <v>0</v>
      </c>
      <c r="M7263" s="17" t="str">
        <f t="shared" si="356"/>
        <v/>
      </c>
      <c r="N7263" s="11" t="str">
        <f t="shared" si="357"/>
        <v/>
      </c>
    </row>
    <row r="7264" spans="9:14" x14ac:dyDescent="0.25">
      <c r="I7264" s="11" t="b">
        <f t="shared" si="358"/>
        <v>0</v>
      </c>
      <c r="M7264" s="17" t="str">
        <f t="shared" si="356"/>
        <v/>
      </c>
      <c r="N7264" s="11" t="str">
        <f t="shared" si="357"/>
        <v/>
      </c>
    </row>
    <row r="7265" spans="9:14" x14ac:dyDescent="0.25">
      <c r="I7265" s="11" t="b">
        <f t="shared" si="358"/>
        <v>0</v>
      </c>
      <c r="M7265" s="17" t="str">
        <f t="shared" si="356"/>
        <v/>
      </c>
      <c r="N7265" s="11" t="str">
        <f t="shared" si="357"/>
        <v/>
      </c>
    </row>
    <row r="7266" spans="9:14" x14ac:dyDescent="0.25">
      <c r="I7266" s="11" t="b">
        <f t="shared" si="358"/>
        <v>0</v>
      </c>
      <c r="M7266" s="17" t="str">
        <f t="shared" si="356"/>
        <v/>
      </c>
      <c r="N7266" s="11" t="str">
        <f t="shared" si="357"/>
        <v/>
      </c>
    </row>
    <row r="7267" spans="9:14" x14ac:dyDescent="0.25">
      <c r="I7267" s="11" t="b">
        <f t="shared" si="358"/>
        <v>0</v>
      </c>
      <c r="M7267" s="17" t="str">
        <f t="shared" si="356"/>
        <v/>
      </c>
      <c r="N7267" s="11" t="str">
        <f t="shared" si="357"/>
        <v/>
      </c>
    </row>
    <row r="7268" spans="9:14" x14ac:dyDescent="0.25">
      <c r="I7268" s="11" t="b">
        <f t="shared" si="358"/>
        <v>0</v>
      </c>
      <c r="M7268" s="17" t="str">
        <f t="shared" si="356"/>
        <v/>
      </c>
      <c r="N7268" s="11" t="str">
        <f t="shared" si="357"/>
        <v/>
      </c>
    </row>
    <row r="7269" spans="9:14" x14ac:dyDescent="0.25">
      <c r="I7269" s="11" t="b">
        <f t="shared" si="358"/>
        <v>0</v>
      </c>
      <c r="M7269" s="17" t="str">
        <f t="shared" si="356"/>
        <v/>
      </c>
      <c r="N7269" s="11" t="str">
        <f t="shared" si="357"/>
        <v/>
      </c>
    </row>
    <row r="7270" spans="9:14" x14ac:dyDescent="0.25">
      <c r="I7270" s="11" t="b">
        <f t="shared" si="358"/>
        <v>0</v>
      </c>
      <c r="M7270" s="17" t="str">
        <f t="shared" si="356"/>
        <v/>
      </c>
      <c r="N7270" s="11" t="str">
        <f t="shared" si="357"/>
        <v/>
      </c>
    </row>
    <row r="7271" spans="9:14" x14ac:dyDescent="0.25">
      <c r="I7271" s="11" t="b">
        <f t="shared" si="358"/>
        <v>0</v>
      </c>
      <c r="M7271" s="17" t="str">
        <f t="shared" si="356"/>
        <v/>
      </c>
      <c r="N7271" s="11" t="str">
        <f t="shared" si="357"/>
        <v/>
      </c>
    </row>
    <row r="7272" spans="9:14" x14ac:dyDescent="0.25">
      <c r="I7272" s="11" t="b">
        <f t="shared" si="358"/>
        <v>0</v>
      </c>
      <c r="M7272" s="17" t="str">
        <f t="shared" si="356"/>
        <v/>
      </c>
      <c r="N7272" s="11" t="str">
        <f t="shared" si="357"/>
        <v/>
      </c>
    </row>
    <row r="7273" spans="9:14" x14ac:dyDescent="0.25">
      <c r="I7273" s="11" t="b">
        <f t="shared" si="358"/>
        <v>0</v>
      </c>
      <c r="M7273" s="17" t="str">
        <f t="shared" si="356"/>
        <v/>
      </c>
      <c r="N7273" s="11" t="str">
        <f t="shared" si="357"/>
        <v/>
      </c>
    </row>
    <row r="7274" spans="9:14" x14ac:dyDescent="0.25">
      <c r="I7274" s="11" t="b">
        <f t="shared" si="358"/>
        <v>0</v>
      </c>
      <c r="M7274" s="17" t="str">
        <f t="shared" si="356"/>
        <v/>
      </c>
      <c r="N7274" s="11" t="str">
        <f t="shared" si="357"/>
        <v/>
      </c>
    </row>
    <row r="7275" spans="9:14" x14ac:dyDescent="0.25">
      <c r="I7275" s="11" t="b">
        <f t="shared" si="358"/>
        <v>0</v>
      </c>
      <c r="M7275" s="17" t="str">
        <f t="shared" si="356"/>
        <v/>
      </c>
      <c r="N7275" s="11" t="str">
        <f t="shared" si="357"/>
        <v/>
      </c>
    </row>
    <row r="7276" spans="9:14" x14ac:dyDescent="0.25">
      <c r="I7276" s="11" t="b">
        <f t="shared" si="358"/>
        <v>0</v>
      </c>
      <c r="M7276" s="17" t="str">
        <f t="shared" si="356"/>
        <v/>
      </c>
      <c r="N7276" s="11" t="str">
        <f t="shared" si="357"/>
        <v/>
      </c>
    </row>
    <row r="7277" spans="9:14" x14ac:dyDescent="0.25">
      <c r="I7277" s="11" t="b">
        <f t="shared" si="358"/>
        <v>0</v>
      </c>
      <c r="M7277" s="17" t="str">
        <f t="shared" si="356"/>
        <v/>
      </c>
      <c r="N7277" s="11" t="str">
        <f t="shared" si="357"/>
        <v/>
      </c>
    </row>
    <row r="7278" spans="9:14" x14ac:dyDescent="0.25">
      <c r="I7278" s="11" t="b">
        <f t="shared" si="358"/>
        <v>0</v>
      </c>
      <c r="M7278" s="17" t="str">
        <f t="shared" si="356"/>
        <v/>
      </c>
      <c r="N7278" s="11" t="str">
        <f t="shared" si="357"/>
        <v/>
      </c>
    </row>
    <row r="7279" spans="9:14" x14ac:dyDescent="0.25">
      <c r="I7279" s="11" t="b">
        <f t="shared" si="358"/>
        <v>0</v>
      </c>
      <c r="M7279" s="17" t="str">
        <f t="shared" si="356"/>
        <v/>
      </c>
      <c r="N7279" s="11" t="str">
        <f t="shared" si="357"/>
        <v/>
      </c>
    </row>
    <row r="7280" spans="9:14" x14ac:dyDescent="0.25">
      <c r="I7280" s="11" t="b">
        <f t="shared" si="358"/>
        <v>0</v>
      </c>
      <c r="M7280" s="17" t="str">
        <f t="shared" si="356"/>
        <v/>
      </c>
      <c r="N7280" s="11" t="str">
        <f t="shared" si="357"/>
        <v/>
      </c>
    </row>
    <row r="7281" spans="9:14" x14ac:dyDescent="0.25">
      <c r="I7281" s="11" t="b">
        <f t="shared" si="358"/>
        <v>0</v>
      </c>
      <c r="M7281" s="17" t="str">
        <f t="shared" si="356"/>
        <v/>
      </c>
      <c r="N7281" s="11" t="str">
        <f t="shared" si="357"/>
        <v/>
      </c>
    </row>
    <row r="7282" spans="9:14" x14ac:dyDescent="0.25">
      <c r="I7282" s="11" t="b">
        <f t="shared" si="358"/>
        <v>0</v>
      </c>
      <c r="M7282" s="17" t="str">
        <f t="shared" si="356"/>
        <v/>
      </c>
      <c r="N7282" s="11" t="str">
        <f t="shared" si="357"/>
        <v/>
      </c>
    </row>
    <row r="7283" spans="9:14" x14ac:dyDescent="0.25">
      <c r="I7283" s="11" t="b">
        <f t="shared" si="358"/>
        <v>0</v>
      </c>
      <c r="M7283" s="17" t="str">
        <f t="shared" si="356"/>
        <v/>
      </c>
      <c r="N7283" s="11" t="str">
        <f t="shared" si="357"/>
        <v/>
      </c>
    </row>
    <row r="7284" spans="9:14" x14ac:dyDescent="0.25">
      <c r="I7284" s="11" t="b">
        <f t="shared" si="358"/>
        <v>0</v>
      </c>
      <c r="M7284" s="17" t="str">
        <f t="shared" si="356"/>
        <v/>
      </c>
      <c r="N7284" s="11" t="str">
        <f t="shared" si="357"/>
        <v/>
      </c>
    </row>
    <row r="7285" spans="9:14" x14ac:dyDescent="0.25">
      <c r="I7285" s="11" t="b">
        <f t="shared" si="358"/>
        <v>0</v>
      </c>
      <c r="M7285" s="17" t="str">
        <f t="shared" si="356"/>
        <v/>
      </c>
      <c r="N7285" s="11" t="str">
        <f t="shared" si="357"/>
        <v/>
      </c>
    </row>
    <row r="7286" spans="9:14" x14ac:dyDescent="0.25">
      <c r="I7286" s="11" t="b">
        <f t="shared" si="358"/>
        <v>0</v>
      </c>
      <c r="M7286" s="17" t="str">
        <f t="shared" si="356"/>
        <v/>
      </c>
      <c r="N7286" s="11" t="str">
        <f t="shared" si="357"/>
        <v/>
      </c>
    </row>
    <row r="7287" spans="9:14" x14ac:dyDescent="0.25">
      <c r="I7287" s="11" t="b">
        <f t="shared" si="358"/>
        <v>0</v>
      </c>
      <c r="M7287" s="17" t="str">
        <f t="shared" si="356"/>
        <v/>
      </c>
      <c r="N7287" s="11" t="str">
        <f t="shared" si="357"/>
        <v/>
      </c>
    </row>
    <row r="7288" spans="9:14" x14ac:dyDescent="0.25">
      <c r="I7288" s="11" t="b">
        <f t="shared" si="358"/>
        <v>0</v>
      </c>
      <c r="M7288" s="17" t="str">
        <f t="shared" si="356"/>
        <v/>
      </c>
      <c r="N7288" s="11" t="str">
        <f t="shared" si="357"/>
        <v/>
      </c>
    </row>
    <row r="7289" spans="9:14" x14ac:dyDescent="0.25">
      <c r="I7289" s="11" t="b">
        <f t="shared" si="358"/>
        <v>0</v>
      </c>
      <c r="M7289" s="17" t="str">
        <f t="shared" si="356"/>
        <v/>
      </c>
      <c r="N7289" s="11" t="str">
        <f t="shared" si="357"/>
        <v/>
      </c>
    </row>
    <row r="7290" spans="9:14" x14ac:dyDescent="0.25">
      <c r="I7290" s="11" t="b">
        <f t="shared" si="358"/>
        <v>0</v>
      </c>
      <c r="M7290" s="17" t="str">
        <f t="shared" si="356"/>
        <v/>
      </c>
      <c r="N7290" s="11" t="str">
        <f t="shared" si="357"/>
        <v/>
      </c>
    </row>
    <row r="7291" spans="9:14" x14ac:dyDescent="0.25">
      <c r="I7291" s="11" t="b">
        <f t="shared" si="358"/>
        <v>0</v>
      </c>
      <c r="M7291" s="17" t="str">
        <f t="shared" si="356"/>
        <v/>
      </c>
      <c r="N7291" s="11" t="str">
        <f t="shared" si="357"/>
        <v/>
      </c>
    </row>
    <row r="7292" spans="9:14" x14ac:dyDescent="0.25">
      <c r="I7292" s="11" t="b">
        <f t="shared" si="358"/>
        <v>0</v>
      </c>
      <c r="M7292" s="17" t="str">
        <f t="shared" si="356"/>
        <v/>
      </c>
      <c r="N7292" s="11" t="str">
        <f t="shared" si="357"/>
        <v/>
      </c>
    </row>
    <row r="7293" spans="9:14" x14ac:dyDescent="0.25">
      <c r="I7293" s="11" t="b">
        <f t="shared" si="358"/>
        <v>0</v>
      </c>
      <c r="M7293" s="17" t="str">
        <f t="shared" si="356"/>
        <v/>
      </c>
      <c r="N7293" s="11" t="str">
        <f t="shared" si="357"/>
        <v/>
      </c>
    </row>
    <row r="7294" spans="9:14" x14ac:dyDescent="0.25">
      <c r="I7294" s="11" t="b">
        <f t="shared" si="358"/>
        <v>0</v>
      </c>
      <c r="M7294" s="17" t="str">
        <f t="shared" si="356"/>
        <v/>
      </c>
      <c r="N7294" s="11" t="str">
        <f t="shared" si="357"/>
        <v/>
      </c>
    </row>
    <row r="7295" spans="9:14" x14ac:dyDescent="0.25">
      <c r="I7295" s="11" t="b">
        <f t="shared" si="358"/>
        <v>0</v>
      </c>
      <c r="M7295" s="17" t="str">
        <f t="shared" si="356"/>
        <v/>
      </c>
      <c r="N7295" s="11" t="str">
        <f t="shared" si="357"/>
        <v/>
      </c>
    </row>
    <row r="7296" spans="9:14" x14ac:dyDescent="0.25">
      <c r="I7296" s="11" t="b">
        <f t="shared" si="358"/>
        <v>0</v>
      </c>
      <c r="M7296" s="17" t="str">
        <f t="shared" si="356"/>
        <v/>
      </c>
      <c r="N7296" s="11" t="str">
        <f t="shared" si="357"/>
        <v/>
      </c>
    </row>
    <row r="7297" spans="9:14" x14ac:dyDescent="0.25">
      <c r="I7297" s="11" t="b">
        <f t="shared" si="358"/>
        <v>0</v>
      </c>
      <c r="M7297" s="17" t="str">
        <f t="shared" ref="M7297:M7360" si="359">IF(B7297=0, "",M7296+ J7297-K7297)</f>
        <v/>
      </c>
      <c r="N7297" s="11" t="str">
        <f t="shared" ref="N7297:N7360" si="360">IF(B7297=0, "", MONTH(B7297))</f>
        <v/>
      </c>
    </row>
    <row r="7298" spans="9:14" x14ac:dyDescent="0.25">
      <c r="I7298" s="11" t="b">
        <f t="shared" si="358"/>
        <v>0</v>
      </c>
      <c r="M7298" s="17" t="str">
        <f t="shared" si="359"/>
        <v/>
      </c>
      <c r="N7298" s="11" t="str">
        <f t="shared" si="360"/>
        <v/>
      </c>
    </row>
    <row r="7299" spans="9:14" x14ac:dyDescent="0.25">
      <c r="I7299" s="11" t="b">
        <f t="shared" si="358"/>
        <v>0</v>
      </c>
      <c r="M7299" s="17" t="str">
        <f t="shared" si="359"/>
        <v/>
      </c>
      <c r="N7299" s="11" t="str">
        <f t="shared" si="360"/>
        <v/>
      </c>
    </row>
    <row r="7300" spans="9:14" x14ac:dyDescent="0.25">
      <c r="I7300" s="11" t="b">
        <f t="shared" si="358"/>
        <v>0</v>
      </c>
      <c r="M7300" s="17" t="str">
        <f t="shared" si="359"/>
        <v/>
      </c>
      <c r="N7300" s="11" t="str">
        <f t="shared" si="360"/>
        <v/>
      </c>
    </row>
    <row r="7301" spans="9:14" x14ac:dyDescent="0.25">
      <c r="I7301" s="11" t="b">
        <f t="shared" si="358"/>
        <v>0</v>
      </c>
      <c r="M7301" s="17" t="str">
        <f t="shared" si="359"/>
        <v/>
      </c>
      <c r="N7301" s="11" t="str">
        <f t="shared" si="360"/>
        <v/>
      </c>
    </row>
    <row r="7302" spans="9:14" x14ac:dyDescent="0.25">
      <c r="I7302" s="11" t="b">
        <f t="shared" si="358"/>
        <v>0</v>
      </c>
      <c r="M7302" s="17" t="str">
        <f t="shared" si="359"/>
        <v/>
      </c>
      <c r="N7302" s="11" t="str">
        <f t="shared" si="360"/>
        <v/>
      </c>
    </row>
    <row r="7303" spans="9:14" x14ac:dyDescent="0.25">
      <c r="I7303" s="11" t="b">
        <f t="shared" si="358"/>
        <v>0</v>
      </c>
      <c r="M7303" s="17" t="str">
        <f t="shared" si="359"/>
        <v/>
      </c>
      <c r="N7303" s="11" t="str">
        <f t="shared" si="360"/>
        <v/>
      </c>
    </row>
    <row r="7304" spans="9:14" x14ac:dyDescent="0.25">
      <c r="I7304" s="11" t="b">
        <f t="shared" si="358"/>
        <v>0</v>
      </c>
      <c r="M7304" s="17" t="str">
        <f t="shared" si="359"/>
        <v/>
      </c>
      <c r="N7304" s="11" t="str">
        <f t="shared" si="360"/>
        <v/>
      </c>
    </row>
    <row r="7305" spans="9:14" x14ac:dyDescent="0.25">
      <c r="I7305" s="11" t="b">
        <f t="shared" si="358"/>
        <v>0</v>
      </c>
      <c r="M7305" s="17" t="str">
        <f t="shared" si="359"/>
        <v/>
      </c>
      <c r="N7305" s="11" t="str">
        <f t="shared" si="360"/>
        <v/>
      </c>
    </row>
    <row r="7306" spans="9:14" x14ac:dyDescent="0.25">
      <c r="I7306" s="11" t="b">
        <f t="shared" si="358"/>
        <v>0</v>
      </c>
      <c r="M7306" s="17" t="str">
        <f t="shared" si="359"/>
        <v/>
      </c>
      <c r="N7306" s="11" t="str">
        <f t="shared" si="360"/>
        <v/>
      </c>
    </row>
    <row r="7307" spans="9:14" x14ac:dyDescent="0.25">
      <c r="I7307" s="11" t="b">
        <f t="shared" si="358"/>
        <v>0</v>
      </c>
      <c r="M7307" s="17" t="str">
        <f t="shared" si="359"/>
        <v/>
      </c>
      <c r="N7307" s="11" t="str">
        <f t="shared" si="360"/>
        <v/>
      </c>
    </row>
    <row r="7308" spans="9:14" x14ac:dyDescent="0.25">
      <c r="I7308" s="11" t="b">
        <f t="shared" si="358"/>
        <v>0</v>
      </c>
      <c r="M7308" s="17" t="str">
        <f t="shared" si="359"/>
        <v/>
      </c>
      <c r="N7308" s="11" t="str">
        <f t="shared" si="360"/>
        <v/>
      </c>
    </row>
    <row r="7309" spans="9:14" x14ac:dyDescent="0.25">
      <c r="I7309" s="11" t="b">
        <f t="shared" si="358"/>
        <v>0</v>
      </c>
      <c r="M7309" s="17" t="str">
        <f t="shared" si="359"/>
        <v/>
      </c>
      <c r="N7309" s="11" t="str">
        <f t="shared" si="360"/>
        <v/>
      </c>
    </row>
    <row r="7310" spans="9:14" x14ac:dyDescent="0.25">
      <c r="I7310" s="11" t="b">
        <f t="shared" si="358"/>
        <v>0</v>
      </c>
      <c r="M7310" s="17" t="str">
        <f t="shared" si="359"/>
        <v/>
      </c>
      <c r="N7310" s="11" t="str">
        <f t="shared" si="360"/>
        <v/>
      </c>
    </row>
    <row r="7311" spans="9:14" x14ac:dyDescent="0.25">
      <c r="I7311" s="11" t="b">
        <f t="shared" si="358"/>
        <v>0</v>
      </c>
      <c r="M7311" s="17" t="str">
        <f t="shared" si="359"/>
        <v/>
      </c>
      <c r="N7311" s="11" t="str">
        <f t="shared" si="360"/>
        <v/>
      </c>
    </row>
    <row r="7312" spans="9:14" x14ac:dyDescent="0.25">
      <c r="I7312" s="11" t="b">
        <f t="shared" si="358"/>
        <v>0</v>
      </c>
      <c r="M7312" s="17" t="str">
        <f t="shared" si="359"/>
        <v/>
      </c>
      <c r="N7312" s="11" t="str">
        <f t="shared" si="360"/>
        <v/>
      </c>
    </row>
    <row r="7313" spans="9:14" x14ac:dyDescent="0.25">
      <c r="I7313" s="11" t="b">
        <f t="shared" si="358"/>
        <v>0</v>
      </c>
      <c r="M7313" s="17" t="str">
        <f t="shared" si="359"/>
        <v/>
      </c>
      <c r="N7313" s="11" t="str">
        <f t="shared" si="360"/>
        <v/>
      </c>
    </row>
    <row r="7314" spans="9:14" x14ac:dyDescent="0.25">
      <c r="I7314" s="11" t="b">
        <f t="shared" si="358"/>
        <v>0</v>
      </c>
      <c r="M7314" s="17" t="str">
        <f t="shared" si="359"/>
        <v/>
      </c>
      <c r="N7314" s="11" t="str">
        <f t="shared" si="360"/>
        <v/>
      </c>
    </row>
    <row r="7315" spans="9:14" x14ac:dyDescent="0.25">
      <c r="I7315" s="11" t="b">
        <f t="shared" si="358"/>
        <v>0</v>
      </c>
      <c r="M7315" s="17" t="str">
        <f t="shared" si="359"/>
        <v/>
      </c>
      <c r="N7315" s="11" t="str">
        <f t="shared" si="360"/>
        <v/>
      </c>
    </row>
    <row r="7316" spans="9:14" x14ac:dyDescent="0.25">
      <c r="I7316" s="11" t="b">
        <f t="shared" si="358"/>
        <v>0</v>
      </c>
      <c r="M7316" s="17" t="str">
        <f t="shared" si="359"/>
        <v/>
      </c>
      <c r="N7316" s="11" t="str">
        <f t="shared" si="360"/>
        <v/>
      </c>
    </row>
    <row r="7317" spans="9:14" x14ac:dyDescent="0.25">
      <c r="I7317" s="11" t="b">
        <f t="shared" si="358"/>
        <v>0</v>
      </c>
      <c r="M7317" s="17" t="str">
        <f t="shared" si="359"/>
        <v/>
      </c>
      <c r="N7317" s="11" t="str">
        <f t="shared" si="360"/>
        <v/>
      </c>
    </row>
    <row r="7318" spans="9:14" x14ac:dyDescent="0.25">
      <c r="I7318" s="11" t="b">
        <f t="shared" si="358"/>
        <v>0</v>
      </c>
      <c r="M7318" s="17" t="str">
        <f t="shared" si="359"/>
        <v/>
      </c>
      <c r="N7318" s="11" t="str">
        <f t="shared" si="360"/>
        <v/>
      </c>
    </row>
    <row r="7319" spans="9:14" x14ac:dyDescent="0.25">
      <c r="I7319" s="11" t="b">
        <f t="shared" si="358"/>
        <v>0</v>
      </c>
      <c r="M7319" s="17" t="str">
        <f t="shared" si="359"/>
        <v/>
      </c>
      <c r="N7319" s="11" t="str">
        <f t="shared" si="360"/>
        <v/>
      </c>
    </row>
    <row r="7320" spans="9:14" x14ac:dyDescent="0.25">
      <c r="I7320" s="11" t="b">
        <f t="shared" si="358"/>
        <v>0</v>
      </c>
      <c r="M7320" s="17" t="str">
        <f t="shared" si="359"/>
        <v/>
      </c>
      <c r="N7320" s="11" t="str">
        <f t="shared" si="360"/>
        <v/>
      </c>
    </row>
    <row r="7321" spans="9:14" x14ac:dyDescent="0.25">
      <c r="I7321" s="11" t="b">
        <f t="shared" si="358"/>
        <v>0</v>
      </c>
      <c r="M7321" s="17" t="str">
        <f t="shared" si="359"/>
        <v/>
      </c>
      <c r="N7321" s="11" t="str">
        <f t="shared" si="360"/>
        <v/>
      </c>
    </row>
    <row r="7322" spans="9:14" x14ac:dyDescent="0.25">
      <c r="I7322" s="11" t="b">
        <f t="shared" si="358"/>
        <v>0</v>
      </c>
      <c r="M7322" s="17" t="str">
        <f t="shared" si="359"/>
        <v/>
      </c>
      <c r="N7322" s="11" t="str">
        <f t="shared" si="360"/>
        <v/>
      </c>
    </row>
    <row r="7323" spans="9:14" x14ac:dyDescent="0.25">
      <c r="I7323" s="11" t="b">
        <f t="shared" si="358"/>
        <v>0</v>
      </c>
      <c r="M7323" s="17" t="str">
        <f t="shared" si="359"/>
        <v/>
      </c>
      <c r="N7323" s="11" t="str">
        <f t="shared" si="360"/>
        <v/>
      </c>
    </row>
    <row r="7324" spans="9:14" x14ac:dyDescent="0.25">
      <c r="I7324" s="11" t="b">
        <f t="shared" si="358"/>
        <v>0</v>
      </c>
      <c r="M7324" s="17" t="str">
        <f t="shared" si="359"/>
        <v/>
      </c>
      <c r="N7324" s="11" t="str">
        <f t="shared" si="360"/>
        <v/>
      </c>
    </row>
    <row r="7325" spans="9:14" x14ac:dyDescent="0.25">
      <c r="I7325" s="11" t="b">
        <f t="shared" ref="I7325:I7388" si="361">IF(AND(G7325="MERCADO PAGO",A7325="FATURAMENTO"),1,IF(AND(OR(G7325="MERCADO PAGO",G7325="pix mercado pago",G7325= "débito automático mercado pago", G7325= "boleto mercado pago"),A7325="DESPESAS"),4,IF(AND(G7325="SAFRA",A7325="FATURAMENTO"),2,IF(AND(OR(G7325="SAFRA",G7325="PIX SAFRA", G7325="DÉBITO AUTOMÁTICO SAFRA", G7325= "BOLETO SAFRA", G7325= "transferência safra"), A7325="DESPESAS"),5,IF(AND(G7325="espécie",A7325="FATURAMENTO"),3,IF(AND(G7325="espécie",A7325="DESPESAS"),6))))))</f>
        <v>0</v>
      </c>
      <c r="M7325" s="17" t="str">
        <f t="shared" si="359"/>
        <v/>
      </c>
      <c r="N7325" s="11" t="str">
        <f t="shared" si="360"/>
        <v/>
      </c>
    </row>
    <row r="7326" spans="9:14" x14ac:dyDescent="0.25">
      <c r="I7326" s="11" t="b">
        <f t="shared" si="361"/>
        <v>0</v>
      </c>
      <c r="M7326" s="17" t="str">
        <f t="shared" si="359"/>
        <v/>
      </c>
      <c r="N7326" s="11" t="str">
        <f t="shared" si="360"/>
        <v/>
      </c>
    </row>
    <row r="7327" spans="9:14" x14ac:dyDescent="0.25">
      <c r="I7327" s="11" t="b">
        <f t="shared" si="361"/>
        <v>0</v>
      </c>
      <c r="M7327" s="17" t="str">
        <f t="shared" si="359"/>
        <v/>
      </c>
      <c r="N7327" s="11" t="str">
        <f t="shared" si="360"/>
        <v/>
      </c>
    </row>
    <row r="7328" spans="9:14" x14ac:dyDescent="0.25">
      <c r="I7328" s="11" t="b">
        <f t="shared" si="361"/>
        <v>0</v>
      </c>
      <c r="M7328" s="17" t="str">
        <f t="shared" si="359"/>
        <v/>
      </c>
      <c r="N7328" s="11" t="str">
        <f t="shared" si="360"/>
        <v/>
      </c>
    </row>
    <row r="7329" spans="9:14" x14ac:dyDescent="0.25">
      <c r="I7329" s="11" t="b">
        <f t="shared" si="361"/>
        <v>0</v>
      </c>
      <c r="M7329" s="17" t="str">
        <f t="shared" si="359"/>
        <v/>
      </c>
      <c r="N7329" s="11" t="str">
        <f t="shared" si="360"/>
        <v/>
      </c>
    </row>
    <row r="7330" spans="9:14" x14ac:dyDescent="0.25">
      <c r="I7330" s="11" t="b">
        <f t="shared" si="361"/>
        <v>0</v>
      </c>
      <c r="M7330" s="17" t="str">
        <f t="shared" si="359"/>
        <v/>
      </c>
      <c r="N7330" s="11" t="str">
        <f t="shared" si="360"/>
        <v/>
      </c>
    </row>
    <row r="7331" spans="9:14" x14ac:dyDescent="0.25">
      <c r="I7331" s="11" t="b">
        <f t="shared" si="361"/>
        <v>0</v>
      </c>
      <c r="M7331" s="17" t="str">
        <f t="shared" si="359"/>
        <v/>
      </c>
      <c r="N7331" s="11" t="str">
        <f t="shared" si="360"/>
        <v/>
      </c>
    </row>
    <row r="7332" spans="9:14" x14ac:dyDescent="0.25">
      <c r="I7332" s="11" t="b">
        <f t="shared" si="361"/>
        <v>0</v>
      </c>
      <c r="M7332" s="17" t="str">
        <f t="shared" si="359"/>
        <v/>
      </c>
      <c r="N7332" s="11" t="str">
        <f t="shared" si="360"/>
        <v/>
      </c>
    </row>
    <row r="7333" spans="9:14" x14ac:dyDescent="0.25">
      <c r="I7333" s="11" t="b">
        <f t="shared" si="361"/>
        <v>0</v>
      </c>
      <c r="M7333" s="17" t="str">
        <f t="shared" si="359"/>
        <v/>
      </c>
      <c r="N7333" s="11" t="str">
        <f t="shared" si="360"/>
        <v/>
      </c>
    </row>
    <row r="7334" spans="9:14" x14ac:dyDescent="0.25">
      <c r="I7334" s="11" t="b">
        <f t="shared" si="361"/>
        <v>0</v>
      </c>
      <c r="M7334" s="17" t="str">
        <f t="shared" si="359"/>
        <v/>
      </c>
      <c r="N7334" s="11" t="str">
        <f t="shared" si="360"/>
        <v/>
      </c>
    </row>
    <row r="7335" spans="9:14" x14ac:dyDescent="0.25">
      <c r="I7335" s="11" t="b">
        <f t="shared" si="361"/>
        <v>0</v>
      </c>
      <c r="M7335" s="17" t="str">
        <f t="shared" si="359"/>
        <v/>
      </c>
      <c r="N7335" s="11" t="str">
        <f t="shared" si="360"/>
        <v/>
      </c>
    </row>
    <row r="7336" spans="9:14" x14ac:dyDescent="0.25">
      <c r="I7336" s="11" t="b">
        <f t="shared" si="361"/>
        <v>0</v>
      </c>
      <c r="M7336" s="17" t="str">
        <f t="shared" si="359"/>
        <v/>
      </c>
      <c r="N7336" s="11" t="str">
        <f t="shared" si="360"/>
        <v/>
      </c>
    </row>
    <row r="7337" spans="9:14" x14ac:dyDescent="0.25">
      <c r="I7337" s="11" t="b">
        <f t="shared" si="361"/>
        <v>0</v>
      </c>
      <c r="M7337" s="17" t="str">
        <f t="shared" si="359"/>
        <v/>
      </c>
      <c r="N7337" s="11" t="str">
        <f t="shared" si="360"/>
        <v/>
      </c>
    </row>
    <row r="7338" spans="9:14" x14ac:dyDescent="0.25">
      <c r="I7338" s="11" t="b">
        <f t="shared" si="361"/>
        <v>0</v>
      </c>
      <c r="M7338" s="17" t="str">
        <f t="shared" si="359"/>
        <v/>
      </c>
      <c r="N7338" s="11" t="str">
        <f t="shared" si="360"/>
        <v/>
      </c>
    </row>
    <row r="7339" spans="9:14" x14ac:dyDescent="0.25">
      <c r="I7339" s="11" t="b">
        <f t="shared" si="361"/>
        <v>0</v>
      </c>
      <c r="M7339" s="17" t="str">
        <f t="shared" si="359"/>
        <v/>
      </c>
      <c r="N7339" s="11" t="str">
        <f t="shared" si="360"/>
        <v/>
      </c>
    </row>
    <row r="7340" spans="9:14" x14ac:dyDescent="0.25">
      <c r="I7340" s="11" t="b">
        <f t="shared" si="361"/>
        <v>0</v>
      </c>
      <c r="M7340" s="17" t="str">
        <f t="shared" si="359"/>
        <v/>
      </c>
      <c r="N7340" s="11" t="str">
        <f t="shared" si="360"/>
        <v/>
      </c>
    </row>
    <row r="7341" spans="9:14" x14ac:dyDescent="0.25">
      <c r="I7341" s="11" t="b">
        <f t="shared" si="361"/>
        <v>0</v>
      </c>
      <c r="M7341" s="17" t="str">
        <f t="shared" si="359"/>
        <v/>
      </c>
      <c r="N7341" s="11" t="str">
        <f t="shared" si="360"/>
        <v/>
      </c>
    </row>
    <row r="7342" spans="9:14" x14ac:dyDescent="0.25">
      <c r="I7342" s="11" t="b">
        <f t="shared" si="361"/>
        <v>0</v>
      </c>
      <c r="M7342" s="17" t="str">
        <f t="shared" si="359"/>
        <v/>
      </c>
      <c r="N7342" s="11" t="str">
        <f t="shared" si="360"/>
        <v/>
      </c>
    </row>
    <row r="7343" spans="9:14" x14ac:dyDescent="0.25">
      <c r="I7343" s="11" t="b">
        <f t="shared" si="361"/>
        <v>0</v>
      </c>
      <c r="M7343" s="17" t="str">
        <f t="shared" si="359"/>
        <v/>
      </c>
      <c r="N7343" s="11" t="str">
        <f t="shared" si="360"/>
        <v/>
      </c>
    </row>
    <row r="7344" spans="9:14" x14ac:dyDescent="0.25">
      <c r="I7344" s="11" t="b">
        <f t="shared" si="361"/>
        <v>0</v>
      </c>
      <c r="M7344" s="17" t="str">
        <f t="shared" si="359"/>
        <v/>
      </c>
      <c r="N7344" s="11" t="str">
        <f t="shared" si="360"/>
        <v/>
      </c>
    </row>
    <row r="7345" spans="9:14" x14ac:dyDescent="0.25">
      <c r="I7345" s="11" t="b">
        <f t="shared" si="361"/>
        <v>0</v>
      </c>
      <c r="M7345" s="17" t="str">
        <f t="shared" si="359"/>
        <v/>
      </c>
      <c r="N7345" s="11" t="str">
        <f t="shared" si="360"/>
        <v/>
      </c>
    </row>
    <row r="7346" spans="9:14" x14ac:dyDescent="0.25">
      <c r="I7346" s="11" t="b">
        <f t="shared" si="361"/>
        <v>0</v>
      </c>
      <c r="M7346" s="17" t="str">
        <f t="shared" si="359"/>
        <v/>
      </c>
      <c r="N7346" s="11" t="str">
        <f t="shared" si="360"/>
        <v/>
      </c>
    </row>
    <row r="7347" spans="9:14" x14ac:dyDescent="0.25">
      <c r="I7347" s="11" t="b">
        <f t="shared" si="361"/>
        <v>0</v>
      </c>
      <c r="M7347" s="17" t="str">
        <f t="shared" si="359"/>
        <v/>
      </c>
      <c r="N7347" s="11" t="str">
        <f t="shared" si="360"/>
        <v/>
      </c>
    </row>
    <row r="7348" spans="9:14" x14ac:dyDescent="0.25">
      <c r="I7348" s="11" t="b">
        <f t="shared" si="361"/>
        <v>0</v>
      </c>
      <c r="M7348" s="17" t="str">
        <f t="shared" si="359"/>
        <v/>
      </c>
      <c r="N7348" s="11" t="str">
        <f t="shared" si="360"/>
        <v/>
      </c>
    </row>
    <row r="7349" spans="9:14" x14ac:dyDescent="0.25">
      <c r="I7349" s="11" t="b">
        <f t="shared" si="361"/>
        <v>0</v>
      </c>
      <c r="M7349" s="17" t="str">
        <f t="shared" si="359"/>
        <v/>
      </c>
      <c r="N7349" s="11" t="str">
        <f t="shared" si="360"/>
        <v/>
      </c>
    </row>
    <row r="7350" spans="9:14" x14ac:dyDescent="0.25">
      <c r="I7350" s="11" t="b">
        <f t="shared" si="361"/>
        <v>0</v>
      </c>
      <c r="M7350" s="17" t="str">
        <f t="shared" si="359"/>
        <v/>
      </c>
      <c r="N7350" s="11" t="str">
        <f t="shared" si="360"/>
        <v/>
      </c>
    </row>
    <row r="7351" spans="9:14" x14ac:dyDescent="0.25">
      <c r="I7351" s="11" t="b">
        <f t="shared" si="361"/>
        <v>0</v>
      </c>
      <c r="M7351" s="17" t="str">
        <f t="shared" si="359"/>
        <v/>
      </c>
      <c r="N7351" s="11" t="str">
        <f t="shared" si="360"/>
        <v/>
      </c>
    </row>
    <row r="7352" spans="9:14" x14ac:dyDescent="0.25">
      <c r="I7352" s="11" t="b">
        <f t="shared" si="361"/>
        <v>0</v>
      </c>
      <c r="M7352" s="17" t="str">
        <f t="shared" si="359"/>
        <v/>
      </c>
      <c r="N7352" s="11" t="str">
        <f t="shared" si="360"/>
        <v/>
      </c>
    </row>
    <row r="7353" spans="9:14" x14ac:dyDescent="0.25">
      <c r="I7353" s="11" t="b">
        <f t="shared" si="361"/>
        <v>0</v>
      </c>
      <c r="M7353" s="17" t="str">
        <f t="shared" si="359"/>
        <v/>
      </c>
      <c r="N7353" s="11" t="str">
        <f t="shared" si="360"/>
        <v/>
      </c>
    </row>
    <row r="7354" spans="9:14" x14ac:dyDescent="0.25">
      <c r="I7354" s="11" t="b">
        <f t="shared" si="361"/>
        <v>0</v>
      </c>
      <c r="M7354" s="17" t="str">
        <f t="shared" si="359"/>
        <v/>
      </c>
      <c r="N7354" s="11" t="str">
        <f t="shared" si="360"/>
        <v/>
      </c>
    </row>
    <row r="7355" spans="9:14" x14ac:dyDescent="0.25">
      <c r="I7355" s="11" t="b">
        <f t="shared" si="361"/>
        <v>0</v>
      </c>
      <c r="M7355" s="17" t="str">
        <f t="shared" si="359"/>
        <v/>
      </c>
      <c r="N7355" s="11" t="str">
        <f t="shared" si="360"/>
        <v/>
      </c>
    </row>
    <row r="7356" spans="9:14" x14ac:dyDescent="0.25">
      <c r="I7356" s="11" t="b">
        <f t="shared" si="361"/>
        <v>0</v>
      </c>
      <c r="M7356" s="17" t="str">
        <f t="shared" si="359"/>
        <v/>
      </c>
      <c r="N7356" s="11" t="str">
        <f t="shared" si="360"/>
        <v/>
      </c>
    </row>
    <row r="7357" spans="9:14" x14ac:dyDescent="0.25">
      <c r="I7357" s="11" t="b">
        <f t="shared" si="361"/>
        <v>0</v>
      </c>
      <c r="M7357" s="17" t="str">
        <f t="shared" si="359"/>
        <v/>
      </c>
      <c r="N7357" s="11" t="str">
        <f t="shared" si="360"/>
        <v/>
      </c>
    </row>
    <row r="7358" spans="9:14" x14ac:dyDescent="0.25">
      <c r="I7358" s="11" t="b">
        <f t="shared" si="361"/>
        <v>0</v>
      </c>
      <c r="M7358" s="17" t="str">
        <f t="shared" si="359"/>
        <v/>
      </c>
      <c r="N7358" s="11" t="str">
        <f t="shared" si="360"/>
        <v/>
      </c>
    </row>
    <row r="7359" spans="9:14" x14ac:dyDescent="0.25">
      <c r="I7359" s="11" t="b">
        <f t="shared" si="361"/>
        <v>0</v>
      </c>
      <c r="M7359" s="17" t="str">
        <f t="shared" si="359"/>
        <v/>
      </c>
      <c r="N7359" s="11" t="str">
        <f t="shared" si="360"/>
        <v/>
      </c>
    </row>
    <row r="7360" spans="9:14" x14ac:dyDescent="0.25">
      <c r="I7360" s="11" t="b">
        <f t="shared" si="361"/>
        <v>0</v>
      </c>
      <c r="M7360" s="17" t="str">
        <f t="shared" si="359"/>
        <v/>
      </c>
      <c r="N7360" s="11" t="str">
        <f t="shared" si="360"/>
        <v/>
      </c>
    </row>
    <row r="7361" spans="9:14" x14ac:dyDescent="0.25">
      <c r="I7361" s="11" t="b">
        <f t="shared" si="361"/>
        <v>0</v>
      </c>
      <c r="M7361" s="17" t="str">
        <f t="shared" ref="M7361:M7424" si="362">IF(B7361=0, "",M7360+ J7361-K7361)</f>
        <v/>
      </c>
      <c r="N7361" s="11" t="str">
        <f t="shared" ref="N7361:N7424" si="363">IF(B7361=0, "", MONTH(B7361))</f>
        <v/>
      </c>
    </row>
    <row r="7362" spans="9:14" x14ac:dyDescent="0.25">
      <c r="I7362" s="11" t="b">
        <f t="shared" si="361"/>
        <v>0</v>
      </c>
      <c r="M7362" s="17" t="str">
        <f t="shared" si="362"/>
        <v/>
      </c>
      <c r="N7362" s="11" t="str">
        <f t="shared" si="363"/>
        <v/>
      </c>
    </row>
    <row r="7363" spans="9:14" x14ac:dyDescent="0.25">
      <c r="I7363" s="11" t="b">
        <f t="shared" si="361"/>
        <v>0</v>
      </c>
      <c r="M7363" s="17" t="str">
        <f t="shared" si="362"/>
        <v/>
      </c>
      <c r="N7363" s="11" t="str">
        <f t="shared" si="363"/>
        <v/>
      </c>
    </row>
    <row r="7364" spans="9:14" x14ac:dyDescent="0.25">
      <c r="I7364" s="11" t="b">
        <f t="shared" si="361"/>
        <v>0</v>
      </c>
      <c r="M7364" s="17" t="str">
        <f t="shared" si="362"/>
        <v/>
      </c>
      <c r="N7364" s="11" t="str">
        <f t="shared" si="363"/>
        <v/>
      </c>
    </row>
    <row r="7365" spans="9:14" x14ac:dyDescent="0.25">
      <c r="I7365" s="11" t="b">
        <f t="shared" si="361"/>
        <v>0</v>
      </c>
      <c r="M7365" s="17" t="str">
        <f t="shared" si="362"/>
        <v/>
      </c>
      <c r="N7365" s="11" t="str">
        <f t="shared" si="363"/>
        <v/>
      </c>
    </row>
    <row r="7366" spans="9:14" x14ac:dyDescent="0.25">
      <c r="I7366" s="11" t="b">
        <f t="shared" si="361"/>
        <v>0</v>
      </c>
      <c r="M7366" s="17" t="str">
        <f t="shared" si="362"/>
        <v/>
      </c>
      <c r="N7366" s="11" t="str">
        <f t="shared" si="363"/>
        <v/>
      </c>
    </row>
    <row r="7367" spans="9:14" x14ac:dyDescent="0.25">
      <c r="I7367" s="11" t="b">
        <f t="shared" si="361"/>
        <v>0</v>
      </c>
      <c r="M7367" s="17" t="str">
        <f t="shared" si="362"/>
        <v/>
      </c>
      <c r="N7367" s="11" t="str">
        <f t="shared" si="363"/>
        <v/>
      </c>
    </row>
    <row r="7368" spans="9:14" x14ac:dyDescent="0.25">
      <c r="I7368" s="11" t="b">
        <f t="shared" si="361"/>
        <v>0</v>
      </c>
      <c r="M7368" s="17" t="str">
        <f t="shared" si="362"/>
        <v/>
      </c>
      <c r="N7368" s="11" t="str">
        <f t="shared" si="363"/>
        <v/>
      </c>
    </row>
    <row r="7369" spans="9:14" x14ac:dyDescent="0.25">
      <c r="I7369" s="11" t="b">
        <f t="shared" si="361"/>
        <v>0</v>
      </c>
      <c r="M7369" s="17" t="str">
        <f t="shared" si="362"/>
        <v/>
      </c>
      <c r="N7369" s="11" t="str">
        <f t="shared" si="363"/>
        <v/>
      </c>
    </row>
    <row r="7370" spans="9:14" x14ac:dyDescent="0.25">
      <c r="I7370" s="11" t="b">
        <f t="shared" si="361"/>
        <v>0</v>
      </c>
      <c r="M7370" s="17" t="str">
        <f t="shared" si="362"/>
        <v/>
      </c>
      <c r="N7370" s="11" t="str">
        <f t="shared" si="363"/>
        <v/>
      </c>
    </row>
    <row r="7371" spans="9:14" x14ac:dyDescent="0.25">
      <c r="I7371" s="11" t="b">
        <f t="shared" si="361"/>
        <v>0</v>
      </c>
      <c r="M7371" s="17" t="str">
        <f t="shared" si="362"/>
        <v/>
      </c>
      <c r="N7371" s="11" t="str">
        <f t="shared" si="363"/>
        <v/>
      </c>
    </row>
    <row r="7372" spans="9:14" x14ac:dyDescent="0.25">
      <c r="I7372" s="11" t="b">
        <f t="shared" si="361"/>
        <v>0</v>
      </c>
      <c r="M7372" s="17" t="str">
        <f t="shared" si="362"/>
        <v/>
      </c>
      <c r="N7372" s="11" t="str">
        <f t="shared" si="363"/>
        <v/>
      </c>
    </row>
    <row r="7373" spans="9:14" x14ac:dyDescent="0.25">
      <c r="I7373" s="11" t="b">
        <f t="shared" si="361"/>
        <v>0</v>
      </c>
      <c r="M7373" s="17" t="str">
        <f t="shared" si="362"/>
        <v/>
      </c>
      <c r="N7373" s="11" t="str">
        <f t="shared" si="363"/>
        <v/>
      </c>
    </row>
    <row r="7374" spans="9:14" x14ac:dyDescent="0.25">
      <c r="I7374" s="11" t="b">
        <f t="shared" si="361"/>
        <v>0</v>
      </c>
      <c r="M7374" s="17" t="str">
        <f t="shared" si="362"/>
        <v/>
      </c>
      <c r="N7374" s="11" t="str">
        <f t="shared" si="363"/>
        <v/>
      </c>
    </row>
    <row r="7375" spans="9:14" x14ac:dyDescent="0.25">
      <c r="I7375" s="11" t="b">
        <f t="shared" si="361"/>
        <v>0</v>
      </c>
      <c r="M7375" s="17" t="str">
        <f t="shared" si="362"/>
        <v/>
      </c>
      <c r="N7375" s="11" t="str">
        <f t="shared" si="363"/>
        <v/>
      </c>
    </row>
    <row r="7376" spans="9:14" x14ac:dyDescent="0.25">
      <c r="I7376" s="11" t="b">
        <f t="shared" si="361"/>
        <v>0</v>
      </c>
      <c r="M7376" s="17" t="str">
        <f t="shared" si="362"/>
        <v/>
      </c>
      <c r="N7376" s="11" t="str">
        <f t="shared" si="363"/>
        <v/>
      </c>
    </row>
    <row r="7377" spans="9:14" x14ac:dyDescent="0.25">
      <c r="I7377" s="11" t="b">
        <f t="shared" si="361"/>
        <v>0</v>
      </c>
      <c r="M7377" s="17" t="str">
        <f t="shared" si="362"/>
        <v/>
      </c>
      <c r="N7377" s="11" t="str">
        <f t="shared" si="363"/>
        <v/>
      </c>
    </row>
    <row r="7378" spans="9:14" x14ac:dyDescent="0.25">
      <c r="I7378" s="11" t="b">
        <f t="shared" si="361"/>
        <v>0</v>
      </c>
      <c r="M7378" s="17" t="str">
        <f t="shared" si="362"/>
        <v/>
      </c>
      <c r="N7378" s="11" t="str">
        <f t="shared" si="363"/>
        <v/>
      </c>
    </row>
    <row r="7379" spans="9:14" x14ac:dyDescent="0.25">
      <c r="I7379" s="11" t="b">
        <f t="shared" si="361"/>
        <v>0</v>
      </c>
      <c r="M7379" s="17" t="str">
        <f t="shared" si="362"/>
        <v/>
      </c>
      <c r="N7379" s="11" t="str">
        <f t="shared" si="363"/>
        <v/>
      </c>
    </row>
    <row r="7380" spans="9:14" x14ac:dyDescent="0.25">
      <c r="I7380" s="11" t="b">
        <f t="shared" si="361"/>
        <v>0</v>
      </c>
      <c r="M7380" s="17" t="str">
        <f t="shared" si="362"/>
        <v/>
      </c>
      <c r="N7380" s="11" t="str">
        <f t="shared" si="363"/>
        <v/>
      </c>
    </row>
    <row r="7381" spans="9:14" x14ac:dyDescent="0.25">
      <c r="I7381" s="11" t="b">
        <f t="shared" si="361"/>
        <v>0</v>
      </c>
      <c r="M7381" s="17" t="str">
        <f t="shared" si="362"/>
        <v/>
      </c>
      <c r="N7381" s="11" t="str">
        <f t="shared" si="363"/>
        <v/>
      </c>
    </row>
    <row r="7382" spans="9:14" x14ac:dyDescent="0.25">
      <c r="I7382" s="11" t="b">
        <f t="shared" si="361"/>
        <v>0</v>
      </c>
      <c r="M7382" s="17" t="str">
        <f t="shared" si="362"/>
        <v/>
      </c>
      <c r="N7382" s="11" t="str">
        <f t="shared" si="363"/>
        <v/>
      </c>
    </row>
    <row r="7383" spans="9:14" x14ac:dyDescent="0.25">
      <c r="I7383" s="11" t="b">
        <f t="shared" si="361"/>
        <v>0</v>
      </c>
      <c r="M7383" s="17" t="str">
        <f t="shared" si="362"/>
        <v/>
      </c>
      <c r="N7383" s="11" t="str">
        <f t="shared" si="363"/>
        <v/>
      </c>
    </row>
    <row r="7384" spans="9:14" x14ac:dyDescent="0.25">
      <c r="I7384" s="11" t="b">
        <f t="shared" si="361"/>
        <v>0</v>
      </c>
      <c r="M7384" s="17" t="str">
        <f t="shared" si="362"/>
        <v/>
      </c>
      <c r="N7384" s="11" t="str">
        <f t="shared" si="363"/>
        <v/>
      </c>
    </row>
    <row r="7385" spans="9:14" x14ac:dyDescent="0.25">
      <c r="I7385" s="11" t="b">
        <f t="shared" si="361"/>
        <v>0</v>
      </c>
      <c r="M7385" s="17" t="str">
        <f t="shared" si="362"/>
        <v/>
      </c>
      <c r="N7385" s="11" t="str">
        <f t="shared" si="363"/>
        <v/>
      </c>
    </row>
    <row r="7386" spans="9:14" x14ac:dyDescent="0.25">
      <c r="I7386" s="11" t="b">
        <f t="shared" si="361"/>
        <v>0</v>
      </c>
      <c r="M7386" s="17" t="str">
        <f t="shared" si="362"/>
        <v/>
      </c>
      <c r="N7386" s="11" t="str">
        <f t="shared" si="363"/>
        <v/>
      </c>
    </row>
    <row r="7387" spans="9:14" x14ac:dyDescent="0.25">
      <c r="I7387" s="11" t="b">
        <f t="shared" si="361"/>
        <v>0</v>
      </c>
      <c r="M7387" s="17" t="str">
        <f t="shared" si="362"/>
        <v/>
      </c>
      <c r="N7387" s="11" t="str">
        <f t="shared" si="363"/>
        <v/>
      </c>
    </row>
    <row r="7388" spans="9:14" x14ac:dyDescent="0.25">
      <c r="I7388" s="11" t="b">
        <f t="shared" si="361"/>
        <v>0</v>
      </c>
      <c r="M7388" s="17" t="str">
        <f t="shared" si="362"/>
        <v/>
      </c>
      <c r="N7388" s="11" t="str">
        <f t="shared" si="363"/>
        <v/>
      </c>
    </row>
    <row r="7389" spans="9:14" x14ac:dyDescent="0.25">
      <c r="I7389" s="11" t="b">
        <f t="shared" ref="I7389:I7452" si="364">IF(AND(G7389="MERCADO PAGO",A7389="FATURAMENTO"),1,IF(AND(OR(G7389="MERCADO PAGO",G7389="pix mercado pago",G7389= "débito automático mercado pago", G7389= "boleto mercado pago"),A7389="DESPESAS"),4,IF(AND(G7389="SAFRA",A7389="FATURAMENTO"),2,IF(AND(OR(G7389="SAFRA",G7389="PIX SAFRA", G7389="DÉBITO AUTOMÁTICO SAFRA", G7389= "BOLETO SAFRA", G7389= "transferência safra"), A7389="DESPESAS"),5,IF(AND(G7389="espécie",A7389="FATURAMENTO"),3,IF(AND(G7389="espécie",A7389="DESPESAS"),6))))))</f>
        <v>0</v>
      </c>
      <c r="M7389" s="17" t="str">
        <f t="shared" si="362"/>
        <v/>
      </c>
      <c r="N7389" s="11" t="str">
        <f t="shared" si="363"/>
        <v/>
      </c>
    </row>
    <row r="7390" spans="9:14" x14ac:dyDescent="0.25">
      <c r="I7390" s="11" t="b">
        <f t="shared" si="364"/>
        <v>0</v>
      </c>
      <c r="M7390" s="17" t="str">
        <f t="shared" si="362"/>
        <v/>
      </c>
      <c r="N7390" s="11" t="str">
        <f t="shared" si="363"/>
        <v/>
      </c>
    </row>
    <row r="7391" spans="9:14" x14ac:dyDescent="0.25">
      <c r="I7391" s="11" t="b">
        <f t="shared" si="364"/>
        <v>0</v>
      </c>
      <c r="M7391" s="17" t="str">
        <f t="shared" si="362"/>
        <v/>
      </c>
      <c r="N7391" s="11" t="str">
        <f t="shared" si="363"/>
        <v/>
      </c>
    </row>
    <row r="7392" spans="9:14" x14ac:dyDescent="0.25">
      <c r="I7392" s="11" t="b">
        <f t="shared" si="364"/>
        <v>0</v>
      </c>
      <c r="M7392" s="17" t="str">
        <f t="shared" si="362"/>
        <v/>
      </c>
      <c r="N7392" s="11" t="str">
        <f t="shared" si="363"/>
        <v/>
      </c>
    </row>
    <row r="7393" spans="9:14" x14ac:dyDescent="0.25">
      <c r="I7393" s="11" t="b">
        <f t="shared" si="364"/>
        <v>0</v>
      </c>
      <c r="M7393" s="17" t="str">
        <f t="shared" si="362"/>
        <v/>
      </c>
      <c r="N7393" s="11" t="str">
        <f t="shared" si="363"/>
        <v/>
      </c>
    </row>
    <row r="7394" spans="9:14" x14ac:dyDescent="0.25">
      <c r="I7394" s="11" t="b">
        <f t="shared" si="364"/>
        <v>0</v>
      </c>
      <c r="M7394" s="17" t="str">
        <f t="shared" si="362"/>
        <v/>
      </c>
      <c r="N7394" s="11" t="str">
        <f t="shared" si="363"/>
        <v/>
      </c>
    </row>
    <row r="7395" spans="9:14" x14ac:dyDescent="0.25">
      <c r="I7395" s="11" t="b">
        <f t="shared" si="364"/>
        <v>0</v>
      </c>
      <c r="M7395" s="17" t="str">
        <f t="shared" si="362"/>
        <v/>
      </c>
      <c r="N7395" s="11" t="str">
        <f t="shared" si="363"/>
        <v/>
      </c>
    </row>
    <row r="7396" spans="9:14" x14ac:dyDescent="0.25">
      <c r="I7396" s="11" t="b">
        <f t="shared" si="364"/>
        <v>0</v>
      </c>
      <c r="M7396" s="17" t="str">
        <f t="shared" si="362"/>
        <v/>
      </c>
      <c r="N7396" s="11" t="str">
        <f t="shared" si="363"/>
        <v/>
      </c>
    </row>
    <row r="7397" spans="9:14" x14ac:dyDescent="0.25">
      <c r="I7397" s="11" t="b">
        <f t="shared" si="364"/>
        <v>0</v>
      </c>
      <c r="M7397" s="17" t="str">
        <f t="shared" si="362"/>
        <v/>
      </c>
      <c r="N7397" s="11" t="str">
        <f t="shared" si="363"/>
        <v/>
      </c>
    </row>
    <row r="7398" spans="9:14" x14ac:dyDescent="0.25">
      <c r="I7398" s="11" t="b">
        <f t="shared" si="364"/>
        <v>0</v>
      </c>
      <c r="M7398" s="17" t="str">
        <f t="shared" si="362"/>
        <v/>
      </c>
      <c r="N7398" s="11" t="str">
        <f t="shared" si="363"/>
        <v/>
      </c>
    </row>
    <row r="7399" spans="9:14" x14ac:dyDescent="0.25">
      <c r="I7399" s="11" t="b">
        <f t="shared" si="364"/>
        <v>0</v>
      </c>
      <c r="M7399" s="17" t="str">
        <f t="shared" si="362"/>
        <v/>
      </c>
      <c r="N7399" s="11" t="str">
        <f t="shared" si="363"/>
        <v/>
      </c>
    </row>
    <row r="7400" spans="9:14" x14ac:dyDescent="0.25">
      <c r="I7400" s="11" t="b">
        <f t="shared" si="364"/>
        <v>0</v>
      </c>
      <c r="M7400" s="17" t="str">
        <f t="shared" si="362"/>
        <v/>
      </c>
      <c r="N7400" s="11" t="str">
        <f t="shared" si="363"/>
        <v/>
      </c>
    </row>
    <row r="7401" spans="9:14" x14ac:dyDescent="0.25">
      <c r="I7401" s="11" t="b">
        <f t="shared" si="364"/>
        <v>0</v>
      </c>
      <c r="M7401" s="17" t="str">
        <f t="shared" si="362"/>
        <v/>
      </c>
      <c r="N7401" s="11" t="str">
        <f t="shared" si="363"/>
        <v/>
      </c>
    </row>
    <row r="7402" spans="9:14" x14ac:dyDescent="0.25">
      <c r="I7402" s="11" t="b">
        <f t="shared" si="364"/>
        <v>0</v>
      </c>
      <c r="M7402" s="17" t="str">
        <f t="shared" si="362"/>
        <v/>
      </c>
      <c r="N7402" s="11" t="str">
        <f t="shared" si="363"/>
        <v/>
      </c>
    </row>
    <row r="7403" spans="9:14" x14ac:dyDescent="0.25">
      <c r="I7403" s="11" t="b">
        <f t="shared" si="364"/>
        <v>0</v>
      </c>
      <c r="M7403" s="17" t="str">
        <f t="shared" si="362"/>
        <v/>
      </c>
      <c r="N7403" s="11" t="str">
        <f t="shared" si="363"/>
        <v/>
      </c>
    </row>
    <row r="7404" spans="9:14" x14ac:dyDescent="0.25">
      <c r="I7404" s="11" t="b">
        <f t="shared" si="364"/>
        <v>0</v>
      </c>
      <c r="M7404" s="17" t="str">
        <f t="shared" si="362"/>
        <v/>
      </c>
      <c r="N7404" s="11" t="str">
        <f t="shared" si="363"/>
        <v/>
      </c>
    </row>
    <row r="7405" spans="9:14" x14ac:dyDescent="0.25">
      <c r="I7405" s="11" t="b">
        <f t="shared" si="364"/>
        <v>0</v>
      </c>
      <c r="M7405" s="17" t="str">
        <f t="shared" si="362"/>
        <v/>
      </c>
      <c r="N7405" s="11" t="str">
        <f t="shared" si="363"/>
        <v/>
      </c>
    </row>
    <row r="7406" spans="9:14" x14ac:dyDescent="0.25">
      <c r="I7406" s="11" t="b">
        <f t="shared" si="364"/>
        <v>0</v>
      </c>
      <c r="M7406" s="17" t="str">
        <f t="shared" si="362"/>
        <v/>
      </c>
      <c r="N7406" s="11" t="str">
        <f t="shared" si="363"/>
        <v/>
      </c>
    </row>
    <row r="7407" spans="9:14" x14ac:dyDescent="0.25">
      <c r="I7407" s="11" t="b">
        <f t="shared" si="364"/>
        <v>0</v>
      </c>
      <c r="M7407" s="17" t="str">
        <f t="shared" si="362"/>
        <v/>
      </c>
      <c r="N7407" s="11" t="str">
        <f t="shared" si="363"/>
        <v/>
      </c>
    </row>
    <row r="7408" spans="9:14" x14ac:dyDescent="0.25">
      <c r="I7408" s="11" t="b">
        <f t="shared" si="364"/>
        <v>0</v>
      </c>
      <c r="M7408" s="17" t="str">
        <f t="shared" si="362"/>
        <v/>
      </c>
      <c r="N7408" s="11" t="str">
        <f t="shared" si="363"/>
        <v/>
      </c>
    </row>
    <row r="7409" spans="9:14" x14ac:dyDescent="0.25">
      <c r="I7409" s="11" t="b">
        <f t="shared" si="364"/>
        <v>0</v>
      </c>
      <c r="M7409" s="17" t="str">
        <f t="shared" si="362"/>
        <v/>
      </c>
      <c r="N7409" s="11" t="str">
        <f t="shared" si="363"/>
        <v/>
      </c>
    </row>
    <row r="7410" spans="9:14" x14ac:dyDescent="0.25">
      <c r="I7410" s="11" t="b">
        <f t="shared" si="364"/>
        <v>0</v>
      </c>
      <c r="M7410" s="17" t="str">
        <f t="shared" si="362"/>
        <v/>
      </c>
      <c r="N7410" s="11" t="str">
        <f t="shared" si="363"/>
        <v/>
      </c>
    </row>
    <row r="7411" spans="9:14" x14ac:dyDescent="0.25">
      <c r="I7411" s="11" t="b">
        <f t="shared" si="364"/>
        <v>0</v>
      </c>
      <c r="M7411" s="17" t="str">
        <f t="shared" si="362"/>
        <v/>
      </c>
      <c r="N7411" s="11" t="str">
        <f t="shared" si="363"/>
        <v/>
      </c>
    </row>
    <row r="7412" spans="9:14" x14ac:dyDescent="0.25">
      <c r="I7412" s="11" t="b">
        <f t="shared" si="364"/>
        <v>0</v>
      </c>
      <c r="M7412" s="17" t="str">
        <f t="shared" si="362"/>
        <v/>
      </c>
      <c r="N7412" s="11" t="str">
        <f t="shared" si="363"/>
        <v/>
      </c>
    </row>
    <row r="7413" spans="9:14" x14ac:dyDescent="0.25">
      <c r="I7413" s="11" t="b">
        <f t="shared" si="364"/>
        <v>0</v>
      </c>
      <c r="M7413" s="17" t="str">
        <f t="shared" si="362"/>
        <v/>
      </c>
      <c r="N7413" s="11" t="str">
        <f t="shared" si="363"/>
        <v/>
      </c>
    </row>
    <row r="7414" spans="9:14" x14ac:dyDescent="0.25">
      <c r="I7414" s="11" t="b">
        <f t="shared" si="364"/>
        <v>0</v>
      </c>
      <c r="M7414" s="17" t="str">
        <f t="shared" si="362"/>
        <v/>
      </c>
      <c r="N7414" s="11" t="str">
        <f t="shared" si="363"/>
        <v/>
      </c>
    </row>
    <row r="7415" spans="9:14" x14ac:dyDescent="0.25">
      <c r="I7415" s="11" t="b">
        <f t="shared" si="364"/>
        <v>0</v>
      </c>
      <c r="M7415" s="17" t="str">
        <f t="shared" si="362"/>
        <v/>
      </c>
      <c r="N7415" s="11" t="str">
        <f t="shared" si="363"/>
        <v/>
      </c>
    </row>
    <row r="7416" spans="9:14" x14ac:dyDescent="0.25">
      <c r="I7416" s="11" t="b">
        <f t="shared" si="364"/>
        <v>0</v>
      </c>
      <c r="M7416" s="17" t="str">
        <f t="shared" si="362"/>
        <v/>
      </c>
      <c r="N7416" s="11" t="str">
        <f t="shared" si="363"/>
        <v/>
      </c>
    </row>
    <row r="7417" spans="9:14" x14ac:dyDescent="0.25">
      <c r="I7417" s="11" t="b">
        <f t="shared" si="364"/>
        <v>0</v>
      </c>
      <c r="M7417" s="17" t="str">
        <f t="shared" si="362"/>
        <v/>
      </c>
      <c r="N7417" s="11" t="str">
        <f t="shared" si="363"/>
        <v/>
      </c>
    </row>
    <row r="7418" spans="9:14" x14ac:dyDescent="0.25">
      <c r="I7418" s="11" t="b">
        <f t="shared" si="364"/>
        <v>0</v>
      </c>
      <c r="M7418" s="17" t="str">
        <f t="shared" si="362"/>
        <v/>
      </c>
      <c r="N7418" s="11" t="str">
        <f t="shared" si="363"/>
        <v/>
      </c>
    </row>
    <row r="7419" spans="9:14" x14ac:dyDescent="0.25">
      <c r="I7419" s="11" t="b">
        <f t="shared" si="364"/>
        <v>0</v>
      </c>
      <c r="M7419" s="17" t="str">
        <f t="shared" si="362"/>
        <v/>
      </c>
      <c r="N7419" s="11" t="str">
        <f t="shared" si="363"/>
        <v/>
      </c>
    </row>
    <row r="7420" spans="9:14" x14ac:dyDescent="0.25">
      <c r="I7420" s="11" t="b">
        <f t="shared" si="364"/>
        <v>0</v>
      </c>
      <c r="M7420" s="17" t="str">
        <f t="shared" si="362"/>
        <v/>
      </c>
      <c r="N7420" s="11" t="str">
        <f t="shared" si="363"/>
        <v/>
      </c>
    </row>
    <row r="7421" spans="9:14" x14ac:dyDescent="0.25">
      <c r="I7421" s="11" t="b">
        <f t="shared" si="364"/>
        <v>0</v>
      </c>
      <c r="M7421" s="17" t="str">
        <f t="shared" si="362"/>
        <v/>
      </c>
      <c r="N7421" s="11" t="str">
        <f t="shared" si="363"/>
        <v/>
      </c>
    </row>
    <row r="7422" spans="9:14" x14ac:dyDescent="0.25">
      <c r="I7422" s="11" t="b">
        <f t="shared" si="364"/>
        <v>0</v>
      </c>
      <c r="M7422" s="17" t="str">
        <f t="shared" si="362"/>
        <v/>
      </c>
      <c r="N7422" s="11" t="str">
        <f t="shared" si="363"/>
        <v/>
      </c>
    </row>
    <row r="7423" spans="9:14" x14ac:dyDescent="0.25">
      <c r="I7423" s="11" t="b">
        <f t="shared" si="364"/>
        <v>0</v>
      </c>
      <c r="M7423" s="17" t="str">
        <f t="shared" si="362"/>
        <v/>
      </c>
      <c r="N7423" s="11" t="str">
        <f t="shared" si="363"/>
        <v/>
      </c>
    </row>
    <row r="7424" spans="9:14" x14ac:dyDescent="0.25">
      <c r="I7424" s="11" t="b">
        <f t="shared" si="364"/>
        <v>0</v>
      </c>
      <c r="M7424" s="17" t="str">
        <f t="shared" si="362"/>
        <v/>
      </c>
      <c r="N7424" s="11" t="str">
        <f t="shared" si="363"/>
        <v/>
      </c>
    </row>
    <row r="7425" spans="9:14" x14ac:dyDescent="0.25">
      <c r="I7425" s="11" t="b">
        <f t="shared" si="364"/>
        <v>0</v>
      </c>
      <c r="M7425" s="17" t="str">
        <f t="shared" ref="M7425:M7488" si="365">IF(B7425=0, "",M7424+ J7425-K7425)</f>
        <v/>
      </c>
      <c r="N7425" s="11" t="str">
        <f t="shared" ref="N7425:N7488" si="366">IF(B7425=0, "", MONTH(B7425))</f>
        <v/>
      </c>
    </row>
    <row r="7426" spans="9:14" x14ac:dyDescent="0.25">
      <c r="I7426" s="11" t="b">
        <f t="shared" si="364"/>
        <v>0</v>
      </c>
      <c r="M7426" s="17" t="str">
        <f t="shared" si="365"/>
        <v/>
      </c>
      <c r="N7426" s="11" t="str">
        <f t="shared" si="366"/>
        <v/>
      </c>
    </row>
    <row r="7427" spans="9:14" x14ac:dyDescent="0.25">
      <c r="I7427" s="11" t="b">
        <f t="shared" si="364"/>
        <v>0</v>
      </c>
      <c r="M7427" s="17" t="str">
        <f t="shared" si="365"/>
        <v/>
      </c>
      <c r="N7427" s="11" t="str">
        <f t="shared" si="366"/>
        <v/>
      </c>
    </row>
    <row r="7428" spans="9:14" x14ac:dyDescent="0.25">
      <c r="I7428" s="11" t="b">
        <f t="shared" si="364"/>
        <v>0</v>
      </c>
      <c r="M7428" s="17" t="str">
        <f t="shared" si="365"/>
        <v/>
      </c>
      <c r="N7428" s="11" t="str">
        <f t="shared" si="366"/>
        <v/>
      </c>
    </row>
    <row r="7429" spans="9:14" x14ac:dyDescent="0.25">
      <c r="I7429" s="11" t="b">
        <f t="shared" si="364"/>
        <v>0</v>
      </c>
      <c r="M7429" s="17" t="str">
        <f t="shared" si="365"/>
        <v/>
      </c>
      <c r="N7429" s="11" t="str">
        <f t="shared" si="366"/>
        <v/>
      </c>
    </row>
    <row r="7430" spans="9:14" x14ac:dyDescent="0.25">
      <c r="I7430" s="11" t="b">
        <f t="shared" si="364"/>
        <v>0</v>
      </c>
      <c r="M7430" s="17" t="str">
        <f t="shared" si="365"/>
        <v/>
      </c>
      <c r="N7430" s="11" t="str">
        <f t="shared" si="366"/>
        <v/>
      </c>
    </row>
    <row r="7431" spans="9:14" x14ac:dyDescent="0.25">
      <c r="I7431" s="11" t="b">
        <f t="shared" si="364"/>
        <v>0</v>
      </c>
      <c r="M7431" s="17" t="str">
        <f t="shared" si="365"/>
        <v/>
      </c>
      <c r="N7431" s="11" t="str">
        <f t="shared" si="366"/>
        <v/>
      </c>
    </row>
    <row r="7432" spans="9:14" x14ac:dyDescent="0.25">
      <c r="I7432" s="11" t="b">
        <f t="shared" si="364"/>
        <v>0</v>
      </c>
      <c r="M7432" s="17" t="str">
        <f t="shared" si="365"/>
        <v/>
      </c>
      <c r="N7432" s="11" t="str">
        <f t="shared" si="366"/>
        <v/>
      </c>
    </row>
    <row r="7433" spans="9:14" x14ac:dyDescent="0.25">
      <c r="I7433" s="11" t="b">
        <f t="shared" si="364"/>
        <v>0</v>
      </c>
      <c r="M7433" s="17" t="str">
        <f t="shared" si="365"/>
        <v/>
      </c>
      <c r="N7433" s="11" t="str">
        <f t="shared" si="366"/>
        <v/>
      </c>
    </row>
    <row r="7434" spans="9:14" x14ac:dyDescent="0.25">
      <c r="I7434" s="11" t="b">
        <f t="shared" si="364"/>
        <v>0</v>
      </c>
      <c r="M7434" s="17" t="str">
        <f t="shared" si="365"/>
        <v/>
      </c>
      <c r="N7434" s="11" t="str">
        <f t="shared" si="366"/>
        <v/>
      </c>
    </row>
    <row r="7435" spans="9:14" x14ac:dyDescent="0.25">
      <c r="I7435" s="11" t="b">
        <f t="shared" si="364"/>
        <v>0</v>
      </c>
      <c r="M7435" s="17" t="str">
        <f t="shared" si="365"/>
        <v/>
      </c>
      <c r="N7435" s="11" t="str">
        <f t="shared" si="366"/>
        <v/>
      </c>
    </row>
    <row r="7436" spans="9:14" x14ac:dyDescent="0.25">
      <c r="I7436" s="11" t="b">
        <f t="shared" si="364"/>
        <v>0</v>
      </c>
      <c r="M7436" s="17" t="str">
        <f t="shared" si="365"/>
        <v/>
      </c>
      <c r="N7436" s="11" t="str">
        <f t="shared" si="366"/>
        <v/>
      </c>
    </row>
    <row r="7437" spans="9:14" x14ac:dyDescent="0.25">
      <c r="I7437" s="11" t="b">
        <f t="shared" si="364"/>
        <v>0</v>
      </c>
      <c r="M7437" s="17" t="str">
        <f t="shared" si="365"/>
        <v/>
      </c>
      <c r="N7437" s="11" t="str">
        <f t="shared" si="366"/>
        <v/>
      </c>
    </row>
    <row r="7438" spans="9:14" x14ac:dyDescent="0.25">
      <c r="I7438" s="11" t="b">
        <f t="shared" si="364"/>
        <v>0</v>
      </c>
      <c r="M7438" s="17" t="str">
        <f t="shared" si="365"/>
        <v/>
      </c>
      <c r="N7438" s="11" t="str">
        <f t="shared" si="366"/>
        <v/>
      </c>
    </row>
    <row r="7439" spans="9:14" x14ac:dyDescent="0.25">
      <c r="I7439" s="11" t="b">
        <f t="shared" si="364"/>
        <v>0</v>
      </c>
      <c r="M7439" s="17" t="str">
        <f t="shared" si="365"/>
        <v/>
      </c>
      <c r="N7439" s="11" t="str">
        <f t="shared" si="366"/>
        <v/>
      </c>
    </row>
    <row r="7440" spans="9:14" x14ac:dyDescent="0.25">
      <c r="I7440" s="11" t="b">
        <f t="shared" si="364"/>
        <v>0</v>
      </c>
      <c r="M7440" s="17" t="str">
        <f t="shared" si="365"/>
        <v/>
      </c>
      <c r="N7440" s="11" t="str">
        <f t="shared" si="366"/>
        <v/>
      </c>
    </row>
    <row r="7441" spans="9:14" x14ac:dyDescent="0.25">
      <c r="I7441" s="11" t="b">
        <f t="shared" si="364"/>
        <v>0</v>
      </c>
      <c r="M7441" s="17" t="str">
        <f t="shared" si="365"/>
        <v/>
      </c>
      <c r="N7441" s="11" t="str">
        <f t="shared" si="366"/>
        <v/>
      </c>
    </row>
    <row r="7442" spans="9:14" x14ac:dyDescent="0.25">
      <c r="I7442" s="11" t="b">
        <f t="shared" si="364"/>
        <v>0</v>
      </c>
      <c r="M7442" s="17" t="str">
        <f t="shared" si="365"/>
        <v/>
      </c>
      <c r="N7442" s="11" t="str">
        <f t="shared" si="366"/>
        <v/>
      </c>
    </row>
    <row r="7443" spans="9:14" x14ac:dyDescent="0.25">
      <c r="I7443" s="11" t="b">
        <f t="shared" si="364"/>
        <v>0</v>
      </c>
      <c r="M7443" s="17" t="str">
        <f t="shared" si="365"/>
        <v/>
      </c>
      <c r="N7443" s="11" t="str">
        <f t="shared" si="366"/>
        <v/>
      </c>
    </row>
    <row r="7444" spans="9:14" x14ac:dyDescent="0.25">
      <c r="I7444" s="11" t="b">
        <f t="shared" si="364"/>
        <v>0</v>
      </c>
      <c r="M7444" s="17" t="str">
        <f t="shared" si="365"/>
        <v/>
      </c>
      <c r="N7444" s="11" t="str">
        <f t="shared" si="366"/>
        <v/>
      </c>
    </row>
    <row r="7445" spans="9:14" x14ac:dyDescent="0.25">
      <c r="I7445" s="11" t="b">
        <f t="shared" si="364"/>
        <v>0</v>
      </c>
      <c r="M7445" s="17" t="str">
        <f t="shared" si="365"/>
        <v/>
      </c>
      <c r="N7445" s="11" t="str">
        <f t="shared" si="366"/>
        <v/>
      </c>
    </row>
    <row r="7446" spans="9:14" x14ac:dyDescent="0.25">
      <c r="I7446" s="11" t="b">
        <f t="shared" si="364"/>
        <v>0</v>
      </c>
      <c r="M7446" s="17" t="str">
        <f t="shared" si="365"/>
        <v/>
      </c>
      <c r="N7446" s="11" t="str">
        <f t="shared" si="366"/>
        <v/>
      </c>
    </row>
    <row r="7447" spans="9:14" x14ac:dyDescent="0.25">
      <c r="I7447" s="11" t="b">
        <f t="shared" si="364"/>
        <v>0</v>
      </c>
      <c r="M7447" s="17" t="str">
        <f t="shared" si="365"/>
        <v/>
      </c>
      <c r="N7447" s="11" t="str">
        <f t="shared" si="366"/>
        <v/>
      </c>
    </row>
    <row r="7448" spans="9:14" x14ac:dyDescent="0.25">
      <c r="I7448" s="11" t="b">
        <f t="shared" si="364"/>
        <v>0</v>
      </c>
      <c r="M7448" s="17" t="str">
        <f t="shared" si="365"/>
        <v/>
      </c>
      <c r="N7448" s="11" t="str">
        <f t="shared" si="366"/>
        <v/>
      </c>
    </row>
    <row r="7449" spans="9:14" x14ac:dyDescent="0.25">
      <c r="I7449" s="11" t="b">
        <f t="shared" si="364"/>
        <v>0</v>
      </c>
      <c r="M7449" s="17" t="str">
        <f t="shared" si="365"/>
        <v/>
      </c>
      <c r="N7449" s="11" t="str">
        <f t="shared" si="366"/>
        <v/>
      </c>
    </row>
    <row r="7450" spans="9:14" x14ac:dyDescent="0.25">
      <c r="I7450" s="11" t="b">
        <f t="shared" si="364"/>
        <v>0</v>
      </c>
      <c r="M7450" s="17" t="str">
        <f t="shared" si="365"/>
        <v/>
      </c>
      <c r="N7450" s="11" t="str">
        <f t="shared" si="366"/>
        <v/>
      </c>
    </row>
    <row r="7451" spans="9:14" x14ac:dyDescent="0.25">
      <c r="I7451" s="11" t="b">
        <f t="shared" si="364"/>
        <v>0</v>
      </c>
      <c r="M7451" s="17" t="str">
        <f t="shared" si="365"/>
        <v/>
      </c>
      <c r="N7451" s="11" t="str">
        <f t="shared" si="366"/>
        <v/>
      </c>
    </row>
    <row r="7452" spans="9:14" x14ac:dyDescent="0.25">
      <c r="I7452" s="11" t="b">
        <f t="shared" si="364"/>
        <v>0</v>
      </c>
      <c r="M7452" s="17" t="str">
        <f t="shared" si="365"/>
        <v/>
      </c>
      <c r="N7452" s="11" t="str">
        <f t="shared" si="366"/>
        <v/>
      </c>
    </row>
    <row r="7453" spans="9:14" x14ac:dyDescent="0.25">
      <c r="I7453" s="11" t="b">
        <f t="shared" ref="I7453:I7516" si="367">IF(AND(G7453="MERCADO PAGO",A7453="FATURAMENTO"),1,IF(AND(OR(G7453="MERCADO PAGO",G7453="pix mercado pago",G7453= "débito automático mercado pago", G7453= "boleto mercado pago"),A7453="DESPESAS"),4,IF(AND(G7453="SAFRA",A7453="FATURAMENTO"),2,IF(AND(OR(G7453="SAFRA",G7453="PIX SAFRA", G7453="DÉBITO AUTOMÁTICO SAFRA", G7453= "BOLETO SAFRA", G7453= "transferência safra"), A7453="DESPESAS"),5,IF(AND(G7453="espécie",A7453="FATURAMENTO"),3,IF(AND(G7453="espécie",A7453="DESPESAS"),6))))))</f>
        <v>0</v>
      </c>
      <c r="M7453" s="17" t="str">
        <f t="shared" si="365"/>
        <v/>
      </c>
      <c r="N7453" s="11" t="str">
        <f t="shared" si="366"/>
        <v/>
      </c>
    </row>
    <row r="7454" spans="9:14" x14ac:dyDescent="0.25">
      <c r="I7454" s="11" t="b">
        <f t="shared" si="367"/>
        <v>0</v>
      </c>
      <c r="M7454" s="17" t="str">
        <f t="shared" si="365"/>
        <v/>
      </c>
      <c r="N7454" s="11" t="str">
        <f t="shared" si="366"/>
        <v/>
      </c>
    </row>
    <row r="7455" spans="9:14" x14ac:dyDescent="0.25">
      <c r="I7455" s="11" t="b">
        <f t="shared" si="367"/>
        <v>0</v>
      </c>
      <c r="M7455" s="17" t="str">
        <f t="shared" si="365"/>
        <v/>
      </c>
      <c r="N7455" s="11" t="str">
        <f t="shared" si="366"/>
        <v/>
      </c>
    </row>
    <row r="7456" spans="9:14" x14ac:dyDescent="0.25">
      <c r="I7456" s="11" t="b">
        <f t="shared" si="367"/>
        <v>0</v>
      </c>
      <c r="M7456" s="17" t="str">
        <f t="shared" si="365"/>
        <v/>
      </c>
      <c r="N7456" s="11" t="str">
        <f t="shared" si="366"/>
        <v/>
      </c>
    </row>
    <row r="7457" spans="9:14" x14ac:dyDescent="0.25">
      <c r="I7457" s="11" t="b">
        <f t="shared" si="367"/>
        <v>0</v>
      </c>
      <c r="M7457" s="17" t="str">
        <f t="shared" si="365"/>
        <v/>
      </c>
      <c r="N7457" s="11" t="str">
        <f t="shared" si="366"/>
        <v/>
      </c>
    </row>
    <row r="7458" spans="9:14" x14ac:dyDescent="0.25">
      <c r="I7458" s="11" t="b">
        <f t="shared" si="367"/>
        <v>0</v>
      </c>
      <c r="M7458" s="17" t="str">
        <f t="shared" si="365"/>
        <v/>
      </c>
      <c r="N7458" s="11" t="str">
        <f t="shared" si="366"/>
        <v/>
      </c>
    </row>
    <row r="7459" spans="9:14" x14ac:dyDescent="0.25">
      <c r="I7459" s="11" t="b">
        <f t="shared" si="367"/>
        <v>0</v>
      </c>
      <c r="M7459" s="17" t="str">
        <f t="shared" si="365"/>
        <v/>
      </c>
      <c r="N7459" s="11" t="str">
        <f t="shared" si="366"/>
        <v/>
      </c>
    </row>
    <row r="7460" spans="9:14" x14ac:dyDescent="0.25">
      <c r="I7460" s="11" t="b">
        <f t="shared" si="367"/>
        <v>0</v>
      </c>
      <c r="M7460" s="17" t="str">
        <f t="shared" si="365"/>
        <v/>
      </c>
      <c r="N7460" s="11" t="str">
        <f t="shared" si="366"/>
        <v/>
      </c>
    </row>
    <row r="7461" spans="9:14" x14ac:dyDescent="0.25">
      <c r="I7461" s="11" t="b">
        <f t="shared" si="367"/>
        <v>0</v>
      </c>
      <c r="M7461" s="17" t="str">
        <f t="shared" si="365"/>
        <v/>
      </c>
      <c r="N7461" s="11" t="str">
        <f t="shared" si="366"/>
        <v/>
      </c>
    </row>
    <row r="7462" spans="9:14" x14ac:dyDescent="0.25">
      <c r="I7462" s="11" t="b">
        <f t="shared" si="367"/>
        <v>0</v>
      </c>
      <c r="M7462" s="17" t="str">
        <f t="shared" si="365"/>
        <v/>
      </c>
      <c r="N7462" s="11" t="str">
        <f t="shared" si="366"/>
        <v/>
      </c>
    </row>
    <row r="7463" spans="9:14" x14ac:dyDescent="0.25">
      <c r="I7463" s="11" t="b">
        <f t="shared" si="367"/>
        <v>0</v>
      </c>
      <c r="M7463" s="17" t="str">
        <f t="shared" si="365"/>
        <v/>
      </c>
      <c r="N7463" s="11" t="str">
        <f t="shared" si="366"/>
        <v/>
      </c>
    </row>
    <row r="7464" spans="9:14" x14ac:dyDescent="0.25">
      <c r="I7464" s="11" t="b">
        <f t="shared" si="367"/>
        <v>0</v>
      </c>
      <c r="M7464" s="17" t="str">
        <f t="shared" si="365"/>
        <v/>
      </c>
      <c r="N7464" s="11" t="str">
        <f t="shared" si="366"/>
        <v/>
      </c>
    </row>
    <row r="7465" spans="9:14" x14ac:dyDescent="0.25">
      <c r="I7465" s="11" t="b">
        <f t="shared" si="367"/>
        <v>0</v>
      </c>
      <c r="M7465" s="17" t="str">
        <f t="shared" si="365"/>
        <v/>
      </c>
      <c r="N7465" s="11" t="str">
        <f t="shared" si="366"/>
        <v/>
      </c>
    </row>
    <row r="7466" spans="9:14" x14ac:dyDescent="0.25">
      <c r="I7466" s="11" t="b">
        <f t="shared" si="367"/>
        <v>0</v>
      </c>
      <c r="M7466" s="17" t="str">
        <f t="shared" si="365"/>
        <v/>
      </c>
      <c r="N7466" s="11" t="str">
        <f t="shared" si="366"/>
        <v/>
      </c>
    </row>
    <row r="7467" spans="9:14" x14ac:dyDescent="0.25">
      <c r="I7467" s="11" t="b">
        <f t="shared" si="367"/>
        <v>0</v>
      </c>
      <c r="M7467" s="17" t="str">
        <f t="shared" si="365"/>
        <v/>
      </c>
      <c r="N7467" s="11" t="str">
        <f t="shared" si="366"/>
        <v/>
      </c>
    </row>
    <row r="7468" spans="9:14" x14ac:dyDescent="0.25">
      <c r="I7468" s="11" t="b">
        <f t="shared" si="367"/>
        <v>0</v>
      </c>
      <c r="M7468" s="17" t="str">
        <f t="shared" si="365"/>
        <v/>
      </c>
      <c r="N7468" s="11" t="str">
        <f t="shared" si="366"/>
        <v/>
      </c>
    </row>
    <row r="7469" spans="9:14" x14ac:dyDescent="0.25">
      <c r="I7469" s="11" t="b">
        <f t="shared" si="367"/>
        <v>0</v>
      </c>
      <c r="M7469" s="17" t="str">
        <f t="shared" si="365"/>
        <v/>
      </c>
      <c r="N7469" s="11" t="str">
        <f t="shared" si="366"/>
        <v/>
      </c>
    </row>
    <row r="7470" spans="9:14" x14ac:dyDescent="0.25">
      <c r="I7470" s="11" t="b">
        <f t="shared" si="367"/>
        <v>0</v>
      </c>
      <c r="M7470" s="17" t="str">
        <f t="shared" si="365"/>
        <v/>
      </c>
      <c r="N7470" s="11" t="str">
        <f t="shared" si="366"/>
        <v/>
      </c>
    </row>
    <row r="7471" spans="9:14" x14ac:dyDescent="0.25">
      <c r="I7471" s="11" t="b">
        <f t="shared" si="367"/>
        <v>0</v>
      </c>
      <c r="M7471" s="17" t="str">
        <f t="shared" si="365"/>
        <v/>
      </c>
      <c r="N7471" s="11" t="str">
        <f t="shared" si="366"/>
        <v/>
      </c>
    </row>
    <row r="7472" spans="9:14" x14ac:dyDescent="0.25">
      <c r="I7472" s="11" t="b">
        <f t="shared" si="367"/>
        <v>0</v>
      </c>
      <c r="M7472" s="17" t="str">
        <f t="shared" si="365"/>
        <v/>
      </c>
      <c r="N7472" s="11" t="str">
        <f t="shared" si="366"/>
        <v/>
      </c>
    </row>
    <row r="7473" spans="9:14" x14ac:dyDescent="0.25">
      <c r="I7473" s="11" t="b">
        <f t="shared" si="367"/>
        <v>0</v>
      </c>
      <c r="M7473" s="17" t="str">
        <f t="shared" si="365"/>
        <v/>
      </c>
      <c r="N7473" s="11" t="str">
        <f t="shared" si="366"/>
        <v/>
      </c>
    </row>
    <row r="7474" spans="9:14" x14ac:dyDescent="0.25">
      <c r="I7474" s="11" t="b">
        <f t="shared" si="367"/>
        <v>0</v>
      </c>
      <c r="M7474" s="17" t="str">
        <f t="shared" si="365"/>
        <v/>
      </c>
      <c r="N7474" s="11" t="str">
        <f t="shared" si="366"/>
        <v/>
      </c>
    </row>
    <row r="7475" spans="9:14" x14ac:dyDescent="0.25">
      <c r="I7475" s="11" t="b">
        <f t="shared" si="367"/>
        <v>0</v>
      </c>
      <c r="M7475" s="17" t="str">
        <f t="shared" si="365"/>
        <v/>
      </c>
      <c r="N7475" s="11" t="str">
        <f t="shared" si="366"/>
        <v/>
      </c>
    </row>
    <row r="7476" spans="9:14" x14ac:dyDescent="0.25">
      <c r="I7476" s="11" t="b">
        <f t="shared" si="367"/>
        <v>0</v>
      </c>
      <c r="M7476" s="17" t="str">
        <f t="shared" si="365"/>
        <v/>
      </c>
      <c r="N7476" s="11" t="str">
        <f t="shared" si="366"/>
        <v/>
      </c>
    </row>
    <row r="7477" spans="9:14" x14ac:dyDescent="0.25">
      <c r="I7477" s="11" t="b">
        <f t="shared" si="367"/>
        <v>0</v>
      </c>
      <c r="M7477" s="17" t="str">
        <f t="shared" si="365"/>
        <v/>
      </c>
      <c r="N7477" s="11" t="str">
        <f t="shared" si="366"/>
        <v/>
      </c>
    </row>
    <row r="7478" spans="9:14" x14ac:dyDescent="0.25">
      <c r="I7478" s="11" t="b">
        <f t="shared" si="367"/>
        <v>0</v>
      </c>
      <c r="M7478" s="17" t="str">
        <f t="shared" si="365"/>
        <v/>
      </c>
      <c r="N7478" s="11" t="str">
        <f t="shared" si="366"/>
        <v/>
      </c>
    </row>
    <row r="7479" spans="9:14" x14ac:dyDescent="0.25">
      <c r="I7479" s="11" t="b">
        <f t="shared" si="367"/>
        <v>0</v>
      </c>
      <c r="M7479" s="17" t="str">
        <f t="shared" si="365"/>
        <v/>
      </c>
      <c r="N7479" s="11" t="str">
        <f t="shared" si="366"/>
        <v/>
      </c>
    </row>
    <row r="7480" spans="9:14" x14ac:dyDescent="0.25">
      <c r="I7480" s="11" t="b">
        <f t="shared" si="367"/>
        <v>0</v>
      </c>
      <c r="M7480" s="17" t="str">
        <f t="shared" si="365"/>
        <v/>
      </c>
      <c r="N7480" s="11" t="str">
        <f t="shared" si="366"/>
        <v/>
      </c>
    </row>
    <row r="7481" spans="9:14" x14ac:dyDescent="0.25">
      <c r="I7481" s="11" t="b">
        <f t="shared" si="367"/>
        <v>0</v>
      </c>
      <c r="M7481" s="17" t="str">
        <f t="shared" si="365"/>
        <v/>
      </c>
      <c r="N7481" s="11" t="str">
        <f t="shared" si="366"/>
        <v/>
      </c>
    </row>
    <row r="7482" spans="9:14" x14ac:dyDescent="0.25">
      <c r="I7482" s="11" t="b">
        <f t="shared" si="367"/>
        <v>0</v>
      </c>
      <c r="M7482" s="17" t="str">
        <f t="shared" si="365"/>
        <v/>
      </c>
      <c r="N7482" s="11" t="str">
        <f t="shared" si="366"/>
        <v/>
      </c>
    </row>
    <row r="7483" spans="9:14" x14ac:dyDescent="0.25">
      <c r="I7483" s="11" t="b">
        <f t="shared" si="367"/>
        <v>0</v>
      </c>
      <c r="M7483" s="17" t="str">
        <f t="shared" si="365"/>
        <v/>
      </c>
      <c r="N7483" s="11" t="str">
        <f t="shared" si="366"/>
        <v/>
      </c>
    </row>
    <row r="7484" spans="9:14" x14ac:dyDescent="0.25">
      <c r="I7484" s="11" t="b">
        <f t="shared" si="367"/>
        <v>0</v>
      </c>
      <c r="M7484" s="17" t="str">
        <f t="shared" si="365"/>
        <v/>
      </c>
      <c r="N7484" s="11" t="str">
        <f t="shared" si="366"/>
        <v/>
      </c>
    </row>
    <row r="7485" spans="9:14" x14ac:dyDescent="0.25">
      <c r="I7485" s="11" t="b">
        <f t="shared" si="367"/>
        <v>0</v>
      </c>
      <c r="M7485" s="17" t="str">
        <f t="shared" si="365"/>
        <v/>
      </c>
      <c r="N7485" s="11" t="str">
        <f t="shared" si="366"/>
        <v/>
      </c>
    </row>
    <row r="7486" spans="9:14" x14ac:dyDescent="0.25">
      <c r="I7486" s="11" t="b">
        <f t="shared" si="367"/>
        <v>0</v>
      </c>
      <c r="M7486" s="17" t="str">
        <f t="shared" si="365"/>
        <v/>
      </c>
      <c r="N7486" s="11" t="str">
        <f t="shared" si="366"/>
        <v/>
      </c>
    </row>
    <row r="7487" spans="9:14" x14ac:dyDescent="0.25">
      <c r="I7487" s="11" t="b">
        <f t="shared" si="367"/>
        <v>0</v>
      </c>
      <c r="M7487" s="17" t="str">
        <f t="shared" si="365"/>
        <v/>
      </c>
      <c r="N7487" s="11" t="str">
        <f t="shared" si="366"/>
        <v/>
      </c>
    </row>
    <row r="7488" spans="9:14" x14ac:dyDescent="0.25">
      <c r="I7488" s="11" t="b">
        <f t="shared" si="367"/>
        <v>0</v>
      </c>
      <c r="M7488" s="17" t="str">
        <f t="shared" si="365"/>
        <v/>
      </c>
      <c r="N7488" s="11" t="str">
        <f t="shared" si="366"/>
        <v/>
      </c>
    </row>
    <row r="7489" spans="9:14" x14ac:dyDescent="0.25">
      <c r="I7489" s="11" t="b">
        <f t="shared" si="367"/>
        <v>0</v>
      </c>
      <c r="M7489" s="17" t="str">
        <f t="shared" ref="M7489:M7552" si="368">IF(B7489=0, "",M7488+ J7489-K7489)</f>
        <v/>
      </c>
      <c r="N7489" s="11" t="str">
        <f t="shared" ref="N7489:N7552" si="369">IF(B7489=0, "", MONTH(B7489))</f>
        <v/>
      </c>
    </row>
    <row r="7490" spans="9:14" x14ac:dyDescent="0.25">
      <c r="I7490" s="11" t="b">
        <f t="shared" si="367"/>
        <v>0</v>
      </c>
      <c r="M7490" s="17" t="str">
        <f t="shared" si="368"/>
        <v/>
      </c>
      <c r="N7490" s="11" t="str">
        <f t="shared" si="369"/>
        <v/>
      </c>
    </row>
    <row r="7491" spans="9:14" x14ac:dyDescent="0.25">
      <c r="I7491" s="11" t="b">
        <f t="shared" si="367"/>
        <v>0</v>
      </c>
      <c r="M7491" s="17" t="str">
        <f t="shared" si="368"/>
        <v/>
      </c>
      <c r="N7491" s="11" t="str">
        <f t="shared" si="369"/>
        <v/>
      </c>
    </row>
    <row r="7492" spans="9:14" x14ac:dyDescent="0.25">
      <c r="I7492" s="11" t="b">
        <f t="shared" si="367"/>
        <v>0</v>
      </c>
      <c r="M7492" s="17" t="str">
        <f t="shared" si="368"/>
        <v/>
      </c>
      <c r="N7492" s="11" t="str">
        <f t="shared" si="369"/>
        <v/>
      </c>
    </row>
    <row r="7493" spans="9:14" x14ac:dyDescent="0.25">
      <c r="I7493" s="11" t="b">
        <f t="shared" si="367"/>
        <v>0</v>
      </c>
      <c r="M7493" s="17" t="str">
        <f t="shared" si="368"/>
        <v/>
      </c>
      <c r="N7493" s="11" t="str">
        <f t="shared" si="369"/>
        <v/>
      </c>
    </row>
    <row r="7494" spans="9:14" x14ac:dyDescent="0.25">
      <c r="I7494" s="11" t="b">
        <f t="shared" si="367"/>
        <v>0</v>
      </c>
      <c r="M7494" s="17" t="str">
        <f t="shared" si="368"/>
        <v/>
      </c>
      <c r="N7494" s="11" t="str">
        <f t="shared" si="369"/>
        <v/>
      </c>
    </row>
    <row r="7495" spans="9:14" x14ac:dyDescent="0.25">
      <c r="I7495" s="11" t="b">
        <f t="shared" si="367"/>
        <v>0</v>
      </c>
      <c r="M7495" s="17" t="str">
        <f t="shared" si="368"/>
        <v/>
      </c>
      <c r="N7495" s="11" t="str">
        <f t="shared" si="369"/>
        <v/>
      </c>
    </row>
    <row r="7496" spans="9:14" x14ac:dyDescent="0.25">
      <c r="I7496" s="11" t="b">
        <f t="shared" si="367"/>
        <v>0</v>
      </c>
      <c r="M7496" s="17" t="str">
        <f t="shared" si="368"/>
        <v/>
      </c>
      <c r="N7496" s="11" t="str">
        <f t="shared" si="369"/>
        <v/>
      </c>
    </row>
    <row r="7497" spans="9:14" x14ac:dyDescent="0.25">
      <c r="I7497" s="11" t="b">
        <f t="shared" si="367"/>
        <v>0</v>
      </c>
      <c r="M7497" s="17" t="str">
        <f t="shared" si="368"/>
        <v/>
      </c>
      <c r="N7497" s="11" t="str">
        <f t="shared" si="369"/>
        <v/>
      </c>
    </row>
    <row r="7498" spans="9:14" x14ac:dyDescent="0.25">
      <c r="I7498" s="11" t="b">
        <f t="shared" si="367"/>
        <v>0</v>
      </c>
      <c r="M7498" s="17" t="str">
        <f t="shared" si="368"/>
        <v/>
      </c>
      <c r="N7498" s="11" t="str">
        <f t="shared" si="369"/>
        <v/>
      </c>
    </row>
    <row r="7499" spans="9:14" x14ac:dyDescent="0.25">
      <c r="I7499" s="11" t="b">
        <f t="shared" si="367"/>
        <v>0</v>
      </c>
      <c r="M7499" s="17" t="str">
        <f t="shared" si="368"/>
        <v/>
      </c>
      <c r="N7499" s="11" t="str">
        <f t="shared" si="369"/>
        <v/>
      </c>
    </row>
    <row r="7500" spans="9:14" x14ac:dyDescent="0.25">
      <c r="I7500" s="11" t="b">
        <f t="shared" si="367"/>
        <v>0</v>
      </c>
      <c r="M7500" s="17" t="str">
        <f t="shared" si="368"/>
        <v/>
      </c>
      <c r="N7500" s="11" t="str">
        <f t="shared" si="369"/>
        <v/>
      </c>
    </row>
    <row r="7501" spans="9:14" x14ac:dyDescent="0.25">
      <c r="I7501" s="11" t="b">
        <f t="shared" si="367"/>
        <v>0</v>
      </c>
      <c r="M7501" s="17" t="str">
        <f t="shared" si="368"/>
        <v/>
      </c>
      <c r="N7501" s="11" t="str">
        <f t="shared" si="369"/>
        <v/>
      </c>
    </row>
    <row r="7502" spans="9:14" x14ac:dyDescent="0.25">
      <c r="I7502" s="11" t="b">
        <f t="shared" si="367"/>
        <v>0</v>
      </c>
      <c r="M7502" s="17" t="str">
        <f t="shared" si="368"/>
        <v/>
      </c>
      <c r="N7502" s="11" t="str">
        <f t="shared" si="369"/>
        <v/>
      </c>
    </row>
    <row r="7503" spans="9:14" x14ac:dyDescent="0.25">
      <c r="I7503" s="11" t="b">
        <f t="shared" si="367"/>
        <v>0</v>
      </c>
      <c r="M7503" s="17" t="str">
        <f t="shared" si="368"/>
        <v/>
      </c>
      <c r="N7503" s="11" t="str">
        <f t="shared" si="369"/>
        <v/>
      </c>
    </row>
    <row r="7504" spans="9:14" x14ac:dyDescent="0.25">
      <c r="I7504" s="11" t="b">
        <f t="shared" si="367"/>
        <v>0</v>
      </c>
      <c r="M7504" s="17" t="str">
        <f t="shared" si="368"/>
        <v/>
      </c>
      <c r="N7504" s="11" t="str">
        <f t="shared" si="369"/>
        <v/>
      </c>
    </row>
    <row r="7505" spans="9:14" x14ac:dyDescent="0.25">
      <c r="I7505" s="11" t="b">
        <f t="shared" si="367"/>
        <v>0</v>
      </c>
      <c r="M7505" s="17" t="str">
        <f t="shared" si="368"/>
        <v/>
      </c>
      <c r="N7505" s="11" t="str">
        <f t="shared" si="369"/>
        <v/>
      </c>
    </row>
    <row r="7506" spans="9:14" x14ac:dyDescent="0.25">
      <c r="I7506" s="11" t="b">
        <f t="shared" si="367"/>
        <v>0</v>
      </c>
      <c r="M7506" s="17" t="str">
        <f t="shared" si="368"/>
        <v/>
      </c>
      <c r="N7506" s="11" t="str">
        <f t="shared" si="369"/>
        <v/>
      </c>
    </row>
    <row r="7507" spans="9:14" x14ac:dyDescent="0.25">
      <c r="I7507" s="11" t="b">
        <f t="shared" si="367"/>
        <v>0</v>
      </c>
      <c r="M7507" s="17" t="str">
        <f t="shared" si="368"/>
        <v/>
      </c>
      <c r="N7507" s="11" t="str">
        <f t="shared" si="369"/>
        <v/>
      </c>
    </row>
    <row r="7508" spans="9:14" x14ac:dyDescent="0.25">
      <c r="I7508" s="11" t="b">
        <f t="shared" si="367"/>
        <v>0</v>
      </c>
      <c r="M7508" s="17" t="str">
        <f t="shared" si="368"/>
        <v/>
      </c>
      <c r="N7508" s="11" t="str">
        <f t="shared" si="369"/>
        <v/>
      </c>
    </row>
    <row r="7509" spans="9:14" x14ac:dyDescent="0.25">
      <c r="I7509" s="11" t="b">
        <f t="shared" si="367"/>
        <v>0</v>
      </c>
      <c r="M7509" s="17" t="str">
        <f t="shared" si="368"/>
        <v/>
      </c>
      <c r="N7509" s="11" t="str">
        <f t="shared" si="369"/>
        <v/>
      </c>
    </row>
    <row r="7510" spans="9:14" x14ac:dyDescent="0.25">
      <c r="I7510" s="11" t="b">
        <f t="shared" si="367"/>
        <v>0</v>
      </c>
      <c r="M7510" s="17" t="str">
        <f t="shared" si="368"/>
        <v/>
      </c>
      <c r="N7510" s="11" t="str">
        <f t="shared" si="369"/>
        <v/>
      </c>
    </row>
    <row r="7511" spans="9:14" x14ac:dyDescent="0.25">
      <c r="I7511" s="11" t="b">
        <f t="shared" si="367"/>
        <v>0</v>
      </c>
      <c r="M7511" s="17" t="str">
        <f t="shared" si="368"/>
        <v/>
      </c>
      <c r="N7511" s="11" t="str">
        <f t="shared" si="369"/>
        <v/>
      </c>
    </row>
    <row r="7512" spans="9:14" x14ac:dyDescent="0.25">
      <c r="I7512" s="11" t="b">
        <f t="shared" si="367"/>
        <v>0</v>
      </c>
      <c r="M7512" s="17" t="str">
        <f t="shared" si="368"/>
        <v/>
      </c>
      <c r="N7512" s="11" t="str">
        <f t="shared" si="369"/>
        <v/>
      </c>
    </row>
    <row r="7513" spans="9:14" x14ac:dyDescent="0.25">
      <c r="I7513" s="11" t="b">
        <f t="shared" si="367"/>
        <v>0</v>
      </c>
      <c r="M7513" s="17" t="str">
        <f t="shared" si="368"/>
        <v/>
      </c>
      <c r="N7513" s="11" t="str">
        <f t="shared" si="369"/>
        <v/>
      </c>
    </row>
    <row r="7514" spans="9:14" x14ac:dyDescent="0.25">
      <c r="I7514" s="11" t="b">
        <f t="shared" si="367"/>
        <v>0</v>
      </c>
      <c r="M7514" s="17" t="str">
        <f t="shared" si="368"/>
        <v/>
      </c>
      <c r="N7514" s="11" t="str">
        <f t="shared" si="369"/>
        <v/>
      </c>
    </row>
    <row r="7515" spans="9:14" x14ac:dyDescent="0.25">
      <c r="I7515" s="11" t="b">
        <f t="shared" si="367"/>
        <v>0</v>
      </c>
      <c r="M7515" s="17" t="str">
        <f t="shared" si="368"/>
        <v/>
      </c>
      <c r="N7515" s="11" t="str">
        <f t="shared" si="369"/>
        <v/>
      </c>
    </row>
    <row r="7516" spans="9:14" x14ac:dyDescent="0.25">
      <c r="I7516" s="11" t="b">
        <f t="shared" si="367"/>
        <v>0</v>
      </c>
      <c r="M7516" s="17" t="str">
        <f t="shared" si="368"/>
        <v/>
      </c>
      <c r="N7516" s="11" t="str">
        <f t="shared" si="369"/>
        <v/>
      </c>
    </row>
    <row r="7517" spans="9:14" x14ac:dyDescent="0.25">
      <c r="I7517" s="11" t="b">
        <f t="shared" ref="I7517:I7580" si="370">IF(AND(G7517="MERCADO PAGO",A7517="FATURAMENTO"),1,IF(AND(OR(G7517="MERCADO PAGO",G7517="pix mercado pago",G7517= "débito automático mercado pago", G7517= "boleto mercado pago"),A7517="DESPESAS"),4,IF(AND(G7517="SAFRA",A7517="FATURAMENTO"),2,IF(AND(OR(G7517="SAFRA",G7517="PIX SAFRA", G7517="DÉBITO AUTOMÁTICO SAFRA", G7517= "BOLETO SAFRA", G7517= "transferência safra"), A7517="DESPESAS"),5,IF(AND(G7517="espécie",A7517="FATURAMENTO"),3,IF(AND(G7517="espécie",A7517="DESPESAS"),6))))))</f>
        <v>0</v>
      </c>
      <c r="M7517" s="17" t="str">
        <f t="shared" si="368"/>
        <v/>
      </c>
      <c r="N7517" s="11" t="str">
        <f t="shared" si="369"/>
        <v/>
      </c>
    </row>
    <row r="7518" spans="9:14" x14ac:dyDescent="0.25">
      <c r="I7518" s="11" t="b">
        <f t="shared" si="370"/>
        <v>0</v>
      </c>
      <c r="M7518" s="17" t="str">
        <f t="shared" si="368"/>
        <v/>
      </c>
      <c r="N7518" s="11" t="str">
        <f t="shared" si="369"/>
        <v/>
      </c>
    </row>
    <row r="7519" spans="9:14" x14ac:dyDescent="0.25">
      <c r="I7519" s="11" t="b">
        <f t="shared" si="370"/>
        <v>0</v>
      </c>
      <c r="M7519" s="17" t="str">
        <f t="shared" si="368"/>
        <v/>
      </c>
      <c r="N7519" s="11" t="str">
        <f t="shared" si="369"/>
        <v/>
      </c>
    </row>
    <row r="7520" spans="9:14" x14ac:dyDescent="0.25">
      <c r="I7520" s="11" t="b">
        <f t="shared" si="370"/>
        <v>0</v>
      </c>
      <c r="M7520" s="17" t="str">
        <f t="shared" si="368"/>
        <v/>
      </c>
      <c r="N7520" s="11" t="str">
        <f t="shared" si="369"/>
        <v/>
      </c>
    </row>
    <row r="7521" spans="9:14" x14ac:dyDescent="0.25">
      <c r="I7521" s="11" t="b">
        <f t="shared" si="370"/>
        <v>0</v>
      </c>
      <c r="M7521" s="17" t="str">
        <f t="shared" si="368"/>
        <v/>
      </c>
      <c r="N7521" s="11" t="str">
        <f t="shared" si="369"/>
        <v/>
      </c>
    </row>
    <row r="7522" spans="9:14" x14ac:dyDescent="0.25">
      <c r="I7522" s="11" t="b">
        <f t="shared" si="370"/>
        <v>0</v>
      </c>
      <c r="M7522" s="17" t="str">
        <f t="shared" si="368"/>
        <v/>
      </c>
      <c r="N7522" s="11" t="str">
        <f t="shared" si="369"/>
        <v/>
      </c>
    </row>
    <row r="7523" spans="9:14" x14ac:dyDescent="0.25">
      <c r="I7523" s="11" t="b">
        <f t="shared" si="370"/>
        <v>0</v>
      </c>
      <c r="M7523" s="17" t="str">
        <f t="shared" si="368"/>
        <v/>
      </c>
      <c r="N7523" s="11" t="str">
        <f t="shared" si="369"/>
        <v/>
      </c>
    </row>
    <row r="7524" spans="9:14" x14ac:dyDescent="0.25">
      <c r="I7524" s="11" t="b">
        <f t="shared" si="370"/>
        <v>0</v>
      </c>
      <c r="M7524" s="17" t="str">
        <f t="shared" si="368"/>
        <v/>
      </c>
      <c r="N7524" s="11" t="str">
        <f t="shared" si="369"/>
        <v/>
      </c>
    </row>
    <row r="7525" spans="9:14" x14ac:dyDescent="0.25">
      <c r="I7525" s="11" t="b">
        <f t="shared" si="370"/>
        <v>0</v>
      </c>
      <c r="M7525" s="17" t="str">
        <f t="shared" si="368"/>
        <v/>
      </c>
      <c r="N7525" s="11" t="str">
        <f t="shared" si="369"/>
        <v/>
      </c>
    </row>
    <row r="7526" spans="9:14" x14ac:dyDescent="0.25">
      <c r="I7526" s="11" t="b">
        <f t="shared" si="370"/>
        <v>0</v>
      </c>
      <c r="M7526" s="17" t="str">
        <f t="shared" si="368"/>
        <v/>
      </c>
      <c r="N7526" s="11" t="str">
        <f t="shared" si="369"/>
        <v/>
      </c>
    </row>
    <row r="7527" spans="9:14" x14ac:dyDescent="0.25">
      <c r="I7527" s="11" t="b">
        <f t="shared" si="370"/>
        <v>0</v>
      </c>
      <c r="M7527" s="17" t="str">
        <f t="shared" si="368"/>
        <v/>
      </c>
      <c r="N7527" s="11" t="str">
        <f t="shared" si="369"/>
        <v/>
      </c>
    </row>
    <row r="7528" spans="9:14" x14ac:dyDescent="0.25">
      <c r="I7528" s="11" t="b">
        <f t="shared" si="370"/>
        <v>0</v>
      </c>
      <c r="M7528" s="17" t="str">
        <f t="shared" si="368"/>
        <v/>
      </c>
      <c r="N7528" s="11" t="str">
        <f t="shared" si="369"/>
        <v/>
      </c>
    </row>
    <row r="7529" spans="9:14" x14ac:dyDescent="0.25">
      <c r="I7529" s="11" t="b">
        <f t="shared" si="370"/>
        <v>0</v>
      </c>
      <c r="M7529" s="17" t="str">
        <f t="shared" si="368"/>
        <v/>
      </c>
      <c r="N7529" s="11" t="str">
        <f t="shared" si="369"/>
        <v/>
      </c>
    </row>
    <row r="7530" spans="9:14" x14ac:dyDescent="0.25">
      <c r="I7530" s="11" t="b">
        <f t="shared" si="370"/>
        <v>0</v>
      </c>
      <c r="M7530" s="17" t="str">
        <f t="shared" si="368"/>
        <v/>
      </c>
      <c r="N7530" s="11" t="str">
        <f t="shared" si="369"/>
        <v/>
      </c>
    </row>
    <row r="7531" spans="9:14" x14ac:dyDescent="0.25">
      <c r="I7531" s="11" t="b">
        <f t="shared" si="370"/>
        <v>0</v>
      </c>
      <c r="M7531" s="17" t="str">
        <f t="shared" si="368"/>
        <v/>
      </c>
      <c r="N7531" s="11" t="str">
        <f t="shared" si="369"/>
        <v/>
      </c>
    </row>
    <row r="7532" spans="9:14" x14ac:dyDescent="0.25">
      <c r="I7532" s="11" t="b">
        <f t="shared" si="370"/>
        <v>0</v>
      </c>
      <c r="M7532" s="17" t="str">
        <f t="shared" si="368"/>
        <v/>
      </c>
      <c r="N7532" s="11" t="str">
        <f t="shared" si="369"/>
        <v/>
      </c>
    </row>
    <row r="7533" spans="9:14" x14ac:dyDescent="0.25">
      <c r="I7533" s="11" t="b">
        <f t="shared" si="370"/>
        <v>0</v>
      </c>
      <c r="M7533" s="17" t="str">
        <f t="shared" si="368"/>
        <v/>
      </c>
      <c r="N7533" s="11" t="str">
        <f t="shared" si="369"/>
        <v/>
      </c>
    </row>
    <row r="7534" spans="9:14" x14ac:dyDescent="0.25">
      <c r="I7534" s="11" t="b">
        <f t="shared" si="370"/>
        <v>0</v>
      </c>
      <c r="M7534" s="17" t="str">
        <f t="shared" si="368"/>
        <v/>
      </c>
      <c r="N7534" s="11" t="str">
        <f t="shared" si="369"/>
        <v/>
      </c>
    </row>
    <row r="7535" spans="9:14" x14ac:dyDescent="0.25">
      <c r="I7535" s="11" t="b">
        <f t="shared" si="370"/>
        <v>0</v>
      </c>
      <c r="M7535" s="17" t="str">
        <f t="shared" si="368"/>
        <v/>
      </c>
      <c r="N7535" s="11" t="str">
        <f t="shared" si="369"/>
        <v/>
      </c>
    </row>
    <row r="7536" spans="9:14" x14ac:dyDescent="0.25">
      <c r="I7536" s="11" t="b">
        <f t="shared" si="370"/>
        <v>0</v>
      </c>
      <c r="M7536" s="17" t="str">
        <f t="shared" si="368"/>
        <v/>
      </c>
      <c r="N7536" s="11" t="str">
        <f t="shared" si="369"/>
        <v/>
      </c>
    </row>
    <row r="7537" spans="9:14" x14ac:dyDescent="0.25">
      <c r="I7537" s="11" t="b">
        <f t="shared" si="370"/>
        <v>0</v>
      </c>
      <c r="M7537" s="17" t="str">
        <f t="shared" si="368"/>
        <v/>
      </c>
      <c r="N7537" s="11" t="str">
        <f t="shared" si="369"/>
        <v/>
      </c>
    </row>
    <row r="7538" spans="9:14" x14ac:dyDescent="0.25">
      <c r="I7538" s="11" t="b">
        <f t="shared" si="370"/>
        <v>0</v>
      </c>
      <c r="M7538" s="17" t="str">
        <f t="shared" si="368"/>
        <v/>
      </c>
      <c r="N7538" s="11" t="str">
        <f t="shared" si="369"/>
        <v/>
      </c>
    </row>
    <row r="7539" spans="9:14" x14ac:dyDescent="0.25">
      <c r="I7539" s="11" t="b">
        <f t="shared" si="370"/>
        <v>0</v>
      </c>
      <c r="M7539" s="17" t="str">
        <f t="shared" si="368"/>
        <v/>
      </c>
      <c r="N7539" s="11" t="str">
        <f t="shared" si="369"/>
        <v/>
      </c>
    </row>
    <row r="7540" spans="9:14" x14ac:dyDescent="0.25">
      <c r="I7540" s="11" t="b">
        <f t="shared" si="370"/>
        <v>0</v>
      </c>
      <c r="M7540" s="17" t="str">
        <f t="shared" si="368"/>
        <v/>
      </c>
      <c r="N7540" s="11" t="str">
        <f t="shared" si="369"/>
        <v/>
      </c>
    </row>
    <row r="7541" spans="9:14" x14ac:dyDescent="0.25">
      <c r="I7541" s="11" t="b">
        <f t="shared" si="370"/>
        <v>0</v>
      </c>
      <c r="M7541" s="17" t="str">
        <f t="shared" si="368"/>
        <v/>
      </c>
      <c r="N7541" s="11" t="str">
        <f t="shared" si="369"/>
        <v/>
      </c>
    </row>
    <row r="7542" spans="9:14" x14ac:dyDescent="0.25">
      <c r="I7542" s="11" t="b">
        <f t="shared" si="370"/>
        <v>0</v>
      </c>
      <c r="M7542" s="17" t="str">
        <f t="shared" si="368"/>
        <v/>
      </c>
      <c r="N7542" s="11" t="str">
        <f t="shared" si="369"/>
        <v/>
      </c>
    </row>
    <row r="7543" spans="9:14" x14ac:dyDescent="0.25">
      <c r="I7543" s="11" t="b">
        <f t="shared" si="370"/>
        <v>0</v>
      </c>
      <c r="M7543" s="17" t="str">
        <f t="shared" si="368"/>
        <v/>
      </c>
      <c r="N7543" s="11" t="str">
        <f t="shared" si="369"/>
        <v/>
      </c>
    </row>
    <row r="7544" spans="9:14" x14ac:dyDescent="0.25">
      <c r="I7544" s="11" t="b">
        <f t="shared" si="370"/>
        <v>0</v>
      </c>
      <c r="M7544" s="17" t="str">
        <f t="shared" si="368"/>
        <v/>
      </c>
      <c r="N7544" s="11" t="str">
        <f t="shared" si="369"/>
        <v/>
      </c>
    </row>
    <row r="7545" spans="9:14" x14ac:dyDescent="0.25">
      <c r="I7545" s="11" t="b">
        <f t="shared" si="370"/>
        <v>0</v>
      </c>
      <c r="M7545" s="17" t="str">
        <f t="shared" si="368"/>
        <v/>
      </c>
      <c r="N7545" s="11" t="str">
        <f t="shared" si="369"/>
        <v/>
      </c>
    </row>
    <row r="7546" spans="9:14" x14ac:dyDescent="0.25">
      <c r="I7546" s="11" t="b">
        <f t="shared" si="370"/>
        <v>0</v>
      </c>
      <c r="M7546" s="17" t="str">
        <f t="shared" si="368"/>
        <v/>
      </c>
      <c r="N7546" s="11" t="str">
        <f t="shared" si="369"/>
        <v/>
      </c>
    </row>
    <row r="7547" spans="9:14" x14ac:dyDescent="0.25">
      <c r="I7547" s="11" t="b">
        <f t="shared" si="370"/>
        <v>0</v>
      </c>
      <c r="M7547" s="17" t="str">
        <f t="shared" si="368"/>
        <v/>
      </c>
      <c r="N7547" s="11" t="str">
        <f t="shared" si="369"/>
        <v/>
      </c>
    </row>
    <row r="7548" spans="9:14" x14ac:dyDescent="0.25">
      <c r="I7548" s="11" t="b">
        <f t="shared" si="370"/>
        <v>0</v>
      </c>
      <c r="M7548" s="17" t="str">
        <f t="shared" si="368"/>
        <v/>
      </c>
      <c r="N7548" s="11" t="str">
        <f t="shared" si="369"/>
        <v/>
      </c>
    </row>
    <row r="7549" spans="9:14" x14ac:dyDescent="0.25">
      <c r="I7549" s="11" t="b">
        <f t="shared" si="370"/>
        <v>0</v>
      </c>
      <c r="M7549" s="17" t="str">
        <f t="shared" si="368"/>
        <v/>
      </c>
      <c r="N7549" s="11" t="str">
        <f t="shared" si="369"/>
        <v/>
      </c>
    </row>
    <row r="7550" spans="9:14" x14ac:dyDescent="0.25">
      <c r="I7550" s="11" t="b">
        <f t="shared" si="370"/>
        <v>0</v>
      </c>
      <c r="M7550" s="17" t="str">
        <f t="shared" si="368"/>
        <v/>
      </c>
      <c r="N7550" s="11" t="str">
        <f t="shared" si="369"/>
        <v/>
      </c>
    </row>
    <row r="7551" spans="9:14" x14ac:dyDescent="0.25">
      <c r="I7551" s="11" t="b">
        <f t="shared" si="370"/>
        <v>0</v>
      </c>
      <c r="M7551" s="17" t="str">
        <f t="shared" si="368"/>
        <v/>
      </c>
      <c r="N7551" s="11" t="str">
        <f t="shared" si="369"/>
        <v/>
      </c>
    </row>
    <row r="7552" spans="9:14" x14ac:dyDescent="0.25">
      <c r="I7552" s="11" t="b">
        <f t="shared" si="370"/>
        <v>0</v>
      </c>
      <c r="M7552" s="17" t="str">
        <f t="shared" si="368"/>
        <v/>
      </c>
      <c r="N7552" s="11" t="str">
        <f t="shared" si="369"/>
        <v/>
      </c>
    </row>
    <row r="7553" spans="9:14" x14ac:dyDescent="0.25">
      <c r="I7553" s="11" t="b">
        <f t="shared" si="370"/>
        <v>0</v>
      </c>
      <c r="M7553" s="17" t="str">
        <f t="shared" ref="M7553:M7616" si="371">IF(B7553=0, "",M7552+ J7553-K7553)</f>
        <v/>
      </c>
      <c r="N7553" s="11" t="str">
        <f t="shared" ref="N7553:N7616" si="372">IF(B7553=0, "", MONTH(B7553))</f>
        <v/>
      </c>
    </row>
    <row r="7554" spans="9:14" x14ac:dyDescent="0.25">
      <c r="I7554" s="11" t="b">
        <f t="shared" si="370"/>
        <v>0</v>
      </c>
      <c r="M7554" s="17" t="str">
        <f t="shared" si="371"/>
        <v/>
      </c>
      <c r="N7554" s="11" t="str">
        <f t="shared" si="372"/>
        <v/>
      </c>
    </row>
    <row r="7555" spans="9:14" x14ac:dyDescent="0.25">
      <c r="I7555" s="11" t="b">
        <f t="shared" si="370"/>
        <v>0</v>
      </c>
      <c r="M7555" s="17" t="str">
        <f t="shared" si="371"/>
        <v/>
      </c>
      <c r="N7555" s="11" t="str">
        <f t="shared" si="372"/>
        <v/>
      </c>
    </row>
    <row r="7556" spans="9:14" x14ac:dyDescent="0.25">
      <c r="I7556" s="11" t="b">
        <f t="shared" si="370"/>
        <v>0</v>
      </c>
      <c r="M7556" s="17" t="str">
        <f t="shared" si="371"/>
        <v/>
      </c>
      <c r="N7556" s="11" t="str">
        <f t="shared" si="372"/>
        <v/>
      </c>
    </row>
    <row r="7557" spans="9:14" x14ac:dyDescent="0.25">
      <c r="I7557" s="11" t="b">
        <f t="shared" si="370"/>
        <v>0</v>
      </c>
      <c r="M7557" s="17" t="str">
        <f t="shared" si="371"/>
        <v/>
      </c>
      <c r="N7557" s="11" t="str">
        <f t="shared" si="372"/>
        <v/>
      </c>
    </row>
    <row r="7558" spans="9:14" x14ac:dyDescent="0.25">
      <c r="I7558" s="11" t="b">
        <f t="shared" si="370"/>
        <v>0</v>
      </c>
      <c r="M7558" s="17" t="str">
        <f t="shared" si="371"/>
        <v/>
      </c>
      <c r="N7558" s="11" t="str">
        <f t="shared" si="372"/>
        <v/>
      </c>
    </row>
    <row r="7559" spans="9:14" x14ac:dyDescent="0.25">
      <c r="I7559" s="11" t="b">
        <f t="shared" si="370"/>
        <v>0</v>
      </c>
      <c r="M7559" s="17" t="str">
        <f t="shared" si="371"/>
        <v/>
      </c>
      <c r="N7559" s="11" t="str">
        <f t="shared" si="372"/>
        <v/>
      </c>
    </row>
    <row r="7560" spans="9:14" x14ac:dyDescent="0.25">
      <c r="I7560" s="11" t="b">
        <f t="shared" si="370"/>
        <v>0</v>
      </c>
      <c r="M7560" s="17" t="str">
        <f t="shared" si="371"/>
        <v/>
      </c>
      <c r="N7560" s="11" t="str">
        <f t="shared" si="372"/>
        <v/>
      </c>
    </row>
    <row r="7561" spans="9:14" x14ac:dyDescent="0.25">
      <c r="I7561" s="11" t="b">
        <f t="shared" si="370"/>
        <v>0</v>
      </c>
      <c r="M7561" s="17" t="str">
        <f t="shared" si="371"/>
        <v/>
      </c>
      <c r="N7561" s="11" t="str">
        <f t="shared" si="372"/>
        <v/>
      </c>
    </row>
    <row r="7562" spans="9:14" x14ac:dyDescent="0.25">
      <c r="I7562" s="11" t="b">
        <f t="shared" si="370"/>
        <v>0</v>
      </c>
      <c r="M7562" s="17" t="str">
        <f t="shared" si="371"/>
        <v/>
      </c>
      <c r="N7562" s="11" t="str">
        <f t="shared" si="372"/>
        <v/>
      </c>
    </row>
    <row r="7563" spans="9:14" x14ac:dyDescent="0.25">
      <c r="I7563" s="11" t="b">
        <f t="shared" si="370"/>
        <v>0</v>
      </c>
      <c r="M7563" s="17" t="str">
        <f t="shared" si="371"/>
        <v/>
      </c>
      <c r="N7563" s="11" t="str">
        <f t="shared" si="372"/>
        <v/>
      </c>
    </row>
    <row r="7564" spans="9:14" x14ac:dyDescent="0.25">
      <c r="I7564" s="11" t="b">
        <f t="shared" si="370"/>
        <v>0</v>
      </c>
      <c r="M7564" s="17" t="str">
        <f t="shared" si="371"/>
        <v/>
      </c>
      <c r="N7564" s="11" t="str">
        <f t="shared" si="372"/>
        <v/>
      </c>
    </row>
    <row r="7565" spans="9:14" x14ac:dyDescent="0.25">
      <c r="I7565" s="11" t="b">
        <f t="shared" si="370"/>
        <v>0</v>
      </c>
      <c r="M7565" s="17" t="str">
        <f t="shared" si="371"/>
        <v/>
      </c>
      <c r="N7565" s="11" t="str">
        <f t="shared" si="372"/>
        <v/>
      </c>
    </row>
    <row r="7566" spans="9:14" x14ac:dyDescent="0.25">
      <c r="I7566" s="11" t="b">
        <f t="shared" si="370"/>
        <v>0</v>
      </c>
      <c r="M7566" s="17" t="str">
        <f t="shared" si="371"/>
        <v/>
      </c>
      <c r="N7566" s="11" t="str">
        <f t="shared" si="372"/>
        <v/>
      </c>
    </row>
    <row r="7567" spans="9:14" x14ac:dyDescent="0.25">
      <c r="I7567" s="11" t="b">
        <f t="shared" si="370"/>
        <v>0</v>
      </c>
      <c r="M7567" s="17" t="str">
        <f t="shared" si="371"/>
        <v/>
      </c>
      <c r="N7567" s="11" t="str">
        <f t="shared" si="372"/>
        <v/>
      </c>
    </row>
    <row r="7568" spans="9:14" x14ac:dyDescent="0.25">
      <c r="I7568" s="11" t="b">
        <f t="shared" si="370"/>
        <v>0</v>
      </c>
      <c r="M7568" s="17" t="str">
        <f t="shared" si="371"/>
        <v/>
      </c>
      <c r="N7568" s="11" t="str">
        <f t="shared" si="372"/>
        <v/>
      </c>
    </row>
    <row r="7569" spans="9:14" x14ac:dyDescent="0.25">
      <c r="I7569" s="11" t="b">
        <f t="shared" si="370"/>
        <v>0</v>
      </c>
      <c r="M7569" s="17" t="str">
        <f t="shared" si="371"/>
        <v/>
      </c>
      <c r="N7569" s="11" t="str">
        <f t="shared" si="372"/>
        <v/>
      </c>
    </row>
    <row r="7570" spans="9:14" x14ac:dyDescent="0.25">
      <c r="I7570" s="11" t="b">
        <f t="shared" si="370"/>
        <v>0</v>
      </c>
      <c r="M7570" s="17" t="str">
        <f t="shared" si="371"/>
        <v/>
      </c>
      <c r="N7570" s="11" t="str">
        <f t="shared" si="372"/>
        <v/>
      </c>
    </row>
    <row r="7571" spans="9:14" x14ac:dyDescent="0.25">
      <c r="I7571" s="11" t="b">
        <f t="shared" si="370"/>
        <v>0</v>
      </c>
      <c r="M7571" s="17" t="str">
        <f t="shared" si="371"/>
        <v/>
      </c>
      <c r="N7571" s="11" t="str">
        <f t="shared" si="372"/>
        <v/>
      </c>
    </row>
    <row r="7572" spans="9:14" x14ac:dyDescent="0.25">
      <c r="I7572" s="11" t="b">
        <f t="shared" si="370"/>
        <v>0</v>
      </c>
      <c r="M7572" s="17" t="str">
        <f t="shared" si="371"/>
        <v/>
      </c>
      <c r="N7572" s="11" t="str">
        <f t="shared" si="372"/>
        <v/>
      </c>
    </row>
    <row r="7573" spans="9:14" x14ac:dyDescent="0.25">
      <c r="I7573" s="11" t="b">
        <f t="shared" si="370"/>
        <v>0</v>
      </c>
      <c r="M7573" s="17" t="str">
        <f t="shared" si="371"/>
        <v/>
      </c>
      <c r="N7573" s="11" t="str">
        <f t="shared" si="372"/>
        <v/>
      </c>
    </row>
    <row r="7574" spans="9:14" x14ac:dyDescent="0.25">
      <c r="I7574" s="11" t="b">
        <f t="shared" si="370"/>
        <v>0</v>
      </c>
      <c r="M7574" s="17" t="str">
        <f t="shared" si="371"/>
        <v/>
      </c>
      <c r="N7574" s="11" t="str">
        <f t="shared" si="372"/>
        <v/>
      </c>
    </row>
    <row r="7575" spans="9:14" x14ac:dyDescent="0.25">
      <c r="I7575" s="11" t="b">
        <f t="shared" si="370"/>
        <v>0</v>
      </c>
      <c r="M7575" s="17" t="str">
        <f t="shared" si="371"/>
        <v/>
      </c>
      <c r="N7575" s="11" t="str">
        <f t="shared" si="372"/>
        <v/>
      </c>
    </row>
    <row r="7576" spans="9:14" x14ac:dyDescent="0.25">
      <c r="I7576" s="11" t="b">
        <f t="shared" si="370"/>
        <v>0</v>
      </c>
      <c r="M7576" s="17" t="str">
        <f t="shared" si="371"/>
        <v/>
      </c>
      <c r="N7576" s="11" t="str">
        <f t="shared" si="372"/>
        <v/>
      </c>
    </row>
    <row r="7577" spans="9:14" x14ac:dyDescent="0.25">
      <c r="I7577" s="11" t="b">
        <f t="shared" si="370"/>
        <v>0</v>
      </c>
      <c r="M7577" s="17" t="str">
        <f t="shared" si="371"/>
        <v/>
      </c>
      <c r="N7577" s="11" t="str">
        <f t="shared" si="372"/>
        <v/>
      </c>
    </row>
    <row r="7578" spans="9:14" x14ac:dyDescent="0.25">
      <c r="I7578" s="11" t="b">
        <f t="shared" si="370"/>
        <v>0</v>
      </c>
      <c r="M7578" s="17" t="str">
        <f t="shared" si="371"/>
        <v/>
      </c>
      <c r="N7578" s="11" t="str">
        <f t="shared" si="372"/>
        <v/>
      </c>
    </row>
    <row r="7579" spans="9:14" x14ac:dyDescent="0.25">
      <c r="I7579" s="11" t="b">
        <f t="shared" si="370"/>
        <v>0</v>
      </c>
      <c r="M7579" s="17" t="str">
        <f t="shared" si="371"/>
        <v/>
      </c>
      <c r="N7579" s="11" t="str">
        <f t="shared" si="372"/>
        <v/>
      </c>
    </row>
    <row r="7580" spans="9:14" x14ac:dyDescent="0.25">
      <c r="I7580" s="11" t="b">
        <f t="shared" si="370"/>
        <v>0</v>
      </c>
      <c r="M7580" s="17" t="str">
        <f t="shared" si="371"/>
        <v/>
      </c>
      <c r="N7580" s="11" t="str">
        <f t="shared" si="372"/>
        <v/>
      </c>
    </row>
    <row r="7581" spans="9:14" x14ac:dyDescent="0.25">
      <c r="I7581" s="11" t="b">
        <f t="shared" ref="I7581:I7644" si="373">IF(AND(G7581="MERCADO PAGO",A7581="FATURAMENTO"),1,IF(AND(OR(G7581="MERCADO PAGO",G7581="pix mercado pago",G7581= "débito automático mercado pago", G7581= "boleto mercado pago"),A7581="DESPESAS"),4,IF(AND(G7581="SAFRA",A7581="FATURAMENTO"),2,IF(AND(OR(G7581="SAFRA",G7581="PIX SAFRA", G7581="DÉBITO AUTOMÁTICO SAFRA", G7581= "BOLETO SAFRA", G7581= "transferência safra"), A7581="DESPESAS"),5,IF(AND(G7581="espécie",A7581="FATURAMENTO"),3,IF(AND(G7581="espécie",A7581="DESPESAS"),6))))))</f>
        <v>0</v>
      </c>
      <c r="M7581" s="17" t="str">
        <f t="shared" si="371"/>
        <v/>
      </c>
      <c r="N7581" s="11" t="str">
        <f t="shared" si="372"/>
        <v/>
      </c>
    </row>
    <row r="7582" spans="9:14" x14ac:dyDescent="0.25">
      <c r="I7582" s="11" t="b">
        <f t="shared" si="373"/>
        <v>0</v>
      </c>
      <c r="M7582" s="17" t="str">
        <f t="shared" si="371"/>
        <v/>
      </c>
      <c r="N7582" s="11" t="str">
        <f t="shared" si="372"/>
        <v/>
      </c>
    </row>
    <row r="7583" spans="9:14" x14ac:dyDescent="0.25">
      <c r="I7583" s="11" t="b">
        <f t="shared" si="373"/>
        <v>0</v>
      </c>
      <c r="M7583" s="17" t="str">
        <f t="shared" si="371"/>
        <v/>
      </c>
      <c r="N7583" s="11" t="str">
        <f t="shared" si="372"/>
        <v/>
      </c>
    </row>
    <row r="7584" spans="9:14" x14ac:dyDescent="0.25">
      <c r="I7584" s="11" t="b">
        <f t="shared" si="373"/>
        <v>0</v>
      </c>
      <c r="M7584" s="17" t="str">
        <f t="shared" si="371"/>
        <v/>
      </c>
      <c r="N7584" s="11" t="str">
        <f t="shared" si="372"/>
        <v/>
      </c>
    </row>
    <row r="7585" spans="9:14" x14ac:dyDescent="0.25">
      <c r="I7585" s="11" t="b">
        <f t="shared" si="373"/>
        <v>0</v>
      </c>
      <c r="M7585" s="17" t="str">
        <f t="shared" si="371"/>
        <v/>
      </c>
      <c r="N7585" s="11" t="str">
        <f t="shared" si="372"/>
        <v/>
      </c>
    </row>
    <row r="7586" spans="9:14" x14ac:dyDescent="0.25">
      <c r="I7586" s="11" t="b">
        <f t="shared" si="373"/>
        <v>0</v>
      </c>
      <c r="M7586" s="17" t="str">
        <f t="shared" si="371"/>
        <v/>
      </c>
      <c r="N7586" s="11" t="str">
        <f t="shared" si="372"/>
        <v/>
      </c>
    </row>
    <row r="7587" spans="9:14" x14ac:dyDescent="0.25">
      <c r="I7587" s="11" t="b">
        <f t="shared" si="373"/>
        <v>0</v>
      </c>
      <c r="M7587" s="17" t="str">
        <f t="shared" si="371"/>
        <v/>
      </c>
      <c r="N7587" s="11" t="str">
        <f t="shared" si="372"/>
        <v/>
      </c>
    </row>
    <row r="7588" spans="9:14" x14ac:dyDescent="0.25">
      <c r="I7588" s="11" t="b">
        <f t="shared" si="373"/>
        <v>0</v>
      </c>
      <c r="M7588" s="17" t="str">
        <f t="shared" si="371"/>
        <v/>
      </c>
      <c r="N7588" s="11" t="str">
        <f t="shared" si="372"/>
        <v/>
      </c>
    </row>
    <row r="7589" spans="9:14" x14ac:dyDescent="0.25">
      <c r="I7589" s="11" t="b">
        <f t="shared" si="373"/>
        <v>0</v>
      </c>
      <c r="M7589" s="17" t="str">
        <f t="shared" si="371"/>
        <v/>
      </c>
      <c r="N7589" s="11" t="str">
        <f t="shared" si="372"/>
        <v/>
      </c>
    </row>
    <row r="7590" spans="9:14" x14ac:dyDescent="0.25">
      <c r="I7590" s="11" t="b">
        <f t="shared" si="373"/>
        <v>0</v>
      </c>
      <c r="M7590" s="17" t="str">
        <f t="shared" si="371"/>
        <v/>
      </c>
      <c r="N7590" s="11" t="str">
        <f t="shared" si="372"/>
        <v/>
      </c>
    </row>
    <row r="7591" spans="9:14" x14ac:dyDescent="0.25">
      <c r="I7591" s="11" t="b">
        <f t="shared" si="373"/>
        <v>0</v>
      </c>
      <c r="M7591" s="17" t="str">
        <f t="shared" si="371"/>
        <v/>
      </c>
      <c r="N7591" s="11" t="str">
        <f t="shared" si="372"/>
        <v/>
      </c>
    </row>
    <row r="7592" spans="9:14" x14ac:dyDescent="0.25">
      <c r="I7592" s="11" t="b">
        <f t="shared" si="373"/>
        <v>0</v>
      </c>
      <c r="M7592" s="17" t="str">
        <f t="shared" si="371"/>
        <v/>
      </c>
      <c r="N7592" s="11" t="str">
        <f t="shared" si="372"/>
        <v/>
      </c>
    </row>
    <row r="7593" spans="9:14" x14ac:dyDescent="0.25">
      <c r="I7593" s="11" t="b">
        <f t="shared" si="373"/>
        <v>0</v>
      </c>
      <c r="M7593" s="17" t="str">
        <f t="shared" si="371"/>
        <v/>
      </c>
      <c r="N7593" s="11" t="str">
        <f t="shared" si="372"/>
        <v/>
      </c>
    </row>
    <row r="7594" spans="9:14" x14ac:dyDescent="0.25">
      <c r="I7594" s="11" t="b">
        <f t="shared" si="373"/>
        <v>0</v>
      </c>
      <c r="M7594" s="17" t="str">
        <f t="shared" si="371"/>
        <v/>
      </c>
      <c r="N7594" s="11" t="str">
        <f t="shared" si="372"/>
        <v/>
      </c>
    </row>
    <row r="7595" spans="9:14" x14ac:dyDescent="0.25">
      <c r="I7595" s="11" t="b">
        <f t="shared" si="373"/>
        <v>0</v>
      </c>
      <c r="M7595" s="17" t="str">
        <f t="shared" si="371"/>
        <v/>
      </c>
      <c r="N7595" s="11" t="str">
        <f t="shared" si="372"/>
        <v/>
      </c>
    </row>
    <row r="7596" spans="9:14" x14ac:dyDescent="0.25">
      <c r="I7596" s="11" t="b">
        <f t="shared" si="373"/>
        <v>0</v>
      </c>
      <c r="M7596" s="17" t="str">
        <f t="shared" si="371"/>
        <v/>
      </c>
      <c r="N7596" s="11" t="str">
        <f t="shared" si="372"/>
        <v/>
      </c>
    </row>
    <row r="7597" spans="9:14" x14ac:dyDescent="0.25">
      <c r="I7597" s="11" t="b">
        <f t="shared" si="373"/>
        <v>0</v>
      </c>
      <c r="M7597" s="17" t="str">
        <f t="shared" si="371"/>
        <v/>
      </c>
      <c r="N7597" s="11" t="str">
        <f t="shared" si="372"/>
        <v/>
      </c>
    </row>
    <row r="7598" spans="9:14" x14ac:dyDescent="0.25">
      <c r="I7598" s="11" t="b">
        <f t="shared" si="373"/>
        <v>0</v>
      </c>
      <c r="M7598" s="17" t="str">
        <f t="shared" si="371"/>
        <v/>
      </c>
      <c r="N7598" s="11" t="str">
        <f t="shared" si="372"/>
        <v/>
      </c>
    </row>
    <row r="7599" spans="9:14" x14ac:dyDescent="0.25">
      <c r="I7599" s="11" t="b">
        <f t="shared" si="373"/>
        <v>0</v>
      </c>
      <c r="M7599" s="17" t="str">
        <f t="shared" si="371"/>
        <v/>
      </c>
      <c r="N7599" s="11" t="str">
        <f t="shared" si="372"/>
        <v/>
      </c>
    </row>
    <row r="7600" spans="9:14" x14ac:dyDescent="0.25">
      <c r="I7600" s="11" t="b">
        <f t="shared" si="373"/>
        <v>0</v>
      </c>
      <c r="M7600" s="17" t="str">
        <f t="shared" si="371"/>
        <v/>
      </c>
      <c r="N7600" s="11" t="str">
        <f t="shared" si="372"/>
        <v/>
      </c>
    </row>
    <row r="7601" spans="9:14" x14ac:dyDescent="0.25">
      <c r="I7601" s="11" t="b">
        <f t="shared" si="373"/>
        <v>0</v>
      </c>
      <c r="M7601" s="17" t="str">
        <f t="shared" si="371"/>
        <v/>
      </c>
      <c r="N7601" s="11" t="str">
        <f t="shared" si="372"/>
        <v/>
      </c>
    </row>
    <row r="7602" spans="9:14" x14ac:dyDescent="0.25">
      <c r="I7602" s="11" t="b">
        <f t="shared" si="373"/>
        <v>0</v>
      </c>
      <c r="M7602" s="17" t="str">
        <f t="shared" si="371"/>
        <v/>
      </c>
      <c r="N7602" s="11" t="str">
        <f t="shared" si="372"/>
        <v/>
      </c>
    </row>
    <row r="7603" spans="9:14" x14ac:dyDescent="0.25">
      <c r="I7603" s="11" t="b">
        <f t="shared" si="373"/>
        <v>0</v>
      </c>
      <c r="M7603" s="17" t="str">
        <f t="shared" si="371"/>
        <v/>
      </c>
      <c r="N7603" s="11" t="str">
        <f t="shared" si="372"/>
        <v/>
      </c>
    </row>
    <row r="7604" spans="9:14" x14ac:dyDescent="0.25">
      <c r="I7604" s="11" t="b">
        <f t="shared" si="373"/>
        <v>0</v>
      </c>
      <c r="M7604" s="17" t="str">
        <f t="shared" si="371"/>
        <v/>
      </c>
      <c r="N7604" s="11" t="str">
        <f t="shared" si="372"/>
        <v/>
      </c>
    </row>
    <row r="7605" spans="9:14" x14ac:dyDescent="0.25">
      <c r="I7605" s="11" t="b">
        <f t="shared" si="373"/>
        <v>0</v>
      </c>
      <c r="M7605" s="17" t="str">
        <f t="shared" si="371"/>
        <v/>
      </c>
      <c r="N7605" s="11" t="str">
        <f t="shared" si="372"/>
        <v/>
      </c>
    </row>
    <row r="7606" spans="9:14" x14ac:dyDescent="0.25">
      <c r="I7606" s="11" t="b">
        <f t="shared" si="373"/>
        <v>0</v>
      </c>
      <c r="M7606" s="17" t="str">
        <f t="shared" si="371"/>
        <v/>
      </c>
      <c r="N7606" s="11" t="str">
        <f t="shared" si="372"/>
        <v/>
      </c>
    </row>
    <row r="7607" spans="9:14" x14ac:dyDescent="0.25">
      <c r="I7607" s="11" t="b">
        <f t="shared" si="373"/>
        <v>0</v>
      </c>
      <c r="M7607" s="17" t="str">
        <f t="shared" si="371"/>
        <v/>
      </c>
      <c r="N7607" s="11" t="str">
        <f t="shared" si="372"/>
        <v/>
      </c>
    </row>
    <row r="7608" spans="9:14" x14ac:dyDescent="0.25">
      <c r="I7608" s="11" t="b">
        <f t="shared" si="373"/>
        <v>0</v>
      </c>
      <c r="M7608" s="17" t="str">
        <f t="shared" si="371"/>
        <v/>
      </c>
      <c r="N7608" s="11" t="str">
        <f t="shared" si="372"/>
        <v/>
      </c>
    </row>
    <row r="7609" spans="9:14" x14ac:dyDescent="0.25">
      <c r="I7609" s="11" t="b">
        <f t="shared" si="373"/>
        <v>0</v>
      </c>
      <c r="M7609" s="17" t="str">
        <f t="shared" si="371"/>
        <v/>
      </c>
      <c r="N7609" s="11" t="str">
        <f t="shared" si="372"/>
        <v/>
      </c>
    </row>
    <row r="7610" spans="9:14" x14ac:dyDescent="0.25">
      <c r="I7610" s="11" t="b">
        <f t="shared" si="373"/>
        <v>0</v>
      </c>
      <c r="M7610" s="17" t="str">
        <f t="shared" si="371"/>
        <v/>
      </c>
      <c r="N7610" s="11" t="str">
        <f t="shared" si="372"/>
        <v/>
      </c>
    </row>
    <row r="7611" spans="9:14" x14ac:dyDescent="0.25">
      <c r="I7611" s="11" t="b">
        <f t="shared" si="373"/>
        <v>0</v>
      </c>
      <c r="M7611" s="17" t="str">
        <f t="shared" si="371"/>
        <v/>
      </c>
      <c r="N7611" s="11" t="str">
        <f t="shared" si="372"/>
        <v/>
      </c>
    </row>
    <row r="7612" spans="9:14" x14ac:dyDescent="0.25">
      <c r="I7612" s="11" t="b">
        <f t="shared" si="373"/>
        <v>0</v>
      </c>
      <c r="M7612" s="17" t="str">
        <f t="shared" si="371"/>
        <v/>
      </c>
      <c r="N7612" s="11" t="str">
        <f t="shared" si="372"/>
        <v/>
      </c>
    </row>
    <row r="7613" spans="9:14" x14ac:dyDescent="0.25">
      <c r="I7613" s="11" t="b">
        <f t="shared" si="373"/>
        <v>0</v>
      </c>
      <c r="M7613" s="17" t="str">
        <f t="shared" si="371"/>
        <v/>
      </c>
      <c r="N7613" s="11" t="str">
        <f t="shared" si="372"/>
        <v/>
      </c>
    </row>
    <row r="7614" spans="9:14" x14ac:dyDescent="0.25">
      <c r="I7614" s="11" t="b">
        <f t="shared" si="373"/>
        <v>0</v>
      </c>
      <c r="M7614" s="17" t="str">
        <f t="shared" si="371"/>
        <v/>
      </c>
      <c r="N7614" s="11" t="str">
        <f t="shared" si="372"/>
        <v/>
      </c>
    </row>
    <row r="7615" spans="9:14" x14ac:dyDescent="0.25">
      <c r="I7615" s="11" t="b">
        <f t="shared" si="373"/>
        <v>0</v>
      </c>
      <c r="M7615" s="17" t="str">
        <f t="shared" si="371"/>
        <v/>
      </c>
      <c r="N7615" s="11" t="str">
        <f t="shared" si="372"/>
        <v/>
      </c>
    </row>
    <row r="7616" spans="9:14" x14ac:dyDescent="0.25">
      <c r="I7616" s="11" t="b">
        <f t="shared" si="373"/>
        <v>0</v>
      </c>
      <c r="M7616" s="17" t="str">
        <f t="shared" si="371"/>
        <v/>
      </c>
      <c r="N7616" s="11" t="str">
        <f t="shared" si="372"/>
        <v/>
      </c>
    </row>
    <row r="7617" spans="9:14" x14ac:dyDescent="0.25">
      <c r="I7617" s="11" t="b">
        <f t="shared" si="373"/>
        <v>0</v>
      </c>
      <c r="M7617" s="17" t="str">
        <f t="shared" ref="M7617:M7680" si="374">IF(B7617=0, "",M7616+ J7617-K7617)</f>
        <v/>
      </c>
      <c r="N7617" s="11" t="str">
        <f t="shared" ref="N7617:N7680" si="375">IF(B7617=0, "", MONTH(B7617))</f>
        <v/>
      </c>
    </row>
    <row r="7618" spans="9:14" x14ac:dyDescent="0.25">
      <c r="I7618" s="11" t="b">
        <f t="shared" si="373"/>
        <v>0</v>
      </c>
      <c r="M7618" s="17" t="str">
        <f t="shared" si="374"/>
        <v/>
      </c>
      <c r="N7618" s="11" t="str">
        <f t="shared" si="375"/>
        <v/>
      </c>
    </row>
    <row r="7619" spans="9:14" x14ac:dyDescent="0.25">
      <c r="I7619" s="11" t="b">
        <f t="shared" si="373"/>
        <v>0</v>
      </c>
      <c r="M7619" s="17" t="str">
        <f t="shared" si="374"/>
        <v/>
      </c>
      <c r="N7619" s="11" t="str">
        <f t="shared" si="375"/>
        <v/>
      </c>
    </row>
    <row r="7620" spans="9:14" x14ac:dyDescent="0.25">
      <c r="I7620" s="11" t="b">
        <f t="shared" si="373"/>
        <v>0</v>
      </c>
      <c r="M7620" s="17" t="str">
        <f t="shared" si="374"/>
        <v/>
      </c>
      <c r="N7620" s="11" t="str">
        <f t="shared" si="375"/>
        <v/>
      </c>
    </row>
    <row r="7621" spans="9:14" x14ac:dyDescent="0.25">
      <c r="I7621" s="11" t="b">
        <f t="shared" si="373"/>
        <v>0</v>
      </c>
      <c r="M7621" s="17" t="str">
        <f t="shared" si="374"/>
        <v/>
      </c>
      <c r="N7621" s="11" t="str">
        <f t="shared" si="375"/>
        <v/>
      </c>
    </row>
    <row r="7622" spans="9:14" x14ac:dyDescent="0.25">
      <c r="I7622" s="11" t="b">
        <f t="shared" si="373"/>
        <v>0</v>
      </c>
      <c r="M7622" s="17" t="str">
        <f t="shared" si="374"/>
        <v/>
      </c>
      <c r="N7622" s="11" t="str">
        <f t="shared" si="375"/>
        <v/>
      </c>
    </row>
    <row r="7623" spans="9:14" x14ac:dyDescent="0.25">
      <c r="I7623" s="11" t="b">
        <f t="shared" si="373"/>
        <v>0</v>
      </c>
      <c r="M7623" s="17" t="str">
        <f t="shared" si="374"/>
        <v/>
      </c>
      <c r="N7623" s="11" t="str">
        <f t="shared" si="375"/>
        <v/>
      </c>
    </row>
    <row r="7624" spans="9:14" x14ac:dyDescent="0.25">
      <c r="I7624" s="11" t="b">
        <f t="shared" si="373"/>
        <v>0</v>
      </c>
      <c r="M7624" s="17" t="str">
        <f t="shared" si="374"/>
        <v/>
      </c>
      <c r="N7624" s="11" t="str">
        <f t="shared" si="375"/>
        <v/>
      </c>
    </row>
    <row r="7625" spans="9:14" x14ac:dyDescent="0.25">
      <c r="I7625" s="11" t="b">
        <f t="shared" si="373"/>
        <v>0</v>
      </c>
      <c r="M7625" s="17" t="str">
        <f t="shared" si="374"/>
        <v/>
      </c>
      <c r="N7625" s="11" t="str">
        <f t="shared" si="375"/>
        <v/>
      </c>
    </row>
    <row r="7626" spans="9:14" x14ac:dyDescent="0.25">
      <c r="I7626" s="11" t="b">
        <f t="shared" si="373"/>
        <v>0</v>
      </c>
      <c r="M7626" s="17" t="str">
        <f t="shared" si="374"/>
        <v/>
      </c>
      <c r="N7626" s="11" t="str">
        <f t="shared" si="375"/>
        <v/>
      </c>
    </row>
    <row r="7627" spans="9:14" x14ac:dyDescent="0.25">
      <c r="I7627" s="11" t="b">
        <f t="shared" si="373"/>
        <v>0</v>
      </c>
      <c r="M7627" s="17" t="str">
        <f t="shared" si="374"/>
        <v/>
      </c>
      <c r="N7627" s="11" t="str">
        <f t="shared" si="375"/>
        <v/>
      </c>
    </row>
    <row r="7628" spans="9:14" x14ac:dyDescent="0.25">
      <c r="I7628" s="11" t="b">
        <f t="shared" si="373"/>
        <v>0</v>
      </c>
      <c r="M7628" s="17" t="str">
        <f t="shared" si="374"/>
        <v/>
      </c>
      <c r="N7628" s="11" t="str">
        <f t="shared" si="375"/>
        <v/>
      </c>
    </row>
    <row r="7629" spans="9:14" x14ac:dyDescent="0.25">
      <c r="I7629" s="11" t="b">
        <f t="shared" si="373"/>
        <v>0</v>
      </c>
      <c r="M7629" s="17" t="str">
        <f t="shared" si="374"/>
        <v/>
      </c>
      <c r="N7629" s="11" t="str">
        <f t="shared" si="375"/>
        <v/>
      </c>
    </row>
    <row r="7630" spans="9:14" x14ac:dyDescent="0.25">
      <c r="I7630" s="11" t="b">
        <f t="shared" si="373"/>
        <v>0</v>
      </c>
      <c r="M7630" s="17" t="str">
        <f t="shared" si="374"/>
        <v/>
      </c>
      <c r="N7630" s="11" t="str">
        <f t="shared" si="375"/>
        <v/>
      </c>
    </row>
    <row r="7631" spans="9:14" x14ac:dyDescent="0.25">
      <c r="I7631" s="11" t="b">
        <f t="shared" si="373"/>
        <v>0</v>
      </c>
      <c r="M7631" s="17" t="str">
        <f t="shared" si="374"/>
        <v/>
      </c>
      <c r="N7631" s="11" t="str">
        <f t="shared" si="375"/>
        <v/>
      </c>
    </row>
    <row r="7632" spans="9:14" x14ac:dyDescent="0.25">
      <c r="I7632" s="11" t="b">
        <f t="shared" si="373"/>
        <v>0</v>
      </c>
      <c r="M7632" s="17" t="str">
        <f t="shared" si="374"/>
        <v/>
      </c>
      <c r="N7632" s="11" t="str">
        <f t="shared" si="375"/>
        <v/>
      </c>
    </row>
    <row r="7633" spans="9:14" x14ac:dyDescent="0.25">
      <c r="I7633" s="11" t="b">
        <f t="shared" si="373"/>
        <v>0</v>
      </c>
      <c r="M7633" s="17" t="str">
        <f t="shared" si="374"/>
        <v/>
      </c>
      <c r="N7633" s="11" t="str">
        <f t="shared" si="375"/>
        <v/>
      </c>
    </row>
    <row r="7634" spans="9:14" x14ac:dyDescent="0.25">
      <c r="I7634" s="11" t="b">
        <f t="shared" si="373"/>
        <v>0</v>
      </c>
      <c r="M7634" s="17" t="str">
        <f t="shared" si="374"/>
        <v/>
      </c>
      <c r="N7634" s="11" t="str">
        <f t="shared" si="375"/>
        <v/>
      </c>
    </row>
    <row r="7635" spans="9:14" x14ac:dyDescent="0.25">
      <c r="I7635" s="11" t="b">
        <f t="shared" si="373"/>
        <v>0</v>
      </c>
      <c r="M7635" s="17" t="str">
        <f t="shared" si="374"/>
        <v/>
      </c>
      <c r="N7635" s="11" t="str">
        <f t="shared" si="375"/>
        <v/>
      </c>
    </row>
    <row r="7636" spans="9:14" x14ac:dyDescent="0.25">
      <c r="I7636" s="11" t="b">
        <f t="shared" si="373"/>
        <v>0</v>
      </c>
      <c r="M7636" s="17" t="str">
        <f t="shared" si="374"/>
        <v/>
      </c>
      <c r="N7636" s="11" t="str">
        <f t="shared" si="375"/>
        <v/>
      </c>
    </row>
    <row r="7637" spans="9:14" x14ac:dyDescent="0.25">
      <c r="I7637" s="11" t="b">
        <f t="shared" si="373"/>
        <v>0</v>
      </c>
      <c r="M7637" s="17" t="str">
        <f t="shared" si="374"/>
        <v/>
      </c>
      <c r="N7637" s="11" t="str">
        <f t="shared" si="375"/>
        <v/>
      </c>
    </row>
    <row r="7638" spans="9:14" x14ac:dyDescent="0.25">
      <c r="I7638" s="11" t="b">
        <f t="shared" si="373"/>
        <v>0</v>
      </c>
      <c r="M7638" s="17" t="str">
        <f t="shared" si="374"/>
        <v/>
      </c>
      <c r="N7638" s="11" t="str">
        <f t="shared" si="375"/>
        <v/>
      </c>
    </row>
    <row r="7639" spans="9:14" x14ac:dyDescent="0.25">
      <c r="I7639" s="11" t="b">
        <f t="shared" si="373"/>
        <v>0</v>
      </c>
      <c r="M7639" s="17" t="str">
        <f t="shared" si="374"/>
        <v/>
      </c>
      <c r="N7639" s="11" t="str">
        <f t="shared" si="375"/>
        <v/>
      </c>
    </row>
    <row r="7640" spans="9:14" x14ac:dyDescent="0.25">
      <c r="I7640" s="11" t="b">
        <f t="shared" si="373"/>
        <v>0</v>
      </c>
      <c r="M7640" s="17" t="str">
        <f t="shared" si="374"/>
        <v/>
      </c>
      <c r="N7640" s="11" t="str">
        <f t="shared" si="375"/>
        <v/>
      </c>
    </row>
    <row r="7641" spans="9:14" x14ac:dyDescent="0.25">
      <c r="I7641" s="11" t="b">
        <f t="shared" si="373"/>
        <v>0</v>
      </c>
      <c r="M7641" s="17" t="str">
        <f t="shared" si="374"/>
        <v/>
      </c>
      <c r="N7641" s="11" t="str">
        <f t="shared" si="375"/>
        <v/>
      </c>
    </row>
    <row r="7642" spans="9:14" x14ac:dyDescent="0.25">
      <c r="I7642" s="11" t="b">
        <f t="shared" si="373"/>
        <v>0</v>
      </c>
      <c r="M7642" s="17" t="str">
        <f t="shared" si="374"/>
        <v/>
      </c>
      <c r="N7642" s="11" t="str">
        <f t="shared" si="375"/>
        <v/>
      </c>
    </row>
    <row r="7643" spans="9:14" x14ac:dyDescent="0.25">
      <c r="I7643" s="11" t="b">
        <f t="shared" si="373"/>
        <v>0</v>
      </c>
      <c r="M7643" s="17" t="str">
        <f t="shared" si="374"/>
        <v/>
      </c>
      <c r="N7643" s="11" t="str">
        <f t="shared" si="375"/>
        <v/>
      </c>
    </row>
    <row r="7644" spans="9:14" x14ac:dyDescent="0.25">
      <c r="I7644" s="11" t="b">
        <f t="shared" si="373"/>
        <v>0</v>
      </c>
      <c r="M7644" s="17" t="str">
        <f t="shared" si="374"/>
        <v/>
      </c>
      <c r="N7644" s="11" t="str">
        <f t="shared" si="375"/>
        <v/>
      </c>
    </row>
    <row r="7645" spans="9:14" x14ac:dyDescent="0.25">
      <c r="I7645" s="11" t="b">
        <f t="shared" ref="I7645:I7708" si="376">IF(AND(G7645="MERCADO PAGO",A7645="FATURAMENTO"),1,IF(AND(OR(G7645="MERCADO PAGO",G7645="pix mercado pago",G7645= "débito automático mercado pago", G7645= "boleto mercado pago"),A7645="DESPESAS"),4,IF(AND(G7645="SAFRA",A7645="FATURAMENTO"),2,IF(AND(OR(G7645="SAFRA",G7645="PIX SAFRA", G7645="DÉBITO AUTOMÁTICO SAFRA", G7645= "BOLETO SAFRA", G7645= "transferência safra"), A7645="DESPESAS"),5,IF(AND(G7645="espécie",A7645="FATURAMENTO"),3,IF(AND(G7645="espécie",A7645="DESPESAS"),6))))))</f>
        <v>0</v>
      </c>
      <c r="M7645" s="17" t="str">
        <f t="shared" si="374"/>
        <v/>
      </c>
      <c r="N7645" s="11" t="str">
        <f t="shared" si="375"/>
        <v/>
      </c>
    </row>
    <row r="7646" spans="9:14" x14ac:dyDescent="0.25">
      <c r="I7646" s="11" t="b">
        <f t="shared" si="376"/>
        <v>0</v>
      </c>
      <c r="M7646" s="17" t="str">
        <f t="shared" si="374"/>
        <v/>
      </c>
      <c r="N7646" s="11" t="str">
        <f t="shared" si="375"/>
        <v/>
      </c>
    </row>
    <row r="7647" spans="9:14" x14ac:dyDescent="0.25">
      <c r="I7647" s="11" t="b">
        <f t="shared" si="376"/>
        <v>0</v>
      </c>
      <c r="M7647" s="17" t="str">
        <f t="shared" si="374"/>
        <v/>
      </c>
      <c r="N7647" s="11" t="str">
        <f t="shared" si="375"/>
        <v/>
      </c>
    </row>
    <row r="7648" spans="9:14" x14ac:dyDescent="0.25">
      <c r="I7648" s="11" t="b">
        <f t="shared" si="376"/>
        <v>0</v>
      </c>
      <c r="M7648" s="17" t="str">
        <f t="shared" si="374"/>
        <v/>
      </c>
      <c r="N7648" s="11" t="str">
        <f t="shared" si="375"/>
        <v/>
      </c>
    </row>
    <row r="7649" spans="9:14" x14ac:dyDescent="0.25">
      <c r="I7649" s="11" t="b">
        <f t="shared" si="376"/>
        <v>0</v>
      </c>
      <c r="M7649" s="17" t="str">
        <f t="shared" si="374"/>
        <v/>
      </c>
      <c r="N7649" s="11" t="str">
        <f t="shared" si="375"/>
        <v/>
      </c>
    </row>
    <row r="7650" spans="9:14" x14ac:dyDescent="0.25">
      <c r="I7650" s="11" t="b">
        <f t="shared" si="376"/>
        <v>0</v>
      </c>
      <c r="M7650" s="17" t="str">
        <f t="shared" si="374"/>
        <v/>
      </c>
      <c r="N7650" s="11" t="str">
        <f t="shared" si="375"/>
        <v/>
      </c>
    </row>
    <row r="7651" spans="9:14" x14ac:dyDescent="0.25">
      <c r="I7651" s="11" t="b">
        <f t="shared" si="376"/>
        <v>0</v>
      </c>
      <c r="M7651" s="17" t="str">
        <f t="shared" si="374"/>
        <v/>
      </c>
      <c r="N7651" s="11" t="str">
        <f t="shared" si="375"/>
        <v/>
      </c>
    </row>
    <row r="7652" spans="9:14" x14ac:dyDescent="0.25">
      <c r="I7652" s="11" t="b">
        <f t="shared" si="376"/>
        <v>0</v>
      </c>
      <c r="M7652" s="17" t="str">
        <f t="shared" si="374"/>
        <v/>
      </c>
      <c r="N7652" s="11" t="str">
        <f t="shared" si="375"/>
        <v/>
      </c>
    </row>
    <row r="7653" spans="9:14" x14ac:dyDescent="0.25">
      <c r="I7653" s="11" t="b">
        <f t="shared" si="376"/>
        <v>0</v>
      </c>
      <c r="M7653" s="17" t="str">
        <f t="shared" si="374"/>
        <v/>
      </c>
      <c r="N7653" s="11" t="str">
        <f t="shared" si="375"/>
        <v/>
      </c>
    </row>
    <row r="7654" spans="9:14" x14ac:dyDescent="0.25">
      <c r="I7654" s="11" t="b">
        <f t="shared" si="376"/>
        <v>0</v>
      </c>
      <c r="M7654" s="17" t="str">
        <f t="shared" si="374"/>
        <v/>
      </c>
      <c r="N7654" s="11" t="str">
        <f t="shared" si="375"/>
        <v/>
      </c>
    </row>
    <row r="7655" spans="9:14" x14ac:dyDescent="0.25">
      <c r="I7655" s="11" t="b">
        <f t="shared" si="376"/>
        <v>0</v>
      </c>
      <c r="M7655" s="17" t="str">
        <f t="shared" si="374"/>
        <v/>
      </c>
      <c r="N7655" s="11" t="str">
        <f t="shared" si="375"/>
        <v/>
      </c>
    </row>
    <row r="7656" spans="9:14" x14ac:dyDescent="0.25">
      <c r="I7656" s="11" t="b">
        <f t="shared" si="376"/>
        <v>0</v>
      </c>
      <c r="M7656" s="17" t="str">
        <f t="shared" si="374"/>
        <v/>
      </c>
      <c r="N7656" s="11" t="str">
        <f t="shared" si="375"/>
        <v/>
      </c>
    </row>
    <row r="7657" spans="9:14" x14ac:dyDescent="0.25">
      <c r="I7657" s="11" t="b">
        <f t="shared" si="376"/>
        <v>0</v>
      </c>
      <c r="M7657" s="17" t="str">
        <f t="shared" si="374"/>
        <v/>
      </c>
      <c r="N7657" s="11" t="str">
        <f t="shared" si="375"/>
        <v/>
      </c>
    </row>
    <row r="7658" spans="9:14" x14ac:dyDescent="0.25">
      <c r="I7658" s="11" t="b">
        <f t="shared" si="376"/>
        <v>0</v>
      </c>
      <c r="M7658" s="17" t="str">
        <f t="shared" si="374"/>
        <v/>
      </c>
      <c r="N7658" s="11" t="str">
        <f t="shared" si="375"/>
        <v/>
      </c>
    </row>
    <row r="7659" spans="9:14" x14ac:dyDescent="0.25">
      <c r="I7659" s="11" t="b">
        <f t="shared" si="376"/>
        <v>0</v>
      </c>
      <c r="M7659" s="17" t="str">
        <f t="shared" si="374"/>
        <v/>
      </c>
      <c r="N7659" s="11" t="str">
        <f t="shared" si="375"/>
        <v/>
      </c>
    </row>
    <row r="7660" spans="9:14" x14ac:dyDescent="0.25">
      <c r="I7660" s="11" t="b">
        <f t="shared" si="376"/>
        <v>0</v>
      </c>
      <c r="M7660" s="17" t="str">
        <f t="shared" si="374"/>
        <v/>
      </c>
      <c r="N7660" s="11" t="str">
        <f t="shared" si="375"/>
        <v/>
      </c>
    </row>
    <row r="7661" spans="9:14" x14ac:dyDescent="0.25">
      <c r="I7661" s="11" t="b">
        <f t="shared" si="376"/>
        <v>0</v>
      </c>
      <c r="M7661" s="17" t="str">
        <f t="shared" si="374"/>
        <v/>
      </c>
      <c r="N7661" s="11" t="str">
        <f t="shared" si="375"/>
        <v/>
      </c>
    </row>
    <row r="7662" spans="9:14" x14ac:dyDescent="0.25">
      <c r="I7662" s="11" t="b">
        <f t="shared" si="376"/>
        <v>0</v>
      </c>
      <c r="M7662" s="17" t="str">
        <f t="shared" si="374"/>
        <v/>
      </c>
      <c r="N7662" s="11" t="str">
        <f t="shared" si="375"/>
        <v/>
      </c>
    </row>
    <row r="7663" spans="9:14" x14ac:dyDescent="0.25">
      <c r="I7663" s="11" t="b">
        <f t="shared" si="376"/>
        <v>0</v>
      </c>
      <c r="M7663" s="17" t="str">
        <f t="shared" si="374"/>
        <v/>
      </c>
      <c r="N7663" s="11" t="str">
        <f t="shared" si="375"/>
        <v/>
      </c>
    </row>
    <row r="7664" spans="9:14" x14ac:dyDescent="0.25">
      <c r="I7664" s="11" t="b">
        <f t="shared" si="376"/>
        <v>0</v>
      </c>
      <c r="M7664" s="17" t="str">
        <f t="shared" si="374"/>
        <v/>
      </c>
      <c r="N7664" s="11" t="str">
        <f t="shared" si="375"/>
        <v/>
      </c>
    </row>
    <row r="7665" spans="9:14" x14ac:dyDescent="0.25">
      <c r="I7665" s="11" t="b">
        <f t="shared" si="376"/>
        <v>0</v>
      </c>
      <c r="M7665" s="17" t="str">
        <f t="shared" si="374"/>
        <v/>
      </c>
      <c r="N7665" s="11" t="str">
        <f t="shared" si="375"/>
        <v/>
      </c>
    </row>
    <row r="7666" spans="9:14" x14ac:dyDescent="0.25">
      <c r="I7666" s="11" t="b">
        <f t="shared" si="376"/>
        <v>0</v>
      </c>
      <c r="M7666" s="17" t="str">
        <f t="shared" si="374"/>
        <v/>
      </c>
      <c r="N7666" s="11" t="str">
        <f t="shared" si="375"/>
        <v/>
      </c>
    </row>
    <row r="7667" spans="9:14" x14ac:dyDescent="0.25">
      <c r="I7667" s="11" t="b">
        <f t="shared" si="376"/>
        <v>0</v>
      </c>
      <c r="M7667" s="17" t="str">
        <f t="shared" si="374"/>
        <v/>
      </c>
      <c r="N7667" s="11" t="str">
        <f t="shared" si="375"/>
        <v/>
      </c>
    </row>
    <row r="7668" spans="9:14" x14ac:dyDescent="0.25">
      <c r="I7668" s="11" t="b">
        <f t="shared" si="376"/>
        <v>0</v>
      </c>
      <c r="M7668" s="17" t="str">
        <f t="shared" si="374"/>
        <v/>
      </c>
      <c r="N7668" s="11" t="str">
        <f t="shared" si="375"/>
        <v/>
      </c>
    </row>
    <row r="7669" spans="9:14" x14ac:dyDescent="0.25">
      <c r="I7669" s="11" t="b">
        <f t="shared" si="376"/>
        <v>0</v>
      </c>
      <c r="M7669" s="17" t="str">
        <f t="shared" si="374"/>
        <v/>
      </c>
      <c r="N7669" s="11" t="str">
        <f t="shared" si="375"/>
        <v/>
      </c>
    </row>
    <row r="7670" spans="9:14" x14ac:dyDescent="0.25">
      <c r="I7670" s="11" t="b">
        <f t="shared" si="376"/>
        <v>0</v>
      </c>
      <c r="M7670" s="17" t="str">
        <f t="shared" si="374"/>
        <v/>
      </c>
      <c r="N7670" s="11" t="str">
        <f t="shared" si="375"/>
        <v/>
      </c>
    </row>
    <row r="7671" spans="9:14" x14ac:dyDescent="0.25">
      <c r="I7671" s="11" t="b">
        <f t="shared" si="376"/>
        <v>0</v>
      </c>
      <c r="M7671" s="17" t="str">
        <f t="shared" si="374"/>
        <v/>
      </c>
      <c r="N7671" s="11" t="str">
        <f t="shared" si="375"/>
        <v/>
      </c>
    </row>
    <row r="7672" spans="9:14" x14ac:dyDescent="0.25">
      <c r="I7672" s="11" t="b">
        <f t="shared" si="376"/>
        <v>0</v>
      </c>
      <c r="M7672" s="17" t="str">
        <f t="shared" si="374"/>
        <v/>
      </c>
      <c r="N7672" s="11" t="str">
        <f t="shared" si="375"/>
        <v/>
      </c>
    </row>
    <row r="7673" spans="9:14" x14ac:dyDescent="0.25">
      <c r="I7673" s="11" t="b">
        <f t="shared" si="376"/>
        <v>0</v>
      </c>
      <c r="M7673" s="17" t="str">
        <f t="shared" si="374"/>
        <v/>
      </c>
      <c r="N7673" s="11" t="str">
        <f t="shared" si="375"/>
        <v/>
      </c>
    </row>
    <row r="7674" spans="9:14" x14ac:dyDescent="0.25">
      <c r="I7674" s="11" t="b">
        <f t="shared" si="376"/>
        <v>0</v>
      </c>
      <c r="M7674" s="17" t="str">
        <f t="shared" si="374"/>
        <v/>
      </c>
      <c r="N7674" s="11" t="str">
        <f t="shared" si="375"/>
        <v/>
      </c>
    </row>
    <row r="7675" spans="9:14" x14ac:dyDescent="0.25">
      <c r="I7675" s="11" t="b">
        <f t="shared" si="376"/>
        <v>0</v>
      </c>
      <c r="M7675" s="17" t="str">
        <f t="shared" si="374"/>
        <v/>
      </c>
      <c r="N7675" s="11" t="str">
        <f t="shared" si="375"/>
        <v/>
      </c>
    </row>
    <row r="7676" spans="9:14" x14ac:dyDescent="0.25">
      <c r="I7676" s="11" t="b">
        <f t="shared" si="376"/>
        <v>0</v>
      </c>
      <c r="M7676" s="17" t="str">
        <f t="shared" si="374"/>
        <v/>
      </c>
      <c r="N7676" s="11" t="str">
        <f t="shared" si="375"/>
        <v/>
      </c>
    </row>
    <row r="7677" spans="9:14" x14ac:dyDescent="0.25">
      <c r="I7677" s="11" t="b">
        <f t="shared" si="376"/>
        <v>0</v>
      </c>
      <c r="M7677" s="17" t="str">
        <f t="shared" si="374"/>
        <v/>
      </c>
      <c r="N7677" s="11" t="str">
        <f t="shared" si="375"/>
        <v/>
      </c>
    </row>
    <row r="7678" spans="9:14" x14ac:dyDescent="0.25">
      <c r="I7678" s="11" t="b">
        <f t="shared" si="376"/>
        <v>0</v>
      </c>
      <c r="M7678" s="17" t="str">
        <f t="shared" si="374"/>
        <v/>
      </c>
      <c r="N7678" s="11" t="str">
        <f t="shared" si="375"/>
        <v/>
      </c>
    </row>
    <row r="7679" spans="9:14" x14ac:dyDescent="0.25">
      <c r="I7679" s="11" t="b">
        <f t="shared" si="376"/>
        <v>0</v>
      </c>
      <c r="M7679" s="17" t="str">
        <f t="shared" si="374"/>
        <v/>
      </c>
      <c r="N7679" s="11" t="str">
        <f t="shared" si="375"/>
        <v/>
      </c>
    </row>
    <row r="7680" spans="9:14" x14ac:dyDescent="0.25">
      <c r="I7680" s="11" t="b">
        <f t="shared" si="376"/>
        <v>0</v>
      </c>
      <c r="M7680" s="17" t="str">
        <f t="shared" si="374"/>
        <v/>
      </c>
      <c r="N7680" s="11" t="str">
        <f t="shared" si="375"/>
        <v/>
      </c>
    </row>
    <row r="7681" spans="9:14" x14ac:dyDescent="0.25">
      <c r="I7681" s="11" t="b">
        <f t="shared" si="376"/>
        <v>0</v>
      </c>
      <c r="M7681" s="17" t="str">
        <f t="shared" ref="M7681:M7744" si="377">IF(B7681=0, "",M7680+ J7681-K7681)</f>
        <v/>
      </c>
      <c r="N7681" s="11" t="str">
        <f t="shared" ref="N7681:N7744" si="378">IF(B7681=0, "", MONTH(B7681))</f>
        <v/>
      </c>
    </row>
    <row r="7682" spans="9:14" x14ac:dyDescent="0.25">
      <c r="I7682" s="11" t="b">
        <f t="shared" si="376"/>
        <v>0</v>
      </c>
      <c r="M7682" s="17" t="str">
        <f t="shared" si="377"/>
        <v/>
      </c>
      <c r="N7682" s="11" t="str">
        <f t="shared" si="378"/>
        <v/>
      </c>
    </row>
    <row r="7683" spans="9:14" x14ac:dyDescent="0.25">
      <c r="I7683" s="11" t="b">
        <f t="shared" si="376"/>
        <v>0</v>
      </c>
      <c r="M7683" s="17" t="str">
        <f t="shared" si="377"/>
        <v/>
      </c>
      <c r="N7683" s="11" t="str">
        <f t="shared" si="378"/>
        <v/>
      </c>
    </row>
    <row r="7684" spans="9:14" x14ac:dyDescent="0.25">
      <c r="I7684" s="11" t="b">
        <f t="shared" si="376"/>
        <v>0</v>
      </c>
      <c r="M7684" s="17" t="str">
        <f t="shared" si="377"/>
        <v/>
      </c>
      <c r="N7684" s="11" t="str">
        <f t="shared" si="378"/>
        <v/>
      </c>
    </row>
    <row r="7685" spans="9:14" x14ac:dyDescent="0.25">
      <c r="I7685" s="11" t="b">
        <f t="shared" si="376"/>
        <v>0</v>
      </c>
      <c r="M7685" s="17" t="str">
        <f t="shared" si="377"/>
        <v/>
      </c>
      <c r="N7685" s="11" t="str">
        <f t="shared" si="378"/>
        <v/>
      </c>
    </row>
    <row r="7686" spans="9:14" x14ac:dyDescent="0.25">
      <c r="I7686" s="11" t="b">
        <f t="shared" si="376"/>
        <v>0</v>
      </c>
      <c r="M7686" s="17" t="str">
        <f t="shared" si="377"/>
        <v/>
      </c>
      <c r="N7686" s="11" t="str">
        <f t="shared" si="378"/>
        <v/>
      </c>
    </row>
    <row r="7687" spans="9:14" x14ac:dyDescent="0.25">
      <c r="I7687" s="11" t="b">
        <f t="shared" si="376"/>
        <v>0</v>
      </c>
      <c r="M7687" s="17" t="str">
        <f t="shared" si="377"/>
        <v/>
      </c>
      <c r="N7687" s="11" t="str">
        <f t="shared" si="378"/>
        <v/>
      </c>
    </row>
    <row r="7688" spans="9:14" x14ac:dyDescent="0.25">
      <c r="I7688" s="11" t="b">
        <f t="shared" si="376"/>
        <v>0</v>
      </c>
      <c r="M7688" s="17" t="str">
        <f t="shared" si="377"/>
        <v/>
      </c>
      <c r="N7688" s="11" t="str">
        <f t="shared" si="378"/>
        <v/>
      </c>
    </row>
    <row r="7689" spans="9:14" x14ac:dyDescent="0.25">
      <c r="I7689" s="11" t="b">
        <f t="shared" si="376"/>
        <v>0</v>
      </c>
      <c r="M7689" s="17" t="str">
        <f t="shared" si="377"/>
        <v/>
      </c>
      <c r="N7689" s="11" t="str">
        <f t="shared" si="378"/>
        <v/>
      </c>
    </row>
    <row r="7690" spans="9:14" x14ac:dyDescent="0.25">
      <c r="I7690" s="11" t="b">
        <f t="shared" si="376"/>
        <v>0</v>
      </c>
      <c r="M7690" s="17" t="str">
        <f t="shared" si="377"/>
        <v/>
      </c>
      <c r="N7690" s="11" t="str">
        <f t="shared" si="378"/>
        <v/>
      </c>
    </row>
    <row r="7691" spans="9:14" x14ac:dyDescent="0.25">
      <c r="I7691" s="11" t="b">
        <f t="shared" si="376"/>
        <v>0</v>
      </c>
      <c r="M7691" s="17" t="str">
        <f t="shared" si="377"/>
        <v/>
      </c>
      <c r="N7691" s="11" t="str">
        <f t="shared" si="378"/>
        <v/>
      </c>
    </row>
    <row r="7692" spans="9:14" x14ac:dyDescent="0.25">
      <c r="I7692" s="11" t="b">
        <f t="shared" si="376"/>
        <v>0</v>
      </c>
      <c r="M7692" s="17" t="str">
        <f t="shared" si="377"/>
        <v/>
      </c>
      <c r="N7692" s="11" t="str">
        <f t="shared" si="378"/>
        <v/>
      </c>
    </row>
    <row r="7693" spans="9:14" x14ac:dyDescent="0.25">
      <c r="I7693" s="11" t="b">
        <f t="shared" si="376"/>
        <v>0</v>
      </c>
      <c r="M7693" s="17" t="str">
        <f t="shared" si="377"/>
        <v/>
      </c>
      <c r="N7693" s="11" t="str">
        <f t="shared" si="378"/>
        <v/>
      </c>
    </row>
    <row r="7694" spans="9:14" x14ac:dyDescent="0.25">
      <c r="I7694" s="11" t="b">
        <f t="shared" si="376"/>
        <v>0</v>
      </c>
      <c r="M7694" s="17" t="str">
        <f t="shared" si="377"/>
        <v/>
      </c>
      <c r="N7694" s="11" t="str">
        <f t="shared" si="378"/>
        <v/>
      </c>
    </row>
    <row r="7695" spans="9:14" x14ac:dyDescent="0.25">
      <c r="I7695" s="11" t="b">
        <f t="shared" si="376"/>
        <v>0</v>
      </c>
      <c r="M7695" s="17" t="str">
        <f t="shared" si="377"/>
        <v/>
      </c>
      <c r="N7695" s="11" t="str">
        <f t="shared" si="378"/>
        <v/>
      </c>
    </row>
    <row r="7696" spans="9:14" x14ac:dyDescent="0.25">
      <c r="I7696" s="11" t="b">
        <f t="shared" si="376"/>
        <v>0</v>
      </c>
      <c r="M7696" s="17" t="str">
        <f t="shared" si="377"/>
        <v/>
      </c>
      <c r="N7696" s="11" t="str">
        <f t="shared" si="378"/>
        <v/>
      </c>
    </row>
    <row r="7697" spans="9:14" x14ac:dyDescent="0.25">
      <c r="I7697" s="11" t="b">
        <f t="shared" si="376"/>
        <v>0</v>
      </c>
      <c r="M7697" s="17" t="str">
        <f t="shared" si="377"/>
        <v/>
      </c>
      <c r="N7697" s="11" t="str">
        <f t="shared" si="378"/>
        <v/>
      </c>
    </row>
    <row r="7698" spans="9:14" x14ac:dyDescent="0.25">
      <c r="I7698" s="11" t="b">
        <f t="shared" si="376"/>
        <v>0</v>
      </c>
      <c r="M7698" s="17" t="str">
        <f t="shared" si="377"/>
        <v/>
      </c>
      <c r="N7698" s="11" t="str">
        <f t="shared" si="378"/>
        <v/>
      </c>
    </row>
    <row r="7699" spans="9:14" x14ac:dyDescent="0.25">
      <c r="I7699" s="11" t="b">
        <f t="shared" si="376"/>
        <v>0</v>
      </c>
      <c r="M7699" s="17" t="str">
        <f t="shared" si="377"/>
        <v/>
      </c>
      <c r="N7699" s="11" t="str">
        <f t="shared" si="378"/>
        <v/>
      </c>
    </row>
    <row r="7700" spans="9:14" x14ac:dyDescent="0.25">
      <c r="I7700" s="11" t="b">
        <f t="shared" si="376"/>
        <v>0</v>
      </c>
      <c r="M7700" s="17" t="str">
        <f t="shared" si="377"/>
        <v/>
      </c>
      <c r="N7700" s="11" t="str">
        <f t="shared" si="378"/>
        <v/>
      </c>
    </row>
    <row r="7701" spans="9:14" x14ac:dyDescent="0.25">
      <c r="I7701" s="11" t="b">
        <f t="shared" si="376"/>
        <v>0</v>
      </c>
      <c r="M7701" s="17" t="str">
        <f t="shared" si="377"/>
        <v/>
      </c>
      <c r="N7701" s="11" t="str">
        <f t="shared" si="378"/>
        <v/>
      </c>
    </row>
    <row r="7702" spans="9:14" x14ac:dyDescent="0.25">
      <c r="I7702" s="11" t="b">
        <f t="shared" si="376"/>
        <v>0</v>
      </c>
      <c r="M7702" s="17" t="str">
        <f t="shared" si="377"/>
        <v/>
      </c>
      <c r="N7702" s="11" t="str">
        <f t="shared" si="378"/>
        <v/>
      </c>
    </row>
    <row r="7703" spans="9:14" x14ac:dyDescent="0.25">
      <c r="I7703" s="11" t="b">
        <f t="shared" si="376"/>
        <v>0</v>
      </c>
      <c r="M7703" s="17" t="str">
        <f t="shared" si="377"/>
        <v/>
      </c>
      <c r="N7703" s="11" t="str">
        <f t="shared" si="378"/>
        <v/>
      </c>
    </row>
    <row r="7704" spans="9:14" x14ac:dyDescent="0.25">
      <c r="I7704" s="11" t="b">
        <f t="shared" si="376"/>
        <v>0</v>
      </c>
      <c r="M7704" s="17" t="str">
        <f t="shared" si="377"/>
        <v/>
      </c>
      <c r="N7704" s="11" t="str">
        <f t="shared" si="378"/>
        <v/>
      </c>
    </row>
    <row r="7705" spans="9:14" x14ac:dyDescent="0.25">
      <c r="I7705" s="11" t="b">
        <f t="shared" si="376"/>
        <v>0</v>
      </c>
      <c r="M7705" s="17" t="str">
        <f t="shared" si="377"/>
        <v/>
      </c>
      <c r="N7705" s="11" t="str">
        <f t="shared" si="378"/>
        <v/>
      </c>
    </row>
    <row r="7706" spans="9:14" x14ac:dyDescent="0.25">
      <c r="I7706" s="11" t="b">
        <f t="shared" si="376"/>
        <v>0</v>
      </c>
      <c r="M7706" s="17" t="str">
        <f t="shared" si="377"/>
        <v/>
      </c>
      <c r="N7706" s="11" t="str">
        <f t="shared" si="378"/>
        <v/>
      </c>
    </row>
    <row r="7707" spans="9:14" x14ac:dyDescent="0.25">
      <c r="I7707" s="11" t="b">
        <f t="shared" si="376"/>
        <v>0</v>
      </c>
      <c r="M7707" s="17" t="str">
        <f t="shared" si="377"/>
        <v/>
      </c>
      <c r="N7707" s="11" t="str">
        <f t="shared" si="378"/>
        <v/>
      </c>
    </row>
    <row r="7708" spans="9:14" x14ac:dyDescent="0.25">
      <c r="I7708" s="11" t="b">
        <f t="shared" si="376"/>
        <v>0</v>
      </c>
      <c r="M7708" s="17" t="str">
        <f t="shared" si="377"/>
        <v/>
      </c>
      <c r="N7708" s="11" t="str">
        <f t="shared" si="378"/>
        <v/>
      </c>
    </row>
    <row r="7709" spans="9:14" x14ac:dyDescent="0.25">
      <c r="I7709" s="11" t="b">
        <f t="shared" ref="I7709:I7772" si="379">IF(AND(G7709="MERCADO PAGO",A7709="FATURAMENTO"),1,IF(AND(OR(G7709="MERCADO PAGO",G7709="pix mercado pago",G7709= "débito automático mercado pago", G7709= "boleto mercado pago"),A7709="DESPESAS"),4,IF(AND(G7709="SAFRA",A7709="FATURAMENTO"),2,IF(AND(OR(G7709="SAFRA",G7709="PIX SAFRA", G7709="DÉBITO AUTOMÁTICO SAFRA", G7709= "BOLETO SAFRA", G7709= "transferência safra"), A7709="DESPESAS"),5,IF(AND(G7709="espécie",A7709="FATURAMENTO"),3,IF(AND(G7709="espécie",A7709="DESPESAS"),6))))))</f>
        <v>0</v>
      </c>
      <c r="M7709" s="17" t="str">
        <f t="shared" si="377"/>
        <v/>
      </c>
      <c r="N7709" s="11" t="str">
        <f t="shared" si="378"/>
        <v/>
      </c>
    </row>
    <row r="7710" spans="9:14" x14ac:dyDescent="0.25">
      <c r="I7710" s="11" t="b">
        <f t="shared" si="379"/>
        <v>0</v>
      </c>
      <c r="M7710" s="17" t="str">
        <f t="shared" si="377"/>
        <v/>
      </c>
      <c r="N7710" s="11" t="str">
        <f t="shared" si="378"/>
        <v/>
      </c>
    </row>
    <row r="7711" spans="9:14" x14ac:dyDescent="0.25">
      <c r="I7711" s="11" t="b">
        <f t="shared" si="379"/>
        <v>0</v>
      </c>
      <c r="M7711" s="17" t="str">
        <f t="shared" si="377"/>
        <v/>
      </c>
      <c r="N7711" s="11" t="str">
        <f t="shared" si="378"/>
        <v/>
      </c>
    </row>
    <row r="7712" spans="9:14" x14ac:dyDescent="0.25">
      <c r="I7712" s="11" t="b">
        <f t="shared" si="379"/>
        <v>0</v>
      </c>
      <c r="M7712" s="17" t="str">
        <f t="shared" si="377"/>
        <v/>
      </c>
      <c r="N7712" s="11" t="str">
        <f t="shared" si="378"/>
        <v/>
      </c>
    </row>
    <row r="7713" spans="9:14" x14ac:dyDescent="0.25">
      <c r="I7713" s="11" t="b">
        <f t="shared" si="379"/>
        <v>0</v>
      </c>
      <c r="M7713" s="17" t="str">
        <f t="shared" si="377"/>
        <v/>
      </c>
      <c r="N7713" s="11" t="str">
        <f t="shared" si="378"/>
        <v/>
      </c>
    </row>
    <row r="7714" spans="9:14" x14ac:dyDescent="0.25">
      <c r="I7714" s="11" t="b">
        <f t="shared" si="379"/>
        <v>0</v>
      </c>
      <c r="M7714" s="17" t="str">
        <f t="shared" si="377"/>
        <v/>
      </c>
      <c r="N7714" s="11" t="str">
        <f t="shared" si="378"/>
        <v/>
      </c>
    </row>
    <row r="7715" spans="9:14" x14ac:dyDescent="0.25">
      <c r="I7715" s="11" t="b">
        <f t="shared" si="379"/>
        <v>0</v>
      </c>
      <c r="M7715" s="17" t="str">
        <f t="shared" si="377"/>
        <v/>
      </c>
      <c r="N7715" s="11" t="str">
        <f t="shared" si="378"/>
        <v/>
      </c>
    </row>
    <row r="7716" spans="9:14" x14ac:dyDescent="0.25">
      <c r="I7716" s="11" t="b">
        <f t="shared" si="379"/>
        <v>0</v>
      </c>
      <c r="M7716" s="17" t="str">
        <f t="shared" si="377"/>
        <v/>
      </c>
      <c r="N7716" s="11" t="str">
        <f t="shared" si="378"/>
        <v/>
      </c>
    </row>
    <row r="7717" spans="9:14" x14ac:dyDescent="0.25">
      <c r="I7717" s="11" t="b">
        <f t="shared" si="379"/>
        <v>0</v>
      </c>
      <c r="M7717" s="17" t="str">
        <f t="shared" si="377"/>
        <v/>
      </c>
      <c r="N7717" s="11" t="str">
        <f t="shared" si="378"/>
        <v/>
      </c>
    </row>
    <row r="7718" spans="9:14" x14ac:dyDescent="0.25">
      <c r="I7718" s="11" t="b">
        <f t="shared" si="379"/>
        <v>0</v>
      </c>
      <c r="M7718" s="17" t="str">
        <f t="shared" si="377"/>
        <v/>
      </c>
      <c r="N7718" s="11" t="str">
        <f t="shared" si="378"/>
        <v/>
      </c>
    </row>
    <row r="7719" spans="9:14" x14ac:dyDescent="0.25">
      <c r="I7719" s="11" t="b">
        <f t="shared" si="379"/>
        <v>0</v>
      </c>
      <c r="M7719" s="17" t="str">
        <f t="shared" si="377"/>
        <v/>
      </c>
      <c r="N7719" s="11" t="str">
        <f t="shared" si="378"/>
        <v/>
      </c>
    </row>
    <row r="7720" spans="9:14" x14ac:dyDescent="0.25">
      <c r="I7720" s="11" t="b">
        <f t="shared" si="379"/>
        <v>0</v>
      </c>
      <c r="M7720" s="17" t="str">
        <f t="shared" si="377"/>
        <v/>
      </c>
      <c r="N7720" s="11" t="str">
        <f t="shared" si="378"/>
        <v/>
      </c>
    </row>
    <row r="7721" spans="9:14" x14ac:dyDescent="0.25">
      <c r="I7721" s="11" t="b">
        <f t="shared" si="379"/>
        <v>0</v>
      </c>
      <c r="M7721" s="17" t="str">
        <f t="shared" si="377"/>
        <v/>
      </c>
      <c r="N7721" s="11" t="str">
        <f t="shared" si="378"/>
        <v/>
      </c>
    </row>
    <row r="7722" spans="9:14" x14ac:dyDescent="0.25">
      <c r="I7722" s="11" t="b">
        <f t="shared" si="379"/>
        <v>0</v>
      </c>
      <c r="M7722" s="17" t="str">
        <f t="shared" si="377"/>
        <v/>
      </c>
      <c r="N7722" s="11" t="str">
        <f t="shared" si="378"/>
        <v/>
      </c>
    </row>
    <row r="7723" spans="9:14" x14ac:dyDescent="0.25">
      <c r="I7723" s="11" t="b">
        <f t="shared" si="379"/>
        <v>0</v>
      </c>
      <c r="M7723" s="17" t="str">
        <f t="shared" si="377"/>
        <v/>
      </c>
      <c r="N7723" s="11" t="str">
        <f t="shared" si="378"/>
        <v/>
      </c>
    </row>
    <row r="7724" spans="9:14" x14ac:dyDescent="0.25">
      <c r="I7724" s="11" t="b">
        <f t="shared" si="379"/>
        <v>0</v>
      </c>
      <c r="M7724" s="17" t="str">
        <f t="shared" si="377"/>
        <v/>
      </c>
      <c r="N7724" s="11" t="str">
        <f t="shared" si="378"/>
        <v/>
      </c>
    </row>
    <row r="7725" spans="9:14" x14ac:dyDescent="0.25">
      <c r="I7725" s="11" t="b">
        <f t="shared" si="379"/>
        <v>0</v>
      </c>
      <c r="M7725" s="17" t="str">
        <f t="shared" si="377"/>
        <v/>
      </c>
      <c r="N7725" s="11" t="str">
        <f t="shared" si="378"/>
        <v/>
      </c>
    </row>
    <row r="7726" spans="9:14" x14ac:dyDescent="0.25">
      <c r="I7726" s="11" t="b">
        <f t="shared" si="379"/>
        <v>0</v>
      </c>
      <c r="M7726" s="17" t="str">
        <f t="shared" si="377"/>
        <v/>
      </c>
      <c r="N7726" s="11" t="str">
        <f t="shared" si="378"/>
        <v/>
      </c>
    </row>
    <row r="7727" spans="9:14" x14ac:dyDescent="0.25">
      <c r="I7727" s="11" t="b">
        <f t="shared" si="379"/>
        <v>0</v>
      </c>
      <c r="M7727" s="17" t="str">
        <f t="shared" si="377"/>
        <v/>
      </c>
      <c r="N7727" s="11" t="str">
        <f t="shared" si="378"/>
        <v/>
      </c>
    </row>
    <row r="7728" spans="9:14" x14ac:dyDescent="0.25">
      <c r="I7728" s="11" t="b">
        <f t="shared" si="379"/>
        <v>0</v>
      </c>
      <c r="M7728" s="17" t="str">
        <f t="shared" si="377"/>
        <v/>
      </c>
      <c r="N7728" s="11" t="str">
        <f t="shared" si="378"/>
        <v/>
      </c>
    </row>
    <row r="7729" spans="9:14" x14ac:dyDescent="0.25">
      <c r="I7729" s="11" t="b">
        <f t="shared" si="379"/>
        <v>0</v>
      </c>
      <c r="M7729" s="17" t="str">
        <f t="shared" si="377"/>
        <v/>
      </c>
      <c r="N7729" s="11" t="str">
        <f t="shared" si="378"/>
        <v/>
      </c>
    </row>
    <row r="7730" spans="9:14" x14ac:dyDescent="0.25">
      <c r="I7730" s="11" t="b">
        <f t="shared" si="379"/>
        <v>0</v>
      </c>
      <c r="M7730" s="17" t="str">
        <f t="shared" si="377"/>
        <v/>
      </c>
      <c r="N7730" s="11" t="str">
        <f t="shared" si="378"/>
        <v/>
      </c>
    </row>
    <row r="7731" spans="9:14" x14ac:dyDescent="0.25">
      <c r="I7731" s="11" t="b">
        <f t="shared" si="379"/>
        <v>0</v>
      </c>
      <c r="M7731" s="17" t="str">
        <f t="shared" si="377"/>
        <v/>
      </c>
      <c r="N7731" s="11" t="str">
        <f t="shared" si="378"/>
        <v/>
      </c>
    </row>
    <row r="7732" spans="9:14" x14ac:dyDescent="0.25">
      <c r="I7732" s="11" t="b">
        <f t="shared" si="379"/>
        <v>0</v>
      </c>
      <c r="M7732" s="17" t="str">
        <f t="shared" si="377"/>
        <v/>
      </c>
      <c r="N7732" s="11" t="str">
        <f t="shared" si="378"/>
        <v/>
      </c>
    </row>
    <row r="7733" spans="9:14" x14ac:dyDescent="0.25">
      <c r="I7733" s="11" t="b">
        <f t="shared" si="379"/>
        <v>0</v>
      </c>
      <c r="M7733" s="17" t="str">
        <f t="shared" si="377"/>
        <v/>
      </c>
      <c r="N7733" s="11" t="str">
        <f t="shared" si="378"/>
        <v/>
      </c>
    </row>
    <row r="7734" spans="9:14" x14ac:dyDescent="0.25">
      <c r="I7734" s="11" t="b">
        <f t="shared" si="379"/>
        <v>0</v>
      </c>
      <c r="M7734" s="17" t="str">
        <f t="shared" si="377"/>
        <v/>
      </c>
      <c r="N7734" s="11" t="str">
        <f t="shared" si="378"/>
        <v/>
      </c>
    </row>
    <row r="7735" spans="9:14" x14ac:dyDescent="0.25">
      <c r="I7735" s="11" t="b">
        <f t="shared" si="379"/>
        <v>0</v>
      </c>
      <c r="M7735" s="17" t="str">
        <f t="shared" si="377"/>
        <v/>
      </c>
      <c r="N7735" s="11" t="str">
        <f t="shared" si="378"/>
        <v/>
      </c>
    </row>
    <row r="7736" spans="9:14" x14ac:dyDescent="0.25">
      <c r="I7736" s="11" t="b">
        <f t="shared" si="379"/>
        <v>0</v>
      </c>
      <c r="M7736" s="17" t="str">
        <f t="shared" si="377"/>
        <v/>
      </c>
      <c r="N7736" s="11" t="str">
        <f t="shared" si="378"/>
        <v/>
      </c>
    </row>
    <row r="7737" spans="9:14" x14ac:dyDescent="0.25">
      <c r="I7737" s="11" t="b">
        <f t="shared" si="379"/>
        <v>0</v>
      </c>
      <c r="M7737" s="17" t="str">
        <f t="shared" si="377"/>
        <v/>
      </c>
      <c r="N7737" s="11" t="str">
        <f t="shared" si="378"/>
        <v/>
      </c>
    </row>
    <row r="7738" spans="9:14" x14ac:dyDescent="0.25">
      <c r="I7738" s="11" t="b">
        <f t="shared" si="379"/>
        <v>0</v>
      </c>
      <c r="M7738" s="17" t="str">
        <f t="shared" si="377"/>
        <v/>
      </c>
      <c r="N7738" s="11" t="str">
        <f t="shared" si="378"/>
        <v/>
      </c>
    </row>
    <row r="7739" spans="9:14" x14ac:dyDescent="0.25">
      <c r="I7739" s="11" t="b">
        <f t="shared" si="379"/>
        <v>0</v>
      </c>
      <c r="M7739" s="17" t="str">
        <f t="shared" si="377"/>
        <v/>
      </c>
      <c r="N7739" s="11" t="str">
        <f t="shared" si="378"/>
        <v/>
      </c>
    </row>
    <row r="7740" spans="9:14" x14ac:dyDescent="0.25">
      <c r="I7740" s="11" t="b">
        <f t="shared" si="379"/>
        <v>0</v>
      </c>
      <c r="M7740" s="17" t="str">
        <f t="shared" si="377"/>
        <v/>
      </c>
      <c r="N7740" s="11" t="str">
        <f t="shared" si="378"/>
        <v/>
      </c>
    </row>
    <row r="7741" spans="9:14" x14ac:dyDescent="0.25">
      <c r="I7741" s="11" t="b">
        <f t="shared" si="379"/>
        <v>0</v>
      </c>
      <c r="M7741" s="17" t="str">
        <f t="shared" si="377"/>
        <v/>
      </c>
      <c r="N7741" s="11" t="str">
        <f t="shared" si="378"/>
        <v/>
      </c>
    </row>
    <row r="7742" spans="9:14" x14ac:dyDescent="0.25">
      <c r="I7742" s="11" t="b">
        <f t="shared" si="379"/>
        <v>0</v>
      </c>
      <c r="M7742" s="17" t="str">
        <f t="shared" si="377"/>
        <v/>
      </c>
      <c r="N7742" s="11" t="str">
        <f t="shared" si="378"/>
        <v/>
      </c>
    </row>
    <row r="7743" spans="9:14" x14ac:dyDescent="0.25">
      <c r="I7743" s="11" t="b">
        <f t="shared" si="379"/>
        <v>0</v>
      </c>
      <c r="M7743" s="17" t="str">
        <f t="shared" si="377"/>
        <v/>
      </c>
      <c r="N7743" s="11" t="str">
        <f t="shared" si="378"/>
        <v/>
      </c>
    </row>
    <row r="7744" spans="9:14" x14ac:dyDescent="0.25">
      <c r="I7744" s="11" t="b">
        <f t="shared" si="379"/>
        <v>0</v>
      </c>
      <c r="M7744" s="17" t="str">
        <f t="shared" si="377"/>
        <v/>
      </c>
      <c r="N7744" s="11" t="str">
        <f t="shared" si="378"/>
        <v/>
      </c>
    </row>
    <row r="7745" spans="9:14" x14ac:dyDescent="0.25">
      <c r="I7745" s="11" t="b">
        <f t="shared" si="379"/>
        <v>0</v>
      </c>
      <c r="M7745" s="17" t="str">
        <f t="shared" ref="M7745:M7808" si="380">IF(B7745=0, "",M7744+ J7745-K7745)</f>
        <v/>
      </c>
      <c r="N7745" s="11" t="str">
        <f t="shared" ref="N7745:N7808" si="381">IF(B7745=0, "", MONTH(B7745))</f>
        <v/>
      </c>
    </row>
    <row r="7746" spans="9:14" x14ac:dyDescent="0.25">
      <c r="I7746" s="11" t="b">
        <f t="shared" si="379"/>
        <v>0</v>
      </c>
      <c r="M7746" s="17" t="str">
        <f t="shared" si="380"/>
        <v/>
      </c>
      <c r="N7746" s="11" t="str">
        <f t="shared" si="381"/>
        <v/>
      </c>
    </row>
    <row r="7747" spans="9:14" x14ac:dyDescent="0.25">
      <c r="I7747" s="11" t="b">
        <f t="shared" si="379"/>
        <v>0</v>
      </c>
      <c r="M7747" s="17" t="str">
        <f t="shared" si="380"/>
        <v/>
      </c>
      <c r="N7747" s="11" t="str">
        <f t="shared" si="381"/>
        <v/>
      </c>
    </row>
    <row r="7748" spans="9:14" x14ac:dyDescent="0.25">
      <c r="I7748" s="11" t="b">
        <f t="shared" si="379"/>
        <v>0</v>
      </c>
      <c r="M7748" s="17" t="str">
        <f t="shared" si="380"/>
        <v/>
      </c>
      <c r="N7748" s="11" t="str">
        <f t="shared" si="381"/>
        <v/>
      </c>
    </row>
    <row r="7749" spans="9:14" x14ac:dyDescent="0.25">
      <c r="I7749" s="11" t="b">
        <f t="shared" si="379"/>
        <v>0</v>
      </c>
      <c r="M7749" s="17" t="str">
        <f t="shared" si="380"/>
        <v/>
      </c>
      <c r="N7749" s="11" t="str">
        <f t="shared" si="381"/>
        <v/>
      </c>
    </row>
    <row r="7750" spans="9:14" x14ac:dyDescent="0.25">
      <c r="I7750" s="11" t="b">
        <f t="shared" si="379"/>
        <v>0</v>
      </c>
      <c r="M7750" s="17" t="str">
        <f t="shared" si="380"/>
        <v/>
      </c>
      <c r="N7750" s="11" t="str">
        <f t="shared" si="381"/>
        <v/>
      </c>
    </row>
    <row r="7751" spans="9:14" x14ac:dyDescent="0.25">
      <c r="I7751" s="11" t="b">
        <f t="shared" si="379"/>
        <v>0</v>
      </c>
      <c r="M7751" s="17" t="str">
        <f t="shared" si="380"/>
        <v/>
      </c>
      <c r="N7751" s="11" t="str">
        <f t="shared" si="381"/>
        <v/>
      </c>
    </row>
    <row r="7752" spans="9:14" x14ac:dyDescent="0.25">
      <c r="I7752" s="11" t="b">
        <f t="shared" si="379"/>
        <v>0</v>
      </c>
      <c r="M7752" s="17" t="str">
        <f t="shared" si="380"/>
        <v/>
      </c>
      <c r="N7752" s="11" t="str">
        <f t="shared" si="381"/>
        <v/>
      </c>
    </row>
    <row r="7753" spans="9:14" x14ac:dyDescent="0.25">
      <c r="I7753" s="11" t="b">
        <f t="shared" si="379"/>
        <v>0</v>
      </c>
      <c r="M7753" s="17" t="str">
        <f t="shared" si="380"/>
        <v/>
      </c>
      <c r="N7753" s="11" t="str">
        <f t="shared" si="381"/>
        <v/>
      </c>
    </row>
    <row r="7754" spans="9:14" x14ac:dyDescent="0.25">
      <c r="I7754" s="11" t="b">
        <f t="shared" si="379"/>
        <v>0</v>
      </c>
      <c r="M7754" s="17" t="str">
        <f t="shared" si="380"/>
        <v/>
      </c>
      <c r="N7754" s="11" t="str">
        <f t="shared" si="381"/>
        <v/>
      </c>
    </row>
    <row r="7755" spans="9:14" x14ac:dyDescent="0.25">
      <c r="I7755" s="11" t="b">
        <f t="shared" si="379"/>
        <v>0</v>
      </c>
      <c r="M7755" s="17" t="str">
        <f t="shared" si="380"/>
        <v/>
      </c>
      <c r="N7755" s="11" t="str">
        <f t="shared" si="381"/>
        <v/>
      </c>
    </row>
    <row r="7756" spans="9:14" x14ac:dyDescent="0.25">
      <c r="I7756" s="11" t="b">
        <f t="shared" si="379"/>
        <v>0</v>
      </c>
      <c r="M7756" s="17" t="str">
        <f t="shared" si="380"/>
        <v/>
      </c>
      <c r="N7756" s="11" t="str">
        <f t="shared" si="381"/>
        <v/>
      </c>
    </row>
    <row r="7757" spans="9:14" x14ac:dyDescent="0.25">
      <c r="I7757" s="11" t="b">
        <f t="shared" si="379"/>
        <v>0</v>
      </c>
      <c r="M7757" s="17" t="str">
        <f t="shared" si="380"/>
        <v/>
      </c>
      <c r="N7757" s="11" t="str">
        <f t="shared" si="381"/>
        <v/>
      </c>
    </row>
    <row r="7758" spans="9:14" x14ac:dyDescent="0.25">
      <c r="I7758" s="11" t="b">
        <f t="shared" si="379"/>
        <v>0</v>
      </c>
      <c r="M7758" s="17" t="str">
        <f t="shared" si="380"/>
        <v/>
      </c>
      <c r="N7758" s="11" t="str">
        <f t="shared" si="381"/>
        <v/>
      </c>
    </row>
    <row r="7759" spans="9:14" x14ac:dyDescent="0.25">
      <c r="I7759" s="11" t="b">
        <f t="shared" si="379"/>
        <v>0</v>
      </c>
      <c r="M7759" s="17" t="str">
        <f t="shared" si="380"/>
        <v/>
      </c>
      <c r="N7759" s="11" t="str">
        <f t="shared" si="381"/>
        <v/>
      </c>
    </row>
    <row r="7760" spans="9:14" x14ac:dyDescent="0.25">
      <c r="I7760" s="11" t="b">
        <f t="shared" si="379"/>
        <v>0</v>
      </c>
      <c r="M7760" s="17" t="str">
        <f t="shared" si="380"/>
        <v/>
      </c>
      <c r="N7760" s="11" t="str">
        <f t="shared" si="381"/>
        <v/>
      </c>
    </row>
    <row r="7761" spans="9:14" x14ac:dyDescent="0.25">
      <c r="I7761" s="11" t="b">
        <f t="shared" si="379"/>
        <v>0</v>
      </c>
      <c r="M7761" s="17" t="str">
        <f t="shared" si="380"/>
        <v/>
      </c>
      <c r="N7761" s="11" t="str">
        <f t="shared" si="381"/>
        <v/>
      </c>
    </row>
    <row r="7762" spans="9:14" x14ac:dyDescent="0.25">
      <c r="I7762" s="11" t="b">
        <f t="shared" si="379"/>
        <v>0</v>
      </c>
      <c r="M7762" s="17" t="str">
        <f t="shared" si="380"/>
        <v/>
      </c>
      <c r="N7762" s="11" t="str">
        <f t="shared" si="381"/>
        <v/>
      </c>
    </row>
    <row r="7763" spans="9:14" x14ac:dyDescent="0.25">
      <c r="I7763" s="11" t="b">
        <f t="shared" si="379"/>
        <v>0</v>
      </c>
      <c r="M7763" s="17" t="str">
        <f t="shared" si="380"/>
        <v/>
      </c>
      <c r="N7763" s="11" t="str">
        <f t="shared" si="381"/>
        <v/>
      </c>
    </row>
    <row r="7764" spans="9:14" x14ac:dyDescent="0.25">
      <c r="I7764" s="11" t="b">
        <f t="shared" si="379"/>
        <v>0</v>
      </c>
      <c r="M7764" s="17" t="str">
        <f t="shared" si="380"/>
        <v/>
      </c>
      <c r="N7764" s="11" t="str">
        <f t="shared" si="381"/>
        <v/>
      </c>
    </row>
    <row r="7765" spans="9:14" x14ac:dyDescent="0.25">
      <c r="I7765" s="11" t="b">
        <f t="shared" si="379"/>
        <v>0</v>
      </c>
      <c r="M7765" s="17" t="str">
        <f t="shared" si="380"/>
        <v/>
      </c>
      <c r="N7765" s="11" t="str">
        <f t="shared" si="381"/>
        <v/>
      </c>
    </row>
    <row r="7766" spans="9:14" x14ac:dyDescent="0.25">
      <c r="I7766" s="11" t="b">
        <f t="shared" si="379"/>
        <v>0</v>
      </c>
      <c r="M7766" s="17" t="str">
        <f t="shared" si="380"/>
        <v/>
      </c>
      <c r="N7766" s="11" t="str">
        <f t="shared" si="381"/>
        <v/>
      </c>
    </row>
    <row r="7767" spans="9:14" x14ac:dyDescent="0.25">
      <c r="I7767" s="11" t="b">
        <f t="shared" si="379"/>
        <v>0</v>
      </c>
      <c r="M7767" s="17" t="str">
        <f t="shared" si="380"/>
        <v/>
      </c>
      <c r="N7767" s="11" t="str">
        <f t="shared" si="381"/>
        <v/>
      </c>
    </row>
    <row r="7768" spans="9:14" x14ac:dyDescent="0.25">
      <c r="I7768" s="11" t="b">
        <f t="shared" si="379"/>
        <v>0</v>
      </c>
      <c r="M7768" s="17" t="str">
        <f t="shared" si="380"/>
        <v/>
      </c>
      <c r="N7768" s="11" t="str">
        <f t="shared" si="381"/>
        <v/>
      </c>
    </row>
    <row r="7769" spans="9:14" x14ac:dyDescent="0.25">
      <c r="I7769" s="11" t="b">
        <f t="shared" si="379"/>
        <v>0</v>
      </c>
      <c r="M7769" s="17" t="str">
        <f t="shared" si="380"/>
        <v/>
      </c>
      <c r="N7769" s="11" t="str">
        <f t="shared" si="381"/>
        <v/>
      </c>
    </row>
    <row r="7770" spans="9:14" x14ac:dyDescent="0.25">
      <c r="I7770" s="11" t="b">
        <f t="shared" si="379"/>
        <v>0</v>
      </c>
      <c r="M7770" s="17" t="str">
        <f t="shared" si="380"/>
        <v/>
      </c>
      <c r="N7770" s="11" t="str">
        <f t="shared" si="381"/>
        <v/>
      </c>
    </row>
    <row r="7771" spans="9:14" x14ac:dyDescent="0.25">
      <c r="I7771" s="11" t="b">
        <f t="shared" si="379"/>
        <v>0</v>
      </c>
      <c r="M7771" s="17" t="str">
        <f t="shared" si="380"/>
        <v/>
      </c>
      <c r="N7771" s="11" t="str">
        <f t="shared" si="381"/>
        <v/>
      </c>
    </row>
    <row r="7772" spans="9:14" x14ac:dyDescent="0.25">
      <c r="I7772" s="11" t="b">
        <f t="shared" si="379"/>
        <v>0</v>
      </c>
      <c r="M7772" s="17" t="str">
        <f t="shared" si="380"/>
        <v/>
      </c>
      <c r="N7772" s="11" t="str">
        <f t="shared" si="381"/>
        <v/>
      </c>
    </row>
    <row r="7773" spans="9:14" x14ac:dyDescent="0.25">
      <c r="I7773" s="11" t="b">
        <f t="shared" ref="I7773:I7836" si="382">IF(AND(G7773="MERCADO PAGO",A7773="FATURAMENTO"),1,IF(AND(OR(G7773="MERCADO PAGO",G7773="pix mercado pago",G7773= "débito automático mercado pago", G7773= "boleto mercado pago"),A7773="DESPESAS"),4,IF(AND(G7773="SAFRA",A7773="FATURAMENTO"),2,IF(AND(OR(G7773="SAFRA",G7773="PIX SAFRA", G7773="DÉBITO AUTOMÁTICO SAFRA", G7773= "BOLETO SAFRA", G7773= "transferência safra"), A7773="DESPESAS"),5,IF(AND(G7773="espécie",A7773="FATURAMENTO"),3,IF(AND(G7773="espécie",A7773="DESPESAS"),6))))))</f>
        <v>0</v>
      </c>
      <c r="M7773" s="17" t="str">
        <f t="shared" si="380"/>
        <v/>
      </c>
      <c r="N7773" s="11" t="str">
        <f t="shared" si="381"/>
        <v/>
      </c>
    </row>
    <row r="7774" spans="9:14" x14ac:dyDescent="0.25">
      <c r="I7774" s="11" t="b">
        <f t="shared" si="382"/>
        <v>0</v>
      </c>
      <c r="M7774" s="17" t="str">
        <f t="shared" si="380"/>
        <v/>
      </c>
      <c r="N7774" s="11" t="str">
        <f t="shared" si="381"/>
        <v/>
      </c>
    </row>
    <row r="7775" spans="9:14" x14ac:dyDescent="0.25">
      <c r="I7775" s="11" t="b">
        <f t="shared" si="382"/>
        <v>0</v>
      </c>
      <c r="M7775" s="17" t="str">
        <f t="shared" si="380"/>
        <v/>
      </c>
      <c r="N7775" s="11" t="str">
        <f t="shared" si="381"/>
        <v/>
      </c>
    </row>
    <row r="7776" spans="9:14" x14ac:dyDescent="0.25">
      <c r="I7776" s="11" t="b">
        <f t="shared" si="382"/>
        <v>0</v>
      </c>
      <c r="M7776" s="17" t="str">
        <f t="shared" si="380"/>
        <v/>
      </c>
      <c r="N7776" s="11" t="str">
        <f t="shared" si="381"/>
        <v/>
      </c>
    </row>
    <row r="7777" spans="9:14" x14ac:dyDescent="0.25">
      <c r="I7777" s="11" t="b">
        <f t="shared" si="382"/>
        <v>0</v>
      </c>
      <c r="M7777" s="17" t="str">
        <f t="shared" si="380"/>
        <v/>
      </c>
      <c r="N7777" s="11" t="str">
        <f t="shared" si="381"/>
        <v/>
      </c>
    </row>
    <row r="7778" spans="9:14" x14ac:dyDescent="0.25">
      <c r="I7778" s="11" t="b">
        <f t="shared" si="382"/>
        <v>0</v>
      </c>
      <c r="M7778" s="17" t="str">
        <f t="shared" si="380"/>
        <v/>
      </c>
      <c r="N7778" s="11" t="str">
        <f t="shared" si="381"/>
        <v/>
      </c>
    </row>
    <row r="7779" spans="9:14" x14ac:dyDescent="0.25">
      <c r="I7779" s="11" t="b">
        <f t="shared" si="382"/>
        <v>0</v>
      </c>
      <c r="M7779" s="17" t="str">
        <f t="shared" si="380"/>
        <v/>
      </c>
      <c r="N7779" s="11" t="str">
        <f t="shared" si="381"/>
        <v/>
      </c>
    </row>
    <row r="7780" spans="9:14" x14ac:dyDescent="0.25">
      <c r="I7780" s="11" t="b">
        <f t="shared" si="382"/>
        <v>0</v>
      </c>
      <c r="M7780" s="17" t="str">
        <f t="shared" si="380"/>
        <v/>
      </c>
      <c r="N7780" s="11" t="str">
        <f t="shared" si="381"/>
        <v/>
      </c>
    </row>
    <row r="7781" spans="9:14" x14ac:dyDescent="0.25">
      <c r="I7781" s="11" t="b">
        <f t="shared" si="382"/>
        <v>0</v>
      </c>
      <c r="M7781" s="17" t="str">
        <f t="shared" si="380"/>
        <v/>
      </c>
      <c r="N7781" s="11" t="str">
        <f t="shared" si="381"/>
        <v/>
      </c>
    </row>
    <row r="7782" spans="9:14" x14ac:dyDescent="0.25">
      <c r="I7782" s="11" t="b">
        <f t="shared" si="382"/>
        <v>0</v>
      </c>
      <c r="M7782" s="17" t="str">
        <f t="shared" si="380"/>
        <v/>
      </c>
      <c r="N7782" s="11" t="str">
        <f t="shared" si="381"/>
        <v/>
      </c>
    </row>
    <row r="7783" spans="9:14" x14ac:dyDescent="0.25">
      <c r="I7783" s="11" t="b">
        <f t="shared" si="382"/>
        <v>0</v>
      </c>
      <c r="M7783" s="17" t="str">
        <f t="shared" si="380"/>
        <v/>
      </c>
      <c r="N7783" s="11" t="str">
        <f t="shared" si="381"/>
        <v/>
      </c>
    </row>
    <row r="7784" spans="9:14" x14ac:dyDescent="0.25">
      <c r="I7784" s="11" t="b">
        <f t="shared" si="382"/>
        <v>0</v>
      </c>
      <c r="M7784" s="17" t="str">
        <f t="shared" si="380"/>
        <v/>
      </c>
      <c r="N7784" s="11" t="str">
        <f t="shared" si="381"/>
        <v/>
      </c>
    </row>
    <row r="7785" spans="9:14" x14ac:dyDescent="0.25">
      <c r="I7785" s="11" t="b">
        <f t="shared" si="382"/>
        <v>0</v>
      </c>
      <c r="M7785" s="17" t="str">
        <f t="shared" si="380"/>
        <v/>
      </c>
      <c r="N7785" s="11" t="str">
        <f t="shared" si="381"/>
        <v/>
      </c>
    </row>
    <row r="7786" spans="9:14" x14ac:dyDescent="0.25">
      <c r="I7786" s="11" t="b">
        <f t="shared" si="382"/>
        <v>0</v>
      </c>
      <c r="M7786" s="17" t="str">
        <f t="shared" si="380"/>
        <v/>
      </c>
      <c r="N7786" s="11" t="str">
        <f t="shared" si="381"/>
        <v/>
      </c>
    </row>
    <row r="7787" spans="9:14" x14ac:dyDescent="0.25">
      <c r="I7787" s="11" t="b">
        <f t="shared" si="382"/>
        <v>0</v>
      </c>
      <c r="M7787" s="17" t="str">
        <f t="shared" si="380"/>
        <v/>
      </c>
      <c r="N7787" s="11" t="str">
        <f t="shared" si="381"/>
        <v/>
      </c>
    </row>
    <row r="7788" spans="9:14" x14ac:dyDescent="0.25">
      <c r="I7788" s="11" t="b">
        <f t="shared" si="382"/>
        <v>0</v>
      </c>
      <c r="M7788" s="17" t="str">
        <f t="shared" si="380"/>
        <v/>
      </c>
      <c r="N7788" s="11" t="str">
        <f t="shared" si="381"/>
        <v/>
      </c>
    </row>
    <row r="7789" spans="9:14" x14ac:dyDescent="0.25">
      <c r="I7789" s="11" t="b">
        <f t="shared" si="382"/>
        <v>0</v>
      </c>
      <c r="M7789" s="17" t="str">
        <f t="shared" si="380"/>
        <v/>
      </c>
      <c r="N7789" s="11" t="str">
        <f t="shared" si="381"/>
        <v/>
      </c>
    </row>
    <row r="7790" spans="9:14" x14ac:dyDescent="0.25">
      <c r="I7790" s="11" t="b">
        <f t="shared" si="382"/>
        <v>0</v>
      </c>
      <c r="M7790" s="17" t="str">
        <f t="shared" si="380"/>
        <v/>
      </c>
      <c r="N7790" s="11" t="str">
        <f t="shared" si="381"/>
        <v/>
      </c>
    </row>
    <row r="7791" spans="9:14" x14ac:dyDescent="0.25">
      <c r="I7791" s="11" t="b">
        <f t="shared" si="382"/>
        <v>0</v>
      </c>
      <c r="M7791" s="17" t="str">
        <f t="shared" si="380"/>
        <v/>
      </c>
      <c r="N7791" s="11" t="str">
        <f t="shared" si="381"/>
        <v/>
      </c>
    </row>
    <row r="7792" spans="9:14" x14ac:dyDescent="0.25">
      <c r="I7792" s="11" t="b">
        <f t="shared" si="382"/>
        <v>0</v>
      </c>
      <c r="M7792" s="17" t="str">
        <f t="shared" si="380"/>
        <v/>
      </c>
      <c r="N7792" s="11" t="str">
        <f t="shared" si="381"/>
        <v/>
      </c>
    </row>
    <row r="7793" spans="9:14" x14ac:dyDescent="0.25">
      <c r="I7793" s="11" t="b">
        <f t="shared" si="382"/>
        <v>0</v>
      </c>
      <c r="M7793" s="17" t="str">
        <f t="shared" si="380"/>
        <v/>
      </c>
      <c r="N7793" s="11" t="str">
        <f t="shared" si="381"/>
        <v/>
      </c>
    </row>
    <row r="7794" spans="9:14" x14ac:dyDescent="0.25">
      <c r="I7794" s="11" t="b">
        <f t="shared" si="382"/>
        <v>0</v>
      </c>
      <c r="M7794" s="17" t="str">
        <f t="shared" si="380"/>
        <v/>
      </c>
      <c r="N7794" s="11" t="str">
        <f t="shared" si="381"/>
        <v/>
      </c>
    </row>
    <row r="7795" spans="9:14" x14ac:dyDescent="0.25">
      <c r="I7795" s="11" t="b">
        <f t="shared" si="382"/>
        <v>0</v>
      </c>
      <c r="M7795" s="17" t="str">
        <f t="shared" si="380"/>
        <v/>
      </c>
      <c r="N7795" s="11" t="str">
        <f t="shared" si="381"/>
        <v/>
      </c>
    </row>
    <row r="7796" spans="9:14" x14ac:dyDescent="0.25">
      <c r="I7796" s="11" t="b">
        <f t="shared" si="382"/>
        <v>0</v>
      </c>
      <c r="M7796" s="17" t="str">
        <f t="shared" si="380"/>
        <v/>
      </c>
      <c r="N7796" s="11" t="str">
        <f t="shared" si="381"/>
        <v/>
      </c>
    </row>
    <row r="7797" spans="9:14" x14ac:dyDescent="0.25">
      <c r="I7797" s="11" t="b">
        <f t="shared" si="382"/>
        <v>0</v>
      </c>
      <c r="M7797" s="17" t="str">
        <f t="shared" si="380"/>
        <v/>
      </c>
      <c r="N7797" s="11" t="str">
        <f t="shared" si="381"/>
        <v/>
      </c>
    </row>
    <row r="7798" spans="9:14" x14ac:dyDescent="0.25">
      <c r="I7798" s="11" t="b">
        <f t="shared" si="382"/>
        <v>0</v>
      </c>
      <c r="M7798" s="17" t="str">
        <f t="shared" si="380"/>
        <v/>
      </c>
      <c r="N7798" s="11" t="str">
        <f t="shared" si="381"/>
        <v/>
      </c>
    </row>
    <row r="7799" spans="9:14" x14ac:dyDescent="0.25">
      <c r="I7799" s="11" t="b">
        <f t="shared" si="382"/>
        <v>0</v>
      </c>
      <c r="M7799" s="17" t="str">
        <f t="shared" si="380"/>
        <v/>
      </c>
      <c r="N7799" s="11" t="str">
        <f t="shared" si="381"/>
        <v/>
      </c>
    </row>
    <row r="7800" spans="9:14" x14ac:dyDescent="0.25">
      <c r="I7800" s="11" t="b">
        <f t="shared" si="382"/>
        <v>0</v>
      </c>
      <c r="M7800" s="17" t="str">
        <f t="shared" si="380"/>
        <v/>
      </c>
      <c r="N7800" s="11" t="str">
        <f t="shared" si="381"/>
        <v/>
      </c>
    </row>
    <row r="7801" spans="9:14" x14ac:dyDescent="0.25">
      <c r="I7801" s="11" t="b">
        <f t="shared" si="382"/>
        <v>0</v>
      </c>
      <c r="M7801" s="17" t="str">
        <f t="shared" si="380"/>
        <v/>
      </c>
      <c r="N7801" s="11" t="str">
        <f t="shared" si="381"/>
        <v/>
      </c>
    </row>
    <row r="7802" spans="9:14" x14ac:dyDescent="0.25">
      <c r="I7802" s="11" t="b">
        <f t="shared" si="382"/>
        <v>0</v>
      </c>
      <c r="M7802" s="17" t="str">
        <f t="shared" si="380"/>
        <v/>
      </c>
      <c r="N7802" s="11" t="str">
        <f t="shared" si="381"/>
        <v/>
      </c>
    </row>
    <row r="7803" spans="9:14" x14ac:dyDescent="0.25">
      <c r="I7803" s="11" t="b">
        <f t="shared" si="382"/>
        <v>0</v>
      </c>
      <c r="M7803" s="17" t="str">
        <f t="shared" si="380"/>
        <v/>
      </c>
      <c r="N7803" s="11" t="str">
        <f t="shared" si="381"/>
        <v/>
      </c>
    </row>
    <row r="7804" spans="9:14" x14ac:dyDescent="0.25">
      <c r="I7804" s="11" t="b">
        <f t="shared" si="382"/>
        <v>0</v>
      </c>
      <c r="M7804" s="17" t="str">
        <f t="shared" si="380"/>
        <v/>
      </c>
      <c r="N7804" s="11" t="str">
        <f t="shared" si="381"/>
        <v/>
      </c>
    </row>
    <row r="7805" spans="9:14" x14ac:dyDescent="0.25">
      <c r="I7805" s="11" t="b">
        <f t="shared" si="382"/>
        <v>0</v>
      </c>
      <c r="M7805" s="17" t="str">
        <f t="shared" si="380"/>
        <v/>
      </c>
      <c r="N7805" s="11" t="str">
        <f t="shared" si="381"/>
        <v/>
      </c>
    </row>
    <row r="7806" spans="9:14" x14ac:dyDescent="0.25">
      <c r="I7806" s="11" t="b">
        <f t="shared" si="382"/>
        <v>0</v>
      </c>
      <c r="M7806" s="17" t="str">
        <f t="shared" si="380"/>
        <v/>
      </c>
      <c r="N7806" s="11" t="str">
        <f t="shared" si="381"/>
        <v/>
      </c>
    </row>
    <row r="7807" spans="9:14" x14ac:dyDescent="0.25">
      <c r="I7807" s="11" t="b">
        <f t="shared" si="382"/>
        <v>0</v>
      </c>
      <c r="M7807" s="17" t="str">
        <f t="shared" si="380"/>
        <v/>
      </c>
      <c r="N7807" s="11" t="str">
        <f t="shared" si="381"/>
        <v/>
      </c>
    </row>
    <row r="7808" spans="9:14" x14ac:dyDescent="0.25">
      <c r="I7808" s="11" t="b">
        <f t="shared" si="382"/>
        <v>0</v>
      </c>
      <c r="M7808" s="17" t="str">
        <f t="shared" si="380"/>
        <v/>
      </c>
      <c r="N7808" s="11" t="str">
        <f t="shared" si="381"/>
        <v/>
      </c>
    </row>
    <row r="7809" spans="9:14" x14ac:dyDescent="0.25">
      <c r="I7809" s="11" t="b">
        <f t="shared" si="382"/>
        <v>0</v>
      </c>
      <c r="M7809" s="17" t="str">
        <f t="shared" ref="M7809:M7872" si="383">IF(B7809=0, "",M7808+ J7809-K7809)</f>
        <v/>
      </c>
      <c r="N7809" s="11" t="str">
        <f t="shared" ref="N7809:N7872" si="384">IF(B7809=0, "", MONTH(B7809))</f>
        <v/>
      </c>
    </row>
    <row r="7810" spans="9:14" x14ac:dyDescent="0.25">
      <c r="I7810" s="11" t="b">
        <f t="shared" si="382"/>
        <v>0</v>
      </c>
      <c r="M7810" s="17" t="str">
        <f t="shared" si="383"/>
        <v/>
      </c>
      <c r="N7810" s="11" t="str">
        <f t="shared" si="384"/>
        <v/>
      </c>
    </row>
    <row r="7811" spans="9:14" x14ac:dyDescent="0.25">
      <c r="I7811" s="11" t="b">
        <f t="shared" si="382"/>
        <v>0</v>
      </c>
      <c r="M7811" s="17" t="str">
        <f t="shared" si="383"/>
        <v/>
      </c>
      <c r="N7811" s="11" t="str">
        <f t="shared" si="384"/>
        <v/>
      </c>
    </row>
    <row r="7812" spans="9:14" x14ac:dyDescent="0.25">
      <c r="I7812" s="11" t="b">
        <f t="shared" si="382"/>
        <v>0</v>
      </c>
      <c r="M7812" s="17" t="str">
        <f t="shared" si="383"/>
        <v/>
      </c>
      <c r="N7812" s="11" t="str">
        <f t="shared" si="384"/>
        <v/>
      </c>
    </row>
    <row r="7813" spans="9:14" x14ac:dyDescent="0.25">
      <c r="I7813" s="11" t="b">
        <f t="shared" si="382"/>
        <v>0</v>
      </c>
      <c r="M7813" s="17" t="str">
        <f t="shared" si="383"/>
        <v/>
      </c>
      <c r="N7813" s="11" t="str">
        <f t="shared" si="384"/>
        <v/>
      </c>
    </row>
    <row r="7814" spans="9:14" x14ac:dyDescent="0.25">
      <c r="I7814" s="11" t="b">
        <f t="shared" si="382"/>
        <v>0</v>
      </c>
      <c r="M7814" s="17" t="str">
        <f t="shared" si="383"/>
        <v/>
      </c>
      <c r="N7814" s="11" t="str">
        <f t="shared" si="384"/>
        <v/>
      </c>
    </row>
    <row r="7815" spans="9:14" x14ac:dyDescent="0.25">
      <c r="I7815" s="11" t="b">
        <f t="shared" si="382"/>
        <v>0</v>
      </c>
      <c r="M7815" s="17" t="str">
        <f t="shared" si="383"/>
        <v/>
      </c>
      <c r="N7815" s="11" t="str">
        <f t="shared" si="384"/>
        <v/>
      </c>
    </row>
    <row r="7816" spans="9:14" x14ac:dyDescent="0.25">
      <c r="I7816" s="11" t="b">
        <f t="shared" si="382"/>
        <v>0</v>
      </c>
      <c r="M7816" s="17" t="str">
        <f t="shared" si="383"/>
        <v/>
      </c>
      <c r="N7816" s="11" t="str">
        <f t="shared" si="384"/>
        <v/>
      </c>
    </row>
    <row r="7817" spans="9:14" x14ac:dyDescent="0.25">
      <c r="I7817" s="11" t="b">
        <f t="shared" si="382"/>
        <v>0</v>
      </c>
      <c r="M7817" s="17" t="str">
        <f t="shared" si="383"/>
        <v/>
      </c>
      <c r="N7817" s="11" t="str">
        <f t="shared" si="384"/>
        <v/>
      </c>
    </row>
    <row r="7818" spans="9:14" x14ac:dyDescent="0.25">
      <c r="I7818" s="11" t="b">
        <f t="shared" si="382"/>
        <v>0</v>
      </c>
      <c r="M7818" s="17" t="str">
        <f t="shared" si="383"/>
        <v/>
      </c>
      <c r="N7818" s="11" t="str">
        <f t="shared" si="384"/>
        <v/>
      </c>
    </row>
    <row r="7819" spans="9:14" x14ac:dyDescent="0.25">
      <c r="I7819" s="11" t="b">
        <f t="shared" si="382"/>
        <v>0</v>
      </c>
      <c r="M7819" s="17" t="str">
        <f t="shared" si="383"/>
        <v/>
      </c>
      <c r="N7819" s="11" t="str">
        <f t="shared" si="384"/>
        <v/>
      </c>
    </row>
    <row r="7820" spans="9:14" x14ac:dyDescent="0.25">
      <c r="I7820" s="11" t="b">
        <f t="shared" si="382"/>
        <v>0</v>
      </c>
      <c r="M7820" s="17" t="str">
        <f t="shared" si="383"/>
        <v/>
      </c>
      <c r="N7820" s="11" t="str">
        <f t="shared" si="384"/>
        <v/>
      </c>
    </row>
    <row r="7821" spans="9:14" x14ac:dyDescent="0.25">
      <c r="I7821" s="11" t="b">
        <f t="shared" si="382"/>
        <v>0</v>
      </c>
      <c r="M7821" s="17" t="str">
        <f t="shared" si="383"/>
        <v/>
      </c>
      <c r="N7821" s="11" t="str">
        <f t="shared" si="384"/>
        <v/>
      </c>
    </row>
    <row r="7822" spans="9:14" x14ac:dyDescent="0.25">
      <c r="I7822" s="11" t="b">
        <f t="shared" si="382"/>
        <v>0</v>
      </c>
      <c r="M7822" s="17" t="str">
        <f t="shared" si="383"/>
        <v/>
      </c>
      <c r="N7822" s="11" t="str">
        <f t="shared" si="384"/>
        <v/>
      </c>
    </row>
    <row r="7823" spans="9:14" x14ac:dyDescent="0.25">
      <c r="I7823" s="11" t="b">
        <f t="shared" si="382"/>
        <v>0</v>
      </c>
      <c r="M7823" s="17" t="str">
        <f t="shared" si="383"/>
        <v/>
      </c>
      <c r="N7823" s="11" t="str">
        <f t="shared" si="384"/>
        <v/>
      </c>
    </row>
    <row r="7824" spans="9:14" x14ac:dyDescent="0.25">
      <c r="I7824" s="11" t="b">
        <f t="shared" si="382"/>
        <v>0</v>
      </c>
      <c r="M7824" s="17" t="str">
        <f t="shared" si="383"/>
        <v/>
      </c>
      <c r="N7824" s="11" t="str">
        <f t="shared" si="384"/>
        <v/>
      </c>
    </row>
    <row r="7825" spans="9:14" x14ac:dyDescent="0.25">
      <c r="I7825" s="11" t="b">
        <f t="shared" si="382"/>
        <v>0</v>
      </c>
      <c r="M7825" s="17" t="str">
        <f t="shared" si="383"/>
        <v/>
      </c>
      <c r="N7825" s="11" t="str">
        <f t="shared" si="384"/>
        <v/>
      </c>
    </row>
    <row r="7826" spans="9:14" x14ac:dyDescent="0.25">
      <c r="I7826" s="11" t="b">
        <f t="shared" si="382"/>
        <v>0</v>
      </c>
      <c r="M7826" s="17" t="str">
        <f t="shared" si="383"/>
        <v/>
      </c>
      <c r="N7826" s="11" t="str">
        <f t="shared" si="384"/>
        <v/>
      </c>
    </row>
    <row r="7827" spans="9:14" x14ac:dyDescent="0.25">
      <c r="I7827" s="11" t="b">
        <f t="shared" si="382"/>
        <v>0</v>
      </c>
      <c r="M7827" s="17" t="str">
        <f t="shared" si="383"/>
        <v/>
      </c>
      <c r="N7827" s="11" t="str">
        <f t="shared" si="384"/>
        <v/>
      </c>
    </row>
    <row r="7828" spans="9:14" x14ac:dyDescent="0.25">
      <c r="I7828" s="11" t="b">
        <f t="shared" si="382"/>
        <v>0</v>
      </c>
      <c r="M7828" s="17" t="str">
        <f t="shared" si="383"/>
        <v/>
      </c>
      <c r="N7828" s="11" t="str">
        <f t="shared" si="384"/>
        <v/>
      </c>
    </row>
    <row r="7829" spans="9:14" x14ac:dyDescent="0.25">
      <c r="I7829" s="11" t="b">
        <f t="shared" si="382"/>
        <v>0</v>
      </c>
      <c r="M7829" s="17" t="str">
        <f t="shared" si="383"/>
        <v/>
      </c>
      <c r="N7829" s="11" t="str">
        <f t="shared" si="384"/>
        <v/>
      </c>
    </row>
    <row r="7830" spans="9:14" x14ac:dyDescent="0.25">
      <c r="I7830" s="11" t="b">
        <f t="shared" si="382"/>
        <v>0</v>
      </c>
      <c r="M7830" s="17" t="str">
        <f t="shared" si="383"/>
        <v/>
      </c>
      <c r="N7830" s="11" t="str">
        <f t="shared" si="384"/>
        <v/>
      </c>
    </row>
    <row r="7831" spans="9:14" x14ac:dyDescent="0.25">
      <c r="I7831" s="11" t="b">
        <f t="shared" si="382"/>
        <v>0</v>
      </c>
      <c r="M7831" s="17" t="str">
        <f t="shared" si="383"/>
        <v/>
      </c>
      <c r="N7831" s="11" t="str">
        <f t="shared" si="384"/>
        <v/>
      </c>
    </row>
    <row r="7832" spans="9:14" x14ac:dyDescent="0.25">
      <c r="I7832" s="11" t="b">
        <f t="shared" si="382"/>
        <v>0</v>
      </c>
      <c r="M7832" s="17" t="str">
        <f t="shared" si="383"/>
        <v/>
      </c>
      <c r="N7832" s="11" t="str">
        <f t="shared" si="384"/>
        <v/>
      </c>
    </row>
    <row r="7833" spans="9:14" x14ac:dyDescent="0.25">
      <c r="I7833" s="11" t="b">
        <f t="shared" si="382"/>
        <v>0</v>
      </c>
      <c r="M7833" s="17" t="str">
        <f t="shared" si="383"/>
        <v/>
      </c>
      <c r="N7833" s="11" t="str">
        <f t="shared" si="384"/>
        <v/>
      </c>
    </row>
    <row r="7834" spans="9:14" x14ac:dyDescent="0.25">
      <c r="I7834" s="11" t="b">
        <f t="shared" si="382"/>
        <v>0</v>
      </c>
      <c r="M7834" s="17" t="str">
        <f t="shared" si="383"/>
        <v/>
      </c>
      <c r="N7834" s="11" t="str">
        <f t="shared" si="384"/>
        <v/>
      </c>
    </row>
    <row r="7835" spans="9:14" x14ac:dyDescent="0.25">
      <c r="I7835" s="11" t="b">
        <f t="shared" si="382"/>
        <v>0</v>
      </c>
      <c r="M7835" s="17" t="str">
        <f t="shared" si="383"/>
        <v/>
      </c>
      <c r="N7835" s="11" t="str">
        <f t="shared" si="384"/>
        <v/>
      </c>
    </row>
    <row r="7836" spans="9:14" x14ac:dyDescent="0.25">
      <c r="I7836" s="11" t="b">
        <f t="shared" si="382"/>
        <v>0</v>
      </c>
      <c r="M7836" s="17" t="str">
        <f t="shared" si="383"/>
        <v/>
      </c>
      <c r="N7836" s="11" t="str">
        <f t="shared" si="384"/>
        <v/>
      </c>
    </row>
    <row r="7837" spans="9:14" x14ac:dyDescent="0.25">
      <c r="I7837" s="11" t="b">
        <f t="shared" ref="I7837:I7900" si="385">IF(AND(G7837="MERCADO PAGO",A7837="FATURAMENTO"),1,IF(AND(OR(G7837="MERCADO PAGO",G7837="pix mercado pago",G7837= "débito automático mercado pago", G7837= "boleto mercado pago"),A7837="DESPESAS"),4,IF(AND(G7837="SAFRA",A7837="FATURAMENTO"),2,IF(AND(OR(G7837="SAFRA",G7837="PIX SAFRA", G7837="DÉBITO AUTOMÁTICO SAFRA", G7837= "BOLETO SAFRA", G7837= "transferência safra"), A7837="DESPESAS"),5,IF(AND(G7837="espécie",A7837="FATURAMENTO"),3,IF(AND(G7837="espécie",A7837="DESPESAS"),6))))))</f>
        <v>0</v>
      </c>
      <c r="M7837" s="17" t="str">
        <f t="shared" si="383"/>
        <v/>
      </c>
      <c r="N7837" s="11" t="str">
        <f t="shared" si="384"/>
        <v/>
      </c>
    </row>
    <row r="7838" spans="9:14" x14ac:dyDescent="0.25">
      <c r="I7838" s="11" t="b">
        <f t="shared" si="385"/>
        <v>0</v>
      </c>
      <c r="M7838" s="17" t="str">
        <f t="shared" si="383"/>
        <v/>
      </c>
      <c r="N7838" s="11" t="str">
        <f t="shared" si="384"/>
        <v/>
      </c>
    </row>
    <row r="7839" spans="9:14" x14ac:dyDescent="0.25">
      <c r="I7839" s="11" t="b">
        <f t="shared" si="385"/>
        <v>0</v>
      </c>
      <c r="M7839" s="17" t="str">
        <f t="shared" si="383"/>
        <v/>
      </c>
      <c r="N7839" s="11" t="str">
        <f t="shared" si="384"/>
        <v/>
      </c>
    </row>
    <row r="7840" spans="9:14" x14ac:dyDescent="0.25">
      <c r="I7840" s="11" t="b">
        <f t="shared" si="385"/>
        <v>0</v>
      </c>
      <c r="M7840" s="17" t="str">
        <f t="shared" si="383"/>
        <v/>
      </c>
      <c r="N7840" s="11" t="str">
        <f t="shared" si="384"/>
        <v/>
      </c>
    </row>
    <row r="7841" spans="9:14" x14ac:dyDescent="0.25">
      <c r="I7841" s="11" t="b">
        <f t="shared" si="385"/>
        <v>0</v>
      </c>
      <c r="M7841" s="17" t="str">
        <f t="shared" si="383"/>
        <v/>
      </c>
      <c r="N7841" s="11" t="str">
        <f t="shared" si="384"/>
        <v/>
      </c>
    </row>
    <row r="7842" spans="9:14" x14ac:dyDescent="0.25">
      <c r="I7842" s="11" t="b">
        <f t="shared" si="385"/>
        <v>0</v>
      </c>
      <c r="M7842" s="17" t="str">
        <f t="shared" si="383"/>
        <v/>
      </c>
      <c r="N7842" s="11" t="str">
        <f t="shared" si="384"/>
        <v/>
      </c>
    </row>
    <row r="7843" spans="9:14" x14ac:dyDescent="0.25">
      <c r="I7843" s="11" t="b">
        <f t="shared" si="385"/>
        <v>0</v>
      </c>
      <c r="M7843" s="17" t="str">
        <f t="shared" si="383"/>
        <v/>
      </c>
      <c r="N7843" s="11" t="str">
        <f t="shared" si="384"/>
        <v/>
      </c>
    </row>
    <row r="7844" spans="9:14" x14ac:dyDescent="0.25">
      <c r="I7844" s="11" t="b">
        <f t="shared" si="385"/>
        <v>0</v>
      </c>
      <c r="M7844" s="17" t="str">
        <f t="shared" si="383"/>
        <v/>
      </c>
      <c r="N7844" s="11" t="str">
        <f t="shared" si="384"/>
        <v/>
      </c>
    </row>
    <row r="7845" spans="9:14" x14ac:dyDescent="0.25">
      <c r="I7845" s="11" t="b">
        <f t="shared" si="385"/>
        <v>0</v>
      </c>
      <c r="M7845" s="17" t="str">
        <f t="shared" si="383"/>
        <v/>
      </c>
      <c r="N7845" s="11" t="str">
        <f t="shared" si="384"/>
        <v/>
      </c>
    </row>
    <row r="7846" spans="9:14" x14ac:dyDescent="0.25">
      <c r="I7846" s="11" t="b">
        <f t="shared" si="385"/>
        <v>0</v>
      </c>
      <c r="M7846" s="17" t="str">
        <f t="shared" si="383"/>
        <v/>
      </c>
      <c r="N7846" s="11" t="str">
        <f t="shared" si="384"/>
        <v/>
      </c>
    </row>
    <row r="7847" spans="9:14" x14ac:dyDescent="0.25">
      <c r="I7847" s="11" t="b">
        <f t="shared" si="385"/>
        <v>0</v>
      </c>
      <c r="M7847" s="17" t="str">
        <f t="shared" si="383"/>
        <v/>
      </c>
      <c r="N7847" s="11" t="str">
        <f t="shared" si="384"/>
        <v/>
      </c>
    </row>
    <row r="7848" spans="9:14" x14ac:dyDescent="0.25">
      <c r="I7848" s="11" t="b">
        <f t="shared" si="385"/>
        <v>0</v>
      </c>
      <c r="M7848" s="17" t="str">
        <f t="shared" si="383"/>
        <v/>
      </c>
      <c r="N7848" s="11" t="str">
        <f t="shared" si="384"/>
        <v/>
      </c>
    </row>
    <row r="7849" spans="9:14" x14ac:dyDescent="0.25">
      <c r="I7849" s="11" t="b">
        <f t="shared" si="385"/>
        <v>0</v>
      </c>
      <c r="M7849" s="17" t="str">
        <f t="shared" si="383"/>
        <v/>
      </c>
      <c r="N7849" s="11" t="str">
        <f t="shared" si="384"/>
        <v/>
      </c>
    </row>
    <row r="7850" spans="9:14" x14ac:dyDescent="0.25">
      <c r="I7850" s="11" t="b">
        <f t="shared" si="385"/>
        <v>0</v>
      </c>
      <c r="M7850" s="17" t="str">
        <f t="shared" si="383"/>
        <v/>
      </c>
      <c r="N7850" s="11" t="str">
        <f t="shared" si="384"/>
        <v/>
      </c>
    </row>
    <row r="7851" spans="9:14" x14ac:dyDescent="0.25">
      <c r="I7851" s="11" t="b">
        <f t="shared" si="385"/>
        <v>0</v>
      </c>
      <c r="M7851" s="17" t="str">
        <f t="shared" si="383"/>
        <v/>
      </c>
      <c r="N7851" s="11" t="str">
        <f t="shared" si="384"/>
        <v/>
      </c>
    </row>
    <row r="7852" spans="9:14" x14ac:dyDescent="0.25">
      <c r="I7852" s="11" t="b">
        <f t="shared" si="385"/>
        <v>0</v>
      </c>
      <c r="M7852" s="17" t="str">
        <f t="shared" si="383"/>
        <v/>
      </c>
      <c r="N7852" s="11" t="str">
        <f t="shared" si="384"/>
        <v/>
      </c>
    </row>
    <row r="7853" spans="9:14" x14ac:dyDescent="0.25">
      <c r="I7853" s="11" t="b">
        <f t="shared" si="385"/>
        <v>0</v>
      </c>
      <c r="M7853" s="17" t="str">
        <f t="shared" si="383"/>
        <v/>
      </c>
      <c r="N7853" s="11" t="str">
        <f t="shared" si="384"/>
        <v/>
      </c>
    </row>
    <row r="7854" spans="9:14" x14ac:dyDescent="0.25">
      <c r="I7854" s="11" t="b">
        <f t="shared" si="385"/>
        <v>0</v>
      </c>
      <c r="M7854" s="17" t="str">
        <f t="shared" si="383"/>
        <v/>
      </c>
      <c r="N7854" s="11" t="str">
        <f t="shared" si="384"/>
        <v/>
      </c>
    </row>
    <row r="7855" spans="9:14" x14ac:dyDescent="0.25">
      <c r="I7855" s="11" t="b">
        <f t="shared" si="385"/>
        <v>0</v>
      </c>
      <c r="M7855" s="17" t="str">
        <f t="shared" si="383"/>
        <v/>
      </c>
      <c r="N7855" s="11" t="str">
        <f t="shared" si="384"/>
        <v/>
      </c>
    </row>
    <row r="7856" spans="9:14" x14ac:dyDescent="0.25">
      <c r="I7856" s="11" t="b">
        <f t="shared" si="385"/>
        <v>0</v>
      </c>
      <c r="M7856" s="17" t="str">
        <f t="shared" si="383"/>
        <v/>
      </c>
      <c r="N7856" s="11" t="str">
        <f t="shared" si="384"/>
        <v/>
      </c>
    </row>
    <row r="7857" spans="9:14" x14ac:dyDescent="0.25">
      <c r="I7857" s="11" t="b">
        <f t="shared" si="385"/>
        <v>0</v>
      </c>
      <c r="M7857" s="17" t="str">
        <f t="shared" si="383"/>
        <v/>
      </c>
      <c r="N7857" s="11" t="str">
        <f t="shared" si="384"/>
        <v/>
      </c>
    </row>
    <row r="7858" spans="9:14" x14ac:dyDescent="0.25">
      <c r="I7858" s="11" t="b">
        <f t="shared" si="385"/>
        <v>0</v>
      </c>
      <c r="M7858" s="17" t="str">
        <f t="shared" si="383"/>
        <v/>
      </c>
      <c r="N7858" s="11" t="str">
        <f t="shared" si="384"/>
        <v/>
      </c>
    </row>
    <row r="7859" spans="9:14" x14ac:dyDescent="0.25">
      <c r="I7859" s="11" t="b">
        <f t="shared" si="385"/>
        <v>0</v>
      </c>
      <c r="M7859" s="17" t="str">
        <f t="shared" si="383"/>
        <v/>
      </c>
      <c r="N7859" s="11" t="str">
        <f t="shared" si="384"/>
        <v/>
      </c>
    </row>
    <row r="7860" spans="9:14" x14ac:dyDescent="0.25">
      <c r="I7860" s="11" t="b">
        <f t="shared" si="385"/>
        <v>0</v>
      </c>
      <c r="M7860" s="17" t="str">
        <f t="shared" si="383"/>
        <v/>
      </c>
      <c r="N7860" s="11" t="str">
        <f t="shared" si="384"/>
        <v/>
      </c>
    </row>
    <row r="7861" spans="9:14" x14ac:dyDescent="0.25">
      <c r="I7861" s="11" t="b">
        <f t="shared" si="385"/>
        <v>0</v>
      </c>
      <c r="M7861" s="17" t="str">
        <f t="shared" si="383"/>
        <v/>
      </c>
      <c r="N7861" s="11" t="str">
        <f t="shared" si="384"/>
        <v/>
      </c>
    </row>
    <row r="7862" spans="9:14" x14ac:dyDescent="0.25">
      <c r="I7862" s="11" t="b">
        <f t="shared" si="385"/>
        <v>0</v>
      </c>
      <c r="M7862" s="17" t="str">
        <f t="shared" si="383"/>
        <v/>
      </c>
      <c r="N7862" s="11" t="str">
        <f t="shared" si="384"/>
        <v/>
      </c>
    </row>
    <row r="7863" spans="9:14" x14ac:dyDescent="0.25">
      <c r="I7863" s="11" t="b">
        <f t="shared" si="385"/>
        <v>0</v>
      </c>
      <c r="M7863" s="17" t="str">
        <f t="shared" si="383"/>
        <v/>
      </c>
      <c r="N7863" s="11" t="str">
        <f t="shared" si="384"/>
        <v/>
      </c>
    </row>
    <row r="7864" spans="9:14" x14ac:dyDescent="0.25">
      <c r="I7864" s="11" t="b">
        <f t="shared" si="385"/>
        <v>0</v>
      </c>
      <c r="M7864" s="17" t="str">
        <f t="shared" si="383"/>
        <v/>
      </c>
      <c r="N7864" s="11" t="str">
        <f t="shared" si="384"/>
        <v/>
      </c>
    </row>
    <row r="7865" spans="9:14" x14ac:dyDescent="0.25">
      <c r="I7865" s="11" t="b">
        <f t="shared" si="385"/>
        <v>0</v>
      </c>
      <c r="M7865" s="17" t="str">
        <f t="shared" si="383"/>
        <v/>
      </c>
      <c r="N7865" s="11" t="str">
        <f t="shared" si="384"/>
        <v/>
      </c>
    </row>
    <row r="7866" spans="9:14" x14ac:dyDescent="0.25">
      <c r="I7866" s="11" t="b">
        <f t="shared" si="385"/>
        <v>0</v>
      </c>
      <c r="M7866" s="17" t="str">
        <f t="shared" si="383"/>
        <v/>
      </c>
      <c r="N7866" s="11" t="str">
        <f t="shared" si="384"/>
        <v/>
      </c>
    </row>
    <row r="7867" spans="9:14" x14ac:dyDescent="0.25">
      <c r="I7867" s="11" t="b">
        <f t="shared" si="385"/>
        <v>0</v>
      </c>
      <c r="M7867" s="17" t="str">
        <f t="shared" si="383"/>
        <v/>
      </c>
      <c r="N7867" s="11" t="str">
        <f t="shared" si="384"/>
        <v/>
      </c>
    </row>
    <row r="7868" spans="9:14" x14ac:dyDescent="0.25">
      <c r="I7868" s="11" t="b">
        <f t="shared" si="385"/>
        <v>0</v>
      </c>
      <c r="M7868" s="17" t="str">
        <f t="shared" si="383"/>
        <v/>
      </c>
      <c r="N7868" s="11" t="str">
        <f t="shared" si="384"/>
        <v/>
      </c>
    </row>
    <row r="7869" spans="9:14" x14ac:dyDescent="0.25">
      <c r="I7869" s="11" t="b">
        <f t="shared" si="385"/>
        <v>0</v>
      </c>
      <c r="M7869" s="17" t="str">
        <f t="shared" si="383"/>
        <v/>
      </c>
      <c r="N7869" s="11" t="str">
        <f t="shared" si="384"/>
        <v/>
      </c>
    </row>
    <row r="7870" spans="9:14" x14ac:dyDescent="0.25">
      <c r="I7870" s="11" t="b">
        <f t="shared" si="385"/>
        <v>0</v>
      </c>
      <c r="M7870" s="17" t="str">
        <f t="shared" si="383"/>
        <v/>
      </c>
      <c r="N7870" s="11" t="str">
        <f t="shared" si="384"/>
        <v/>
      </c>
    </row>
    <row r="7871" spans="9:14" x14ac:dyDescent="0.25">
      <c r="I7871" s="11" t="b">
        <f t="shared" si="385"/>
        <v>0</v>
      </c>
      <c r="M7871" s="17" t="str">
        <f t="shared" si="383"/>
        <v/>
      </c>
      <c r="N7871" s="11" t="str">
        <f t="shared" si="384"/>
        <v/>
      </c>
    </row>
    <row r="7872" spans="9:14" x14ac:dyDescent="0.25">
      <c r="I7872" s="11" t="b">
        <f t="shared" si="385"/>
        <v>0</v>
      </c>
      <c r="M7872" s="17" t="str">
        <f t="shared" si="383"/>
        <v/>
      </c>
      <c r="N7872" s="11" t="str">
        <f t="shared" si="384"/>
        <v/>
      </c>
    </row>
    <row r="7873" spans="9:14" x14ac:dyDescent="0.25">
      <c r="I7873" s="11" t="b">
        <f t="shared" si="385"/>
        <v>0</v>
      </c>
      <c r="M7873" s="17" t="str">
        <f t="shared" ref="M7873:M7936" si="386">IF(B7873=0, "",M7872+ J7873-K7873)</f>
        <v/>
      </c>
      <c r="N7873" s="11" t="str">
        <f t="shared" ref="N7873:N7936" si="387">IF(B7873=0, "", MONTH(B7873))</f>
        <v/>
      </c>
    </row>
    <row r="7874" spans="9:14" x14ac:dyDescent="0.25">
      <c r="I7874" s="11" t="b">
        <f t="shared" si="385"/>
        <v>0</v>
      </c>
      <c r="M7874" s="17" t="str">
        <f t="shared" si="386"/>
        <v/>
      </c>
      <c r="N7874" s="11" t="str">
        <f t="shared" si="387"/>
        <v/>
      </c>
    </row>
    <row r="7875" spans="9:14" x14ac:dyDescent="0.25">
      <c r="I7875" s="11" t="b">
        <f t="shared" si="385"/>
        <v>0</v>
      </c>
      <c r="M7875" s="17" t="str">
        <f t="shared" si="386"/>
        <v/>
      </c>
      <c r="N7875" s="11" t="str">
        <f t="shared" si="387"/>
        <v/>
      </c>
    </row>
    <row r="7876" spans="9:14" x14ac:dyDescent="0.25">
      <c r="I7876" s="11" t="b">
        <f t="shared" si="385"/>
        <v>0</v>
      </c>
      <c r="M7876" s="17" t="str">
        <f t="shared" si="386"/>
        <v/>
      </c>
      <c r="N7876" s="11" t="str">
        <f t="shared" si="387"/>
        <v/>
      </c>
    </row>
    <row r="7877" spans="9:14" x14ac:dyDescent="0.25">
      <c r="I7877" s="11" t="b">
        <f t="shared" si="385"/>
        <v>0</v>
      </c>
      <c r="M7877" s="17" t="str">
        <f t="shared" si="386"/>
        <v/>
      </c>
      <c r="N7877" s="11" t="str">
        <f t="shared" si="387"/>
        <v/>
      </c>
    </row>
    <row r="7878" spans="9:14" x14ac:dyDescent="0.25">
      <c r="I7878" s="11" t="b">
        <f t="shared" si="385"/>
        <v>0</v>
      </c>
      <c r="M7878" s="17" t="str">
        <f t="shared" si="386"/>
        <v/>
      </c>
      <c r="N7878" s="11" t="str">
        <f t="shared" si="387"/>
        <v/>
      </c>
    </row>
    <row r="7879" spans="9:14" x14ac:dyDescent="0.25">
      <c r="I7879" s="11" t="b">
        <f t="shared" si="385"/>
        <v>0</v>
      </c>
      <c r="M7879" s="17" t="str">
        <f t="shared" si="386"/>
        <v/>
      </c>
      <c r="N7879" s="11" t="str">
        <f t="shared" si="387"/>
        <v/>
      </c>
    </row>
    <row r="7880" spans="9:14" x14ac:dyDescent="0.25">
      <c r="I7880" s="11" t="b">
        <f t="shared" si="385"/>
        <v>0</v>
      </c>
      <c r="M7880" s="17" t="str">
        <f t="shared" si="386"/>
        <v/>
      </c>
      <c r="N7880" s="11" t="str">
        <f t="shared" si="387"/>
        <v/>
      </c>
    </row>
    <row r="7881" spans="9:14" x14ac:dyDescent="0.25">
      <c r="I7881" s="11" t="b">
        <f t="shared" si="385"/>
        <v>0</v>
      </c>
      <c r="M7881" s="17" t="str">
        <f t="shared" si="386"/>
        <v/>
      </c>
      <c r="N7881" s="11" t="str">
        <f t="shared" si="387"/>
        <v/>
      </c>
    </row>
    <row r="7882" spans="9:14" x14ac:dyDescent="0.25">
      <c r="I7882" s="11" t="b">
        <f t="shared" si="385"/>
        <v>0</v>
      </c>
      <c r="M7882" s="17" t="str">
        <f t="shared" si="386"/>
        <v/>
      </c>
      <c r="N7882" s="11" t="str">
        <f t="shared" si="387"/>
        <v/>
      </c>
    </row>
    <row r="7883" spans="9:14" x14ac:dyDescent="0.25">
      <c r="I7883" s="11" t="b">
        <f t="shared" si="385"/>
        <v>0</v>
      </c>
      <c r="M7883" s="17" t="str">
        <f t="shared" si="386"/>
        <v/>
      </c>
      <c r="N7883" s="11" t="str">
        <f t="shared" si="387"/>
        <v/>
      </c>
    </row>
    <row r="7884" spans="9:14" x14ac:dyDescent="0.25">
      <c r="I7884" s="11" t="b">
        <f t="shared" si="385"/>
        <v>0</v>
      </c>
      <c r="M7884" s="17" t="str">
        <f t="shared" si="386"/>
        <v/>
      </c>
      <c r="N7884" s="11" t="str">
        <f t="shared" si="387"/>
        <v/>
      </c>
    </row>
    <row r="7885" spans="9:14" x14ac:dyDescent="0.25">
      <c r="I7885" s="11" t="b">
        <f t="shared" si="385"/>
        <v>0</v>
      </c>
      <c r="M7885" s="17" t="str">
        <f t="shared" si="386"/>
        <v/>
      </c>
      <c r="N7885" s="11" t="str">
        <f t="shared" si="387"/>
        <v/>
      </c>
    </row>
    <row r="7886" spans="9:14" x14ac:dyDescent="0.25">
      <c r="I7886" s="11" t="b">
        <f t="shared" si="385"/>
        <v>0</v>
      </c>
      <c r="M7886" s="17" t="str">
        <f t="shared" si="386"/>
        <v/>
      </c>
      <c r="N7886" s="11" t="str">
        <f t="shared" si="387"/>
        <v/>
      </c>
    </row>
    <row r="7887" spans="9:14" x14ac:dyDescent="0.25">
      <c r="I7887" s="11" t="b">
        <f t="shared" si="385"/>
        <v>0</v>
      </c>
      <c r="M7887" s="17" t="str">
        <f t="shared" si="386"/>
        <v/>
      </c>
      <c r="N7887" s="11" t="str">
        <f t="shared" si="387"/>
        <v/>
      </c>
    </row>
    <row r="7888" spans="9:14" x14ac:dyDescent="0.25">
      <c r="I7888" s="11" t="b">
        <f t="shared" si="385"/>
        <v>0</v>
      </c>
      <c r="M7888" s="17" t="str">
        <f t="shared" si="386"/>
        <v/>
      </c>
      <c r="N7888" s="11" t="str">
        <f t="shared" si="387"/>
        <v/>
      </c>
    </row>
    <row r="7889" spans="9:14" x14ac:dyDescent="0.25">
      <c r="I7889" s="11" t="b">
        <f t="shared" si="385"/>
        <v>0</v>
      </c>
      <c r="M7889" s="17" t="str">
        <f t="shared" si="386"/>
        <v/>
      </c>
      <c r="N7889" s="11" t="str">
        <f t="shared" si="387"/>
        <v/>
      </c>
    </row>
    <row r="7890" spans="9:14" x14ac:dyDescent="0.25">
      <c r="I7890" s="11" t="b">
        <f t="shared" si="385"/>
        <v>0</v>
      </c>
      <c r="M7890" s="17" t="str">
        <f t="shared" si="386"/>
        <v/>
      </c>
      <c r="N7890" s="11" t="str">
        <f t="shared" si="387"/>
        <v/>
      </c>
    </row>
    <row r="7891" spans="9:14" x14ac:dyDescent="0.25">
      <c r="I7891" s="11" t="b">
        <f t="shared" si="385"/>
        <v>0</v>
      </c>
      <c r="M7891" s="17" t="str">
        <f t="shared" si="386"/>
        <v/>
      </c>
      <c r="N7891" s="11" t="str">
        <f t="shared" si="387"/>
        <v/>
      </c>
    </row>
    <row r="7892" spans="9:14" x14ac:dyDescent="0.25">
      <c r="I7892" s="11" t="b">
        <f t="shared" si="385"/>
        <v>0</v>
      </c>
      <c r="M7892" s="17" t="str">
        <f t="shared" si="386"/>
        <v/>
      </c>
      <c r="N7892" s="11" t="str">
        <f t="shared" si="387"/>
        <v/>
      </c>
    </row>
    <row r="7893" spans="9:14" x14ac:dyDescent="0.25">
      <c r="I7893" s="11" t="b">
        <f t="shared" si="385"/>
        <v>0</v>
      </c>
      <c r="M7893" s="17" t="str">
        <f t="shared" si="386"/>
        <v/>
      </c>
      <c r="N7893" s="11" t="str">
        <f t="shared" si="387"/>
        <v/>
      </c>
    </row>
    <row r="7894" spans="9:14" x14ac:dyDescent="0.25">
      <c r="I7894" s="11" t="b">
        <f t="shared" si="385"/>
        <v>0</v>
      </c>
      <c r="M7894" s="17" t="str">
        <f t="shared" si="386"/>
        <v/>
      </c>
      <c r="N7894" s="11" t="str">
        <f t="shared" si="387"/>
        <v/>
      </c>
    </row>
    <row r="7895" spans="9:14" x14ac:dyDescent="0.25">
      <c r="I7895" s="11" t="b">
        <f t="shared" si="385"/>
        <v>0</v>
      </c>
      <c r="M7895" s="17" t="str">
        <f t="shared" si="386"/>
        <v/>
      </c>
      <c r="N7895" s="11" t="str">
        <f t="shared" si="387"/>
        <v/>
      </c>
    </row>
    <row r="7896" spans="9:14" x14ac:dyDescent="0.25">
      <c r="I7896" s="11" t="b">
        <f t="shared" si="385"/>
        <v>0</v>
      </c>
      <c r="M7896" s="17" t="str">
        <f t="shared" si="386"/>
        <v/>
      </c>
      <c r="N7896" s="11" t="str">
        <f t="shared" si="387"/>
        <v/>
      </c>
    </row>
    <row r="7897" spans="9:14" x14ac:dyDescent="0.25">
      <c r="I7897" s="11" t="b">
        <f t="shared" si="385"/>
        <v>0</v>
      </c>
      <c r="M7897" s="17" t="str">
        <f t="shared" si="386"/>
        <v/>
      </c>
      <c r="N7897" s="11" t="str">
        <f t="shared" si="387"/>
        <v/>
      </c>
    </row>
    <row r="7898" spans="9:14" x14ac:dyDescent="0.25">
      <c r="I7898" s="11" t="b">
        <f t="shared" si="385"/>
        <v>0</v>
      </c>
      <c r="M7898" s="17" t="str">
        <f t="shared" si="386"/>
        <v/>
      </c>
      <c r="N7898" s="11" t="str">
        <f t="shared" si="387"/>
        <v/>
      </c>
    </row>
    <row r="7899" spans="9:14" x14ac:dyDescent="0.25">
      <c r="I7899" s="11" t="b">
        <f t="shared" si="385"/>
        <v>0</v>
      </c>
      <c r="M7899" s="17" t="str">
        <f t="shared" si="386"/>
        <v/>
      </c>
      <c r="N7899" s="11" t="str">
        <f t="shared" si="387"/>
        <v/>
      </c>
    </row>
    <row r="7900" spans="9:14" x14ac:dyDescent="0.25">
      <c r="I7900" s="11" t="b">
        <f t="shared" si="385"/>
        <v>0</v>
      </c>
      <c r="M7900" s="17" t="str">
        <f t="shared" si="386"/>
        <v/>
      </c>
      <c r="N7900" s="11" t="str">
        <f t="shared" si="387"/>
        <v/>
      </c>
    </row>
    <row r="7901" spans="9:14" x14ac:dyDescent="0.25">
      <c r="I7901" s="11" t="b">
        <f t="shared" ref="I7901:I7964" si="388">IF(AND(G7901="MERCADO PAGO",A7901="FATURAMENTO"),1,IF(AND(OR(G7901="MERCADO PAGO",G7901="pix mercado pago",G7901= "débito automático mercado pago", G7901= "boleto mercado pago"),A7901="DESPESAS"),4,IF(AND(G7901="SAFRA",A7901="FATURAMENTO"),2,IF(AND(OR(G7901="SAFRA",G7901="PIX SAFRA", G7901="DÉBITO AUTOMÁTICO SAFRA", G7901= "BOLETO SAFRA", G7901= "transferência safra"), A7901="DESPESAS"),5,IF(AND(G7901="espécie",A7901="FATURAMENTO"),3,IF(AND(G7901="espécie",A7901="DESPESAS"),6))))))</f>
        <v>0</v>
      </c>
      <c r="M7901" s="17" t="str">
        <f t="shared" si="386"/>
        <v/>
      </c>
      <c r="N7901" s="11" t="str">
        <f t="shared" si="387"/>
        <v/>
      </c>
    </row>
    <row r="7902" spans="9:14" x14ac:dyDescent="0.25">
      <c r="I7902" s="11" t="b">
        <f t="shared" si="388"/>
        <v>0</v>
      </c>
      <c r="M7902" s="17" t="str">
        <f t="shared" si="386"/>
        <v/>
      </c>
      <c r="N7902" s="11" t="str">
        <f t="shared" si="387"/>
        <v/>
      </c>
    </row>
    <row r="7903" spans="9:14" x14ac:dyDescent="0.25">
      <c r="I7903" s="11" t="b">
        <f t="shared" si="388"/>
        <v>0</v>
      </c>
      <c r="M7903" s="17" t="str">
        <f t="shared" si="386"/>
        <v/>
      </c>
      <c r="N7903" s="11" t="str">
        <f t="shared" si="387"/>
        <v/>
      </c>
    </row>
    <row r="7904" spans="9:14" x14ac:dyDescent="0.25">
      <c r="I7904" s="11" t="b">
        <f t="shared" si="388"/>
        <v>0</v>
      </c>
      <c r="M7904" s="17" t="str">
        <f t="shared" si="386"/>
        <v/>
      </c>
      <c r="N7904" s="11" t="str">
        <f t="shared" si="387"/>
        <v/>
      </c>
    </row>
    <row r="7905" spans="9:14" x14ac:dyDescent="0.25">
      <c r="I7905" s="11" t="b">
        <f t="shared" si="388"/>
        <v>0</v>
      </c>
      <c r="M7905" s="17" t="str">
        <f t="shared" si="386"/>
        <v/>
      </c>
      <c r="N7905" s="11" t="str">
        <f t="shared" si="387"/>
        <v/>
      </c>
    </row>
    <row r="7906" spans="9:14" x14ac:dyDescent="0.25">
      <c r="I7906" s="11" t="b">
        <f t="shared" si="388"/>
        <v>0</v>
      </c>
      <c r="M7906" s="17" t="str">
        <f t="shared" si="386"/>
        <v/>
      </c>
      <c r="N7906" s="11" t="str">
        <f t="shared" si="387"/>
        <v/>
      </c>
    </row>
    <row r="7907" spans="9:14" x14ac:dyDescent="0.25">
      <c r="I7907" s="11" t="b">
        <f t="shared" si="388"/>
        <v>0</v>
      </c>
      <c r="M7907" s="17" t="str">
        <f t="shared" si="386"/>
        <v/>
      </c>
      <c r="N7907" s="11" t="str">
        <f t="shared" si="387"/>
        <v/>
      </c>
    </row>
    <row r="7908" spans="9:14" x14ac:dyDescent="0.25">
      <c r="I7908" s="11" t="b">
        <f t="shared" si="388"/>
        <v>0</v>
      </c>
      <c r="M7908" s="17" t="str">
        <f t="shared" si="386"/>
        <v/>
      </c>
      <c r="N7908" s="11" t="str">
        <f t="shared" si="387"/>
        <v/>
      </c>
    </row>
    <row r="7909" spans="9:14" x14ac:dyDescent="0.25">
      <c r="I7909" s="11" t="b">
        <f t="shared" si="388"/>
        <v>0</v>
      </c>
      <c r="M7909" s="17" t="str">
        <f t="shared" si="386"/>
        <v/>
      </c>
      <c r="N7909" s="11" t="str">
        <f t="shared" si="387"/>
        <v/>
      </c>
    </row>
    <row r="7910" spans="9:14" x14ac:dyDescent="0.25">
      <c r="I7910" s="11" t="b">
        <f t="shared" si="388"/>
        <v>0</v>
      </c>
      <c r="M7910" s="17" t="str">
        <f t="shared" si="386"/>
        <v/>
      </c>
      <c r="N7910" s="11" t="str">
        <f t="shared" si="387"/>
        <v/>
      </c>
    </row>
    <row r="7911" spans="9:14" x14ac:dyDescent="0.25">
      <c r="I7911" s="11" t="b">
        <f t="shared" si="388"/>
        <v>0</v>
      </c>
      <c r="M7911" s="17" t="str">
        <f t="shared" si="386"/>
        <v/>
      </c>
      <c r="N7911" s="11" t="str">
        <f t="shared" si="387"/>
        <v/>
      </c>
    </row>
    <row r="7912" spans="9:14" x14ac:dyDescent="0.25">
      <c r="I7912" s="11" t="b">
        <f t="shared" si="388"/>
        <v>0</v>
      </c>
      <c r="M7912" s="17" t="str">
        <f t="shared" si="386"/>
        <v/>
      </c>
      <c r="N7912" s="11" t="str">
        <f t="shared" si="387"/>
        <v/>
      </c>
    </row>
    <row r="7913" spans="9:14" x14ac:dyDescent="0.25">
      <c r="I7913" s="11" t="b">
        <f t="shared" si="388"/>
        <v>0</v>
      </c>
      <c r="M7913" s="17" t="str">
        <f t="shared" si="386"/>
        <v/>
      </c>
      <c r="N7913" s="11" t="str">
        <f t="shared" si="387"/>
        <v/>
      </c>
    </row>
    <row r="7914" spans="9:14" x14ac:dyDescent="0.25">
      <c r="I7914" s="11" t="b">
        <f t="shared" si="388"/>
        <v>0</v>
      </c>
      <c r="M7914" s="17" t="str">
        <f t="shared" si="386"/>
        <v/>
      </c>
      <c r="N7914" s="11" t="str">
        <f t="shared" si="387"/>
        <v/>
      </c>
    </row>
    <row r="7915" spans="9:14" x14ac:dyDescent="0.25">
      <c r="I7915" s="11" t="b">
        <f t="shared" si="388"/>
        <v>0</v>
      </c>
      <c r="M7915" s="17" t="str">
        <f t="shared" si="386"/>
        <v/>
      </c>
      <c r="N7915" s="11" t="str">
        <f t="shared" si="387"/>
        <v/>
      </c>
    </row>
    <row r="7916" spans="9:14" x14ac:dyDescent="0.25">
      <c r="I7916" s="11" t="b">
        <f t="shared" si="388"/>
        <v>0</v>
      </c>
      <c r="M7916" s="17" t="str">
        <f t="shared" si="386"/>
        <v/>
      </c>
      <c r="N7916" s="11" t="str">
        <f t="shared" si="387"/>
        <v/>
      </c>
    </row>
    <row r="7917" spans="9:14" x14ac:dyDescent="0.25">
      <c r="I7917" s="11" t="b">
        <f t="shared" si="388"/>
        <v>0</v>
      </c>
      <c r="M7917" s="17" t="str">
        <f t="shared" si="386"/>
        <v/>
      </c>
      <c r="N7917" s="11" t="str">
        <f t="shared" si="387"/>
        <v/>
      </c>
    </row>
    <row r="7918" spans="9:14" x14ac:dyDescent="0.25">
      <c r="I7918" s="11" t="b">
        <f t="shared" si="388"/>
        <v>0</v>
      </c>
      <c r="M7918" s="17" t="str">
        <f t="shared" si="386"/>
        <v/>
      </c>
      <c r="N7918" s="11" t="str">
        <f t="shared" si="387"/>
        <v/>
      </c>
    </row>
    <row r="7919" spans="9:14" x14ac:dyDescent="0.25">
      <c r="I7919" s="11" t="b">
        <f t="shared" si="388"/>
        <v>0</v>
      </c>
      <c r="M7919" s="17" t="str">
        <f t="shared" si="386"/>
        <v/>
      </c>
      <c r="N7919" s="11" t="str">
        <f t="shared" si="387"/>
        <v/>
      </c>
    </row>
    <row r="7920" spans="9:14" x14ac:dyDescent="0.25">
      <c r="I7920" s="11" t="b">
        <f t="shared" si="388"/>
        <v>0</v>
      </c>
      <c r="M7920" s="17" t="str">
        <f t="shared" si="386"/>
        <v/>
      </c>
      <c r="N7920" s="11" t="str">
        <f t="shared" si="387"/>
        <v/>
      </c>
    </row>
    <row r="7921" spans="9:14" x14ac:dyDescent="0.25">
      <c r="I7921" s="11" t="b">
        <f t="shared" si="388"/>
        <v>0</v>
      </c>
      <c r="M7921" s="17" t="str">
        <f t="shared" si="386"/>
        <v/>
      </c>
      <c r="N7921" s="11" t="str">
        <f t="shared" si="387"/>
        <v/>
      </c>
    </row>
    <row r="7922" spans="9:14" x14ac:dyDescent="0.25">
      <c r="I7922" s="11" t="b">
        <f t="shared" si="388"/>
        <v>0</v>
      </c>
      <c r="M7922" s="17" t="str">
        <f t="shared" si="386"/>
        <v/>
      </c>
      <c r="N7922" s="11" t="str">
        <f t="shared" si="387"/>
        <v/>
      </c>
    </row>
    <row r="7923" spans="9:14" x14ac:dyDescent="0.25">
      <c r="I7923" s="11" t="b">
        <f t="shared" si="388"/>
        <v>0</v>
      </c>
      <c r="M7923" s="17" t="str">
        <f t="shared" si="386"/>
        <v/>
      </c>
      <c r="N7923" s="11" t="str">
        <f t="shared" si="387"/>
        <v/>
      </c>
    </row>
    <row r="7924" spans="9:14" x14ac:dyDescent="0.25">
      <c r="I7924" s="11" t="b">
        <f t="shared" si="388"/>
        <v>0</v>
      </c>
      <c r="M7924" s="17" t="str">
        <f t="shared" si="386"/>
        <v/>
      </c>
      <c r="N7924" s="11" t="str">
        <f t="shared" si="387"/>
        <v/>
      </c>
    </row>
    <row r="7925" spans="9:14" x14ac:dyDescent="0.25">
      <c r="I7925" s="11" t="b">
        <f t="shared" si="388"/>
        <v>0</v>
      </c>
      <c r="M7925" s="17" t="str">
        <f t="shared" si="386"/>
        <v/>
      </c>
      <c r="N7925" s="11" t="str">
        <f t="shared" si="387"/>
        <v/>
      </c>
    </row>
    <row r="7926" spans="9:14" x14ac:dyDescent="0.25">
      <c r="I7926" s="11" t="b">
        <f t="shared" si="388"/>
        <v>0</v>
      </c>
      <c r="M7926" s="17" t="str">
        <f t="shared" si="386"/>
        <v/>
      </c>
      <c r="N7926" s="11" t="str">
        <f t="shared" si="387"/>
        <v/>
      </c>
    </row>
    <row r="7927" spans="9:14" x14ac:dyDescent="0.25">
      <c r="I7927" s="11" t="b">
        <f t="shared" si="388"/>
        <v>0</v>
      </c>
      <c r="M7927" s="17" t="str">
        <f t="shared" si="386"/>
        <v/>
      </c>
      <c r="N7927" s="11" t="str">
        <f t="shared" si="387"/>
        <v/>
      </c>
    </row>
    <row r="7928" spans="9:14" x14ac:dyDescent="0.25">
      <c r="I7928" s="11" t="b">
        <f t="shared" si="388"/>
        <v>0</v>
      </c>
      <c r="M7928" s="17" t="str">
        <f t="shared" si="386"/>
        <v/>
      </c>
      <c r="N7928" s="11" t="str">
        <f t="shared" si="387"/>
        <v/>
      </c>
    </row>
    <row r="7929" spans="9:14" x14ac:dyDescent="0.25">
      <c r="I7929" s="11" t="b">
        <f t="shared" si="388"/>
        <v>0</v>
      </c>
      <c r="M7929" s="17" t="str">
        <f t="shared" si="386"/>
        <v/>
      </c>
      <c r="N7929" s="11" t="str">
        <f t="shared" si="387"/>
        <v/>
      </c>
    </row>
    <row r="7930" spans="9:14" x14ac:dyDescent="0.25">
      <c r="I7930" s="11" t="b">
        <f t="shared" si="388"/>
        <v>0</v>
      </c>
      <c r="M7930" s="17" t="str">
        <f t="shared" si="386"/>
        <v/>
      </c>
      <c r="N7930" s="11" t="str">
        <f t="shared" si="387"/>
        <v/>
      </c>
    </row>
    <row r="7931" spans="9:14" x14ac:dyDescent="0.25">
      <c r="I7931" s="11" t="b">
        <f t="shared" si="388"/>
        <v>0</v>
      </c>
      <c r="M7931" s="17" t="str">
        <f t="shared" si="386"/>
        <v/>
      </c>
      <c r="N7931" s="11" t="str">
        <f t="shared" si="387"/>
        <v/>
      </c>
    </row>
    <row r="7932" spans="9:14" x14ac:dyDescent="0.25">
      <c r="I7932" s="11" t="b">
        <f t="shared" si="388"/>
        <v>0</v>
      </c>
      <c r="M7932" s="17" t="str">
        <f t="shared" si="386"/>
        <v/>
      </c>
      <c r="N7932" s="11" t="str">
        <f t="shared" si="387"/>
        <v/>
      </c>
    </row>
    <row r="7933" spans="9:14" x14ac:dyDescent="0.25">
      <c r="I7933" s="11" t="b">
        <f t="shared" si="388"/>
        <v>0</v>
      </c>
      <c r="M7933" s="17" t="str">
        <f t="shared" si="386"/>
        <v/>
      </c>
      <c r="N7933" s="11" t="str">
        <f t="shared" si="387"/>
        <v/>
      </c>
    </row>
    <row r="7934" spans="9:14" x14ac:dyDescent="0.25">
      <c r="I7934" s="11" t="b">
        <f t="shared" si="388"/>
        <v>0</v>
      </c>
      <c r="M7934" s="17" t="str">
        <f t="shared" si="386"/>
        <v/>
      </c>
      <c r="N7934" s="11" t="str">
        <f t="shared" si="387"/>
        <v/>
      </c>
    </row>
    <row r="7935" spans="9:14" x14ac:dyDescent="0.25">
      <c r="I7935" s="11" t="b">
        <f t="shared" si="388"/>
        <v>0</v>
      </c>
      <c r="M7935" s="17" t="str">
        <f t="shared" si="386"/>
        <v/>
      </c>
      <c r="N7935" s="11" t="str">
        <f t="shared" si="387"/>
        <v/>
      </c>
    </row>
    <row r="7936" spans="9:14" x14ac:dyDescent="0.25">
      <c r="I7936" s="11" t="b">
        <f t="shared" si="388"/>
        <v>0</v>
      </c>
      <c r="M7936" s="17" t="str">
        <f t="shared" si="386"/>
        <v/>
      </c>
      <c r="N7936" s="11" t="str">
        <f t="shared" si="387"/>
        <v/>
      </c>
    </row>
    <row r="7937" spans="9:14" x14ac:dyDescent="0.25">
      <c r="I7937" s="11" t="b">
        <f t="shared" si="388"/>
        <v>0</v>
      </c>
      <c r="M7937" s="17" t="str">
        <f t="shared" ref="M7937:M8000" si="389">IF(B7937=0, "",M7936+ J7937-K7937)</f>
        <v/>
      </c>
      <c r="N7937" s="11" t="str">
        <f t="shared" ref="N7937:N8000" si="390">IF(B7937=0, "", MONTH(B7937))</f>
        <v/>
      </c>
    </row>
    <row r="7938" spans="9:14" x14ac:dyDescent="0.25">
      <c r="I7938" s="11" t="b">
        <f t="shared" si="388"/>
        <v>0</v>
      </c>
      <c r="M7938" s="17" t="str">
        <f t="shared" si="389"/>
        <v/>
      </c>
      <c r="N7938" s="11" t="str">
        <f t="shared" si="390"/>
        <v/>
      </c>
    </row>
    <row r="7939" spans="9:14" x14ac:dyDescent="0.25">
      <c r="I7939" s="11" t="b">
        <f t="shared" si="388"/>
        <v>0</v>
      </c>
      <c r="M7939" s="17" t="str">
        <f t="shared" si="389"/>
        <v/>
      </c>
      <c r="N7939" s="11" t="str">
        <f t="shared" si="390"/>
        <v/>
      </c>
    </row>
    <row r="7940" spans="9:14" x14ac:dyDescent="0.25">
      <c r="I7940" s="11" t="b">
        <f t="shared" si="388"/>
        <v>0</v>
      </c>
      <c r="M7940" s="17" t="str">
        <f t="shared" si="389"/>
        <v/>
      </c>
      <c r="N7940" s="11" t="str">
        <f t="shared" si="390"/>
        <v/>
      </c>
    </row>
    <row r="7941" spans="9:14" x14ac:dyDescent="0.25">
      <c r="I7941" s="11" t="b">
        <f t="shared" si="388"/>
        <v>0</v>
      </c>
      <c r="M7941" s="17" t="str">
        <f t="shared" si="389"/>
        <v/>
      </c>
      <c r="N7941" s="11" t="str">
        <f t="shared" si="390"/>
        <v/>
      </c>
    </row>
    <row r="7942" spans="9:14" x14ac:dyDescent="0.25">
      <c r="I7942" s="11" t="b">
        <f t="shared" si="388"/>
        <v>0</v>
      </c>
      <c r="M7942" s="17" t="str">
        <f t="shared" si="389"/>
        <v/>
      </c>
      <c r="N7942" s="11" t="str">
        <f t="shared" si="390"/>
        <v/>
      </c>
    </row>
    <row r="7943" spans="9:14" x14ac:dyDescent="0.25">
      <c r="I7943" s="11" t="b">
        <f t="shared" si="388"/>
        <v>0</v>
      </c>
      <c r="M7943" s="17" t="str">
        <f t="shared" si="389"/>
        <v/>
      </c>
      <c r="N7943" s="11" t="str">
        <f t="shared" si="390"/>
        <v/>
      </c>
    </row>
    <row r="7944" spans="9:14" x14ac:dyDescent="0.25">
      <c r="I7944" s="11" t="b">
        <f t="shared" si="388"/>
        <v>0</v>
      </c>
      <c r="M7944" s="17" t="str">
        <f t="shared" si="389"/>
        <v/>
      </c>
      <c r="N7944" s="11" t="str">
        <f t="shared" si="390"/>
        <v/>
      </c>
    </row>
    <row r="7945" spans="9:14" x14ac:dyDescent="0.25">
      <c r="I7945" s="11" t="b">
        <f t="shared" si="388"/>
        <v>0</v>
      </c>
      <c r="M7945" s="17" t="str">
        <f t="shared" si="389"/>
        <v/>
      </c>
      <c r="N7945" s="11" t="str">
        <f t="shared" si="390"/>
        <v/>
      </c>
    </row>
    <row r="7946" spans="9:14" x14ac:dyDescent="0.25">
      <c r="I7946" s="11" t="b">
        <f t="shared" si="388"/>
        <v>0</v>
      </c>
      <c r="M7946" s="17" t="str">
        <f t="shared" si="389"/>
        <v/>
      </c>
      <c r="N7946" s="11" t="str">
        <f t="shared" si="390"/>
        <v/>
      </c>
    </row>
    <row r="7947" spans="9:14" x14ac:dyDescent="0.25">
      <c r="I7947" s="11" t="b">
        <f t="shared" si="388"/>
        <v>0</v>
      </c>
      <c r="M7947" s="17" t="str">
        <f t="shared" si="389"/>
        <v/>
      </c>
      <c r="N7947" s="11" t="str">
        <f t="shared" si="390"/>
        <v/>
      </c>
    </row>
    <row r="7948" spans="9:14" x14ac:dyDescent="0.25">
      <c r="I7948" s="11" t="b">
        <f t="shared" si="388"/>
        <v>0</v>
      </c>
      <c r="M7948" s="17" t="str">
        <f t="shared" si="389"/>
        <v/>
      </c>
      <c r="N7948" s="11" t="str">
        <f t="shared" si="390"/>
        <v/>
      </c>
    </row>
    <row r="7949" spans="9:14" x14ac:dyDescent="0.25">
      <c r="I7949" s="11" t="b">
        <f t="shared" si="388"/>
        <v>0</v>
      </c>
      <c r="M7949" s="17" t="str">
        <f t="shared" si="389"/>
        <v/>
      </c>
      <c r="N7949" s="11" t="str">
        <f t="shared" si="390"/>
        <v/>
      </c>
    </row>
    <row r="7950" spans="9:14" x14ac:dyDescent="0.25">
      <c r="I7950" s="11" t="b">
        <f t="shared" si="388"/>
        <v>0</v>
      </c>
      <c r="M7950" s="17" t="str">
        <f t="shared" si="389"/>
        <v/>
      </c>
      <c r="N7950" s="11" t="str">
        <f t="shared" si="390"/>
        <v/>
      </c>
    </row>
    <row r="7951" spans="9:14" x14ac:dyDescent="0.25">
      <c r="I7951" s="11" t="b">
        <f t="shared" si="388"/>
        <v>0</v>
      </c>
      <c r="M7951" s="17" t="str">
        <f t="shared" si="389"/>
        <v/>
      </c>
      <c r="N7951" s="11" t="str">
        <f t="shared" si="390"/>
        <v/>
      </c>
    </row>
    <row r="7952" spans="9:14" x14ac:dyDescent="0.25">
      <c r="I7952" s="11" t="b">
        <f t="shared" si="388"/>
        <v>0</v>
      </c>
      <c r="M7952" s="17" t="str">
        <f t="shared" si="389"/>
        <v/>
      </c>
      <c r="N7952" s="11" t="str">
        <f t="shared" si="390"/>
        <v/>
      </c>
    </row>
    <row r="7953" spans="9:14" x14ac:dyDescent="0.25">
      <c r="I7953" s="11" t="b">
        <f t="shared" si="388"/>
        <v>0</v>
      </c>
      <c r="M7953" s="17" t="str">
        <f t="shared" si="389"/>
        <v/>
      </c>
      <c r="N7953" s="11" t="str">
        <f t="shared" si="390"/>
        <v/>
      </c>
    </row>
    <row r="7954" spans="9:14" x14ac:dyDescent="0.25">
      <c r="I7954" s="11" t="b">
        <f t="shared" si="388"/>
        <v>0</v>
      </c>
      <c r="M7954" s="17" t="str">
        <f t="shared" si="389"/>
        <v/>
      </c>
      <c r="N7954" s="11" t="str">
        <f t="shared" si="390"/>
        <v/>
      </c>
    </row>
    <row r="7955" spans="9:14" x14ac:dyDescent="0.25">
      <c r="I7955" s="11" t="b">
        <f t="shared" si="388"/>
        <v>0</v>
      </c>
      <c r="M7955" s="17" t="str">
        <f t="shared" si="389"/>
        <v/>
      </c>
      <c r="N7955" s="11" t="str">
        <f t="shared" si="390"/>
        <v/>
      </c>
    </row>
    <row r="7956" spans="9:14" x14ac:dyDescent="0.25">
      <c r="I7956" s="11" t="b">
        <f t="shared" si="388"/>
        <v>0</v>
      </c>
      <c r="M7956" s="17" t="str">
        <f t="shared" si="389"/>
        <v/>
      </c>
      <c r="N7956" s="11" t="str">
        <f t="shared" si="390"/>
        <v/>
      </c>
    </row>
    <row r="7957" spans="9:14" x14ac:dyDescent="0.25">
      <c r="I7957" s="11" t="b">
        <f t="shared" si="388"/>
        <v>0</v>
      </c>
      <c r="M7957" s="17" t="str">
        <f t="shared" si="389"/>
        <v/>
      </c>
      <c r="N7957" s="11" t="str">
        <f t="shared" si="390"/>
        <v/>
      </c>
    </row>
    <row r="7958" spans="9:14" x14ac:dyDescent="0.25">
      <c r="I7958" s="11" t="b">
        <f t="shared" si="388"/>
        <v>0</v>
      </c>
      <c r="M7958" s="17" t="str">
        <f t="shared" si="389"/>
        <v/>
      </c>
      <c r="N7958" s="11" t="str">
        <f t="shared" si="390"/>
        <v/>
      </c>
    </row>
    <row r="7959" spans="9:14" x14ac:dyDescent="0.25">
      <c r="I7959" s="11" t="b">
        <f t="shared" si="388"/>
        <v>0</v>
      </c>
      <c r="M7959" s="17" t="str">
        <f t="shared" si="389"/>
        <v/>
      </c>
      <c r="N7959" s="11" t="str">
        <f t="shared" si="390"/>
        <v/>
      </c>
    </row>
    <row r="7960" spans="9:14" x14ac:dyDescent="0.25">
      <c r="I7960" s="11" t="b">
        <f t="shared" si="388"/>
        <v>0</v>
      </c>
      <c r="M7960" s="17" t="str">
        <f t="shared" si="389"/>
        <v/>
      </c>
      <c r="N7960" s="11" t="str">
        <f t="shared" si="390"/>
        <v/>
      </c>
    </row>
    <row r="7961" spans="9:14" x14ac:dyDescent="0.25">
      <c r="I7961" s="11" t="b">
        <f t="shared" si="388"/>
        <v>0</v>
      </c>
      <c r="M7961" s="17" t="str">
        <f t="shared" si="389"/>
        <v/>
      </c>
      <c r="N7961" s="11" t="str">
        <f t="shared" si="390"/>
        <v/>
      </c>
    </row>
    <row r="7962" spans="9:14" x14ac:dyDescent="0.25">
      <c r="I7962" s="11" t="b">
        <f t="shared" si="388"/>
        <v>0</v>
      </c>
      <c r="M7962" s="17" t="str">
        <f t="shared" si="389"/>
        <v/>
      </c>
      <c r="N7962" s="11" t="str">
        <f t="shared" si="390"/>
        <v/>
      </c>
    </row>
    <row r="7963" spans="9:14" x14ac:dyDescent="0.25">
      <c r="I7963" s="11" t="b">
        <f t="shared" si="388"/>
        <v>0</v>
      </c>
      <c r="M7963" s="17" t="str">
        <f t="shared" si="389"/>
        <v/>
      </c>
      <c r="N7963" s="11" t="str">
        <f t="shared" si="390"/>
        <v/>
      </c>
    </row>
    <row r="7964" spans="9:14" x14ac:dyDescent="0.25">
      <c r="I7964" s="11" t="b">
        <f t="shared" si="388"/>
        <v>0</v>
      </c>
      <c r="M7964" s="17" t="str">
        <f t="shared" si="389"/>
        <v/>
      </c>
      <c r="N7964" s="11" t="str">
        <f t="shared" si="390"/>
        <v/>
      </c>
    </row>
    <row r="7965" spans="9:14" x14ac:dyDescent="0.25">
      <c r="I7965" s="11" t="b">
        <f t="shared" ref="I7965:I8028" si="391">IF(AND(G7965="MERCADO PAGO",A7965="FATURAMENTO"),1,IF(AND(OR(G7965="MERCADO PAGO",G7965="pix mercado pago",G7965= "débito automático mercado pago", G7965= "boleto mercado pago"),A7965="DESPESAS"),4,IF(AND(G7965="SAFRA",A7965="FATURAMENTO"),2,IF(AND(OR(G7965="SAFRA",G7965="PIX SAFRA", G7965="DÉBITO AUTOMÁTICO SAFRA", G7965= "BOLETO SAFRA", G7965= "transferência safra"), A7965="DESPESAS"),5,IF(AND(G7965="espécie",A7965="FATURAMENTO"),3,IF(AND(G7965="espécie",A7965="DESPESAS"),6))))))</f>
        <v>0</v>
      </c>
      <c r="M7965" s="17" t="str">
        <f t="shared" si="389"/>
        <v/>
      </c>
      <c r="N7965" s="11" t="str">
        <f t="shared" si="390"/>
        <v/>
      </c>
    </row>
    <row r="7966" spans="9:14" x14ac:dyDescent="0.25">
      <c r="I7966" s="11" t="b">
        <f t="shared" si="391"/>
        <v>0</v>
      </c>
      <c r="M7966" s="17" t="str">
        <f t="shared" si="389"/>
        <v/>
      </c>
      <c r="N7966" s="11" t="str">
        <f t="shared" si="390"/>
        <v/>
      </c>
    </row>
    <row r="7967" spans="9:14" x14ac:dyDescent="0.25">
      <c r="I7967" s="11" t="b">
        <f t="shared" si="391"/>
        <v>0</v>
      </c>
      <c r="M7967" s="17" t="str">
        <f t="shared" si="389"/>
        <v/>
      </c>
      <c r="N7967" s="11" t="str">
        <f t="shared" si="390"/>
        <v/>
      </c>
    </row>
    <row r="7968" spans="9:14" x14ac:dyDescent="0.25">
      <c r="I7968" s="11" t="b">
        <f t="shared" si="391"/>
        <v>0</v>
      </c>
      <c r="M7968" s="17" t="str">
        <f t="shared" si="389"/>
        <v/>
      </c>
      <c r="N7968" s="11" t="str">
        <f t="shared" si="390"/>
        <v/>
      </c>
    </row>
    <row r="7969" spans="9:14" x14ac:dyDescent="0.25">
      <c r="I7969" s="11" t="b">
        <f t="shared" si="391"/>
        <v>0</v>
      </c>
      <c r="M7969" s="17" t="str">
        <f t="shared" si="389"/>
        <v/>
      </c>
      <c r="N7969" s="11" t="str">
        <f t="shared" si="390"/>
        <v/>
      </c>
    </row>
    <row r="7970" spans="9:14" x14ac:dyDescent="0.25">
      <c r="I7970" s="11" t="b">
        <f t="shared" si="391"/>
        <v>0</v>
      </c>
      <c r="M7970" s="17" t="str">
        <f t="shared" si="389"/>
        <v/>
      </c>
      <c r="N7970" s="11" t="str">
        <f t="shared" si="390"/>
        <v/>
      </c>
    </row>
    <row r="7971" spans="9:14" x14ac:dyDescent="0.25">
      <c r="I7971" s="11" t="b">
        <f t="shared" si="391"/>
        <v>0</v>
      </c>
      <c r="M7971" s="17" t="str">
        <f t="shared" si="389"/>
        <v/>
      </c>
      <c r="N7971" s="11" t="str">
        <f t="shared" si="390"/>
        <v/>
      </c>
    </row>
    <row r="7972" spans="9:14" x14ac:dyDescent="0.25">
      <c r="I7972" s="11" t="b">
        <f t="shared" si="391"/>
        <v>0</v>
      </c>
      <c r="M7972" s="17" t="str">
        <f t="shared" si="389"/>
        <v/>
      </c>
      <c r="N7972" s="11" t="str">
        <f t="shared" si="390"/>
        <v/>
      </c>
    </row>
    <row r="7973" spans="9:14" x14ac:dyDescent="0.25">
      <c r="I7973" s="11" t="b">
        <f t="shared" si="391"/>
        <v>0</v>
      </c>
      <c r="M7973" s="17" t="str">
        <f t="shared" si="389"/>
        <v/>
      </c>
      <c r="N7973" s="11" t="str">
        <f t="shared" si="390"/>
        <v/>
      </c>
    </row>
    <row r="7974" spans="9:14" x14ac:dyDescent="0.25">
      <c r="I7974" s="11" t="b">
        <f t="shared" si="391"/>
        <v>0</v>
      </c>
      <c r="M7974" s="17" t="str">
        <f t="shared" si="389"/>
        <v/>
      </c>
      <c r="N7974" s="11" t="str">
        <f t="shared" si="390"/>
        <v/>
      </c>
    </row>
    <row r="7975" spans="9:14" x14ac:dyDescent="0.25">
      <c r="I7975" s="11" t="b">
        <f t="shared" si="391"/>
        <v>0</v>
      </c>
      <c r="M7975" s="17" t="str">
        <f t="shared" si="389"/>
        <v/>
      </c>
      <c r="N7975" s="11" t="str">
        <f t="shared" si="390"/>
        <v/>
      </c>
    </row>
    <row r="7976" spans="9:14" x14ac:dyDescent="0.25">
      <c r="I7976" s="11" t="b">
        <f t="shared" si="391"/>
        <v>0</v>
      </c>
      <c r="M7976" s="17" t="str">
        <f t="shared" si="389"/>
        <v/>
      </c>
      <c r="N7976" s="11" t="str">
        <f t="shared" si="390"/>
        <v/>
      </c>
    </row>
    <row r="7977" spans="9:14" x14ac:dyDescent="0.25">
      <c r="I7977" s="11" t="b">
        <f t="shared" si="391"/>
        <v>0</v>
      </c>
      <c r="M7977" s="17" t="str">
        <f t="shared" si="389"/>
        <v/>
      </c>
      <c r="N7977" s="11" t="str">
        <f t="shared" si="390"/>
        <v/>
      </c>
    </row>
    <row r="7978" spans="9:14" x14ac:dyDescent="0.25">
      <c r="I7978" s="11" t="b">
        <f t="shared" si="391"/>
        <v>0</v>
      </c>
      <c r="M7978" s="17" t="str">
        <f t="shared" si="389"/>
        <v/>
      </c>
      <c r="N7978" s="11" t="str">
        <f t="shared" si="390"/>
        <v/>
      </c>
    </row>
    <row r="7979" spans="9:14" x14ac:dyDescent="0.25">
      <c r="I7979" s="11" t="b">
        <f t="shared" si="391"/>
        <v>0</v>
      </c>
      <c r="M7979" s="17" t="str">
        <f t="shared" si="389"/>
        <v/>
      </c>
      <c r="N7979" s="11" t="str">
        <f t="shared" si="390"/>
        <v/>
      </c>
    </row>
    <row r="7980" spans="9:14" x14ac:dyDescent="0.25">
      <c r="I7980" s="11" t="b">
        <f t="shared" si="391"/>
        <v>0</v>
      </c>
      <c r="M7980" s="17" t="str">
        <f t="shared" si="389"/>
        <v/>
      </c>
      <c r="N7980" s="11" t="str">
        <f t="shared" si="390"/>
        <v/>
      </c>
    </row>
    <row r="7981" spans="9:14" x14ac:dyDescent="0.25">
      <c r="I7981" s="11" t="b">
        <f t="shared" si="391"/>
        <v>0</v>
      </c>
      <c r="M7981" s="17" t="str">
        <f t="shared" si="389"/>
        <v/>
      </c>
      <c r="N7981" s="11" t="str">
        <f t="shared" si="390"/>
        <v/>
      </c>
    </row>
    <row r="7982" spans="9:14" x14ac:dyDescent="0.25">
      <c r="I7982" s="11" t="b">
        <f t="shared" si="391"/>
        <v>0</v>
      </c>
      <c r="M7982" s="17" t="str">
        <f t="shared" si="389"/>
        <v/>
      </c>
      <c r="N7982" s="11" t="str">
        <f t="shared" si="390"/>
        <v/>
      </c>
    </row>
    <row r="7983" spans="9:14" x14ac:dyDescent="0.25">
      <c r="I7983" s="11" t="b">
        <f t="shared" si="391"/>
        <v>0</v>
      </c>
      <c r="M7983" s="17" t="str">
        <f t="shared" si="389"/>
        <v/>
      </c>
      <c r="N7983" s="11" t="str">
        <f t="shared" si="390"/>
        <v/>
      </c>
    </row>
    <row r="7984" spans="9:14" x14ac:dyDescent="0.25">
      <c r="I7984" s="11" t="b">
        <f t="shared" si="391"/>
        <v>0</v>
      </c>
      <c r="M7984" s="17" t="str">
        <f t="shared" si="389"/>
        <v/>
      </c>
      <c r="N7984" s="11" t="str">
        <f t="shared" si="390"/>
        <v/>
      </c>
    </row>
    <row r="7985" spans="9:14" x14ac:dyDescent="0.25">
      <c r="I7985" s="11" t="b">
        <f t="shared" si="391"/>
        <v>0</v>
      </c>
      <c r="M7985" s="17" t="str">
        <f t="shared" si="389"/>
        <v/>
      </c>
      <c r="N7985" s="11" t="str">
        <f t="shared" si="390"/>
        <v/>
      </c>
    </row>
    <row r="7986" spans="9:14" x14ac:dyDescent="0.25">
      <c r="I7986" s="11" t="b">
        <f t="shared" si="391"/>
        <v>0</v>
      </c>
      <c r="M7986" s="17" t="str">
        <f t="shared" si="389"/>
        <v/>
      </c>
      <c r="N7986" s="11" t="str">
        <f t="shared" si="390"/>
        <v/>
      </c>
    </row>
    <row r="7987" spans="9:14" x14ac:dyDescent="0.25">
      <c r="I7987" s="11" t="b">
        <f t="shared" si="391"/>
        <v>0</v>
      </c>
      <c r="M7987" s="17" t="str">
        <f t="shared" si="389"/>
        <v/>
      </c>
      <c r="N7987" s="11" t="str">
        <f t="shared" si="390"/>
        <v/>
      </c>
    </row>
    <row r="7988" spans="9:14" x14ac:dyDescent="0.25">
      <c r="I7988" s="11" t="b">
        <f t="shared" si="391"/>
        <v>0</v>
      </c>
      <c r="M7988" s="17" t="str">
        <f t="shared" si="389"/>
        <v/>
      </c>
      <c r="N7988" s="11" t="str">
        <f t="shared" si="390"/>
        <v/>
      </c>
    </row>
    <row r="7989" spans="9:14" x14ac:dyDescent="0.25">
      <c r="I7989" s="11" t="b">
        <f t="shared" si="391"/>
        <v>0</v>
      </c>
      <c r="M7989" s="17" t="str">
        <f t="shared" si="389"/>
        <v/>
      </c>
      <c r="N7989" s="11" t="str">
        <f t="shared" si="390"/>
        <v/>
      </c>
    </row>
    <row r="7990" spans="9:14" x14ac:dyDescent="0.25">
      <c r="I7990" s="11" t="b">
        <f t="shared" si="391"/>
        <v>0</v>
      </c>
      <c r="M7990" s="17" t="str">
        <f t="shared" si="389"/>
        <v/>
      </c>
      <c r="N7990" s="11" t="str">
        <f t="shared" si="390"/>
        <v/>
      </c>
    </row>
    <row r="7991" spans="9:14" x14ac:dyDescent="0.25">
      <c r="I7991" s="11" t="b">
        <f t="shared" si="391"/>
        <v>0</v>
      </c>
      <c r="M7991" s="17" t="str">
        <f t="shared" si="389"/>
        <v/>
      </c>
      <c r="N7991" s="11" t="str">
        <f t="shared" si="390"/>
        <v/>
      </c>
    </row>
    <row r="7992" spans="9:14" x14ac:dyDescent="0.25">
      <c r="I7992" s="11" t="b">
        <f t="shared" si="391"/>
        <v>0</v>
      </c>
      <c r="M7992" s="17" t="str">
        <f t="shared" si="389"/>
        <v/>
      </c>
      <c r="N7992" s="11" t="str">
        <f t="shared" si="390"/>
        <v/>
      </c>
    </row>
    <row r="7993" spans="9:14" x14ac:dyDescent="0.25">
      <c r="I7993" s="11" t="b">
        <f t="shared" si="391"/>
        <v>0</v>
      </c>
      <c r="M7993" s="17" t="str">
        <f t="shared" si="389"/>
        <v/>
      </c>
      <c r="N7993" s="11" t="str">
        <f t="shared" si="390"/>
        <v/>
      </c>
    </row>
    <row r="7994" spans="9:14" x14ac:dyDescent="0.25">
      <c r="I7994" s="11" t="b">
        <f t="shared" si="391"/>
        <v>0</v>
      </c>
      <c r="M7994" s="17" t="str">
        <f t="shared" si="389"/>
        <v/>
      </c>
      <c r="N7994" s="11" t="str">
        <f t="shared" si="390"/>
        <v/>
      </c>
    </row>
    <row r="7995" spans="9:14" x14ac:dyDescent="0.25">
      <c r="I7995" s="11" t="b">
        <f t="shared" si="391"/>
        <v>0</v>
      </c>
      <c r="M7995" s="17" t="str">
        <f t="shared" si="389"/>
        <v/>
      </c>
      <c r="N7995" s="11" t="str">
        <f t="shared" si="390"/>
        <v/>
      </c>
    </row>
    <row r="7996" spans="9:14" x14ac:dyDescent="0.25">
      <c r="I7996" s="11" t="b">
        <f t="shared" si="391"/>
        <v>0</v>
      </c>
      <c r="M7996" s="17" t="str">
        <f t="shared" si="389"/>
        <v/>
      </c>
      <c r="N7996" s="11" t="str">
        <f t="shared" si="390"/>
        <v/>
      </c>
    </row>
    <row r="7997" spans="9:14" x14ac:dyDescent="0.25">
      <c r="I7997" s="11" t="b">
        <f t="shared" si="391"/>
        <v>0</v>
      </c>
      <c r="M7997" s="17" t="str">
        <f t="shared" si="389"/>
        <v/>
      </c>
      <c r="N7997" s="11" t="str">
        <f t="shared" si="390"/>
        <v/>
      </c>
    </row>
    <row r="7998" spans="9:14" x14ac:dyDescent="0.25">
      <c r="I7998" s="11" t="b">
        <f t="shared" si="391"/>
        <v>0</v>
      </c>
      <c r="M7998" s="17" t="str">
        <f t="shared" si="389"/>
        <v/>
      </c>
      <c r="N7998" s="11" t="str">
        <f t="shared" si="390"/>
        <v/>
      </c>
    </row>
    <row r="7999" spans="9:14" x14ac:dyDescent="0.25">
      <c r="I7999" s="11" t="b">
        <f t="shared" si="391"/>
        <v>0</v>
      </c>
      <c r="M7999" s="17" t="str">
        <f t="shared" si="389"/>
        <v/>
      </c>
      <c r="N7999" s="11" t="str">
        <f t="shared" si="390"/>
        <v/>
      </c>
    </row>
    <row r="8000" spans="9:14" x14ac:dyDescent="0.25">
      <c r="I8000" s="11" t="b">
        <f t="shared" si="391"/>
        <v>0</v>
      </c>
      <c r="M8000" s="17" t="str">
        <f t="shared" si="389"/>
        <v/>
      </c>
      <c r="N8000" s="11" t="str">
        <f t="shared" si="390"/>
        <v/>
      </c>
    </row>
    <row r="8001" spans="9:14" x14ac:dyDescent="0.25">
      <c r="I8001" s="11" t="b">
        <f t="shared" si="391"/>
        <v>0</v>
      </c>
      <c r="M8001" s="17" t="str">
        <f t="shared" ref="M8001:M8064" si="392">IF(B8001=0, "",M8000+ J8001-K8001)</f>
        <v/>
      </c>
      <c r="N8001" s="11" t="str">
        <f t="shared" ref="N8001:N8064" si="393">IF(B8001=0, "", MONTH(B8001))</f>
        <v/>
      </c>
    </row>
    <row r="8002" spans="9:14" x14ac:dyDescent="0.25">
      <c r="I8002" s="11" t="b">
        <f t="shared" si="391"/>
        <v>0</v>
      </c>
      <c r="M8002" s="17" t="str">
        <f t="shared" si="392"/>
        <v/>
      </c>
      <c r="N8002" s="11" t="str">
        <f t="shared" si="393"/>
        <v/>
      </c>
    </row>
    <row r="8003" spans="9:14" x14ac:dyDescent="0.25">
      <c r="I8003" s="11" t="b">
        <f t="shared" si="391"/>
        <v>0</v>
      </c>
      <c r="M8003" s="17" t="str">
        <f t="shared" si="392"/>
        <v/>
      </c>
      <c r="N8003" s="11" t="str">
        <f t="shared" si="393"/>
        <v/>
      </c>
    </row>
    <row r="8004" spans="9:14" x14ac:dyDescent="0.25">
      <c r="I8004" s="11" t="b">
        <f t="shared" si="391"/>
        <v>0</v>
      </c>
      <c r="M8004" s="17" t="str">
        <f t="shared" si="392"/>
        <v/>
      </c>
      <c r="N8004" s="11" t="str">
        <f t="shared" si="393"/>
        <v/>
      </c>
    </row>
    <row r="8005" spans="9:14" x14ac:dyDescent="0.25">
      <c r="I8005" s="11" t="b">
        <f t="shared" si="391"/>
        <v>0</v>
      </c>
      <c r="M8005" s="17" t="str">
        <f t="shared" si="392"/>
        <v/>
      </c>
      <c r="N8005" s="11" t="str">
        <f t="shared" si="393"/>
        <v/>
      </c>
    </row>
    <row r="8006" spans="9:14" x14ac:dyDescent="0.25">
      <c r="I8006" s="11" t="b">
        <f t="shared" si="391"/>
        <v>0</v>
      </c>
      <c r="M8006" s="17" t="str">
        <f t="shared" si="392"/>
        <v/>
      </c>
      <c r="N8006" s="11" t="str">
        <f t="shared" si="393"/>
        <v/>
      </c>
    </row>
    <row r="8007" spans="9:14" x14ac:dyDescent="0.25">
      <c r="I8007" s="11" t="b">
        <f t="shared" si="391"/>
        <v>0</v>
      </c>
      <c r="M8007" s="17" t="str">
        <f t="shared" si="392"/>
        <v/>
      </c>
      <c r="N8007" s="11" t="str">
        <f t="shared" si="393"/>
        <v/>
      </c>
    </row>
    <row r="8008" spans="9:14" x14ac:dyDescent="0.25">
      <c r="I8008" s="11" t="b">
        <f t="shared" si="391"/>
        <v>0</v>
      </c>
      <c r="M8008" s="17" t="str">
        <f t="shared" si="392"/>
        <v/>
      </c>
      <c r="N8008" s="11" t="str">
        <f t="shared" si="393"/>
        <v/>
      </c>
    </row>
    <row r="8009" spans="9:14" x14ac:dyDescent="0.25">
      <c r="I8009" s="11" t="b">
        <f t="shared" si="391"/>
        <v>0</v>
      </c>
      <c r="M8009" s="17" t="str">
        <f t="shared" si="392"/>
        <v/>
      </c>
      <c r="N8009" s="11" t="str">
        <f t="shared" si="393"/>
        <v/>
      </c>
    </row>
    <row r="8010" spans="9:14" x14ac:dyDescent="0.25">
      <c r="I8010" s="11" t="b">
        <f t="shared" si="391"/>
        <v>0</v>
      </c>
      <c r="M8010" s="17" t="str">
        <f t="shared" si="392"/>
        <v/>
      </c>
      <c r="N8010" s="11" t="str">
        <f t="shared" si="393"/>
        <v/>
      </c>
    </row>
    <row r="8011" spans="9:14" x14ac:dyDescent="0.25">
      <c r="I8011" s="11" t="b">
        <f t="shared" si="391"/>
        <v>0</v>
      </c>
      <c r="M8011" s="17" t="str">
        <f t="shared" si="392"/>
        <v/>
      </c>
      <c r="N8011" s="11" t="str">
        <f t="shared" si="393"/>
        <v/>
      </c>
    </row>
    <row r="8012" spans="9:14" x14ac:dyDescent="0.25">
      <c r="I8012" s="11" t="b">
        <f t="shared" si="391"/>
        <v>0</v>
      </c>
      <c r="M8012" s="17" t="str">
        <f t="shared" si="392"/>
        <v/>
      </c>
      <c r="N8012" s="11" t="str">
        <f t="shared" si="393"/>
        <v/>
      </c>
    </row>
    <row r="8013" spans="9:14" x14ac:dyDescent="0.25">
      <c r="I8013" s="11" t="b">
        <f t="shared" si="391"/>
        <v>0</v>
      </c>
      <c r="M8013" s="17" t="str">
        <f t="shared" si="392"/>
        <v/>
      </c>
      <c r="N8013" s="11" t="str">
        <f t="shared" si="393"/>
        <v/>
      </c>
    </row>
    <row r="8014" spans="9:14" x14ac:dyDescent="0.25">
      <c r="I8014" s="11" t="b">
        <f t="shared" si="391"/>
        <v>0</v>
      </c>
      <c r="M8014" s="17" t="str">
        <f t="shared" si="392"/>
        <v/>
      </c>
      <c r="N8014" s="11" t="str">
        <f t="shared" si="393"/>
        <v/>
      </c>
    </row>
    <row r="8015" spans="9:14" x14ac:dyDescent="0.25">
      <c r="I8015" s="11" t="b">
        <f t="shared" si="391"/>
        <v>0</v>
      </c>
      <c r="M8015" s="17" t="str">
        <f t="shared" si="392"/>
        <v/>
      </c>
      <c r="N8015" s="11" t="str">
        <f t="shared" si="393"/>
        <v/>
      </c>
    </row>
    <row r="8016" spans="9:14" x14ac:dyDescent="0.25">
      <c r="I8016" s="11" t="b">
        <f t="shared" si="391"/>
        <v>0</v>
      </c>
      <c r="M8016" s="17" t="str">
        <f t="shared" si="392"/>
        <v/>
      </c>
      <c r="N8016" s="11" t="str">
        <f t="shared" si="393"/>
        <v/>
      </c>
    </row>
    <row r="8017" spans="9:14" x14ac:dyDescent="0.25">
      <c r="I8017" s="11" t="b">
        <f t="shared" si="391"/>
        <v>0</v>
      </c>
      <c r="M8017" s="17" t="str">
        <f t="shared" si="392"/>
        <v/>
      </c>
      <c r="N8017" s="11" t="str">
        <f t="shared" si="393"/>
        <v/>
      </c>
    </row>
    <row r="8018" spans="9:14" x14ac:dyDescent="0.25">
      <c r="I8018" s="11" t="b">
        <f t="shared" si="391"/>
        <v>0</v>
      </c>
      <c r="M8018" s="17" t="str">
        <f t="shared" si="392"/>
        <v/>
      </c>
      <c r="N8018" s="11" t="str">
        <f t="shared" si="393"/>
        <v/>
      </c>
    </row>
    <row r="8019" spans="9:14" x14ac:dyDescent="0.25">
      <c r="I8019" s="11" t="b">
        <f t="shared" si="391"/>
        <v>0</v>
      </c>
      <c r="M8019" s="17" t="str">
        <f t="shared" si="392"/>
        <v/>
      </c>
      <c r="N8019" s="11" t="str">
        <f t="shared" si="393"/>
        <v/>
      </c>
    </row>
    <row r="8020" spans="9:14" x14ac:dyDescent="0.25">
      <c r="I8020" s="11" t="b">
        <f t="shared" si="391"/>
        <v>0</v>
      </c>
      <c r="M8020" s="17" t="str">
        <f t="shared" si="392"/>
        <v/>
      </c>
      <c r="N8020" s="11" t="str">
        <f t="shared" si="393"/>
        <v/>
      </c>
    </row>
    <row r="8021" spans="9:14" x14ac:dyDescent="0.25">
      <c r="I8021" s="11" t="b">
        <f t="shared" si="391"/>
        <v>0</v>
      </c>
      <c r="M8021" s="17" t="str">
        <f t="shared" si="392"/>
        <v/>
      </c>
      <c r="N8021" s="11" t="str">
        <f t="shared" si="393"/>
        <v/>
      </c>
    </row>
    <row r="8022" spans="9:14" x14ac:dyDescent="0.25">
      <c r="I8022" s="11" t="b">
        <f t="shared" si="391"/>
        <v>0</v>
      </c>
      <c r="M8022" s="17" t="str">
        <f t="shared" si="392"/>
        <v/>
      </c>
      <c r="N8022" s="11" t="str">
        <f t="shared" si="393"/>
        <v/>
      </c>
    </row>
    <row r="8023" spans="9:14" x14ac:dyDescent="0.25">
      <c r="I8023" s="11" t="b">
        <f t="shared" si="391"/>
        <v>0</v>
      </c>
      <c r="M8023" s="17" t="str">
        <f t="shared" si="392"/>
        <v/>
      </c>
      <c r="N8023" s="11" t="str">
        <f t="shared" si="393"/>
        <v/>
      </c>
    </row>
    <row r="8024" spans="9:14" x14ac:dyDescent="0.25">
      <c r="I8024" s="11" t="b">
        <f t="shared" si="391"/>
        <v>0</v>
      </c>
      <c r="M8024" s="17" t="str">
        <f t="shared" si="392"/>
        <v/>
      </c>
      <c r="N8024" s="11" t="str">
        <f t="shared" si="393"/>
        <v/>
      </c>
    </row>
    <row r="8025" spans="9:14" x14ac:dyDescent="0.25">
      <c r="I8025" s="11" t="b">
        <f t="shared" si="391"/>
        <v>0</v>
      </c>
      <c r="M8025" s="17" t="str">
        <f t="shared" si="392"/>
        <v/>
      </c>
      <c r="N8025" s="11" t="str">
        <f t="shared" si="393"/>
        <v/>
      </c>
    </row>
    <row r="8026" spans="9:14" x14ac:dyDescent="0.25">
      <c r="I8026" s="11" t="b">
        <f t="shared" si="391"/>
        <v>0</v>
      </c>
      <c r="M8026" s="17" t="str">
        <f t="shared" si="392"/>
        <v/>
      </c>
      <c r="N8026" s="11" t="str">
        <f t="shared" si="393"/>
        <v/>
      </c>
    </row>
    <row r="8027" spans="9:14" x14ac:dyDescent="0.25">
      <c r="I8027" s="11" t="b">
        <f t="shared" si="391"/>
        <v>0</v>
      </c>
      <c r="M8027" s="17" t="str">
        <f t="shared" si="392"/>
        <v/>
      </c>
      <c r="N8027" s="11" t="str">
        <f t="shared" si="393"/>
        <v/>
      </c>
    </row>
    <row r="8028" spans="9:14" x14ac:dyDescent="0.25">
      <c r="I8028" s="11" t="b">
        <f t="shared" si="391"/>
        <v>0</v>
      </c>
      <c r="M8028" s="17" t="str">
        <f t="shared" si="392"/>
        <v/>
      </c>
      <c r="N8028" s="11" t="str">
        <f t="shared" si="393"/>
        <v/>
      </c>
    </row>
    <row r="8029" spans="9:14" x14ac:dyDescent="0.25">
      <c r="I8029" s="11" t="b">
        <f t="shared" ref="I8029:I8092" si="394">IF(AND(G8029="MERCADO PAGO",A8029="FATURAMENTO"),1,IF(AND(OR(G8029="MERCADO PAGO",G8029="pix mercado pago",G8029= "débito automático mercado pago", G8029= "boleto mercado pago"),A8029="DESPESAS"),4,IF(AND(G8029="SAFRA",A8029="FATURAMENTO"),2,IF(AND(OR(G8029="SAFRA",G8029="PIX SAFRA", G8029="DÉBITO AUTOMÁTICO SAFRA", G8029= "BOLETO SAFRA", G8029= "transferência safra"), A8029="DESPESAS"),5,IF(AND(G8029="espécie",A8029="FATURAMENTO"),3,IF(AND(G8029="espécie",A8029="DESPESAS"),6))))))</f>
        <v>0</v>
      </c>
      <c r="M8029" s="17" t="str">
        <f t="shared" si="392"/>
        <v/>
      </c>
      <c r="N8029" s="11" t="str">
        <f t="shared" si="393"/>
        <v/>
      </c>
    </row>
    <row r="8030" spans="9:14" x14ac:dyDescent="0.25">
      <c r="I8030" s="11" t="b">
        <f t="shared" si="394"/>
        <v>0</v>
      </c>
      <c r="M8030" s="17" t="str">
        <f t="shared" si="392"/>
        <v/>
      </c>
      <c r="N8030" s="11" t="str">
        <f t="shared" si="393"/>
        <v/>
      </c>
    </row>
    <row r="8031" spans="9:14" x14ac:dyDescent="0.25">
      <c r="I8031" s="11" t="b">
        <f t="shared" si="394"/>
        <v>0</v>
      </c>
      <c r="M8031" s="17" t="str">
        <f t="shared" si="392"/>
        <v/>
      </c>
      <c r="N8031" s="11" t="str">
        <f t="shared" si="393"/>
        <v/>
      </c>
    </row>
    <row r="8032" spans="9:14" x14ac:dyDescent="0.25">
      <c r="I8032" s="11" t="b">
        <f t="shared" si="394"/>
        <v>0</v>
      </c>
      <c r="M8032" s="17" t="str">
        <f t="shared" si="392"/>
        <v/>
      </c>
      <c r="N8032" s="11" t="str">
        <f t="shared" si="393"/>
        <v/>
      </c>
    </row>
    <row r="8033" spans="9:14" x14ac:dyDescent="0.25">
      <c r="I8033" s="11" t="b">
        <f t="shared" si="394"/>
        <v>0</v>
      </c>
      <c r="M8033" s="17" t="str">
        <f t="shared" si="392"/>
        <v/>
      </c>
      <c r="N8033" s="11" t="str">
        <f t="shared" si="393"/>
        <v/>
      </c>
    </row>
    <row r="8034" spans="9:14" x14ac:dyDescent="0.25">
      <c r="I8034" s="11" t="b">
        <f t="shared" si="394"/>
        <v>0</v>
      </c>
      <c r="M8034" s="17" t="str">
        <f t="shared" si="392"/>
        <v/>
      </c>
      <c r="N8034" s="11" t="str">
        <f t="shared" si="393"/>
        <v/>
      </c>
    </row>
    <row r="8035" spans="9:14" x14ac:dyDescent="0.25">
      <c r="I8035" s="11" t="b">
        <f t="shared" si="394"/>
        <v>0</v>
      </c>
      <c r="M8035" s="17" t="str">
        <f t="shared" si="392"/>
        <v/>
      </c>
      <c r="N8035" s="11" t="str">
        <f t="shared" si="393"/>
        <v/>
      </c>
    </row>
    <row r="8036" spans="9:14" x14ac:dyDescent="0.25">
      <c r="I8036" s="11" t="b">
        <f t="shared" si="394"/>
        <v>0</v>
      </c>
      <c r="M8036" s="17" t="str">
        <f t="shared" si="392"/>
        <v/>
      </c>
      <c r="N8036" s="11" t="str">
        <f t="shared" si="393"/>
        <v/>
      </c>
    </row>
    <row r="8037" spans="9:14" x14ac:dyDescent="0.25">
      <c r="I8037" s="11" t="b">
        <f t="shared" si="394"/>
        <v>0</v>
      </c>
      <c r="M8037" s="17" t="str">
        <f t="shared" si="392"/>
        <v/>
      </c>
      <c r="N8037" s="11" t="str">
        <f t="shared" si="393"/>
        <v/>
      </c>
    </row>
    <row r="8038" spans="9:14" x14ac:dyDescent="0.25">
      <c r="I8038" s="11" t="b">
        <f t="shared" si="394"/>
        <v>0</v>
      </c>
      <c r="M8038" s="17" t="str">
        <f t="shared" si="392"/>
        <v/>
      </c>
      <c r="N8038" s="11" t="str">
        <f t="shared" si="393"/>
        <v/>
      </c>
    </row>
    <row r="8039" spans="9:14" x14ac:dyDescent="0.25">
      <c r="I8039" s="11" t="b">
        <f t="shared" si="394"/>
        <v>0</v>
      </c>
      <c r="M8039" s="17" t="str">
        <f t="shared" si="392"/>
        <v/>
      </c>
      <c r="N8039" s="11" t="str">
        <f t="shared" si="393"/>
        <v/>
      </c>
    </row>
    <row r="8040" spans="9:14" x14ac:dyDescent="0.25">
      <c r="I8040" s="11" t="b">
        <f t="shared" si="394"/>
        <v>0</v>
      </c>
      <c r="M8040" s="17" t="str">
        <f t="shared" si="392"/>
        <v/>
      </c>
      <c r="N8040" s="11" t="str">
        <f t="shared" si="393"/>
        <v/>
      </c>
    </row>
    <row r="8041" spans="9:14" x14ac:dyDescent="0.25">
      <c r="I8041" s="11" t="b">
        <f t="shared" si="394"/>
        <v>0</v>
      </c>
      <c r="M8041" s="17" t="str">
        <f t="shared" si="392"/>
        <v/>
      </c>
      <c r="N8041" s="11" t="str">
        <f t="shared" si="393"/>
        <v/>
      </c>
    </row>
    <row r="8042" spans="9:14" x14ac:dyDescent="0.25">
      <c r="I8042" s="11" t="b">
        <f t="shared" si="394"/>
        <v>0</v>
      </c>
      <c r="M8042" s="17" t="str">
        <f t="shared" si="392"/>
        <v/>
      </c>
      <c r="N8042" s="11" t="str">
        <f t="shared" si="393"/>
        <v/>
      </c>
    </row>
    <row r="8043" spans="9:14" x14ac:dyDescent="0.25">
      <c r="I8043" s="11" t="b">
        <f t="shared" si="394"/>
        <v>0</v>
      </c>
      <c r="M8043" s="17" t="str">
        <f t="shared" si="392"/>
        <v/>
      </c>
      <c r="N8043" s="11" t="str">
        <f t="shared" si="393"/>
        <v/>
      </c>
    </row>
    <row r="8044" spans="9:14" x14ac:dyDescent="0.25">
      <c r="I8044" s="11" t="b">
        <f t="shared" si="394"/>
        <v>0</v>
      </c>
      <c r="M8044" s="17" t="str">
        <f t="shared" si="392"/>
        <v/>
      </c>
      <c r="N8044" s="11" t="str">
        <f t="shared" si="393"/>
        <v/>
      </c>
    </row>
    <row r="8045" spans="9:14" x14ac:dyDescent="0.25">
      <c r="I8045" s="11" t="b">
        <f t="shared" si="394"/>
        <v>0</v>
      </c>
      <c r="M8045" s="17" t="str">
        <f t="shared" si="392"/>
        <v/>
      </c>
      <c r="N8045" s="11" t="str">
        <f t="shared" si="393"/>
        <v/>
      </c>
    </row>
    <row r="8046" spans="9:14" x14ac:dyDescent="0.25">
      <c r="I8046" s="11" t="b">
        <f t="shared" si="394"/>
        <v>0</v>
      </c>
      <c r="M8046" s="17" t="str">
        <f t="shared" si="392"/>
        <v/>
      </c>
      <c r="N8046" s="11" t="str">
        <f t="shared" si="393"/>
        <v/>
      </c>
    </row>
    <row r="8047" spans="9:14" x14ac:dyDescent="0.25">
      <c r="I8047" s="11" t="b">
        <f t="shared" si="394"/>
        <v>0</v>
      </c>
      <c r="M8047" s="17" t="str">
        <f t="shared" si="392"/>
        <v/>
      </c>
      <c r="N8047" s="11" t="str">
        <f t="shared" si="393"/>
        <v/>
      </c>
    </row>
    <row r="8048" spans="9:14" x14ac:dyDescent="0.25">
      <c r="I8048" s="11" t="b">
        <f t="shared" si="394"/>
        <v>0</v>
      </c>
      <c r="M8048" s="17" t="str">
        <f t="shared" si="392"/>
        <v/>
      </c>
      <c r="N8048" s="11" t="str">
        <f t="shared" si="393"/>
        <v/>
      </c>
    </row>
    <row r="8049" spans="9:14" x14ac:dyDescent="0.25">
      <c r="I8049" s="11" t="b">
        <f t="shared" si="394"/>
        <v>0</v>
      </c>
      <c r="M8049" s="17" t="str">
        <f t="shared" si="392"/>
        <v/>
      </c>
      <c r="N8049" s="11" t="str">
        <f t="shared" si="393"/>
        <v/>
      </c>
    </row>
    <row r="8050" spans="9:14" x14ac:dyDescent="0.25">
      <c r="I8050" s="11" t="b">
        <f t="shared" si="394"/>
        <v>0</v>
      </c>
      <c r="M8050" s="17" t="str">
        <f t="shared" si="392"/>
        <v/>
      </c>
      <c r="N8050" s="11" t="str">
        <f t="shared" si="393"/>
        <v/>
      </c>
    </row>
    <row r="8051" spans="9:14" x14ac:dyDescent="0.25">
      <c r="I8051" s="11" t="b">
        <f t="shared" si="394"/>
        <v>0</v>
      </c>
      <c r="M8051" s="17" t="str">
        <f t="shared" si="392"/>
        <v/>
      </c>
      <c r="N8051" s="11" t="str">
        <f t="shared" si="393"/>
        <v/>
      </c>
    </row>
    <row r="8052" spans="9:14" x14ac:dyDescent="0.25">
      <c r="I8052" s="11" t="b">
        <f t="shared" si="394"/>
        <v>0</v>
      </c>
      <c r="M8052" s="17" t="str">
        <f t="shared" si="392"/>
        <v/>
      </c>
      <c r="N8052" s="11" t="str">
        <f t="shared" si="393"/>
        <v/>
      </c>
    </row>
    <row r="8053" spans="9:14" x14ac:dyDescent="0.25">
      <c r="I8053" s="11" t="b">
        <f t="shared" si="394"/>
        <v>0</v>
      </c>
      <c r="M8053" s="17" t="str">
        <f t="shared" si="392"/>
        <v/>
      </c>
      <c r="N8053" s="11" t="str">
        <f t="shared" si="393"/>
        <v/>
      </c>
    </row>
    <row r="8054" spans="9:14" x14ac:dyDescent="0.25">
      <c r="I8054" s="11" t="b">
        <f t="shared" si="394"/>
        <v>0</v>
      </c>
      <c r="M8054" s="17" t="str">
        <f t="shared" si="392"/>
        <v/>
      </c>
      <c r="N8054" s="11" t="str">
        <f t="shared" si="393"/>
        <v/>
      </c>
    </row>
    <row r="8055" spans="9:14" x14ac:dyDescent="0.25">
      <c r="I8055" s="11" t="b">
        <f t="shared" si="394"/>
        <v>0</v>
      </c>
      <c r="M8055" s="17" t="str">
        <f t="shared" si="392"/>
        <v/>
      </c>
      <c r="N8055" s="11" t="str">
        <f t="shared" si="393"/>
        <v/>
      </c>
    </row>
    <row r="8056" spans="9:14" x14ac:dyDescent="0.25">
      <c r="I8056" s="11" t="b">
        <f t="shared" si="394"/>
        <v>0</v>
      </c>
      <c r="M8056" s="17" t="str">
        <f t="shared" si="392"/>
        <v/>
      </c>
      <c r="N8056" s="11" t="str">
        <f t="shared" si="393"/>
        <v/>
      </c>
    </row>
    <row r="8057" spans="9:14" x14ac:dyDescent="0.25">
      <c r="I8057" s="11" t="b">
        <f t="shared" si="394"/>
        <v>0</v>
      </c>
      <c r="M8057" s="17" t="str">
        <f t="shared" si="392"/>
        <v/>
      </c>
      <c r="N8057" s="11" t="str">
        <f t="shared" si="393"/>
        <v/>
      </c>
    </row>
    <row r="8058" spans="9:14" x14ac:dyDescent="0.25">
      <c r="I8058" s="11" t="b">
        <f t="shared" si="394"/>
        <v>0</v>
      </c>
      <c r="M8058" s="17" t="str">
        <f t="shared" si="392"/>
        <v/>
      </c>
      <c r="N8058" s="11" t="str">
        <f t="shared" si="393"/>
        <v/>
      </c>
    </row>
    <row r="8059" spans="9:14" x14ac:dyDescent="0.25">
      <c r="I8059" s="11" t="b">
        <f t="shared" si="394"/>
        <v>0</v>
      </c>
      <c r="M8059" s="17" t="str">
        <f t="shared" si="392"/>
        <v/>
      </c>
      <c r="N8059" s="11" t="str">
        <f t="shared" si="393"/>
        <v/>
      </c>
    </row>
    <row r="8060" spans="9:14" x14ac:dyDescent="0.25">
      <c r="I8060" s="11" t="b">
        <f t="shared" si="394"/>
        <v>0</v>
      </c>
      <c r="M8060" s="17" t="str">
        <f t="shared" si="392"/>
        <v/>
      </c>
      <c r="N8060" s="11" t="str">
        <f t="shared" si="393"/>
        <v/>
      </c>
    </row>
    <row r="8061" spans="9:14" x14ac:dyDescent="0.25">
      <c r="I8061" s="11" t="b">
        <f t="shared" si="394"/>
        <v>0</v>
      </c>
      <c r="M8061" s="17" t="str">
        <f t="shared" si="392"/>
        <v/>
      </c>
      <c r="N8061" s="11" t="str">
        <f t="shared" si="393"/>
        <v/>
      </c>
    </row>
    <row r="8062" spans="9:14" x14ac:dyDescent="0.25">
      <c r="I8062" s="11" t="b">
        <f t="shared" si="394"/>
        <v>0</v>
      </c>
      <c r="M8062" s="17" t="str">
        <f t="shared" si="392"/>
        <v/>
      </c>
      <c r="N8062" s="11" t="str">
        <f t="shared" si="393"/>
        <v/>
      </c>
    </row>
    <row r="8063" spans="9:14" x14ac:dyDescent="0.25">
      <c r="I8063" s="11" t="b">
        <f t="shared" si="394"/>
        <v>0</v>
      </c>
      <c r="M8063" s="17" t="str">
        <f t="shared" si="392"/>
        <v/>
      </c>
      <c r="N8063" s="11" t="str">
        <f t="shared" si="393"/>
        <v/>
      </c>
    </row>
    <row r="8064" spans="9:14" x14ac:dyDescent="0.25">
      <c r="I8064" s="11" t="b">
        <f t="shared" si="394"/>
        <v>0</v>
      </c>
      <c r="M8064" s="17" t="str">
        <f t="shared" si="392"/>
        <v/>
      </c>
      <c r="N8064" s="11" t="str">
        <f t="shared" si="393"/>
        <v/>
      </c>
    </row>
    <row r="8065" spans="9:14" x14ac:dyDescent="0.25">
      <c r="I8065" s="11" t="b">
        <f t="shared" si="394"/>
        <v>0</v>
      </c>
      <c r="M8065" s="17" t="str">
        <f t="shared" ref="M8065:M8128" si="395">IF(B8065=0, "",M8064+ J8065-K8065)</f>
        <v/>
      </c>
      <c r="N8065" s="11" t="str">
        <f t="shared" ref="N8065:N8128" si="396">IF(B8065=0, "", MONTH(B8065))</f>
        <v/>
      </c>
    </row>
    <row r="8066" spans="9:14" x14ac:dyDescent="0.25">
      <c r="I8066" s="11" t="b">
        <f t="shared" si="394"/>
        <v>0</v>
      </c>
      <c r="M8066" s="17" t="str">
        <f t="shared" si="395"/>
        <v/>
      </c>
      <c r="N8066" s="11" t="str">
        <f t="shared" si="396"/>
        <v/>
      </c>
    </row>
    <row r="8067" spans="9:14" x14ac:dyDescent="0.25">
      <c r="I8067" s="11" t="b">
        <f t="shared" si="394"/>
        <v>0</v>
      </c>
      <c r="M8067" s="17" t="str">
        <f t="shared" si="395"/>
        <v/>
      </c>
      <c r="N8067" s="11" t="str">
        <f t="shared" si="396"/>
        <v/>
      </c>
    </row>
    <row r="8068" spans="9:14" x14ac:dyDescent="0.25">
      <c r="I8068" s="11" t="b">
        <f t="shared" si="394"/>
        <v>0</v>
      </c>
      <c r="M8068" s="17" t="str">
        <f t="shared" si="395"/>
        <v/>
      </c>
      <c r="N8068" s="11" t="str">
        <f t="shared" si="396"/>
        <v/>
      </c>
    </row>
    <row r="8069" spans="9:14" x14ac:dyDescent="0.25">
      <c r="I8069" s="11" t="b">
        <f t="shared" si="394"/>
        <v>0</v>
      </c>
      <c r="M8069" s="17" t="str">
        <f t="shared" si="395"/>
        <v/>
      </c>
      <c r="N8069" s="11" t="str">
        <f t="shared" si="396"/>
        <v/>
      </c>
    </row>
    <row r="8070" spans="9:14" x14ac:dyDescent="0.25">
      <c r="I8070" s="11" t="b">
        <f t="shared" si="394"/>
        <v>0</v>
      </c>
      <c r="M8070" s="17" t="str">
        <f t="shared" si="395"/>
        <v/>
      </c>
      <c r="N8070" s="11" t="str">
        <f t="shared" si="396"/>
        <v/>
      </c>
    </row>
    <row r="8071" spans="9:14" x14ac:dyDescent="0.25">
      <c r="I8071" s="11" t="b">
        <f t="shared" si="394"/>
        <v>0</v>
      </c>
      <c r="M8071" s="17" t="str">
        <f t="shared" si="395"/>
        <v/>
      </c>
      <c r="N8071" s="11" t="str">
        <f t="shared" si="396"/>
        <v/>
      </c>
    </row>
    <row r="8072" spans="9:14" x14ac:dyDescent="0.25">
      <c r="I8072" s="11" t="b">
        <f t="shared" si="394"/>
        <v>0</v>
      </c>
      <c r="M8072" s="17" t="str">
        <f t="shared" si="395"/>
        <v/>
      </c>
      <c r="N8072" s="11" t="str">
        <f t="shared" si="396"/>
        <v/>
      </c>
    </row>
    <row r="8073" spans="9:14" x14ac:dyDescent="0.25">
      <c r="I8073" s="11" t="b">
        <f t="shared" si="394"/>
        <v>0</v>
      </c>
      <c r="M8073" s="17" t="str">
        <f t="shared" si="395"/>
        <v/>
      </c>
      <c r="N8073" s="11" t="str">
        <f t="shared" si="396"/>
        <v/>
      </c>
    </row>
    <row r="8074" spans="9:14" x14ac:dyDescent="0.25">
      <c r="I8074" s="11" t="b">
        <f t="shared" si="394"/>
        <v>0</v>
      </c>
      <c r="M8074" s="17" t="str">
        <f t="shared" si="395"/>
        <v/>
      </c>
      <c r="N8074" s="11" t="str">
        <f t="shared" si="396"/>
        <v/>
      </c>
    </row>
    <row r="8075" spans="9:14" x14ac:dyDescent="0.25">
      <c r="I8075" s="11" t="b">
        <f t="shared" si="394"/>
        <v>0</v>
      </c>
      <c r="M8075" s="17" t="str">
        <f t="shared" si="395"/>
        <v/>
      </c>
      <c r="N8075" s="11" t="str">
        <f t="shared" si="396"/>
        <v/>
      </c>
    </row>
    <row r="8076" spans="9:14" x14ac:dyDescent="0.25">
      <c r="I8076" s="11" t="b">
        <f t="shared" si="394"/>
        <v>0</v>
      </c>
      <c r="M8076" s="17" t="str">
        <f t="shared" si="395"/>
        <v/>
      </c>
      <c r="N8076" s="11" t="str">
        <f t="shared" si="396"/>
        <v/>
      </c>
    </row>
    <row r="8077" spans="9:14" x14ac:dyDescent="0.25">
      <c r="I8077" s="11" t="b">
        <f t="shared" si="394"/>
        <v>0</v>
      </c>
      <c r="M8077" s="17" t="str">
        <f t="shared" si="395"/>
        <v/>
      </c>
      <c r="N8077" s="11" t="str">
        <f t="shared" si="396"/>
        <v/>
      </c>
    </row>
    <row r="8078" spans="9:14" x14ac:dyDescent="0.25">
      <c r="I8078" s="11" t="b">
        <f t="shared" si="394"/>
        <v>0</v>
      </c>
      <c r="M8078" s="17" t="str">
        <f t="shared" si="395"/>
        <v/>
      </c>
      <c r="N8078" s="11" t="str">
        <f t="shared" si="396"/>
        <v/>
      </c>
    </row>
    <row r="8079" spans="9:14" x14ac:dyDescent="0.25">
      <c r="I8079" s="11" t="b">
        <f t="shared" si="394"/>
        <v>0</v>
      </c>
      <c r="M8079" s="17" t="str">
        <f t="shared" si="395"/>
        <v/>
      </c>
      <c r="N8079" s="11" t="str">
        <f t="shared" si="396"/>
        <v/>
      </c>
    </row>
    <row r="8080" spans="9:14" x14ac:dyDescent="0.25">
      <c r="I8080" s="11" t="b">
        <f t="shared" si="394"/>
        <v>0</v>
      </c>
      <c r="M8080" s="17" t="str">
        <f t="shared" si="395"/>
        <v/>
      </c>
      <c r="N8080" s="11" t="str">
        <f t="shared" si="396"/>
        <v/>
      </c>
    </row>
    <row r="8081" spans="9:14" x14ac:dyDescent="0.25">
      <c r="I8081" s="11" t="b">
        <f t="shared" si="394"/>
        <v>0</v>
      </c>
      <c r="M8081" s="17" t="str">
        <f t="shared" si="395"/>
        <v/>
      </c>
      <c r="N8081" s="11" t="str">
        <f t="shared" si="396"/>
        <v/>
      </c>
    </row>
    <row r="8082" spans="9:14" x14ac:dyDescent="0.25">
      <c r="I8082" s="11" t="b">
        <f t="shared" si="394"/>
        <v>0</v>
      </c>
      <c r="M8082" s="17" t="str">
        <f t="shared" si="395"/>
        <v/>
      </c>
      <c r="N8082" s="11" t="str">
        <f t="shared" si="396"/>
        <v/>
      </c>
    </row>
    <row r="8083" spans="9:14" x14ac:dyDescent="0.25">
      <c r="I8083" s="11" t="b">
        <f t="shared" si="394"/>
        <v>0</v>
      </c>
      <c r="M8083" s="17" t="str">
        <f t="shared" si="395"/>
        <v/>
      </c>
      <c r="N8083" s="11" t="str">
        <f t="shared" si="396"/>
        <v/>
      </c>
    </row>
    <row r="8084" spans="9:14" x14ac:dyDescent="0.25">
      <c r="I8084" s="11" t="b">
        <f t="shared" si="394"/>
        <v>0</v>
      </c>
      <c r="M8084" s="17" t="str">
        <f t="shared" si="395"/>
        <v/>
      </c>
      <c r="N8084" s="11" t="str">
        <f t="shared" si="396"/>
        <v/>
      </c>
    </row>
    <row r="8085" spans="9:14" x14ac:dyDescent="0.25">
      <c r="I8085" s="11" t="b">
        <f t="shared" si="394"/>
        <v>0</v>
      </c>
      <c r="M8085" s="17" t="str">
        <f t="shared" si="395"/>
        <v/>
      </c>
      <c r="N8085" s="11" t="str">
        <f t="shared" si="396"/>
        <v/>
      </c>
    </row>
    <row r="8086" spans="9:14" x14ac:dyDescent="0.25">
      <c r="I8086" s="11" t="b">
        <f t="shared" si="394"/>
        <v>0</v>
      </c>
      <c r="M8086" s="17" t="str">
        <f t="shared" si="395"/>
        <v/>
      </c>
      <c r="N8086" s="11" t="str">
        <f t="shared" si="396"/>
        <v/>
      </c>
    </row>
    <row r="8087" spans="9:14" x14ac:dyDescent="0.25">
      <c r="I8087" s="11" t="b">
        <f t="shared" si="394"/>
        <v>0</v>
      </c>
      <c r="M8087" s="17" t="str">
        <f t="shared" si="395"/>
        <v/>
      </c>
      <c r="N8087" s="11" t="str">
        <f t="shared" si="396"/>
        <v/>
      </c>
    </row>
    <row r="8088" spans="9:14" x14ac:dyDescent="0.25">
      <c r="I8088" s="11" t="b">
        <f t="shared" si="394"/>
        <v>0</v>
      </c>
      <c r="M8088" s="17" t="str">
        <f t="shared" si="395"/>
        <v/>
      </c>
      <c r="N8088" s="11" t="str">
        <f t="shared" si="396"/>
        <v/>
      </c>
    </row>
    <row r="8089" spans="9:14" x14ac:dyDescent="0.25">
      <c r="I8089" s="11" t="b">
        <f t="shared" si="394"/>
        <v>0</v>
      </c>
      <c r="M8089" s="17" t="str">
        <f t="shared" si="395"/>
        <v/>
      </c>
      <c r="N8089" s="11" t="str">
        <f t="shared" si="396"/>
        <v/>
      </c>
    </row>
    <row r="8090" spans="9:14" x14ac:dyDescent="0.25">
      <c r="I8090" s="11" t="b">
        <f t="shared" si="394"/>
        <v>0</v>
      </c>
      <c r="M8090" s="17" t="str">
        <f t="shared" si="395"/>
        <v/>
      </c>
      <c r="N8090" s="11" t="str">
        <f t="shared" si="396"/>
        <v/>
      </c>
    </row>
    <row r="8091" spans="9:14" x14ac:dyDescent="0.25">
      <c r="I8091" s="11" t="b">
        <f t="shared" si="394"/>
        <v>0</v>
      </c>
      <c r="M8091" s="17" t="str">
        <f t="shared" si="395"/>
        <v/>
      </c>
      <c r="N8091" s="11" t="str">
        <f t="shared" si="396"/>
        <v/>
      </c>
    </row>
    <row r="8092" spans="9:14" x14ac:dyDescent="0.25">
      <c r="I8092" s="11" t="b">
        <f t="shared" si="394"/>
        <v>0</v>
      </c>
      <c r="M8092" s="17" t="str">
        <f t="shared" si="395"/>
        <v/>
      </c>
      <c r="N8092" s="11" t="str">
        <f t="shared" si="396"/>
        <v/>
      </c>
    </row>
    <row r="8093" spans="9:14" x14ac:dyDescent="0.25">
      <c r="I8093" s="11" t="b">
        <f t="shared" ref="I8093:I8156" si="397">IF(AND(G8093="MERCADO PAGO",A8093="FATURAMENTO"),1,IF(AND(OR(G8093="MERCADO PAGO",G8093="pix mercado pago",G8093= "débito automático mercado pago", G8093= "boleto mercado pago"),A8093="DESPESAS"),4,IF(AND(G8093="SAFRA",A8093="FATURAMENTO"),2,IF(AND(OR(G8093="SAFRA",G8093="PIX SAFRA", G8093="DÉBITO AUTOMÁTICO SAFRA", G8093= "BOLETO SAFRA", G8093= "transferência safra"), A8093="DESPESAS"),5,IF(AND(G8093="espécie",A8093="FATURAMENTO"),3,IF(AND(G8093="espécie",A8093="DESPESAS"),6))))))</f>
        <v>0</v>
      </c>
      <c r="M8093" s="17" t="str">
        <f t="shared" si="395"/>
        <v/>
      </c>
      <c r="N8093" s="11" t="str">
        <f t="shared" si="396"/>
        <v/>
      </c>
    </row>
    <row r="8094" spans="9:14" x14ac:dyDescent="0.25">
      <c r="I8094" s="11" t="b">
        <f t="shared" si="397"/>
        <v>0</v>
      </c>
      <c r="M8094" s="17" t="str">
        <f t="shared" si="395"/>
        <v/>
      </c>
      <c r="N8094" s="11" t="str">
        <f t="shared" si="396"/>
        <v/>
      </c>
    </row>
    <row r="8095" spans="9:14" x14ac:dyDescent="0.25">
      <c r="I8095" s="11" t="b">
        <f t="shared" si="397"/>
        <v>0</v>
      </c>
      <c r="M8095" s="17" t="str">
        <f t="shared" si="395"/>
        <v/>
      </c>
      <c r="N8095" s="11" t="str">
        <f t="shared" si="396"/>
        <v/>
      </c>
    </row>
    <row r="8096" spans="9:14" x14ac:dyDescent="0.25">
      <c r="I8096" s="11" t="b">
        <f t="shared" si="397"/>
        <v>0</v>
      </c>
      <c r="M8096" s="17" t="str">
        <f t="shared" si="395"/>
        <v/>
      </c>
      <c r="N8096" s="11" t="str">
        <f t="shared" si="396"/>
        <v/>
      </c>
    </row>
    <row r="8097" spans="9:14" x14ac:dyDescent="0.25">
      <c r="I8097" s="11" t="b">
        <f t="shared" si="397"/>
        <v>0</v>
      </c>
      <c r="M8097" s="17" t="str">
        <f t="shared" si="395"/>
        <v/>
      </c>
      <c r="N8097" s="11" t="str">
        <f t="shared" si="396"/>
        <v/>
      </c>
    </row>
    <row r="8098" spans="9:14" x14ac:dyDescent="0.25">
      <c r="I8098" s="11" t="b">
        <f t="shared" si="397"/>
        <v>0</v>
      </c>
      <c r="M8098" s="17" t="str">
        <f t="shared" si="395"/>
        <v/>
      </c>
      <c r="N8098" s="11" t="str">
        <f t="shared" si="396"/>
        <v/>
      </c>
    </row>
    <row r="8099" spans="9:14" x14ac:dyDescent="0.25">
      <c r="I8099" s="11" t="b">
        <f t="shared" si="397"/>
        <v>0</v>
      </c>
      <c r="M8099" s="17" t="str">
        <f t="shared" si="395"/>
        <v/>
      </c>
      <c r="N8099" s="11" t="str">
        <f t="shared" si="396"/>
        <v/>
      </c>
    </row>
    <row r="8100" spans="9:14" x14ac:dyDescent="0.25">
      <c r="I8100" s="11" t="b">
        <f t="shared" si="397"/>
        <v>0</v>
      </c>
      <c r="M8100" s="17" t="str">
        <f t="shared" si="395"/>
        <v/>
      </c>
      <c r="N8100" s="11" t="str">
        <f t="shared" si="396"/>
        <v/>
      </c>
    </row>
    <row r="8101" spans="9:14" x14ac:dyDescent="0.25">
      <c r="I8101" s="11" t="b">
        <f t="shared" si="397"/>
        <v>0</v>
      </c>
      <c r="M8101" s="17" t="str">
        <f t="shared" si="395"/>
        <v/>
      </c>
      <c r="N8101" s="11" t="str">
        <f t="shared" si="396"/>
        <v/>
      </c>
    </row>
    <row r="8102" spans="9:14" x14ac:dyDescent="0.25">
      <c r="I8102" s="11" t="b">
        <f t="shared" si="397"/>
        <v>0</v>
      </c>
      <c r="M8102" s="17" t="str">
        <f t="shared" si="395"/>
        <v/>
      </c>
      <c r="N8102" s="11" t="str">
        <f t="shared" si="396"/>
        <v/>
      </c>
    </row>
    <row r="8103" spans="9:14" x14ac:dyDescent="0.25">
      <c r="I8103" s="11" t="b">
        <f t="shared" si="397"/>
        <v>0</v>
      </c>
      <c r="M8103" s="17" t="str">
        <f t="shared" si="395"/>
        <v/>
      </c>
      <c r="N8103" s="11" t="str">
        <f t="shared" si="396"/>
        <v/>
      </c>
    </row>
    <row r="8104" spans="9:14" x14ac:dyDescent="0.25">
      <c r="I8104" s="11" t="b">
        <f t="shared" si="397"/>
        <v>0</v>
      </c>
      <c r="M8104" s="17" t="str">
        <f t="shared" si="395"/>
        <v/>
      </c>
      <c r="N8104" s="11" t="str">
        <f t="shared" si="396"/>
        <v/>
      </c>
    </row>
    <row r="8105" spans="9:14" x14ac:dyDescent="0.25">
      <c r="I8105" s="11" t="b">
        <f t="shared" si="397"/>
        <v>0</v>
      </c>
      <c r="M8105" s="17" t="str">
        <f t="shared" si="395"/>
        <v/>
      </c>
      <c r="N8105" s="11" t="str">
        <f t="shared" si="396"/>
        <v/>
      </c>
    </row>
    <row r="8106" spans="9:14" x14ac:dyDescent="0.25">
      <c r="I8106" s="11" t="b">
        <f t="shared" si="397"/>
        <v>0</v>
      </c>
      <c r="M8106" s="17" t="str">
        <f t="shared" si="395"/>
        <v/>
      </c>
      <c r="N8106" s="11" t="str">
        <f t="shared" si="396"/>
        <v/>
      </c>
    </row>
    <row r="8107" spans="9:14" x14ac:dyDescent="0.25">
      <c r="I8107" s="11" t="b">
        <f t="shared" si="397"/>
        <v>0</v>
      </c>
      <c r="M8107" s="17" t="str">
        <f t="shared" si="395"/>
        <v/>
      </c>
      <c r="N8107" s="11" t="str">
        <f t="shared" si="396"/>
        <v/>
      </c>
    </row>
    <row r="8108" spans="9:14" x14ac:dyDescent="0.25">
      <c r="I8108" s="11" t="b">
        <f t="shared" si="397"/>
        <v>0</v>
      </c>
      <c r="M8108" s="17" t="str">
        <f t="shared" si="395"/>
        <v/>
      </c>
      <c r="N8108" s="11" t="str">
        <f t="shared" si="396"/>
        <v/>
      </c>
    </row>
    <row r="8109" spans="9:14" x14ac:dyDescent="0.25">
      <c r="I8109" s="11" t="b">
        <f t="shared" si="397"/>
        <v>0</v>
      </c>
      <c r="M8109" s="17" t="str">
        <f t="shared" si="395"/>
        <v/>
      </c>
      <c r="N8109" s="11" t="str">
        <f t="shared" si="396"/>
        <v/>
      </c>
    </row>
    <row r="8110" spans="9:14" x14ac:dyDescent="0.25">
      <c r="I8110" s="11" t="b">
        <f t="shared" si="397"/>
        <v>0</v>
      </c>
      <c r="M8110" s="17" t="str">
        <f t="shared" si="395"/>
        <v/>
      </c>
      <c r="N8110" s="11" t="str">
        <f t="shared" si="396"/>
        <v/>
      </c>
    </row>
    <row r="8111" spans="9:14" x14ac:dyDescent="0.25">
      <c r="I8111" s="11" t="b">
        <f t="shared" si="397"/>
        <v>0</v>
      </c>
      <c r="M8111" s="17" t="str">
        <f t="shared" si="395"/>
        <v/>
      </c>
      <c r="N8111" s="11" t="str">
        <f t="shared" si="396"/>
        <v/>
      </c>
    </row>
    <row r="8112" spans="9:14" x14ac:dyDescent="0.25">
      <c r="I8112" s="11" t="b">
        <f t="shared" si="397"/>
        <v>0</v>
      </c>
      <c r="M8112" s="17" t="str">
        <f t="shared" si="395"/>
        <v/>
      </c>
      <c r="N8112" s="11" t="str">
        <f t="shared" si="396"/>
        <v/>
      </c>
    </row>
    <row r="8113" spans="9:14" x14ac:dyDescent="0.25">
      <c r="I8113" s="11" t="b">
        <f t="shared" si="397"/>
        <v>0</v>
      </c>
      <c r="M8113" s="17" t="str">
        <f t="shared" si="395"/>
        <v/>
      </c>
      <c r="N8113" s="11" t="str">
        <f t="shared" si="396"/>
        <v/>
      </c>
    </row>
    <row r="8114" spans="9:14" x14ac:dyDescent="0.25">
      <c r="I8114" s="11" t="b">
        <f t="shared" si="397"/>
        <v>0</v>
      </c>
      <c r="M8114" s="17" t="str">
        <f t="shared" si="395"/>
        <v/>
      </c>
      <c r="N8114" s="11" t="str">
        <f t="shared" si="396"/>
        <v/>
      </c>
    </row>
    <row r="8115" spans="9:14" x14ac:dyDescent="0.25">
      <c r="I8115" s="11" t="b">
        <f t="shared" si="397"/>
        <v>0</v>
      </c>
      <c r="M8115" s="17" t="str">
        <f t="shared" si="395"/>
        <v/>
      </c>
      <c r="N8115" s="11" t="str">
        <f t="shared" si="396"/>
        <v/>
      </c>
    </row>
    <row r="8116" spans="9:14" x14ac:dyDescent="0.25">
      <c r="I8116" s="11" t="b">
        <f t="shared" si="397"/>
        <v>0</v>
      </c>
      <c r="M8116" s="17" t="str">
        <f t="shared" si="395"/>
        <v/>
      </c>
      <c r="N8116" s="11" t="str">
        <f t="shared" si="396"/>
        <v/>
      </c>
    </row>
    <row r="8117" spans="9:14" x14ac:dyDescent="0.25">
      <c r="I8117" s="11" t="b">
        <f t="shared" si="397"/>
        <v>0</v>
      </c>
      <c r="M8117" s="17" t="str">
        <f t="shared" si="395"/>
        <v/>
      </c>
      <c r="N8117" s="11" t="str">
        <f t="shared" si="396"/>
        <v/>
      </c>
    </row>
    <row r="8118" spans="9:14" x14ac:dyDescent="0.25">
      <c r="I8118" s="11" t="b">
        <f t="shared" si="397"/>
        <v>0</v>
      </c>
      <c r="M8118" s="17" t="str">
        <f t="shared" si="395"/>
        <v/>
      </c>
      <c r="N8118" s="11" t="str">
        <f t="shared" si="396"/>
        <v/>
      </c>
    </row>
    <row r="8119" spans="9:14" x14ac:dyDescent="0.25">
      <c r="I8119" s="11" t="b">
        <f t="shared" si="397"/>
        <v>0</v>
      </c>
      <c r="M8119" s="17" t="str">
        <f t="shared" si="395"/>
        <v/>
      </c>
      <c r="N8119" s="11" t="str">
        <f t="shared" si="396"/>
        <v/>
      </c>
    </row>
    <row r="8120" spans="9:14" x14ac:dyDescent="0.25">
      <c r="I8120" s="11" t="b">
        <f t="shared" si="397"/>
        <v>0</v>
      </c>
      <c r="M8120" s="17" t="str">
        <f t="shared" si="395"/>
        <v/>
      </c>
      <c r="N8120" s="11" t="str">
        <f t="shared" si="396"/>
        <v/>
      </c>
    </row>
    <row r="8121" spans="9:14" x14ac:dyDescent="0.25">
      <c r="I8121" s="11" t="b">
        <f t="shared" si="397"/>
        <v>0</v>
      </c>
      <c r="M8121" s="17" t="str">
        <f t="shared" si="395"/>
        <v/>
      </c>
      <c r="N8121" s="11" t="str">
        <f t="shared" si="396"/>
        <v/>
      </c>
    </row>
    <row r="8122" spans="9:14" x14ac:dyDescent="0.25">
      <c r="I8122" s="11" t="b">
        <f t="shared" si="397"/>
        <v>0</v>
      </c>
      <c r="M8122" s="17" t="str">
        <f t="shared" si="395"/>
        <v/>
      </c>
      <c r="N8122" s="11" t="str">
        <f t="shared" si="396"/>
        <v/>
      </c>
    </row>
    <row r="8123" spans="9:14" x14ac:dyDescent="0.25">
      <c r="I8123" s="11" t="b">
        <f t="shared" si="397"/>
        <v>0</v>
      </c>
      <c r="M8123" s="17" t="str">
        <f t="shared" si="395"/>
        <v/>
      </c>
      <c r="N8123" s="11" t="str">
        <f t="shared" si="396"/>
        <v/>
      </c>
    </row>
    <row r="8124" spans="9:14" x14ac:dyDescent="0.25">
      <c r="I8124" s="11" t="b">
        <f t="shared" si="397"/>
        <v>0</v>
      </c>
      <c r="M8124" s="17" t="str">
        <f t="shared" si="395"/>
        <v/>
      </c>
      <c r="N8124" s="11" t="str">
        <f t="shared" si="396"/>
        <v/>
      </c>
    </row>
    <row r="8125" spans="9:14" x14ac:dyDescent="0.25">
      <c r="I8125" s="11" t="b">
        <f t="shared" si="397"/>
        <v>0</v>
      </c>
      <c r="M8125" s="17" t="str">
        <f t="shared" si="395"/>
        <v/>
      </c>
      <c r="N8125" s="11" t="str">
        <f t="shared" si="396"/>
        <v/>
      </c>
    </row>
    <row r="8126" spans="9:14" x14ac:dyDescent="0.25">
      <c r="I8126" s="11" t="b">
        <f t="shared" si="397"/>
        <v>0</v>
      </c>
      <c r="M8126" s="17" t="str">
        <f t="shared" si="395"/>
        <v/>
      </c>
      <c r="N8126" s="11" t="str">
        <f t="shared" si="396"/>
        <v/>
      </c>
    </row>
    <row r="8127" spans="9:14" x14ac:dyDescent="0.25">
      <c r="I8127" s="11" t="b">
        <f t="shared" si="397"/>
        <v>0</v>
      </c>
      <c r="M8127" s="17" t="str">
        <f t="shared" si="395"/>
        <v/>
      </c>
      <c r="N8127" s="11" t="str">
        <f t="shared" si="396"/>
        <v/>
      </c>
    </row>
    <row r="8128" spans="9:14" x14ac:dyDescent="0.25">
      <c r="I8128" s="11" t="b">
        <f t="shared" si="397"/>
        <v>0</v>
      </c>
      <c r="M8128" s="17" t="str">
        <f t="shared" si="395"/>
        <v/>
      </c>
      <c r="N8128" s="11" t="str">
        <f t="shared" si="396"/>
        <v/>
      </c>
    </row>
    <row r="8129" spans="9:14" x14ac:dyDescent="0.25">
      <c r="I8129" s="11" t="b">
        <f t="shared" si="397"/>
        <v>0</v>
      </c>
      <c r="M8129" s="17" t="str">
        <f t="shared" ref="M8129:M8192" si="398">IF(B8129=0, "",M8128+ J8129-K8129)</f>
        <v/>
      </c>
      <c r="N8129" s="11" t="str">
        <f t="shared" ref="N8129:N8192" si="399">IF(B8129=0, "", MONTH(B8129))</f>
        <v/>
      </c>
    </row>
    <row r="8130" spans="9:14" x14ac:dyDescent="0.25">
      <c r="I8130" s="11" t="b">
        <f t="shared" si="397"/>
        <v>0</v>
      </c>
      <c r="M8130" s="17" t="str">
        <f t="shared" si="398"/>
        <v/>
      </c>
      <c r="N8130" s="11" t="str">
        <f t="shared" si="399"/>
        <v/>
      </c>
    </row>
    <row r="8131" spans="9:14" x14ac:dyDescent="0.25">
      <c r="I8131" s="11" t="b">
        <f t="shared" si="397"/>
        <v>0</v>
      </c>
      <c r="M8131" s="17" t="str">
        <f t="shared" si="398"/>
        <v/>
      </c>
      <c r="N8131" s="11" t="str">
        <f t="shared" si="399"/>
        <v/>
      </c>
    </row>
    <row r="8132" spans="9:14" x14ac:dyDescent="0.25">
      <c r="I8132" s="11" t="b">
        <f t="shared" si="397"/>
        <v>0</v>
      </c>
      <c r="M8132" s="17" t="str">
        <f t="shared" si="398"/>
        <v/>
      </c>
      <c r="N8132" s="11" t="str">
        <f t="shared" si="399"/>
        <v/>
      </c>
    </row>
    <row r="8133" spans="9:14" x14ac:dyDescent="0.25">
      <c r="I8133" s="11" t="b">
        <f t="shared" si="397"/>
        <v>0</v>
      </c>
      <c r="M8133" s="17" t="str">
        <f t="shared" si="398"/>
        <v/>
      </c>
      <c r="N8133" s="11" t="str">
        <f t="shared" si="399"/>
        <v/>
      </c>
    </row>
    <row r="8134" spans="9:14" x14ac:dyDescent="0.25">
      <c r="I8134" s="11" t="b">
        <f t="shared" si="397"/>
        <v>0</v>
      </c>
      <c r="M8134" s="17" t="str">
        <f t="shared" si="398"/>
        <v/>
      </c>
      <c r="N8134" s="11" t="str">
        <f t="shared" si="399"/>
        <v/>
      </c>
    </row>
    <row r="8135" spans="9:14" x14ac:dyDescent="0.25">
      <c r="I8135" s="11" t="b">
        <f t="shared" si="397"/>
        <v>0</v>
      </c>
      <c r="M8135" s="17" t="str">
        <f t="shared" si="398"/>
        <v/>
      </c>
      <c r="N8135" s="11" t="str">
        <f t="shared" si="399"/>
        <v/>
      </c>
    </row>
    <row r="8136" spans="9:14" x14ac:dyDescent="0.25">
      <c r="I8136" s="11" t="b">
        <f t="shared" si="397"/>
        <v>0</v>
      </c>
      <c r="M8136" s="17" t="str">
        <f t="shared" si="398"/>
        <v/>
      </c>
      <c r="N8136" s="11" t="str">
        <f t="shared" si="399"/>
        <v/>
      </c>
    </row>
    <row r="8137" spans="9:14" x14ac:dyDescent="0.25">
      <c r="I8137" s="11" t="b">
        <f t="shared" si="397"/>
        <v>0</v>
      </c>
      <c r="M8137" s="17" t="str">
        <f t="shared" si="398"/>
        <v/>
      </c>
      <c r="N8137" s="11" t="str">
        <f t="shared" si="399"/>
        <v/>
      </c>
    </row>
    <row r="8138" spans="9:14" x14ac:dyDescent="0.25">
      <c r="I8138" s="11" t="b">
        <f t="shared" si="397"/>
        <v>0</v>
      </c>
      <c r="M8138" s="17" t="str">
        <f t="shared" si="398"/>
        <v/>
      </c>
      <c r="N8138" s="11" t="str">
        <f t="shared" si="399"/>
        <v/>
      </c>
    </row>
    <row r="8139" spans="9:14" x14ac:dyDescent="0.25">
      <c r="I8139" s="11" t="b">
        <f t="shared" si="397"/>
        <v>0</v>
      </c>
      <c r="M8139" s="17" t="str">
        <f t="shared" si="398"/>
        <v/>
      </c>
      <c r="N8139" s="11" t="str">
        <f t="shared" si="399"/>
        <v/>
      </c>
    </row>
    <row r="8140" spans="9:14" x14ac:dyDescent="0.25">
      <c r="I8140" s="11" t="b">
        <f t="shared" si="397"/>
        <v>0</v>
      </c>
      <c r="M8140" s="17" t="str">
        <f t="shared" si="398"/>
        <v/>
      </c>
      <c r="N8140" s="11" t="str">
        <f t="shared" si="399"/>
        <v/>
      </c>
    </row>
    <row r="8141" spans="9:14" x14ac:dyDescent="0.25">
      <c r="I8141" s="11" t="b">
        <f t="shared" si="397"/>
        <v>0</v>
      </c>
      <c r="M8141" s="17" t="str">
        <f t="shared" si="398"/>
        <v/>
      </c>
      <c r="N8141" s="11" t="str">
        <f t="shared" si="399"/>
        <v/>
      </c>
    </row>
    <row r="8142" spans="9:14" x14ac:dyDescent="0.25">
      <c r="I8142" s="11" t="b">
        <f t="shared" si="397"/>
        <v>0</v>
      </c>
      <c r="M8142" s="17" t="str">
        <f t="shared" si="398"/>
        <v/>
      </c>
      <c r="N8142" s="11" t="str">
        <f t="shared" si="399"/>
        <v/>
      </c>
    </row>
    <row r="8143" spans="9:14" x14ac:dyDescent="0.25">
      <c r="I8143" s="11" t="b">
        <f t="shared" si="397"/>
        <v>0</v>
      </c>
      <c r="M8143" s="17" t="str">
        <f t="shared" si="398"/>
        <v/>
      </c>
      <c r="N8143" s="11" t="str">
        <f t="shared" si="399"/>
        <v/>
      </c>
    </row>
    <row r="8144" spans="9:14" x14ac:dyDescent="0.25">
      <c r="I8144" s="11" t="b">
        <f t="shared" si="397"/>
        <v>0</v>
      </c>
      <c r="M8144" s="17" t="str">
        <f t="shared" si="398"/>
        <v/>
      </c>
      <c r="N8144" s="11" t="str">
        <f t="shared" si="399"/>
        <v/>
      </c>
    </row>
    <row r="8145" spans="9:14" x14ac:dyDescent="0.25">
      <c r="I8145" s="11" t="b">
        <f t="shared" si="397"/>
        <v>0</v>
      </c>
      <c r="M8145" s="17" t="str">
        <f t="shared" si="398"/>
        <v/>
      </c>
      <c r="N8145" s="11" t="str">
        <f t="shared" si="399"/>
        <v/>
      </c>
    </row>
    <row r="8146" spans="9:14" x14ac:dyDescent="0.25">
      <c r="I8146" s="11" t="b">
        <f t="shared" si="397"/>
        <v>0</v>
      </c>
      <c r="M8146" s="17" t="str">
        <f t="shared" si="398"/>
        <v/>
      </c>
      <c r="N8146" s="11" t="str">
        <f t="shared" si="399"/>
        <v/>
      </c>
    </row>
    <row r="8147" spans="9:14" x14ac:dyDescent="0.25">
      <c r="I8147" s="11" t="b">
        <f t="shared" si="397"/>
        <v>0</v>
      </c>
      <c r="M8147" s="17" t="str">
        <f t="shared" si="398"/>
        <v/>
      </c>
      <c r="N8147" s="11" t="str">
        <f t="shared" si="399"/>
        <v/>
      </c>
    </row>
    <row r="8148" spans="9:14" x14ac:dyDescent="0.25">
      <c r="I8148" s="11" t="b">
        <f t="shared" si="397"/>
        <v>0</v>
      </c>
      <c r="M8148" s="17" t="str">
        <f t="shared" si="398"/>
        <v/>
      </c>
      <c r="N8148" s="11" t="str">
        <f t="shared" si="399"/>
        <v/>
      </c>
    </row>
    <row r="8149" spans="9:14" x14ac:dyDescent="0.25">
      <c r="I8149" s="11" t="b">
        <f t="shared" si="397"/>
        <v>0</v>
      </c>
      <c r="M8149" s="17" t="str">
        <f t="shared" si="398"/>
        <v/>
      </c>
      <c r="N8149" s="11" t="str">
        <f t="shared" si="399"/>
        <v/>
      </c>
    </row>
    <row r="8150" spans="9:14" x14ac:dyDescent="0.25">
      <c r="I8150" s="11" t="b">
        <f t="shared" si="397"/>
        <v>0</v>
      </c>
      <c r="M8150" s="17" t="str">
        <f t="shared" si="398"/>
        <v/>
      </c>
      <c r="N8150" s="11" t="str">
        <f t="shared" si="399"/>
        <v/>
      </c>
    </row>
    <row r="8151" spans="9:14" x14ac:dyDescent="0.25">
      <c r="I8151" s="11" t="b">
        <f t="shared" si="397"/>
        <v>0</v>
      </c>
      <c r="M8151" s="17" t="str">
        <f t="shared" si="398"/>
        <v/>
      </c>
      <c r="N8151" s="11" t="str">
        <f t="shared" si="399"/>
        <v/>
      </c>
    </row>
    <row r="8152" spans="9:14" x14ac:dyDescent="0.25">
      <c r="I8152" s="11" t="b">
        <f t="shared" si="397"/>
        <v>0</v>
      </c>
      <c r="M8152" s="17" t="str">
        <f t="shared" si="398"/>
        <v/>
      </c>
      <c r="N8152" s="11" t="str">
        <f t="shared" si="399"/>
        <v/>
      </c>
    </row>
    <row r="8153" spans="9:14" x14ac:dyDescent="0.25">
      <c r="I8153" s="11" t="b">
        <f t="shared" si="397"/>
        <v>0</v>
      </c>
      <c r="M8153" s="17" t="str">
        <f t="shared" si="398"/>
        <v/>
      </c>
      <c r="N8153" s="11" t="str">
        <f t="shared" si="399"/>
        <v/>
      </c>
    </row>
    <row r="8154" spans="9:14" x14ac:dyDescent="0.25">
      <c r="I8154" s="11" t="b">
        <f t="shared" si="397"/>
        <v>0</v>
      </c>
      <c r="M8154" s="17" t="str">
        <f t="shared" si="398"/>
        <v/>
      </c>
      <c r="N8154" s="11" t="str">
        <f t="shared" si="399"/>
        <v/>
      </c>
    </row>
    <row r="8155" spans="9:14" x14ac:dyDescent="0.25">
      <c r="I8155" s="11" t="b">
        <f t="shared" si="397"/>
        <v>0</v>
      </c>
      <c r="M8155" s="17" t="str">
        <f t="shared" si="398"/>
        <v/>
      </c>
      <c r="N8155" s="11" t="str">
        <f t="shared" si="399"/>
        <v/>
      </c>
    </row>
    <row r="8156" spans="9:14" x14ac:dyDescent="0.25">
      <c r="I8156" s="11" t="b">
        <f t="shared" si="397"/>
        <v>0</v>
      </c>
      <c r="M8156" s="17" t="str">
        <f t="shared" si="398"/>
        <v/>
      </c>
      <c r="N8156" s="11" t="str">
        <f t="shared" si="399"/>
        <v/>
      </c>
    </row>
    <row r="8157" spans="9:14" x14ac:dyDescent="0.25">
      <c r="I8157" s="11" t="b">
        <f t="shared" ref="I8157:I8220" si="400">IF(AND(G8157="MERCADO PAGO",A8157="FATURAMENTO"),1,IF(AND(OR(G8157="MERCADO PAGO",G8157="pix mercado pago",G8157= "débito automático mercado pago", G8157= "boleto mercado pago"),A8157="DESPESAS"),4,IF(AND(G8157="SAFRA",A8157="FATURAMENTO"),2,IF(AND(OR(G8157="SAFRA",G8157="PIX SAFRA", G8157="DÉBITO AUTOMÁTICO SAFRA", G8157= "BOLETO SAFRA", G8157= "transferência safra"), A8157="DESPESAS"),5,IF(AND(G8157="espécie",A8157="FATURAMENTO"),3,IF(AND(G8157="espécie",A8157="DESPESAS"),6))))))</f>
        <v>0</v>
      </c>
      <c r="M8157" s="17" t="str">
        <f t="shared" si="398"/>
        <v/>
      </c>
      <c r="N8157" s="11" t="str">
        <f t="shared" si="399"/>
        <v/>
      </c>
    </row>
    <row r="8158" spans="9:14" x14ac:dyDescent="0.25">
      <c r="I8158" s="11" t="b">
        <f t="shared" si="400"/>
        <v>0</v>
      </c>
      <c r="M8158" s="17" t="str">
        <f t="shared" si="398"/>
        <v/>
      </c>
      <c r="N8158" s="11" t="str">
        <f t="shared" si="399"/>
        <v/>
      </c>
    </row>
    <row r="8159" spans="9:14" x14ac:dyDescent="0.25">
      <c r="I8159" s="11" t="b">
        <f t="shared" si="400"/>
        <v>0</v>
      </c>
      <c r="M8159" s="17" t="str">
        <f t="shared" si="398"/>
        <v/>
      </c>
      <c r="N8159" s="11" t="str">
        <f t="shared" si="399"/>
        <v/>
      </c>
    </row>
    <row r="8160" spans="9:14" x14ac:dyDescent="0.25">
      <c r="I8160" s="11" t="b">
        <f t="shared" si="400"/>
        <v>0</v>
      </c>
      <c r="M8160" s="17" t="str">
        <f t="shared" si="398"/>
        <v/>
      </c>
      <c r="N8160" s="11" t="str">
        <f t="shared" si="399"/>
        <v/>
      </c>
    </row>
    <row r="8161" spans="9:14" x14ac:dyDescent="0.25">
      <c r="I8161" s="11" t="b">
        <f t="shared" si="400"/>
        <v>0</v>
      </c>
      <c r="M8161" s="17" t="str">
        <f t="shared" si="398"/>
        <v/>
      </c>
      <c r="N8161" s="11" t="str">
        <f t="shared" si="399"/>
        <v/>
      </c>
    </row>
    <row r="8162" spans="9:14" x14ac:dyDescent="0.25">
      <c r="I8162" s="11" t="b">
        <f t="shared" si="400"/>
        <v>0</v>
      </c>
      <c r="M8162" s="17" t="str">
        <f t="shared" si="398"/>
        <v/>
      </c>
      <c r="N8162" s="11" t="str">
        <f t="shared" si="399"/>
        <v/>
      </c>
    </row>
    <row r="8163" spans="9:14" x14ac:dyDescent="0.25">
      <c r="I8163" s="11" t="b">
        <f t="shared" si="400"/>
        <v>0</v>
      </c>
      <c r="M8163" s="17" t="str">
        <f t="shared" si="398"/>
        <v/>
      </c>
      <c r="N8163" s="11" t="str">
        <f t="shared" si="399"/>
        <v/>
      </c>
    </row>
    <row r="8164" spans="9:14" x14ac:dyDescent="0.25">
      <c r="I8164" s="11" t="b">
        <f t="shared" si="400"/>
        <v>0</v>
      </c>
      <c r="M8164" s="17" t="str">
        <f t="shared" si="398"/>
        <v/>
      </c>
      <c r="N8164" s="11" t="str">
        <f t="shared" si="399"/>
        <v/>
      </c>
    </row>
    <row r="8165" spans="9:14" x14ac:dyDescent="0.25">
      <c r="I8165" s="11" t="b">
        <f t="shared" si="400"/>
        <v>0</v>
      </c>
      <c r="M8165" s="17" t="str">
        <f t="shared" si="398"/>
        <v/>
      </c>
      <c r="N8165" s="11" t="str">
        <f t="shared" si="399"/>
        <v/>
      </c>
    </row>
    <row r="8166" spans="9:14" x14ac:dyDescent="0.25">
      <c r="I8166" s="11" t="b">
        <f t="shared" si="400"/>
        <v>0</v>
      </c>
      <c r="M8166" s="17" t="str">
        <f t="shared" si="398"/>
        <v/>
      </c>
      <c r="N8166" s="11" t="str">
        <f t="shared" si="399"/>
        <v/>
      </c>
    </row>
    <row r="8167" spans="9:14" x14ac:dyDescent="0.25">
      <c r="I8167" s="11" t="b">
        <f t="shared" si="400"/>
        <v>0</v>
      </c>
      <c r="M8167" s="17" t="str">
        <f t="shared" si="398"/>
        <v/>
      </c>
      <c r="N8167" s="11" t="str">
        <f t="shared" si="399"/>
        <v/>
      </c>
    </row>
    <row r="8168" spans="9:14" x14ac:dyDescent="0.25">
      <c r="I8168" s="11" t="b">
        <f t="shared" si="400"/>
        <v>0</v>
      </c>
      <c r="M8168" s="17" t="str">
        <f t="shared" si="398"/>
        <v/>
      </c>
      <c r="N8168" s="11" t="str">
        <f t="shared" si="399"/>
        <v/>
      </c>
    </row>
    <row r="8169" spans="9:14" x14ac:dyDescent="0.25">
      <c r="I8169" s="11" t="b">
        <f t="shared" si="400"/>
        <v>0</v>
      </c>
      <c r="M8169" s="17" t="str">
        <f t="shared" si="398"/>
        <v/>
      </c>
      <c r="N8169" s="11" t="str">
        <f t="shared" si="399"/>
        <v/>
      </c>
    </row>
    <row r="8170" spans="9:14" x14ac:dyDescent="0.25">
      <c r="I8170" s="11" t="b">
        <f t="shared" si="400"/>
        <v>0</v>
      </c>
      <c r="M8170" s="17" t="str">
        <f t="shared" si="398"/>
        <v/>
      </c>
      <c r="N8170" s="11" t="str">
        <f t="shared" si="399"/>
        <v/>
      </c>
    </row>
    <row r="8171" spans="9:14" x14ac:dyDescent="0.25">
      <c r="I8171" s="11" t="b">
        <f t="shared" si="400"/>
        <v>0</v>
      </c>
      <c r="M8171" s="17" t="str">
        <f t="shared" si="398"/>
        <v/>
      </c>
      <c r="N8171" s="11" t="str">
        <f t="shared" si="399"/>
        <v/>
      </c>
    </row>
    <row r="8172" spans="9:14" x14ac:dyDescent="0.25">
      <c r="I8172" s="11" t="b">
        <f t="shared" si="400"/>
        <v>0</v>
      </c>
      <c r="M8172" s="17" t="str">
        <f t="shared" si="398"/>
        <v/>
      </c>
      <c r="N8172" s="11" t="str">
        <f t="shared" si="399"/>
        <v/>
      </c>
    </row>
    <row r="8173" spans="9:14" x14ac:dyDescent="0.25">
      <c r="I8173" s="11" t="b">
        <f t="shared" si="400"/>
        <v>0</v>
      </c>
      <c r="M8173" s="17" t="str">
        <f t="shared" si="398"/>
        <v/>
      </c>
      <c r="N8173" s="11" t="str">
        <f t="shared" si="399"/>
        <v/>
      </c>
    </row>
    <row r="8174" spans="9:14" x14ac:dyDescent="0.25">
      <c r="I8174" s="11" t="b">
        <f t="shared" si="400"/>
        <v>0</v>
      </c>
      <c r="M8174" s="17" t="str">
        <f t="shared" si="398"/>
        <v/>
      </c>
      <c r="N8174" s="11" t="str">
        <f t="shared" si="399"/>
        <v/>
      </c>
    </row>
    <row r="8175" spans="9:14" x14ac:dyDescent="0.25">
      <c r="I8175" s="11" t="b">
        <f t="shared" si="400"/>
        <v>0</v>
      </c>
      <c r="M8175" s="17" t="str">
        <f t="shared" si="398"/>
        <v/>
      </c>
      <c r="N8175" s="11" t="str">
        <f t="shared" si="399"/>
        <v/>
      </c>
    </row>
    <row r="8176" spans="9:14" x14ac:dyDescent="0.25">
      <c r="I8176" s="11" t="b">
        <f t="shared" si="400"/>
        <v>0</v>
      </c>
      <c r="M8176" s="17" t="str">
        <f t="shared" si="398"/>
        <v/>
      </c>
      <c r="N8176" s="11" t="str">
        <f t="shared" si="399"/>
        <v/>
      </c>
    </row>
    <row r="8177" spans="9:14" x14ac:dyDescent="0.25">
      <c r="I8177" s="11" t="b">
        <f t="shared" si="400"/>
        <v>0</v>
      </c>
      <c r="M8177" s="17" t="str">
        <f t="shared" si="398"/>
        <v/>
      </c>
      <c r="N8177" s="11" t="str">
        <f t="shared" si="399"/>
        <v/>
      </c>
    </row>
    <row r="8178" spans="9:14" x14ac:dyDescent="0.25">
      <c r="I8178" s="11" t="b">
        <f t="shared" si="400"/>
        <v>0</v>
      </c>
      <c r="M8178" s="17" t="str">
        <f t="shared" si="398"/>
        <v/>
      </c>
      <c r="N8178" s="11" t="str">
        <f t="shared" si="399"/>
        <v/>
      </c>
    </row>
    <row r="8179" spans="9:14" x14ac:dyDescent="0.25">
      <c r="I8179" s="11" t="b">
        <f t="shared" si="400"/>
        <v>0</v>
      </c>
      <c r="M8179" s="17" t="str">
        <f t="shared" si="398"/>
        <v/>
      </c>
      <c r="N8179" s="11" t="str">
        <f t="shared" si="399"/>
        <v/>
      </c>
    </row>
    <row r="8180" spans="9:14" x14ac:dyDescent="0.25">
      <c r="I8180" s="11" t="b">
        <f t="shared" si="400"/>
        <v>0</v>
      </c>
      <c r="M8180" s="17" t="str">
        <f t="shared" si="398"/>
        <v/>
      </c>
      <c r="N8180" s="11" t="str">
        <f t="shared" si="399"/>
        <v/>
      </c>
    </row>
    <row r="8181" spans="9:14" x14ac:dyDescent="0.25">
      <c r="I8181" s="11" t="b">
        <f t="shared" si="400"/>
        <v>0</v>
      </c>
      <c r="M8181" s="17" t="str">
        <f t="shared" si="398"/>
        <v/>
      </c>
      <c r="N8181" s="11" t="str">
        <f t="shared" si="399"/>
        <v/>
      </c>
    </row>
    <row r="8182" spans="9:14" x14ac:dyDescent="0.25">
      <c r="I8182" s="11" t="b">
        <f t="shared" si="400"/>
        <v>0</v>
      </c>
      <c r="M8182" s="17" t="str">
        <f t="shared" si="398"/>
        <v/>
      </c>
      <c r="N8182" s="11" t="str">
        <f t="shared" si="399"/>
        <v/>
      </c>
    </row>
    <row r="8183" spans="9:14" x14ac:dyDescent="0.25">
      <c r="I8183" s="11" t="b">
        <f t="shared" si="400"/>
        <v>0</v>
      </c>
      <c r="M8183" s="17" t="str">
        <f t="shared" si="398"/>
        <v/>
      </c>
      <c r="N8183" s="11" t="str">
        <f t="shared" si="399"/>
        <v/>
      </c>
    </row>
    <row r="8184" spans="9:14" x14ac:dyDescent="0.25">
      <c r="I8184" s="11" t="b">
        <f t="shared" si="400"/>
        <v>0</v>
      </c>
      <c r="M8184" s="17" t="str">
        <f t="shared" si="398"/>
        <v/>
      </c>
      <c r="N8184" s="11" t="str">
        <f t="shared" si="399"/>
        <v/>
      </c>
    </row>
    <row r="8185" spans="9:14" x14ac:dyDescent="0.25">
      <c r="I8185" s="11" t="b">
        <f t="shared" si="400"/>
        <v>0</v>
      </c>
      <c r="M8185" s="17" t="str">
        <f t="shared" si="398"/>
        <v/>
      </c>
      <c r="N8185" s="11" t="str">
        <f t="shared" si="399"/>
        <v/>
      </c>
    </row>
    <row r="8186" spans="9:14" x14ac:dyDescent="0.25">
      <c r="I8186" s="11" t="b">
        <f t="shared" si="400"/>
        <v>0</v>
      </c>
      <c r="M8186" s="17" t="str">
        <f t="shared" si="398"/>
        <v/>
      </c>
      <c r="N8186" s="11" t="str">
        <f t="shared" si="399"/>
        <v/>
      </c>
    </row>
    <row r="8187" spans="9:14" x14ac:dyDescent="0.25">
      <c r="I8187" s="11" t="b">
        <f t="shared" si="400"/>
        <v>0</v>
      </c>
      <c r="M8187" s="17" t="str">
        <f t="shared" si="398"/>
        <v/>
      </c>
      <c r="N8187" s="11" t="str">
        <f t="shared" si="399"/>
        <v/>
      </c>
    </row>
    <row r="8188" spans="9:14" x14ac:dyDescent="0.25">
      <c r="I8188" s="11" t="b">
        <f t="shared" si="400"/>
        <v>0</v>
      </c>
      <c r="M8188" s="17" t="str">
        <f t="shared" si="398"/>
        <v/>
      </c>
      <c r="N8188" s="11" t="str">
        <f t="shared" si="399"/>
        <v/>
      </c>
    </row>
    <row r="8189" spans="9:14" x14ac:dyDescent="0.25">
      <c r="I8189" s="11" t="b">
        <f t="shared" si="400"/>
        <v>0</v>
      </c>
      <c r="M8189" s="17" t="str">
        <f t="shared" si="398"/>
        <v/>
      </c>
      <c r="N8189" s="11" t="str">
        <f t="shared" si="399"/>
        <v/>
      </c>
    </row>
    <row r="8190" spans="9:14" x14ac:dyDescent="0.25">
      <c r="I8190" s="11" t="b">
        <f t="shared" si="400"/>
        <v>0</v>
      </c>
      <c r="M8190" s="17" t="str">
        <f t="shared" si="398"/>
        <v/>
      </c>
      <c r="N8190" s="11" t="str">
        <f t="shared" si="399"/>
        <v/>
      </c>
    </row>
    <row r="8191" spans="9:14" x14ac:dyDescent="0.25">
      <c r="I8191" s="11" t="b">
        <f t="shared" si="400"/>
        <v>0</v>
      </c>
      <c r="M8191" s="17" t="str">
        <f t="shared" si="398"/>
        <v/>
      </c>
      <c r="N8191" s="11" t="str">
        <f t="shared" si="399"/>
        <v/>
      </c>
    </row>
    <row r="8192" spans="9:14" x14ac:dyDescent="0.25">
      <c r="I8192" s="11" t="b">
        <f t="shared" si="400"/>
        <v>0</v>
      </c>
      <c r="M8192" s="17" t="str">
        <f t="shared" si="398"/>
        <v/>
      </c>
      <c r="N8192" s="11" t="str">
        <f t="shared" si="399"/>
        <v/>
      </c>
    </row>
    <row r="8193" spans="9:14" x14ac:dyDescent="0.25">
      <c r="I8193" s="11" t="b">
        <f t="shared" si="400"/>
        <v>0</v>
      </c>
      <c r="M8193" s="17" t="str">
        <f t="shared" ref="M8193:M8256" si="401">IF(B8193=0, "",M8192+ J8193-K8193)</f>
        <v/>
      </c>
      <c r="N8193" s="11" t="str">
        <f t="shared" ref="N8193:N8256" si="402">IF(B8193=0, "", MONTH(B8193))</f>
        <v/>
      </c>
    </row>
    <row r="8194" spans="9:14" x14ac:dyDescent="0.25">
      <c r="I8194" s="11" t="b">
        <f t="shared" si="400"/>
        <v>0</v>
      </c>
      <c r="M8194" s="17" t="str">
        <f t="shared" si="401"/>
        <v/>
      </c>
      <c r="N8194" s="11" t="str">
        <f t="shared" si="402"/>
        <v/>
      </c>
    </row>
    <row r="8195" spans="9:14" x14ac:dyDescent="0.25">
      <c r="I8195" s="11" t="b">
        <f t="shared" si="400"/>
        <v>0</v>
      </c>
      <c r="M8195" s="17" t="str">
        <f t="shared" si="401"/>
        <v/>
      </c>
      <c r="N8195" s="11" t="str">
        <f t="shared" si="402"/>
        <v/>
      </c>
    </row>
    <row r="8196" spans="9:14" x14ac:dyDescent="0.25">
      <c r="I8196" s="11" t="b">
        <f t="shared" si="400"/>
        <v>0</v>
      </c>
      <c r="M8196" s="17" t="str">
        <f t="shared" si="401"/>
        <v/>
      </c>
      <c r="N8196" s="11" t="str">
        <f t="shared" si="402"/>
        <v/>
      </c>
    </row>
    <row r="8197" spans="9:14" x14ac:dyDescent="0.25">
      <c r="I8197" s="11" t="b">
        <f t="shared" si="400"/>
        <v>0</v>
      </c>
      <c r="M8197" s="17" t="str">
        <f t="shared" si="401"/>
        <v/>
      </c>
      <c r="N8197" s="11" t="str">
        <f t="shared" si="402"/>
        <v/>
      </c>
    </row>
    <row r="8198" spans="9:14" x14ac:dyDescent="0.25">
      <c r="I8198" s="11" t="b">
        <f t="shared" si="400"/>
        <v>0</v>
      </c>
      <c r="M8198" s="17" t="str">
        <f t="shared" si="401"/>
        <v/>
      </c>
      <c r="N8198" s="11" t="str">
        <f t="shared" si="402"/>
        <v/>
      </c>
    </row>
    <row r="8199" spans="9:14" x14ac:dyDescent="0.25">
      <c r="I8199" s="11" t="b">
        <f t="shared" si="400"/>
        <v>0</v>
      </c>
      <c r="M8199" s="17" t="str">
        <f t="shared" si="401"/>
        <v/>
      </c>
      <c r="N8199" s="11" t="str">
        <f t="shared" si="402"/>
        <v/>
      </c>
    </row>
    <row r="8200" spans="9:14" x14ac:dyDescent="0.25">
      <c r="I8200" s="11" t="b">
        <f t="shared" si="400"/>
        <v>0</v>
      </c>
      <c r="M8200" s="17" t="str">
        <f t="shared" si="401"/>
        <v/>
      </c>
      <c r="N8200" s="11" t="str">
        <f t="shared" si="402"/>
        <v/>
      </c>
    </row>
    <row r="8201" spans="9:14" x14ac:dyDescent="0.25">
      <c r="I8201" s="11" t="b">
        <f t="shared" si="400"/>
        <v>0</v>
      </c>
      <c r="M8201" s="17" t="str">
        <f t="shared" si="401"/>
        <v/>
      </c>
      <c r="N8201" s="11" t="str">
        <f t="shared" si="402"/>
        <v/>
      </c>
    </row>
    <row r="8202" spans="9:14" x14ac:dyDescent="0.25">
      <c r="I8202" s="11" t="b">
        <f t="shared" si="400"/>
        <v>0</v>
      </c>
      <c r="M8202" s="17" t="str">
        <f t="shared" si="401"/>
        <v/>
      </c>
      <c r="N8202" s="11" t="str">
        <f t="shared" si="402"/>
        <v/>
      </c>
    </row>
    <row r="8203" spans="9:14" x14ac:dyDescent="0.25">
      <c r="I8203" s="11" t="b">
        <f t="shared" si="400"/>
        <v>0</v>
      </c>
      <c r="M8203" s="17" t="str">
        <f t="shared" si="401"/>
        <v/>
      </c>
      <c r="N8203" s="11" t="str">
        <f t="shared" si="402"/>
        <v/>
      </c>
    </row>
    <row r="8204" spans="9:14" x14ac:dyDescent="0.25">
      <c r="I8204" s="11" t="b">
        <f t="shared" si="400"/>
        <v>0</v>
      </c>
      <c r="M8204" s="17" t="str">
        <f t="shared" si="401"/>
        <v/>
      </c>
      <c r="N8204" s="11" t="str">
        <f t="shared" si="402"/>
        <v/>
      </c>
    </row>
    <row r="8205" spans="9:14" x14ac:dyDescent="0.25">
      <c r="I8205" s="11" t="b">
        <f t="shared" si="400"/>
        <v>0</v>
      </c>
      <c r="M8205" s="17" t="str">
        <f t="shared" si="401"/>
        <v/>
      </c>
      <c r="N8205" s="11" t="str">
        <f t="shared" si="402"/>
        <v/>
      </c>
    </row>
    <row r="8206" spans="9:14" x14ac:dyDescent="0.25">
      <c r="I8206" s="11" t="b">
        <f t="shared" si="400"/>
        <v>0</v>
      </c>
      <c r="M8206" s="17" t="str">
        <f t="shared" si="401"/>
        <v/>
      </c>
      <c r="N8206" s="11" t="str">
        <f t="shared" si="402"/>
        <v/>
      </c>
    </row>
    <row r="8207" spans="9:14" x14ac:dyDescent="0.25">
      <c r="I8207" s="11" t="b">
        <f t="shared" si="400"/>
        <v>0</v>
      </c>
      <c r="M8207" s="17" t="str">
        <f t="shared" si="401"/>
        <v/>
      </c>
      <c r="N8207" s="11" t="str">
        <f t="shared" si="402"/>
        <v/>
      </c>
    </row>
    <row r="8208" spans="9:14" x14ac:dyDescent="0.25">
      <c r="I8208" s="11" t="b">
        <f t="shared" si="400"/>
        <v>0</v>
      </c>
      <c r="M8208" s="17" t="str">
        <f t="shared" si="401"/>
        <v/>
      </c>
      <c r="N8208" s="11" t="str">
        <f t="shared" si="402"/>
        <v/>
      </c>
    </row>
    <row r="8209" spans="9:14" x14ac:dyDescent="0.25">
      <c r="I8209" s="11" t="b">
        <f t="shared" si="400"/>
        <v>0</v>
      </c>
      <c r="M8209" s="17" t="str">
        <f t="shared" si="401"/>
        <v/>
      </c>
      <c r="N8209" s="11" t="str">
        <f t="shared" si="402"/>
        <v/>
      </c>
    </row>
    <row r="8210" spans="9:14" x14ac:dyDescent="0.25">
      <c r="I8210" s="11" t="b">
        <f t="shared" si="400"/>
        <v>0</v>
      </c>
      <c r="M8210" s="17" t="str">
        <f t="shared" si="401"/>
        <v/>
      </c>
      <c r="N8210" s="11" t="str">
        <f t="shared" si="402"/>
        <v/>
      </c>
    </row>
    <row r="8211" spans="9:14" x14ac:dyDescent="0.25">
      <c r="I8211" s="11" t="b">
        <f t="shared" si="400"/>
        <v>0</v>
      </c>
      <c r="M8211" s="17" t="str">
        <f t="shared" si="401"/>
        <v/>
      </c>
      <c r="N8211" s="11" t="str">
        <f t="shared" si="402"/>
        <v/>
      </c>
    </row>
    <row r="8212" spans="9:14" x14ac:dyDescent="0.25">
      <c r="I8212" s="11" t="b">
        <f t="shared" si="400"/>
        <v>0</v>
      </c>
      <c r="M8212" s="17" t="str">
        <f t="shared" si="401"/>
        <v/>
      </c>
      <c r="N8212" s="11" t="str">
        <f t="shared" si="402"/>
        <v/>
      </c>
    </row>
    <row r="8213" spans="9:14" x14ac:dyDescent="0.25">
      <c r="I8213" s="11" t="b">
        <f t="shared" si="400"/>
        <v>0</v>
      </c>
      <c r="M8213" s="17" t="str">
        <f t="shared" si="401"/>
        <v/>
      </c>
      <c r="N8213" s="11" t="str">
        <f t="shared" si="402"/>
        <v/>
      </c>
    </row>
    <row r="8214" spans="9:14" x14ac:dyDescent="0.25">
      <c r="I8214" s="11" t="b">
        <f t="shared" si="400"/>
        <v>0</v>
      </c>
      <c r="M8214" s="17" t="str">
        <f t="shared" si="401"/>
        <v/>
      </c>
      <c r="N8214" s="11" t="str">
        <f t="shared" si="402"/>
        <v/>
      </c>
    </row>
    <row r="8215" spans="9:14" x14ac:dyDescent="0.25">
      <c r="I8215" s="11" t="b">
        <f t="shared" si="400"/>
        <v>0</v>
      </c>
      <c r="M8215" s="17" t="str">
        <f t="shared" si="401"/>
        <v/>
      </c>
      <c r="N8215" s="11" t="str">
        <f t="shared" si="402"/>
        <v/>
      </c>
    </row>
    <row r="8216" spans="9:14" x14ac:dyDescent="0.25">
      <c r="I8216" s="11" t="b">
        <f t="shared" si="400"/>
        <v>0</v>
      </c>
      <c r="M8216" s="17" t="str">
        <f t="shared" si="401"/>
        <v/>
      </c>
      <c r="N8216" s="11" t="str">
        <f t="shared" si="402"/>
        <v/>
      </c>
    </row>
    <row r="8217" spans="9:14" x14ac:dyDescent="0.25">
      <c r="I8217" s="11" t="b">
        <f t="shared" si="400"/>
        <v>0</v>
      </c>
      <c r="M8217" s="17" t="str">
        <f t="shared" si="401"/>
        <v/>
      </c>
      <c r="N8217" s="11" t="str">
        <f t="shared" si="402"/>
        <v/>
      </c>
    </row>
    <row r="8218" spans="9:14" x14ac:dyDescent="0.25">
      <c r="I8218" s="11" t="b">
        <f t="shared" si="400"/>
        <v>0</v>
      </c>
      <c r="M8218" s="17" t="str">
        <f t="shared" si="401"/>
        <v/>
      </c>
      <c r="N8218" s="11" t="str">
        <f t="shared" si="402"/>
        <v/>
      </c>
    </row>
    <row r="8219" spans="9:14" x14ac:dyDescent="0.25">
      <c r="I8219" s="11" t="b">
        <f t="shared" si="400"/>
        <v>0</v>
      </c>
      <c r="M8219" s="17" t="str">
        <f t="shared" si="401"/>
        <v/>
      </c>
      <c r="N8219" s="11" t="str">
        <f t="shared" si="402"/>
        <v/>
      </c>
    </row>
    <row r="8220" spans="9:14" x14ac:dyDescent="0.25">
      <c r="I8220" s="11" t="b">
        <f t="shared" si="400"/>
        <v>0</v>
      </c>
      <c r="M8220" s="17" t="str">
        <f t="shared" si="401"/>
        <v/>
      </c>
      <c r="N8220" s="11" t="str">
        <f t="shared" si="402"/>
        <v/>
      </c>
    </row>
    <row r="8221" spans="9:14" x14ac:dyDescent="0.25">
      <c r="I8221" s="11" t="b">
        <f t="shared" ref="I8221:I8284" si="403">IF(AND(G8221="MERCADO PAGO",A8221="FATURAMENTO"),1,IF(AND(OR(G8221="MERCADO PAGO",G8221="pix mercado pago",G8221= "débito automático mercado pago", G8221= "boleto mercado pago"),A8221="DESPESAS"),4,IF(AND(G8221="SAFRA",A8221="FATURAMENTO"),2,IF(AND(OR(G8221="SAFRA",G8221="PIX SAFRA", G8221="DÉBITO AUTOMÁTICO SAFRA", G8221= "BOLETO SAFRA", G8221= "transferência safra"), A8221="DESPESAS"),5,IF(AND(G8221="espécie",A8221="FATURAMENTO"),3,IF(AND(G8221="espécie",A8221="DESPESAS"),6))))))</f>
        <v>0</v>
      </c>
      <c r="M8221" s="17" t="str">
        <f t="shared" si="401"/>
        <v/>
      </c>
      <c r="N8221" s="11" t="str">
        <f t="shared" si="402"/>
        <v/>
      </c>
    </row>
    <row r="8222" spans="9:14" x14ac:dyDescent="0.25">
      <c r="I8222" s="11" t="b">
        <f t="shared" si="403"/>
        <v>0</v>
      </c>
      <c r="M8222" s="17" t="str">
        <f t="shared" si="401"/>
        <v/>
      </c>
      <c r="N8222" s="11" t="str">
        <f t="shared" si="402"/>
        <v/>
      </c>
    </row>
    <row r="8223" spans="9:14" x14ac:dyDescent="0.25">
      <c r="I8223" s="11" t="b">
        <f t="shared" si="403"/>
        <v>0</v>
      </c>
      <c r="M8223" s="17" t="str">
        <f t="shared" si="401"/>
        <v/>
      </c>
      <c r="N8223" s="11" t="str">
        <f t="shared" si="402"/>
        <v/>
      </c>
    </row>
    <row r="8224" spans="9:14" x14ac:dyDescent="0.25">
      <c r="I8224" s="11" t="b">
        <f t="shared" si="403"/>
        <v>0</v>
      </c>
      <c r="M8224" s="17" t="str">
        <f t="shared" si="401"/>
        <v/>
      </c>
      <c r="N8224" s="11" t="str">
        <f t="shared" si="402"/>
        <v/>
      </c>
    </row>
    <row r="8225" spans="9:14" x14ac:dyDescent="0.25">
      <c r="I8225" s="11" t="b">
        <f t="shared" si="403"/>
        <v>0</v>
      </c>
      <c r="M8225" s="17" t="str">
        <f t="shared" si="401"/>
        <v/>
      </c>
      <c r="N8225" s="11" t="str">
        <f t="shared" si="402"/>
        <v/>
      </c>
    </row>
    <row r="8226" spans="9:14" x14ac:dyDescent="0.25">
      <c r="I8226" s="11" t="b">
        <f t="shared" si="403"/>
        <v>0</v>
      </c>
      <c r="M8226" s="17" t="str">
        <f t="shared" si="401"/>
        <v/>
      </c>
      <c r="N8226" s="11" t="str">
        <f t="shared" si="402"/>
        <v/>
      </c>
    </row>
    <row r="8227" spans="9:14" x14ac:dyDescent="0.25">
      <c r="I8227" s="11" t="b">
        <f t="shared" si="403"/>
        <v>0</v>
      </c>
      <c r="M8227" s="17" t="str">
        <f t="shared" si="401"/>
        <v/>
      </c>
      <c r="N8227" s="11" t="str">
        <f t="shared" si="402"/>
        <v/>
      </c>
    </row>
    <row r="8228" spans="9:14" x14ac:dyDescent="0.25">
      <c r="I8228" s="11" t="b">
        <f t="shared" si="403"/>
        <v>0</v>
      </c>
      <c r="M8228" s="17" t="str">
        <f t="shared" si="401"/>
        <v/>
      </c>
      <c r="N8228" s="11" t="str">
        <f t="shared" si="402"/>
        <v/>
      </c>
    </row>
    <row r="8229" spans="9:14" x14ac:dyDescent="0.25">
      <c r="I8229" s="11" t="b">
        <f t="shared" si="403"/>
        <v>0</v>
      </c>
      <c r="M8229" s="17" t="str">
        <f t="shared" si="401"/>
        <v/>
      </c>
      <c r="N8229" s="11" t="str">
        <f t="shared" si="402"/>
        <v/>
      </c>
    </row>
    <row r="8230" spans="9:14" x14ac:dyDescent="0.25">
      <c r="I8230" s="11" t="b">
        <f t="shared" si="403"/>
        <v>0</v>
      </c>
      <c r="M8230" s="17" t="str">
        <f t="shared" si="401"/>
        <v/>
      </c>
      <c r="N8230" s="11" t="str">
        <f t="shared" si="402"/>
        <v/>
      </c>
    </row>
    <row r="8231" spans="9:14" x14ac:dyDescent="0.25">
      <c r="I8231" s="11" t="b">
        <f t="shared" si="403"/>
        <v>0</v>
      </c>
      <c r="M8231" s="17" t="str">
        <f t="shared" si="401"/>
        <v/>
      </c>
      <c r="N8231" s="11" t="str">
        <f t="shared" si="402"/>
        <v/>
      </c>
    </row>
    <row r="8232" spans="9:14" x14ac:dyDescent="0.25">
      <c r="I8232" s="11" t="b">
        <f t="shared" si="403"/>
        <v>0</v>
      </c>
      <c r="M8232" s="17" t="str">
        <f t="shared" si="401"/>
        <v/>
      </c>
      <c r="N8232" s="11" t="str">
        <f t="shared" si="402"/>
        <v/>
      </c>
    </row>
    <row r="8233" spans="9:14" x14ac:dyDescent="0.25">
      <c r="I8233" s="11" t="b">
        <f t="shared" si="403"/>
        <v>0</v>
      </c>
      <c r="M8233" s="17" t="str">
        <f t="shared" si="401"/>
        <v/>
      </c>
      <c r="N8233" s="11" t="str">
        <f t="shared" si="402"/>
        <v/>
      </c>
    </row>
    <row r="8234" spans="9:14" x14ac:dyDescent="0.25">
      <c r="I8234" s="11" t="b">
        <f t="shared" si="403"/>
        <v>0</v>
      </c>
      <c r="M8234" s="17" t="str">
        <f t="shared" si="401"/>
        <v/>
      </c>
      <c r="N8234" s="11" t="str">
        <f t="shared" si="402"/>
        <v/>
      </c>
    </row>
    <row r="8235" spans="9:14" x14ac:dyDescent="0.25">
      <c r="I8235" s="11" t="b">
        <f t="shared" si="403"/>
        <v>0</v>
      </c>
      <c r="M8235" s="17" t="str">
        <f t="shared" si="401"/>
        <v/>
      </c>
      <c r="N8235" s="11" t="str">
        <f t="shared" si="402"/>
        <v/>
      </c>
    </row>
    <row r="8236" spans="9:14" x14ac:dyDescent="0.25">
      <c r="I8236" s="11" t="b">
        <f t="shared" si="403"/>
        <v>0</v>
      </c>
      <c r="M8236" s="17" t="str">
        <f t="shared" si="401"/>
        <v/>
      </c>
      <c r="N8236" s="11" t="str">
        <f t="shared" si="402"/>
        <v/>
      </c>
    </row>
    <row r="8237" spans="9:14" x14ac:dyDescent="0.25">
      <c r="I8237" s="11" t="b">
        <f t="shared" si="403"/>
        <v>0</v>
      </c>
      <c r="M8237" s="17" t="str">
        <f t="shared" si="401"/>
        <v/>
      </c>
      <c r="N8237" s="11" t="str">
        <f t="shared" si="402"/>
        <v/>
      </c>
    </row>
    <row r="8238" spans="9:14" x14ac:dyDescent="0.25">
      <c r="I8238" s="11" t="b">
        <f t="shared" si="403"/>
        <v>0</v>
      </c>
      <c r="M8238" s="17" t="str">
        <f t="shared" si="401"/>
        <v/>
      </c>
      <c r="N8238" s="11" t="str">
        <f t="shared" si="402"/>
        <v/>
      </c>
    </row>
    <row r="8239" spans="9:14" x14ac:dyDescent="0.25">
      <c r="I8239" s="11" t="b">
        <f t="shared" si="403"/>
        <v>0</v>
      </c>
      <c r="M8239" s="17" t="str">
        <f t="shared" si="401"/>
        <v/>
      </c>
      <c r="N8239" s="11" t="str">
        <f t="shared" si="402"/>
        <v/>
      </c>
    </row>
    <row r="8240" spans="9:14" x14ac:dyDescent="0.25">
      <c r="I8240" s="11" t="b">
        <f t="shared" si="403"/>
        <v>0</v>
      </c>
      <c r="M8240" s="17" t="str">
        <f t="shared" si="401"/>
        <v/>
      </c>
      <c r="N8240" s="11" t="str">
        <f t="shared" si="402"/>
        <v/>
      </c>
    </row>
    <row r="8241" spans="9:14" x14ac:dyDescent="0.25">
      <c r="I8241" s="11" t="b">
        <f t="shared" si="403"/>
        <v>0</v>
      </c>
      <c r="M8241" s="17" t="str">
        <f t="shared" si="401"/>
        <v/>
      </c>
      <c r="N8241" s="11" t="str">
        <f t="shared" si="402"/>
        <v/>
      </c>
    </row>
    <row r="8242" spans="9:14" x14ac:dyDescent="0.25">
      <c r="I8242" s="11" t="b">
        <f t="shared" si="403"/>
        <v>0</v>
      </c>
      <c r="M8242" s="17" t="str">
        <f t="shared" si="401"/>
        <v/>
      </c>
      <c r="N8242" s="11" t="str">
        <f t="shared" si="402"/>
        <v/>
      </c>
    </row>
    <row r="8243" spans="9:14" x14ac:dyDescent="0.25">
      <c r="I8243" s="11" t="b">
        <f t="shared" si="403"/>
        <v>0</v>
      </c>
      <c r="M8243" s="17" t="str">
        <f t="shared" si="401"/>
        <v/>
      </c>
      <c r="N8243" s="11" t="str">
        <f t="shared" si="402"/>
        <v/>
      </c>
    </row>
    <row r="8244" spans="9:14" x14ac:dyDescent="0.25">
      <c r="I8244" s="11" t="b">
        <f t="shared" si="403"/>
        <v>0</v>
      </c>
      <c r="M8244" s="17" t="str">
        <f t="shared" si="401"/>
        <v/>
      </c>
      <c r="N8244" s="11" t="str">
        <f t="shared" si="402"/>
        <v/>
      </c>
    </row>
    <row r="8245" spans="9:14" x14ac:dyDescent="0.25">
      <c r="I8245" s="11" t="b">
        <f t="shared" si="403"/>
        <v>0</v>
      </c>
      <c r="M8245" s="17" t="str">
        <f t="shared" si="401"/>
        <v/>
      </c>
      <c r="N8245" s="11" t="str">
        <f t="shared" si="402"/>
        <v/>
      </c>
    </row>
    <row r="8246" spans="9:14" x14ac:dyDescent="0.25">
      <c r="I8246" s="11" t="b">
        <f t="shared" si="403"/>
        <v>0</v>
      </c>
      <c r="M8246" s="17" t="str">
        <f t="shared" si="401"/>
        <v/>
      </c>
      <c r="N8246" s="11" t="str">
        <f t="shared" si="402"/>
        <v/>
      </c>
    </row>
    <row r="8247" spans="9:14" x14ac:dyDescent="0.25">
      <c r="I8247" s="11" t="b">
        <f t="shared" si="403"/>
        <v>0</v>
      </c>
      <c r="M8247" s="17" t="str">
        <f t="shared" si="401"/>
        <v/>
      </c>
      <c r="N8247" s="11" t="str">
        <f t="shared" si="402"/>
        <v/>
      </c>
    </row>
    <row r="8248" spans="9:14" x14ac:dyDescent="0.25">
      <c r="I8248" s="11" t="b">
        <f t="shared" si="403"/>
        <v>0</v>
      </c>
      <c r="M8248" s="17" t="str">
        <f t="shared" si="401"/>
        <v/>
      </c>
      <c r="N8248" s="11" t="str">
        <f t="shared" si="402"/>
        <v/>
      </c>
    </row>
    <row r="8249" spans="9:14" x14ac:dyDescent="0.25">
      <c r="I8249" s="11" t="b">
        <f t="shared" si="403"/>
        <v>0</v>
      </c>
      <c r="M8249" s="17" t="str">
        <f t="shared" si="401"/>
        <v/>
      </c>
      <c r="N8249" s="11" t="str">
        <f t="shared" si="402"/>
        <v/>
      </c>
    </row>
    <row r="8250" spans="9:14" x14ac:dyDescent="0.25">
      <c r="I8250" s="11" t="b">
        <f t="shared" si="403"/>
        <v>0</v>
      </c>
      <c r="M8250" s="17" t="str">
        <f t="shared" si="401"/>
        <v/>
      </c>
      <c r="N8250" s="11" t="str">
        <f t="shared" si="402"/>
        <v/>
      </c>
    </row>
    <row r="8251" spans="9:14" x14ac:dyDescent="0.25">
      <c r="I8251" s="11" t="b">
        <f t="shared" si="403"/>
        <v>0</v>
      </c>
      <c r="M8251" s="17" t="str">
        <f t="shared" si="401"/>
        <v/>
      </c>
      <c r="N8251" s="11" t="str">
        <f t="shared" si="402"/>
        <v/>
      </c>
    </row>
    <row r="8252" spans="9:14" x14ac:dyDescent="0.25">
      <c r="I8252" s="11" t="b">
        <f t="shared" si="403"/>
        <v>0</v>
      </c>
      <c r="M8252" s="17" t="str">
        <f t="shared" si="401"/>
        <v/>
      </c>
      <c r="N8252" s="11" t="str">
        <f t="shared" si="402"/>
        <v/>
      </c>
    </row>
    <row r="8253" spans="9:14" x14ac:dyDescent="0.25">
      <c r="I8253" s="11" t="b">
        <f t="shared" si="403"/>
        <v>0</v>
      </c>
      <c r="M8253" s="17" t="str">
        <f t="shared" si="401"/>
        <v/>
      </c>
      <c r="N8253" s="11" t="str">
        <f t="shared" si="402"/>
        <v/>
      </c>
    </row>
    <row r="8254" spans="9:14" x14ac:dyDescent="0.25">
      <c r="I8254" s="11" t="b">
        <f t="shared" si="403"/>
        <v>0</v>
      </c>
      <c r="M8254" s="17" t="str">
        <f t="shared" si="401"/>
        <v/>
      </c>
      <c r="N8254" s="11" t="str">
        <f t="shared" si="402"/>
        <v/>
      </c>
    </row>
    <row r="8255" spans="9:14" x14ac:dyDescent="0.25">
      <c r="I8255" s="11" t="b">
        <f t="shared" si="403"/>
        <v>0</v>
      </c>
      <c r="M8255" s="17" t="str">
        <f t="shared" si="401"/>
        <v/>
      </c>
      <c r="N8255" s="11" t="str">
        <f t="shared" si="402"/>
        <v/>
      </c>
    </row>
    <row r="8256" spans="9:14" x14ac:dyDescent="0.25">
      <c r="I8256" s="11" t="b">
        <f t="shared" si="403"/>
        <v>0</v>
      </c>
      <c r="M8256" s="17" t="str">
        <f t="shared" si="401"/>
        <v/>
      </c>
      <c r="N8256" s="11" t="str">
        <f t="shared" si="402"/>
        <v/>
      </c>
    </row>
    <row r="8257" spans="9:14" x14ac:dyDescent="0.25">
      <c r="I8257" s="11" t="b">
        <f t="shared" si="403"/>
        <v>0</v>
      </c>
      <c r="M8257" s="17" t="str">
        <f t="shared" ref="M8257:M8320" si="404">IF(B8257=0, "",M8256+ J8257-K8257)</f>
        <v/>
      </c>
      <c r="N8257" s="11" t="str">
        <f t="shared" ref="N8257:N8320" si="405">IF(B8257=0, "", MONTH(B8257))</f>
        <v/>
      </c>
    </row>
    <row r="8258" spans="9:14" x14ac:dyDescent="0.25">
      <c r="I8258" s="11" t="b">
        <f t="shared" si="403"/>
        <v>0</v>
      </c>
      <c r="M8258" s="17" t="str">
        <f t="shared" si="404"/>
        <v/>
      </c>
      <c r="N8258" s="11" t="str">
        <f t="shared" si="405"/>
        <v/>
      </c>
    </row>
    <row r="8259" spans="9:14" x14ac:dyDescent="0.25">
      <c r="I8259" s="11" t="b">
        <f t="shared" si="403"/>
        <v>0</v>
      </c>
      <c r="M8259" s="17" t="str">
        <f t="shared" si="404"/>
        <v/>
      </c>
      <c r="N8259" s="11" t="str">
        <f t="shared" si="405"/>
        <v/>
      </c>
    </row>
    <row r="8260" spans="9:14" x14ac:dyDescent="0.25">
      <c r="I8260" s="11" t="b">
        <f t="shared" si="403"/>
        <v>0</v>
      </c>
      <c r="M8260" s="17" t="str">
        <f t="shared" si="404"/>
        <v/>
      </c>
      <c r="N8260" s="11" t="str">
        <f t="shared" si="405"/>
        <v/>
      </c>
    </row>
    <row r="8261" spans="9:14" x14ac:dyDescent="0.25">
      <c r="I8261" s="11" t="b">
        <f t="shared" si="403"/>
        <v>0</v>
      </c>
      <c r="M8261" s="17" t="str">
        <f t="shared" si="404"/>
        <v/>
      </c>
      <c r="N8261" s="11" t="str">
        <f t="shared" si="405"/>
        <v/>
      </c>
    </row>
    <row r="8262" spans="9:14" x14ac:dyDescent="0.25">
      <c r="I8262" s="11" t="b">
        <f t="shared" si="403"/>
        <v>0</v>
      </c>
      <c r="M8262" s="17" t="str">
        <f t="shared" si="404"/>
        <v/>
      </c>
      <c r="N8262" s="11" t="str">
        <f t="shared" si="405"/>
        <v/>
      </c>
    </row>
    <row r="8263" spans="9:14" x14ac:dyDescent="0.25">
      <c r="I8263" s="11" t="b">
        <f t="shared" si="403"/>
        <v>0</v>
      </c>
      <c r="M8263" s="17" t="str">
        <f t="shared" si="404"/>
        <v/>
      </c>
      <c r="N8263" s="11" t="str">
        <f t="shared" si="405"/>
        <v/>
      </c>
    </row>
    <row r="8264" spans="9:14" x14ac:dyDescent="0.25">
      <c r="I8264" s="11" t="b">
        <f t="shared" si="403"/>
        <v>0</v>
      </c>
      <c r="M8264" s="17" t="str">
        <f t="shared" si="404"/>
        <v/>
      </c>
      <c r="N8264" s="11" t="str">
        <f t="shared" si="405"/>
        <v/>
      </c>
    </row>
    <row r="8265" spans="9:14" x14ac:dyDescent="0.25">
      <c r="I8265" s="11" t="b">
        <f t="shared" si="403"/>
        <v>0</v>
      </c>
      <c r="M8265" s="17" t="str">
        <f t="shared" si="404"/>
        <v/>
      </c>
      <c r="N8265" s="11" t="str">
        <f t="shared" si="405"/>
        <v/>
      </c>
    </row>
    <row r="8266" spans="9:14" x14ac:dyDescent="0.25">
      <c r="I8266" s="11" t="b">
        <f t="shared" si="403"/>
        <v>0</v>
      </c>
      <c r="M8266" s="17" t="str">
        <f t="shared" si="404"/>
        <v/>
      </c>
      <c r="N8266" s="11" t="str">
        <f t="shared" si="405"/>
        <v/>
      </c>
    </row>
    <row r="8267" spans="9:14" x14ac:dyDescent="0.25">
      <c r="I8267" s="11" t="b">
        <f t="shared" si="403"/>
        <v>0</v>
      </c>
      <c r="M8267" s="17" t="str">
        <f t="shared" si="404"/>
        <v/>
      </c>
      <c r="N8267" s="11" t="str">
        <f t="shared" si="405"/>
        <v/>
      </c>
    </row>
    <row r="8268" spans="9:14" x14ac:dyDescent="0.25">
      <c r="I8268" s="11" t="b">
        <f t="shared" si="403"/>
        <v>0</v>
      </c>
      <c r="M8268" s="17" t="str">
        <f t="shared" si="404"/>
        <v/>
      </c>
      <c r="N8268" s="11" t="str">
        <f t="shared" si="405"/>
        <v/>
      </c>
    </row>
    <row r="8269" spans="9:14" x14ac:dyDescent="0.25">
      <c r="I8269" s="11" t="b">
        <f t="shared" si="403"/>
        <v>0</v>
      </c>
      <c r="M8269" s="17" t="str">
        <f t="shared" si="404"/>
        <v/>
      </c>
      <c r="N8269" s="11" t="str">
        <f t="shared" si="405"/>
        <v/>
      </c>
    </row>
    <row r="8270" spans="9:14" x14ac:dyDescent="0.25">
      <c r="I8270" s="11" t="b">
        <f t="shared" si="403"/>
        <v>0</v>
      </c>
      <c r="M8270" s="17" t="str">
        <f t="shared" si="404"/>
        <v/>
      </c>
      <c r="N8270" s="11" t="str">
        <f t="shared" si="405"/>
        <v/>
      </c>
    </row>
    <row r="8271" spans="9:14" x14ac:dyDescent="0.25">
      <c r="I8271" s="11" t="b">
        <f t="shared" si="403"/>
        <v>0</v>
      </c>
      <c r="M8271" s="17" t="str">
        <f t="shared" si="404"/>
        <v/>
      </c>
      <c r="N8271" s="11" t="str">
        <f t="shared" si="405"/>
        <v/>
      </c>
    </row>
    <row r="8272" spans="9:14" x14ac:dyDescent="0.25">
      <c r="I8272" s="11" t="b">
        <f t="shared" si="403"/>
        <v>0</v>
      </c>
      <c r="M8272" s="17" t="str">
        <f t="shared" si="404"/>
        <v/>
      </c>
      <c r="N8272" s="11" t="str">
        <f t="shared" si="405"/>
        <v/>
      </c>
    </row>
    <row r="8273" spans="9:14" x14ac:dyDescent="0.25">
      <c r="I8273" s="11" t="b">
        <f t="shared" si="403"/>
        <v>0</v>
      </c>
      <c r="M8273" s="17" t="str">
        <f t="shared" si="404"/>
        <v/>
      </c>
      <c r="N8273" s="11" t="str">
        <f t="shared" si="405"/>
        <v/>
      </c>
    </row>
    <row r="8274" spans="9:14" x14ac:dyDescent="0.25">
      <c r="I8274" s="11" t="b">
        <f t="shared" si="403"/>
        <v>0</v>
      </c>
      <c r="M8274" s="17" t="str">
        <f t="shared" si="404"/>
        <v/>
      </c>
      <c r="N8274" s="11" t="str">
        <f t="shared" si="405"/>
        <v/>
      </c>
    </row>
    <row r="8275" spans="9:14" x14ac:dyDescent="0.25">
      <c r="I8275" s="11" t="b">
        <f t="shared" si="403"/>
        <v>0</v>
      </c>
      <c r="M8275" s="17" t="str">
        <f t="shared" si="404"/>
        <v/>
      </c>
      <c r="N8275" s="11" t="str">
        <f t="shared" si="405"/>
        <v/>
      </c>
    </row>
    <row r="8276" spans="9:14" x14ac:dyDescent="0.25">
      <c r="I8276" s="11" t="b">
        <f t="shared" si="403"/>
        <v>0</v>
      </c>
      <c r="M8276" s="17" t="str">
        <f t="shared" si="404"/>
        <v/>
      </c>
      <c r="N8276" s="11" t="str">
        <f t="shared" si="405"/>
        <v/>
      </c>
    </row>
    <row r="8277" spans="9:14" x14ac:dyDescent="0.25">
      <c r="I8277" s="11" t="b">
        <f t="shared" si="403"/>
        <v>0</v>
      </c>
      <c r="M8277" s="17" t="str">
        <f t="shared" si="404"/>
        <v/>
      </c>
      <c r="N8277" s="11" t="str">
        <f t="shared" si="405"/>
        <v/>
      </c>
    </row>
    <row r="8278" spans="9:14" x14ac:dyDescent="0.25">
      <c r="I8278" s="11" t="b">
        <f t="shared" si="403"/>
        <v>0</v>
      </c>
      <c r="M8278" s="17" t="str">
        <f t="shared" si="404"/>
        <v/>
      </c>
      <c r="N8278" s="11" t="str">
        <f t="shared" si="405"/>
        <v/>
      </c>
    </row>
    <row r="8279" spans="9:14" x14ac:dyDescent="0.25">
      <c r="I8279" s="11" t="b">
        <f t="shared" si="403"/>
        <v>0</v>
      </c>
      <c r="M8279" s="17" t="str">
        <f t="shared" si="404"/>
        <v/>
      </c>
      <c r="N8279" s="11" t="str">
        <f t="shared" si="405"/>
        <v/>
      </c>
    </row>
    <row r="8280" spans="9:14" x14ac:dyDescent="0.25">
      <c r="I8280" s="11" t="b">
        <f t="shared" si="403"/>
        <v>0</v>
      </c>
      <c r="M8280" s="17" t="str">
        <f t="shared" si="404"/>
        <v/>
      </c>
      <c r="N8280" s="11" t="str">
        <f t="shared" si="405"/>
        <v/>
      </c>
    </row>
    <row r="8281" spans="9:14" x14ac:dyDescent="0.25">
      <c r="I8281" s="11" t="b">
        <f t="shared" si="403"/>
        <v>0</v>
      </c>
      <c r="M8281" s="17" t="str">
        <f t="shared" si="404"/>
        <v/>
      </c>
      <c r="N8281" s="11" t="str">
        <f t="shared" si="405"/>
        <v/>
      </c>
    </row>
    <row r="8282" spans="9:14" x14ac:dyDescent="0.25">
      <c r="I8282" s="11" t="b">
        <f t="shared" si="403"/>
        <v>0</v>
      </c>
      <c r="M8282" s="17" t="str">
        <f t="shared" si="404"/>
        <v/>
      </c>
      <c r="N8282" s="11" t="str">
        <f t="shared" si="405"/>
        <v/>
      </c>
    </row>
    <row r="8283" spans="9:14" x14ac:dyDescent="0.25">
      <c r="I8283" s="11" t="b">
        <f t="shared" si="403"/>
        <v>0</v>
      </c>
      <c r="M8283" s="17" t="str">
        <f t="shared" si="404"/>
        <v/>
      </c>
      <c r="N8283" s="11" t="str">
        <f t="shared" si="405"/>
        <v/>
      </c>
    </row>
    <row r="8284" spans="9:14" x14ac:dyDescent="0.25">
      <c r="I8284" s="11" t="b">
        <f t="shared" si="403"/>
        <v>0</v>
      </c>
      <c r="M8284" s="17" t="str">
        <f t="shared" si="404"/>
        <v/>
      </c>
      <c r="N8284" s="11" t="str">
        <f t="shared" si="405"/>
        <v/>
      </c>
    </row>
    <row r="8285" spans="9:14" x14ac:dyDescent="0.25">
      <c r="I8285" s="11" t="b">
        <f t="shared" ref="I8285:I8348" si="406">IF(AND(G8285="MERCADO PAGO",A8285="FATURAMENTO"),1,IF(AND(OR(G8285="MERCADO PAGO",G8285="pix mercado pago",G8285= "débito automático mercado pago", G8285= "boleto mercado pago"),A8285="DESPESAS"),4,IF(AND(G8285="SAFRA",A8285="FATURAMENTO"),2,IF(AND(OR(G8285="SAFRA",G8285="PIX SAFRA", G8285="DÉBITO AUTOMÁTICO SAFRA", G8285= "BOLETO SAFRA", G8285= "transferência safra"), A8285="DESPESAS"),5,IF(AND(G8285="espécie",A8285="FATURAMENTO"),3,IF(AND(G8285="espécie",A8285="DESPESAS"),6))))))</f>
        <v>0</v>
      </c>
      <c r="M8285" s="17" t="str">
        <f t="shared" si="404"/>
        <v/>
      </c>
      <c r="N8285" s="11" t="str">
        <f t="shared" si="405"/>
        <v/>
      </c>
    </row>
    <row r="8286" spans="9:14" x14ac:dyDescent="0.25">
      <c r="I8286" s="11" t="b">
        <f t="shared" si="406"/>
        <v>0</v>
      </c>
      <c r="M8286" s="17" t="str">
        <f t="shared" si="404"/>
        <v/>
      </c>
      <c r="N8286" s="11" t="str">
        <f t="shared" si="405"/>
        <v/>
      </c>
    </row>
    <row r="8287" spans="9:14" x14ac:dyDescent="0.25">
      <c r="I8287" s="11" t="b">
        <f t="shared" si="406"/>
        <v>0</v>
      </c>
      <c r="M8287" s="17" t="str">
        <f t="shared" si="404"/>
        <v/>
      </c>
      <c r="N8287" s="11" t="str">
        <f t="shared" si="405"/>
        <v/>
      </c>
    </row>
    <row r="8288" spans="9:14" x14ac:dyDescent="0.25">
      <c r="I8288" s="11" t="b">
        <f t="shared" si="406"/>
        <v>0</v>
      </c>
      <c r="M8288" s="17" t="str">
        <f t="shared" si="404"/>
        <v/>
      </c>
      <c r="N8288" s="11" t="str">
        <f t="shared" si="405"/>
        <v/>
      </c>
    </row>
    <row r="8289" spans="9:14" x14ac:dyDescent="0.25">
      <c r="I8289" s="11" t="b">
        <f t="shared" si="406"/>
        <v>0</v>
      </c>
      <c r="M8289" s="17" t="str">
        <f t="shared" si="404"/>
        <v/>
      </c>
      <c r="N8289" s="11" t="str">
        <f t="shared" si="405"/>
        <v/>
      </c>
    </row>
    <row r="8290" spans="9:14" x14ac:dyDescent="0.25">
      <c r="I8290" s="11" t="b">
        <f t="shared" si="406"/>
        <v>0</v>
      </c>
      <c r="M8290" s="17" t="str">
        <f t="shared" si="404"/>
        <v/>
      </c>
      <c r="N8290" s="11" t="str">
        <f t="shared" si="405"/>
        <v/>
      </c>
    </row>
    <row r="8291" spans="9:14" x14ac:dyDescent="0.25">
      <c r="I8291" s="11" t="b">
        <f t="shared" si="406"/>
        <v>0</v>
      </c>
      <c r="M8291" s="17" t="str">
        <f t="shared" si="404"/>
        <v/>
      </c>
      <c r="N8291" s="11" t="str">
        <f t="shared" si="405"/>
        <v/>
      </c>
    </row>
    <row r="8292" spans="9:14" x14ac:dyDescent="0.25">
      <c r="I8292" s="11" t="b">
        <f t="shared" si="406"/>
        <v>0</v>
      </c>
      <c r="M8292" s="17" t="str">
        <f t="shared" si="404"/>
        <v/>
      </c>
      <c r="N8292" s="11" t="str">
        <f t="shared" si="405"/>
        <v/>
      </c>
    </row>
    <row r="8293" spans="9:14" x14ac:dyDescent="0.25">
      <c r="I8293" s="11" t="b">
        <f t="shared" si="406"/>
        <v>0</v>
      </c>
      <c r="M8293" s="17" t="str">
        <f t="shared" si="404"/>
        <v/>
      </c>
      <c r="N8293" s="11" t="str">
        <f t="shared" si="405"/>
        <v/>
      </c>
    </row>
    <row r="8294" spans="9:14" x14ac:dyDescent="0.25">
      <c r="I8294" s="11" t="b">
        <f t="shared" si="406"/>
        <v>0</v>
      </c>
      <c r="M8294" s="17" t="str">
        <f t="shared" si="404"/>
        <v/>
      </c>
      <c r="N8294" s="11" t="str">
        <f t="shared" si="405"/>
        <v/>
      </c>
    </row>
    <row r="8295" spans="9:14" x14ac:dyDescent="0.25">
      <c r="I8295" s="11" t="b">
        <f t="shared" si="406"/>
        <v>0</v>
      </c>
      <c r="M8295" s="17" t="str">
        <f t="shared" si="404"/>
        <v/>
      </c>
      <c r="N8295" s="11" t="str">
        <f t="shared" si="405"/>
        <v/>
      </c>
    </row>
    <row r="8296" spans="9:14" x14ac:dyDescent="0.25">
      <c r="I8296" s="11" t="b">
        <f t="shared" si="406"/>
        <v>0</v>
      </c>
      <c r="M8296" s="17" t="str">
        <f t="shared" si="404"/>
        <v/>
      </c>
      <c r="N8296" s="11" t="str">
        <f t="shared" si="405"/>
        <v/>
      </c>
    </row>
    <row r="8297" spans="9:14" x14ac:dyDescent="0.25">
      <c r="I8297" s="11" t="b">
        <f t="shared" si="406"/>
        <v>0</v>
      </c>
      <c r="M8297" s="17" t="str">
        <f t="shared" si="404"/>
        <v/>
      </c>
      <c r="N8297" s="11" t="str">
        <f t="shared" si="405"/>
        <v/>
      </c>
    </row>
    <row r="8298" spans="9:14" x14ac:dyDescent="0.25">
      <c r="I8298" s="11" t="b">
        <f t="shared" si="406"/>
        <v>0</v>
      </c>
      <c r="M8298" s="17" t="str">
        <f t="shared" si="404"/>
        <v/>
      </c>
      <c r="N8298" s="11" t="str">
        <f t="shared" si="405"/>
        <v/>
      </c>
    </row>
    <row r="8299" spans="9:14" x14ac:dyDescent="0.25">
      <c r="I8299" s="11" t="b">
        <f t="shared" si="406"/>
        <v>0</v>
      </c>
      <c r="M8299" s="17" t="str">
        <f t="shared" si="404"/>
        <v/>
      </c>
      <c r="N8299" s="11" t="str">
        <f t="shared" si="405"/>
        <v/>
      </c>
    </row>
    <row r="8300" spans="9:14" x14ac:dyDescent="0.25">
      <c r="I8300" s="11" t="b">
        <f t="shared" si="406"/>
        <v>0</v>
      </c>
      <c r="M8300" s="17" t="str">
        <f t="shared" si="404"/>
        <v/>
      </c>
      <c r="N8300" s="11" t="str">
        <f t="shared" si="405"/>
        <v/>
      </c>
    </row>
    <row r="8301" spans="9:14" x14ac:dyDescent="0.25">
      <c r="I8301" s="11" t="b">
        <f t="shared" si="406"/>
        <v>0</v>
      </c>
      <c r="M8301" s="17" t="str">
        <f t="shared" si="404"/>
        <v/>
      </c>
      <c r="N8301" s="11" t="str">
        <f t="shared" si="405"/>
        <v/>
      </c>
    </row>
    <row r="8302" spans="9:14" x14ac:dyDescent="0.25">
      <c r="I8302" s="11" t="b">
        <f t="shared" si="406"/>
        <v>0</v>
      </c>
      <c r="M8302" s="17" t="str">
        <f t="shared" si="404"/>
        <v/>
      </c>
      <c r="N8302" s="11" t="str">
        <f t="shared" si="405"/>
        <v/>
      </c>
    </row>
    <row r="8303" spans="9:14" x14ac:dyDescent="0.25">
      <c r="I8303" s="11" t="b">
        <f t="shared" si="406"/>
        <v>0</v>
      </c>
      <c r="M8303" s="17" t="str">
        <f t="shared" si="404"/>
        <v/>
      </c>
      <c r="N8303" s="11" t="str">
        <f t="shared" si="405"/>
        <v/>
      </c>
    </row>
    <row r="8304" spans="9:14" x14ac:dyDescent="0.25">
      <c r="I8304" s="11" t="b">
        <f t="shared" si="406"/>
        <v>0</v>
      </c>
      <c r="M8304" s="17" t="str">
        <f t="shared" si="404"/>
        <v/>
      </c>
      <c r="N8304" s="11" t="str">
        <f t="shared" si="405"/>
        <v/>
      </c>
    </row>
    <row r="8305" spans="9:14" x14ac:dyDescent="0.25">
      <c r="I8305" s="11" t="b">
        <f t="shared" si="406"/>
        <v>0</v>
      </c>
      <c r="M8305" s="17" t="str">
        <f t="shared" si="404"/>
        <v/>
      </c>
      <c r="N8305" s="11" t="str">
        <f t="shared" si="405"/>
        <v/>
      </c>
    </row>
    <row r="8306" spans="9:14" x14ac:dyDescent="0.25">
      <c r="I8306" s="11" t="b">
        <f t="shared" si="406"/>
        <v>0</v>
      </c>
      <c r="M8306" s="17" t="str">
        <f t="shared" si="404"/>
        <v/>
      </c>
      <c r="N8306" s="11" t="str">
        <f t="shared" si="405"/>
        <v/>
      </c>
    </row>
    <row r="8307" spans="9:14" x14ac:dyDescent="0.25">
      <c r="I8307" s="11" t="b">
        <f t="shared" si="406"/>
        <v>0</v>
      </c>
      <c r="M8307" s="17" t="str">
        <f t="shared" si="404"/>
        <v/>
      </c>
      <c r="N8307" s="11" t="str">
        <f t="shared" si="405"/>
        <v/>
      </c>
    </row>
    <row r="8308" spans="9:14" x14ac:dyDescent="0.25">
      <c r="I8308" s="11" t="b">
        <f t="shared" si="406"/>
        <v>0</v>
      </c>
      <c r="M8308" s="17" t="str">
        <f t="shared" si="404"/>
        <v/>
      </c>
      <c r="N8308" s="11" t="str">
        <f t="shared" si="405"/>
        <v/>
      </c>
    </row>
    <row r="8309" spans="9:14" x14ac:dyDescent="0.25">
      <c r="I8309" s="11" t="b">
        <f t="shared" si="406"/>
        <v>0</v>
      </c>
      <c r="M8309" s="17" t="str">
        <f t="shared" si="404"/>
        <v/>
      </c>
      <c r="N8309" s="11" t="str">
        <f t="shared" si="405"/>
        <v/>
      </c>
    </row>
    <row r="8310" spans="9:14" x14ac:dyDescent="0.25">
      <c r="I8310" s="11" t="b">
        <f t="shared" si="406"/>
        <v>0</v>
      </c>
      <c r="M8310" s="17" t="str">
        <f t="shared" si="404"/>
        <v/>
      </c>
      <c r="N8310" s="11" t="str">
        <f t="shared" si="405"/>
        <v/>
      </c>
    </row>
    <row r="8311" spans="9:14" x14ac:dyDescent="0.25">
      <c r="I8311" s="11" t="b">
        <f t="shared" si="406"/>
        <v>0</v>
      </c>
      <c r="M8311" s="17" t="str">
        <f t="shared" si="404"/>
        <v/>
      </c>
      <c r="N8311" s="11" t="str">
        <f t="shared" si="405"/>
        <v/>
      </c>
    </row>
    <row r="8312" spans="9:14" x14ac:dyDescent="0.25">
      <c r="I8312" s="11" t="b">
        <f t="shared" si="406"/>
        <v>0</v>
      </c>
      <c r="M8312" s="17" t="str">
        <f t="shared" si="404"/>
        <v/>
      </c>
      <c r="N8312" s="11" t="str">
        <f t="shared" si="405"/>
        <v/>
      </c>
    </row>
    <row r="8313" spans="9:14" x14ac:dyDescent="0.25">
      <c r="I8313" s="11" t="b">
        <f t="shared" si="406"/>
        <v>0</v>
      </c>
      <c r="M8313" s="17" t="str">
        <f t="shared" si="404"/>
        <v/>
      </c>
      <c r="N8313" s="11" t="str">
        <f t="shared" si="405"/>
        <v/>
      </c>
    </row>
    <row r="8314" spans="9:14" x14ac:dyDescent="0.25">
      <c r="I8314" s="11" t="b">
        <f t="shared" si="406"/>
        <v>0</v>
      </c>
      <c r="M8314" s="17" t="str">
        <f t="shared" si="404"/>
        <v/>
      </c>
      <c r="N8314" s="11" t="str">
        <f t="shared" si="405"/>
        <v/>
      </c>
    </row>
    <row r="8315" spans="9:14" x14ac:dyDescent="0.25">
      <c r="I8315" s="11" t="b">
        <f t="shared" si="406"/>
        <v>0</v>
      </c>
      <c r="M8315" s="17" t="str">
        <f t="shared" si="404"/>
        <v/>
      </c>
      <c r="N8315" s="11" t="str">
        <f t="shared" si="405"/>
        <v/>
      </c>
    </row>
    <row r="8316" spans="9:14" x14ac:dyDescent="0.25">
      <c r="I8316" s="11" t="b">
        <f t="shared" si="406"/>
        <v>0</v>
      </c>
      <c r="M8316" s="17" t="str">
        <f t="shared" si="404"/>
        <v/>
      </c>
      <c r="N8316" s="11" t="str">
        <f t="shared" si="405"/>
        <v/>
      </c>
    </row>
    <row r="8317" spans="9:14" x14ac:dyDescent="0.25">
      <c r="I8317" s="11" t="b">
        <f t="shared" si="406"/>
        <v>0</v>
      </c>
      <c r="M8317" s="17" t="str">
        <f t="shared" si="404"/>
        <v/>
      </c>
      <c r="N8317" s="11" t="str">
        <f t="shared" si="405"/>
        <v/>
      </c>
    </row>
    <row r="8318" spans="9:14" x14ac:dyDescent="0.25">
      <c r="I8318" s="11" t="b">
        <f t="shared" si="406"/>
        <v>0</v>
      </c>
      <c r="M8318" s="17" t="str">
        <f t="shared" si="404"/>
        <v/>
      </c>
      <c r="N8318" s="11" t="str">
        <f t="shared" si="405"/>
        <v/>
      </c>
    </row>
    <row r="8319" spans="9:14" x14ac:dyDescent="0.25">
      <c r="I8319" s="11" t="b">
        <f t="shared" si="406"/>
        <v>0</v>
      </c>
      <c r="M8319" s="17" t="str">
        <f t="shared" si="404"/>
        <v/>
      </c>
      <c r="N8319" s="11" t="str">
        <f t="shared" si="405"/>
        <v/>
      </c>
    </row>
    <row r="8320" spans="9:14" x14ac:dyDescent="0.25">
      <c r="I8320" s="11" t="b">
        <f t="shared" si="406"/>
        <v>0</v>
      </c>
      <c r="M8320" s="17" t="str">
        <f t="shared" si="404"/>
        <v/>
      </c>
      <c r="N8320" s="11" t="str">
        <f t="shared" si="405"/>
        <v/>
      </c>
    </row>
    <row r="8321" spans="9:14" x14ac:dyDescent="0.25">
      <c r="I8321" s="11" t="b">
        <f t="shared" si="406"/>
        <v>0</v>
      </c>
      <c r="M8321" s="17" t="str">
        <f t="shared" ref="M8321:M8384" si="407">IF(B8321=0, "",M8320+ J8321-K8321)</f>
        <v/>
      </c>
      <c r="N8321" s="11" t="str">
        <f t="shared" ref="N8321:N8384" si="408">IF(B8321=0, "", MONTH(B8321))</f>
        <v/>
      </c>
    </row>
    <row r="8322" spans="9:14" x14ac:dyDescent="0.25">
      <c r="I8322" s="11" t="b">
        <f t="shared" si="406"/>
        <v>0</v>
      </c>
      <c r="M8322" s="17" t="str">
        <f t="shared" si="407"/>
        <v/>
      </c>
      <c r="N8322" s="11" t="str">
        <f t="shared" si="408"/>
        <v/>
      </c>
    </row>
    <row r="8323" spans="9:14" x14ac:dyDescent="0.25">
      <c r="I8323" s="11" t="b">
        <f t="shared" si="406"/>
        <v>0</v>
      </c>
      <c r="M8323" s="17" t="str">
        <f t="shared" si="407"/>
        <v/>
      </c>
      <c r="N8323" s="11" t="str">
        <f t="shared" si="408"/>
        <v/>
      </c>
    </row>
    <row r="8324" spans="9:14" x14ac:dyDescent="0.25">
      <c r="I8324" s="11" t="b">
        <f t="shared" si="406"/>
        <v>0</v>
      </c>
      <c r="M8324" s="17" t="str">
        <f t="shared" si="407"/>
        <v/>
      </c>
      <c r="N8324" s="11" t="str">
        <f t="shared" si="408"/>
        <v/>
      </c>
    </row>
    <row r="8325" spans="9:14" x14ac:dyDescent="0.25">
      <c r="I8325" s="11" t="b">
        <f t="shared" si="406"/>
        <v>0</v>
      </c>
      <c r="M8325" s="17" t="str">
        <f t="shared" si="407"/>
        <v/>
      </c>
      <c r="N8325" s="11" t="str">
        <f t="shared" si="408"/>
        <v/>
      </c>
    </row>
    <row r="8326" spans="9:14" x14ac:dyDescent="0.25">
      <c r="I8326" s="11" t="b">
        <f t="shared" si="406"/>
        <v>0</v>
      </c>
      <c r="M8326" s="17" t="str">
        <f t="shared" si="407"/>
        <v/>
      </c>
      <c r="N8326" s="11" t="str">
        <f t="shared" si="408"/>
        <v/>
      </c>
    </row>
    <row r="8327" spans="9:14" x14ac:dyDescent="0.25">
      <c r="I8327" s="11" t="b">
        <f t="shared" si="406"/>
        <v>0</v>
      </c>
      <c r="M8327" s="17" t="str">
        <f t="shared" si="407"/>
        <v/>
      </c>
      <c r="N8327" s="11" t="str">
        <f t="shared" si="408"/>
        <v/>
      </c>
    </row>
    <row r="8328" spans="9:14" x14ac:dyDescent="0.25">
      <c r="I8328" s="11" t="b">
        <f t="shared" si="406"/>
        <v>0</v>
      </c>
      <c r="M8328" s="17" t="str">
        <f t="shared" si="407"/>
        <v/>
      </c>
      <c r="N8328" s="11" t="str">
        <f t="shared" si="408"/>
        <v/>
      </c>
    </row>
    <row r="8329" spans="9:14" x14ac:dyDescent="0.25">
      <c r="I8329" s="11" t="b">
        <f t="shared" si="406"/>
        <v>0</v>
      </c>
      <c r="M8329" s="17" t="str">
        <f t="shared" si="407"/>
        <v/>
      </c>
      <c r="N8329" s="11" t="str">
        <f t="shared" si="408"/>
        <v/>
      </c>
    </row>
    <row r="8330" spans="9:14" x14ac:dyDescent="0.25">
      <c r="I8330" s="11" t="b">
        <f t="shared" si="406"/>
        <v>0</v>
      </c>
      <c r="M8330" s="17" t="str">
        <f t="shared" si="407"/>
        <v/>
      </c>
      <c r="N8330" s="11" t="str">
        <f t="shared" si="408"/>
        <v/>
      </c>
    </row>
    <row r="8331" spans="9:14" x14ac:dyDescent="0.25">
      <c r="I8331" s="11" t="b">
        <f t="shared" si="406"/>
        <v>0</v>
      </c>
      <c r="M8331" s="17" t="str">
        <f t="shared" si="407"/>
        <v/>
      </c>
      <c r="N8331" s="11" t="str">
        <f t="shared" si="408"/>
        <v/>
      </c>
    </row>
    <row r="8332" spans="9:14" x14ac:dyDescent="0.25">
      <c r="I8332" s="11" t="b">
        <f t="shared" si="406"/>
        <v>0</v>
      </c>
      <c r="M8332" s="17" t="str">
        <f t="shared" si="407"/>
        <v/>
      </c>
      <c r="N8332" s="11" t="str">
        <f t="shared" si="408"/>
        <v/>
      </c>
    </row>
    <row r="8333" spans="9:14" x14ac:dyDescent="0.25">
      <c r="I8333" s="11" t="b">
        <f t="shared" si="406"/>
        <v>0</v>
      </c>
      <c r="M8333" s="17" t="str">
        <f t="shared" si="407"/>
        <v/>
      </c>
      <c r="N8333" s="11" t="str">
        <f t="shared" si="408"/>
        <v/>
      </c>
    </row>
    <row r="8334" spans="9:14" x14ac:dyDescent="0.25">
      <c r="I8334" s="11" t="b">
        <f t="shared" si="406"/>
        <v>0</v>
      </c>
      <c r="M8334" s="17" t="str">
        <f t="shared" si="407"/>
        <v/>
      </c>
      <c r="N8334" s="11" t="str">
        <f t="shared" si="408"/>
        <v/>
      </c>
    </row>
    <row r="8335" spans="9:14" x14ac:dyDescent="0.25">
      <c r="I8335" s="11" t="b">
        <f t="shared" si="406"/>
        <v>0</v>
      </c>
      <c r="M8335" s="17" t="str">
        <f t="shared" si="407"/>
        <v/>
      </c>
      <c r="N8335" s="11" t="str">
        <f t="shared" si="408"/>
        <v/>
      </c>
    </row>
    <row r="8336" spans="9:14" x14ac:dyDescent="0.25">
      <c r="I8336" s="11" t="b">
        <f t="shared" si="406"/>
        <v>0</v>
      </c>
      <c r="M8336" s="17" t="str">
        <f t="shared" si="407"/>
        <v/>
      </c>
      <c r="N8336" s="11" t="str">
        <f t="shared" si="408"/>
        <v/>
      </c>
    </row>
    <row r="8337" spans="9:14" x14ac:dyDescent="0.25">
      <c r="I8337" s="11" t="b">
        <f t="shared" si="406"/>
        <v>0</v>
      </c>
      <c r="M8337" s="17" t="str">
        <f t="shared" si="407"/>
        <v/>
      </c>
      <c r="N8337" s="11" t="str">
        <f t="shared" si="408"/>
        <v/>
      </c>
    </row>
    <row r="8338" spans="9:14" x14ac:dyDescent="0.25">
      <c r="I8338" s="11" t="b">
        <f t="shared" si="406"/>
        <v>0</v>
      </c>
      <c r="M8338" s="17" t="str">
        <f t="shared" si="407"/>
        <v/>
      </c>
      <c r="N8338" s="11" t="str">
        <f t="shared" si="408"/>
        <v/>
      </c>
    </row>
    <row r="8339" spans="9:14" x14ac:dyDescent="0.25">
      <c r="I8339" s="11" t="b">
        <f t="shared" si="406"/>
        <v>0</v>
      </c>
      <c r="M8339" s="17" t="str">
        <f t="shared" si="407"/>
        <v/>
      </c>
      <c r="N8339" s="11" t="str">
        <f t="shared" si="408"/>
        <v/>
      </c>
    </row>
    <row r="8340" spans="9:14" x14ac:dyDescent="0.25">
      <c r="I8340" s="11" t="b">
        <f t="shared" si="406"/>
        <v>0</v>
      </c>
      <c r="M8340" s="17" t="str">
        <f t="shared" si="407"/>
        <v/>
      </c>
      <c r="N8340" s="11" t="str">
        <f t="shared" si="408"/>
        <v/>
      </c>
    </row>
    <row r="8341" spans="9:14" x14ac:dyDescent="0.25">
      <c r="I8341" s="11" t="b">
        <f t="shared" si="406"/>
        <v>0</v>
      </c>
      <c r="M8341" s="17" t="str">
        <f t="shared" si="407"/>
        <v/>
      </c>
      <c r="N8341" s="11" t="str">
        <f t="shared" si="408"/>
        <v/>
      </c>
    </row>
    <row r="8342" spans="9:14" x14ac:dyDescent="0.25">
      <c r="I8342" s="11" t="b">
        <f t="shared" si="406"/>
        <v>0</v>
      </c>
      <c r="M8342" s="17" t="str">
        <f t="shared" si="407"/>
        <v/>
      </c>
      <c r="N8342" s="11" t="str">
        <f t="shared" si="408"/>
        <v/>
      </c>
    </row>
    <row r="8343" spans="9:14" x14ac:dyDescent="0.25">
      <c r="I8343" s="11" t="b">
        <f t="shared" si="406"/>
        <v>0</v>
      </c>
      <c r="M8343" s="17" t="str">
        <f t="shared" si="407"/>
        <v/>
      </c>
      <c r="N8343" s="11" t="str">
        <f t="shared" si="408"/>
        <v/>
      </c>
    </row>
    <row r="8344" spans="9:14" x14ac:dyDescent="0.25">
      <c r="I8344" s="11" t="b">
        <f t="shared" si="406"/>
        <v>0</v>
      </c>
      <c r="M8344" s="17" t="str">
        <f t="shared" si="407"/>
        <v/>
      </c>
      <c r="N8344" s="11" t="str">
        <f t="shared" si="408"/>
        <v/>
      </c>
    </row>
    <row r="8345" spans="9:14" x14ac:dyDescent="0.25">
      <c r="I8345" s="11" t="b">
        <f t="shared" si="406"/>
        <v>0</v>
      </c>
      <c r="M8345" s="17" t="str">
        <f t="shared" si="407"/>
        <v/>
      </c>
      <c r="N8345" s="11" t="str">
        <f t="shared" si="408"/>
        <v/>
      </c>
    </row>
    <row r="8346" spans="9:14" x14ac:dyDescent="0.25">
      <c r="I8346" s="11" t="b">
        <f t="shared" si="406"/>
        <v>0</v>
      </c>
      <c r="M8346" s="17" t="str">
        <f t="shared" si="407"/>
        <v/>
      </c>
      <c r="N8346" s="11" t="str">
        <f t="shared" si="408"/>
        <v/>
      </c>
    </row>
    <row r="8347" spans="9:14" x14ac:dyDescent="0.25">
      <c r="I8347" s="11" t="b">
        <f t="shared" si="406"/>
        <v>0</v>
      </c>
      <c r="M8347" s="17" t="str">
        <f t="shared" si="407"/>
        <v/>
      </c>
      <c r="N8347" s="11" t="str">
        <f t="shared" si="408"/>
        <v/>
      </c>
    </row>
    <row r="8348" spans="9:14" x14ac:dyDescent="0.25">
      <c r="I8348" s="11" t="b">
        <f t="shared" si="406"/>
        <v>0</v>
      </c>
      <c r="M8348" s="17" t="str">
        <f t="shared" si="407"/>
        <v/>
      </c>
      <c r="N8348" s="11" t="str">
        <f t="shared" si="408"/>
        <v/>
      </c>
    </row>
    <row r="8349" spans="9:14" x14ac:dyDescent="0.25">
      <c r="I8349" s="11" t="b">
        <f t="shared" ref="I8349:I8412" si="409">IF(AND(G8349="MERCADO PAGO",A8349="FATURAMENTO"),1,IF(AND(OR(G8349="MERCADO PAGO",G8349="pix mercado pago",G8349= "débito automático mercado pago", G8349= "boleto mercado pago"),A8349="DESPESAS"),4,IF(AND(G8349="SAFRA",A8349="FATURAMENTO"),2,IF(AND(OR(G8349="SAFRA",G8349="PIX SAFRA", G8349="DÉBITO AUTOMÁTICO SAFRA", G8349= "BOLETO SAFRA", G8349= "transferência safra"), A8349="DESPESAS"),5,IF(AND(G8349="espécie",A8349="FATURAMENTO"),3,IF(AND(G8349="espécie",A8349="DESPESAS"),6))))))</f>
        <v>0</v>
      </c>
      <c r="M8349" s="17" t="str">
        <f t="shared" si="407"/>
        <v/>
      </c>
      <c r="N8349" s="11" t="str">
        <f t="shared" si="408"/>
        <v/>
      </c>
    </row>
    <row r="8350" spans="9:14" x14ac:dyDescent="0.25">
      <c r="I8350" s="11" t="b">
        <f t="shared" si="409"/>
        <v>0</v>
      </c>
      <c r="M8350" s="17" t="str">
        <f t="shared" si="407"/>
        <v/>
      </c>
      <c r="N8350" s="11" t="str">
        <f t="shared" si="408"/>
        <v/>
      </c>
    </row>
    <row r="8351" spans="9:14" x14ac:dyDescent="0.25">
      <c r="I8351" s="11" t="b">
        <f t="shared" si="409"/>
        <v>0</v>
      </c>
      <c r="M8351" s="17" t="str">
        <f t="shared" si="407"/>
        <v/>
      </c>
      <c r="N8351" s="11" t="str">
        <f t="shared" si="408"/>
        <v/>
      </c>
    </row>
    <row r="8352" spans="9:14" x14ac:dyDescent="0.25">
      <c r="I8352" s="11" t="b">
        <f t="shared" si="409"/>
        <v>0</v>
      </c>
      <c r="M8352" s="17" t="str">
        <f t="shared" si="407"/>
        <v/>
      </c>
      <c r="N8352" s="11" t="str">
        <f t="shared" si="408"/>
        <v/>
      </c>
    </row>
    <row r="8353" spans="9:14" x14ac:dyDescent="0.25">
      <c r="I8353" s="11" t="b">
        <f t="shared" si="409"/>
        <v>0</v>
      </c>
      <c r="M8353" s="17" t="str">
        <f t="shared" si="407"/>
        <v/>
      </c>
      <c r="N8353" s="11" t="str">
        <f t="shared" si="408"/>
        <v/>
      </c>
    </row>
    <row r="8354" spans="9:14" x14ac:dyDescent="0.25">
      <c r="I8354" s="11" t="b">
        <f t="shared" si="409"/>
        <v>0</v>
      </c>
      <c r="M8354" s="17" t="str">
        <f t="shared" si="407"/>
        <v/>
      </c>
      <c r="N8354" s="11" t="str">
        <f t="shared" si="408"/>
        <v/>
      </c>
    </row>
    <row r="8355" spans="9:14" x14ac:dyDescent="0.25">
      <c r="I8355" s="11" t="b">
        <f t="shared" si="409"/>
        <v>0</v>
      </c>
      <c r="M8355" s="17" t="str">
        <f t="shared" si="407"/>
        <v/>
      </c>
      <c r="N8355" s="11" t="str">
        <f t="shared" si="408"/>
        <v/>
      </c>
    </row>
    <row r="8356" spans="9:14" x14ac:dyDescent="0.25">
      <c r="I8356" s="11" t="b">
        <f t="shared" si="409"/>
        <v>0</v>
      </c>
      <c r="M8356" s="17" t="str">
        <f t="shared" si="407"/>
        <v/>
      </c>
      <c r="N8356" s="11" t="str">
        <f t="shared" si="408"/>
        <v/>
      </c>
    </row>
    <row r="8357" spans="9:14" x14ac:dyDescent="0.25">
      <c r="I8357" s="11" t="b">
        <f t="shared" si="409"/>
        <v>0</v>
      </c>
      <c r="M8357" s="17" t="str">
        <f t="shared" si="407"/>
        <v/>
      </c>
      <c r="N8357" s="11" t="str">
        <f t="shared" si="408"/>
        <v/>
      </c>
    </row>
    <row r="8358" spans="9:14" x14ac:dyDescent="0.25">
      <c r="I8358" s="11" t="b">
        <f t="shared" si="409"/>
        <v>0</v>
      </c>
      <c r="M8358" s="17" t="str">
        <f t="shared" si="407"/>
        <v/>
      </c>
      <c r="N8358" s="11" t="str">
        <f t="shared" si="408"/>
        <v/>
      </c>
    </row>
    <row r="8359" spans="9:14" x14ac:dyDescent="0.25">
      <c r="I8359" s="11" t="b">
        <f t="shared" si="409"/>
        <v>0</v>
      </c>
      <c r="M8359" s="17" t="str">
        <f t="shared" si="407"/>
        <v/>
      </c>
      <c r="N8359" s="11" t="str">
        <f t="shared" si="408"/>
        <v/>
      </c>
    </row>
    <row r="8360" spans="9:14" x14ac:dyDescent="0.25">
      <c r="I8360" s="11" t="b">
        <f t="shared" si="409"/>
        <v>0</v>
      </c>
      <c r="M8360" s="17" t="str">
        <f t="shared" si="407"/>
        <v/>
      </c>
      <c r="N8360" s="11" t="str">
        <f t="shared" si="408"/>
        <v/>
      </c>
    </row>
    <row r="8361" spans="9:14" x14ac:dyDescent="0.25">
      <c r="I8361" s="11" t="b">
        <f t="shared" si="409"/>
        <v>0</v>
      </c>
      <c r="M8361" s="17" t="str">
        <f t="shared" si="407"/>
        <v/>
      </c>
      <c r="N8361" s="11" t="str">
        <f t="shared" si="408"/>
        <v/>
      </c>
    </row>
    <row r="8362" spans="9:14" x14ac:dyDescent="0.25">
      <c r="I8362" s="11" t="b">
        <f t="shared" si="409"/>
        <v>0</v>
      </c>
      <c r="M8362" s="17" t="str">
        <f t="shared" si="407"/>
        <v/>
      </c>
      <c r="N8362" s="11" t="str">
        <f t="shared" si="408"/>
        <v/>
      </c>
    </row>
    <row r="8363" spans="9:14" x14ac:dyDescent="0.25">
      <c r="I8363" s="11" t="b">
        <f t="shared" si="409"/>
        <v>0</v>
      </c>
      <c r="M8363" s="17" t="str">
        <f t="shared" si="407"/>
        <v/>
      </c>
      <c r="N8363" s="11" t="str">
        <f t="shared" si="408"/>
        <v/>
      </c>
    </row>
    <row r="8364" spans="9:14" x14ac:dyDescent="0.25">
      <c r="I8364" s="11" t="b">
        <f t="shared" si="409"/>
        <v>0</v>
      </c>
      <c r="M8364" s="17" t="str">
        <f t="shared" si="407"/>
        <v/>
      </c>
      <c r="N8364" s="11" t="str">
        <f t="shared" si="408"/>
        <v/>
      </c>
    </row>
    <row r="8365" spans="9:14" x14ac:dyDescent="0.25">
      <c r="I8365" s="11" t="b">
        <f t="shared" si="409"/>
        <v>0</v>
      </c>
      <c r="M8365" s="17" t="str">
        <f t="shared" si="407"/>
        <v/>
      </c>
      <c r="N8365" s="11" t="str">
        <f t="shared" si="408"/>
        <v/>
      </c>
    </row>
    <row r="8366" spans="9:14" x14ac:dyDescent="0.25">
      <c r="I8366" s="11" t="b">
        <f t="shared" si="409"/>
        <v>0</v>
      </c>
      <c r="M8366" s="17" t="str">
        <f t="shared" si="407"/>
        <v/>
      </c>
      <c r="N8366" s="11" t="str">
        <f t="shared" si="408"/>
        <v/>
      </c>
    </row>
    <row r="8367" spans="9:14" x14ac:dyDescent="0.25">
      <c r="I8367" s="11" t="b">
        <f t="shared" si="409"/>
        <v>0</v>
      </c>
      <c r="M8367" s="17" t="str">
        <f t="shared" si="407"/>
        <v/>
      </c>
      <c r="N8367" s="11" t="str">
        <f t="shared" si="408"/>
        <v/>
      </c>
    </row>
    <row r="8368" spans="9:14" x14ac:dyDescent="0.25">
      <c r="I8368" s="11" t="b">
        <f t="shared" si="409"/>
        <v>0</v>
      </c>
      <c r="M8368" s="17" t="str">
        <f t="shared" si="407"/>
        <v/>
      </c>
      <c r="N8368" s="11" t="str">
        <f t="shared" si="408"/>
        <v/>
      </c>
    </row>
    <row r="8369" spans="9:14" x14ac:dyDescent="0.25">
      <c r="I8369" s="11" t="b">
        <f t="shared" si="409"/>
        <v>0</v>
      </c>
      <c r="M8369" s="17" t="str">
        <f t="shared" si="407"/>
        <v/>
      </c>
      <c r="N8369" s="11" t="str">
        <f t="shared" si="408"/>
        <v/>
      </c>
    </row>
    <row r="8370" spans="9:14" x14ac:dyDescent="0.25">
      <c r="I8370" s="11" t="b">
        <f t="shared" si="409"/>
        <v>0</v>
      </c>
      <c r="M8370" s="17" t="str">
        <f t="shared" si="407"/>
        <v/>
      </c>
      <c r="N8370" s="11" t="str">
        <f t="shared" si="408"/>
        <v/>
      </c>
    </row>
    <row r="8371" spans="9:14" x14ac:dyDescent="0.25">
      <c r="I8371" s="11" t="b">
        <f t="shared" si="409"/>
        <v>0</v>
      </c>
      <c r="M8371" s="17" t="str">
        <f t="shared" si="407"/>
        <v/>
      </c>
      <c r="N8371" s="11" t="str">
        <f t="shared" si="408"/>
        <v/>
      </c>
    </row>
    <row r="8372" spans="9:14" x14ac:dyDescent="0.25">
      <c r="I8372" s="11" t="b">
        <f t="shared" si="409"/>
        <v>0</v>
      </c>
      <c r="M8372" s="17" t="str">
        <f t="shared" si="407"/>
        <v/>
      </c>
      <c r="N8372" s="11" t="str">
        <f t="shared" si="408"/>
        <v/>
      </c>
    </row>
    <row r="8373" spans="9:14" x14ac:dyDescent="0.25">
      <c r="I8373" s="11" t="b">
        <f t="shared" si="409"/>
        <v>0</v>
      </c>
      <c r="M8373" s="17" t="str">
        <f t="shared" si="407"/>
        <v/>
      </c>
      <c r="N8373" s="11" t="str">
        <f t="shared" si="408"/>
        <v/>
      </c>
    </row>
    <row r="8374" spans="9:14" x14ac:dyDescent="0.25">
      <c r="I8374" s="11" t="b">
        <f t="shared" si="409"/>
        <v>0</v>
      </c>
      <c r="M8374" s="17" t="str">
        <f t="shared" si="407"/>
        <v/>
      </c>
      <c r="N8374" s="11" t="str">
        <f t="shared" si="408"/>
        <v/>
      </c>
    </row>
    <row r="8375" spans="9:14" x14ac:dyDescent="0.25">
      <c r="I8375" s="11" t="b">
        <f t="shared" si="409"/>
        <v>0</v>
      </c>
      <c r="M8375" s="17" t="str">
        <f t="shared" si="407"/>
        <v/>
      </c>
      <c r="N8375" s="11" t="str">
        <f t="shared" si="408"/>
        <v/>
      </c>
    </row>
    <row r="8376" spans="9:14" x14ac:dyDescent="0.25">
      <c r="I8376" s="11" t="b">
        <f t="shared" si="409"/>
        <v>0</v>
      </c>
      <c r="M8376" s="17" t="str">
        <f t="shared" si="407"/>
        <v/>
      </c>
      <c r="N8376" s="11" t="str">
        <f t="shared" si="408"/>
        <v/>
      </c>
    </row>
    <row r="8377" spans="9:14" x14ac:dyDescent="0.25">
      <c r="I8377" s="11" t="b">
        <f t="shared" si="409"/>
        <v>0</v>
      </c>
      <c r="M8377" s="17" t="str">
        <f t="shared" si="407"/>
        <v/>
      </c>
      <c r="N8377" s="11" t="str">
        <f t="shared" si="408"/>
        <v/>
      </c>
    </row>
    <row r="8378" spans="9:14" x14ac:dyDescent="0.25">
      <c r="I8378" s="11" t="b">
        <f t="shared" si="409"/>
        <v>0</v>
      </c>
      <c r="M8378" s="17" t="str">
        <f t="shared" si="407"/>
        <v/>
      </c>
      <c r="N8378" s="11" t="str">
        <f t="shared" si="408"/>
        <v/>
      </c>
    </row>
    <row r="8379" spans="9:14" x14ac:dyDescent="0.25">
      <c r="I8379" s="11" t="b">
        <f t="shared" si="409"/>
        <v>0</v>
      </c>
      <c r="M8379" s="17" t="str">
        <f t="shared" si="407"/>
        <v/>
      </c>
      <c r="N8379" s="11" t="str">
        <f t="shared" si="408"/>
        <v/>
      </c>
    </row>
    <row r="8380" spans="9:14" x14ac:dyDescent="0.25">
      <c r="I8380" s="11" t="b">
        <f t="shared" si="409"/>
        <v>0</v>
      </c>
      <c r="M8380" s="17" t="str">
        <f t="shared" si="407"/>
        <v/>
      </c>
      <c r="N8380" s="11" t="str">
        <f t="shared" si="408"/>
        <v/>
      </c>
    </row>
    <row r="8381" spans="9:14" x14ac:dyDescent="0.25">
      <c r="I8381" s="11" t="b">
        <f t="shared" si="409"/>
        <v>0</v>
      </c>
      <c r="M8381" s="17" t="str">
        <f t="shared" si="407"/>
        <v/>
      </c>
      <c r="N8381" s="11" t="str">
        <f t="shared" si="408"/>
        <v/>
      </c>
    </row>
    <row r="8382" spans="9:14" x14ac:dyDescent="0.25">
      <c r="I8382" s="11" t="b">
        <f t="shared" si="409"/>
        <v>0</v>
      </c>
      <c r="M8382" s="17" t="str">
        <f t="shared" si="407"/>
        <v/>
      </c>
      <c r="N8382" s="11" t="str">
        <f t="shared" si="408"/>
        <v/>
      </c>
    </row>
    <row r="8383" spans="9:14" x14ac:dyDescent="0.25">
      <c r="I8383" s="11" t="b">
        <f t="shared" si="409"/>
        <v>0</v>
      </c>
      <c r="M8383" s="17" t="str">
        <f t="shared" si="407"/>
        <v/>
      </c>
      <c r="N8383" s="11" t="str">
        <f t="shared" si="408"/>
        <v/>
      </c>
    </row>
    <row r="8384" spans="9:14" x14ac:dyDescent="0.25">
      <c r="I8384" s="11" t="b">
        <f t="shared" si="409"/>
        <v>0</v>
      </c>
      <c r="M8384" s="17" t="str">
        <f t="shared" si="407"/>
        <v/>
      </c>
      <c r="N8384" s="11" t="str">
        <f t="shared" si="408"/>
        <v/>
      </c>
    </row>
    <row r="8385" spans="9:14" x14ac:dyDescent="0.25">
      <c r="I8385" s="11" t="b">
        <f t="shared" si="409"/>
        <v>0</v>
      </c>
      <c r="M8385" s="17" t="str">
        <f t="shared" ref="M8385:M8448" si="410">IF(B8385=0, "",M8384+ J8385-K8385)</f>
        <v/>
      </c>
      <c r="N8385" s="11" t="str">
        <f t="shared" ref="N8385:N8448" si="411">IF(B8385=0, "", MONTH(B8385))</f>
        <v/>
      </c>
    </row>
    <row r="8386" spans="9:14" x14ac:dyDescent="0.25">
      <c r="I8386" s="11" t="b">
        <f t="shared" si="409"/>
        <v>0</v>
      </c>
      <c r="M8386" s="17" t="str">
        <f t="shared" si="410"/>
        <v/>
      </c>
      <c r="N8386" s="11" t="str">
        <f t="shared" si="411"/>
        <v/>
      </c>
    </row>
    <row r="8387" spans="9:14" x14ac:dyDescent="0.25">
      <c r="I8387" s="11" t="b">
        <f t="shared" si="409"/>
        <v>0</v>
      </c>
      <c r="M8387" s="17" t="str">
        <f t="shared" si="410"/>
        <v/>
      </c>
      <c r="N8387" s="11" t="str">
        <f t="shared" si="411"/>
        <v/>
      </c>
    </row>
    <row r="8388" spans="9:14" x14ac:dyDescent="0.25">
      <c r="I8388" s="11" t="b">
        <f t="shared" si="409"/>
        <v>0</v>
      </c>
      <c r="M8388" s="17" t="str">
        <f t="shared" si="410"/>
        <v/>
      </c>
      <c r="N8388" s="11" t="str">
        <f t="shared" si="411"/>
        <v/>
      </c>
    </row>
    <row r="8389" spans="9:14" x14ac:dyDescent="0.25">
      <c r="I8389" s="11" t="b">
        <f t="shared" si="409"/>
        <v>0</v>
      </c>
      <c r="M8389" s="17" t="str">
        <f t="shared" si="410"/>
        <v/>
      </c>
      <c r="N8389" s="11" t="str">
        <f t="shared" si="411"/>
        <v/>
      </c>
    </row>
    <row r="8390" spans="9:14" x14ac:dyDescent="0.25">
      <c r="I8390" s="11" t="b">
        <f t="shared" si="409"/>
        <v>0</v>
      </c>
      <c r="M8390" s="17" t="str">
        <f t="shared" si="410"/>
        <v/>
      </c>
      <c r="N8390" s="11" t="str">
        <f t="shared" si="411"/>
        <v/>
      </c>
    </row>
    <row r="8391" spans="9:14" x14ac:dyDescent="0.25">
      <c r="I8391" s="11" t="b">
        <f t="shared" si="409"/>
        <v>0</v>
      </c>
      <c r="M8391" s="17" t="str">
        <f t="shared" si="410"/>
        <v/>
      </c>
      <c r="N8391" s="11" t="str">
        <f t="shared" si="411"/>
        <v/>
      </c>
    </row>
    <row r="8392" spans="9:14" x14ac:dyDescent="0.25">
      <c r="I8392" s="11" t="b">
        <f t="shared" si="409"/>
        <v>0</v>
      </c>
      <c r="M8392" s="17" t="str">
        <f t="shared" si="410"/>
        <v/>
      </c>
      <c r="N8392" s="11" t="str">
        <f t="shared" si="411"/>
        <v/>
      </c>
    </row>
    <row r="8393" spans="9:14" x14ac:dyDescent="0.25">
      <c r="I8393" s="11" t="b">
        <f t="shared" si="409"/>
        <v>0</v>
      </c>
      <c r="M8393" s="17" t="str">
        <f t="shared" si="410"/>
        <v/>
      </c>
      <c r="N8393" s="11" t="str">
        <f t="shared" si="411"/>
        <v/>
      </c>
    </row>
    <row r="8394" spans="9:14" x14ac:dyDescent="0.25">
      <c r="I8394" s="11" t="b">
        <f t="shared" si="409"/>
        <v>0</v>
      </c>
      <c r="M8394" s="17" t="str">
        <f t="shared" si="410"/>
        <v/>
      </c>
      <c r="N8394" s="11" t="str">
        <f t="shared" si="411"/>
        <v/>
      </c>
    </row>
    <row r="8395" spans="9:14" x14ac:dyDescent="0.25">
      <c r="I8395" s="11" t="b">
        <f t="shared" si="409"/>
        <v>0</v>
      </c>
      <c r="M8395" s="17" t="str">
        <f t="shared" si="410"/>
        <v/>
      </c>
      <c r="N8395" s="11" t="str">
        <f t="shared" si="411"/>
        <v/>
      </c>
    </row>
    <row r="8396" spans="9:14" x14ac:dyDescent="0.25">
      <c r="I8396" s="11" t="b">
        <f t="shared" si="409"/>
        <v>0</v>
      </c>
      <c r="M8396" s="17" t="str">
        <f t="shared" si="410"/>
        <v/>
      </c>
      <c r="N8396" s="11" t="str">
        <f t="shared" si="411"/>
        <v/>
      </c>
    </row>
    <row r="8397" spans="9:14" x14ac:dyDescent="0.25">
      <c r="I8397" s="11" t="b">
        <f t="shared" si="409"/>
        <v>0</v>
      </c>
      <c r="M8397" s="17" t="str">
        <f t="shared" si="410"/>
        <v/>
      </c>
      <c r="N8397" s="11" t="str">
        <f t="shared" si="411"/>
        <v/>
      </c>
    </row>
    <row r="8398" spans="9:14" x14ac:dyDescent="0.25">
      <c r="I8398" s="11" t="b">
        <f t="shared" si="409"/>
        <v>0</v>
      </c>
      <c r="M8398" s="17" t="str">
        <f t="shared" si="410"/>
        <v/>
      </c>
      <c r="N8398" s="11" t="str">
        <f t="shared" si="411"/>
        <v/>
      </c>
    </row>
    <row r="8399" spans="9:14" x14ac:dyDescent="0.25">
      <c r="I8399" s="11" t="b">
        <f t="shared" si="409"/>
        <v>0</v>
      </c>
      <c r="M8399" s="17" t="str">
        <f t="shared" si="410"/>
        <v/>
      </c>
      <c r="N8399" s="11" t="str">
        <f t="shared" si="411"/>
        <v/>
      </c>
    </row>
    <row r="8400" spans="9:14" x14ac:dyDescent="0.25">
      <c r="I8400" s="11" t="b">
        <f t="shared" si="409"/>
        <v>0</v>
      </c>
      <c r="M8400" s="17" t="str">
        <f t="shared" si="410"/>
        <v/>
      </c>
      <c r="N8400" s="11" t="str">
        <f t="shared" si="411"/>
        <v/>
      </c>
    </row>
    <row r="8401" spans="9:14" x14ac:dyDescent="0.25">
      <c r="I8401" s="11" t="b">
        <f t="shared" si="409"/>
        <v>0</v>
      </c>
      <c r="M8401" s="17" t="str">
        <f t="shared" si="410"/>
        <v/>
      </c>
      <c r="N8401" s="11" t="str">
        <f t="shared" si="411"/>
        <v/>
      </c>
    </row>
    <row r="8402" spans="9:14" x14ac:dyDescent="0.25">
      <c r="I8402" s="11" t="b">
        <f t="shared" si="409"/>
        <v>0</v>
      </c>
      <c r="M8402" s="17" t="str">
        <f t="shared" si="410"/>
        <v/>
      </c>
      <c r="N8402" s="11" t="str">
        <f t="shared" si="411"/>
        <v/>
      </c>
    </row>
    <row r="8403" spans="9:14" x14ac:dyDescent="0.25">
      <c r="I8403" s="11" t="b">
        <f t="shared" si="409"/>
        <v>0</v>
      </c>
      <c r="M8403" s="17" t="str">
        <f t="shared" si="410"/>
        <v/>
      </c>
      <c r="N8403" s="11" t="str">
        <f t="shared" si="411"/>
        <v/>
      </c>
    </row>
    <row r="8404" spans="9:14" x14ac:dyDescent="0.25">
      <c r="I8404" s="11" t="b">
        <f t="shared" si="409"/>
        <v>0</v>
      </c>
      <c r="M8404" s="17" t="str">
        <f t="shared" si="410"/>
        <v/>
      </c>
      <c r="N8404" s="11" t="str">
        <f t="shared" si="411"/>
        <v/>
      </c>
    </row>
    <row r="8405" spans="9:14" x14ac:dyDescent="0.25">
      <c r="I8405" s="11" t="b">
        <f t="shared" si="409"/>
        <v>0</v>
      </c>
      <c r="M8405" s="17" t="str">
        <f t="shared" si="410"/>
        <v/>
      </c>
      <c r="N8405" s="11" t="str">
        <f t="shared" si="411"/>
        <v/>
      </c>
    </row>
    <row r="8406" spans="9:14" x14ac:dyDescent="0.25">
      <c r="I8406" s="11" t="b">
        <f t="shared" si="409"/>
        <v>0</v>
      </c>
      <c r="M8406" s="17" t="str">
        <f t="shared" si="410"/>
        <v/>
      </c>
      <c r="N8406" s="11" t="str">
        <f t="shared" si="411"/>
        <v/>
      </c>
    </row>
    <row r="8407" spans="9:14" x14ac:dyDescent="0.25">
      <c r="I8407" s="11" t="b">
        <f t="shared" si="409"/>
        <v>0</v>
      </c>
      <c r="M8407" s="17" t="str">
        <f t="shared" si="410"/>
        <v/>
      </c>
      <c r="N8407" s="11" t="str">
        <f t="shared" si="411"/>
        <v/>
      </c>
    </row>
    <row r="8408" spans="9:14" x14ac:dyDescent="0.25">
      <c r="I8408" s="11" t="b">
        <f t="shared" si="409"/>
        <v>0</v>
      </c>
      <c r="M8408" s="17" t="str">
        <f t="shared" si="410"/>
        <v/>
      </c>
      <c r="N8408" s="11" t="str">
        <f t="shared" si="411"/>
        <v/>
      </c>
    </row>
    <row r="8409" spans="9:14" x14ac:dyDescent="0.25">
      <c r="I8409" s="11" t="b">
        <f t="shared" si="409"/>
        <v>0</v>
      </c>
      <c r="M8409" s="17" t="str">
        <f t="shared" si="410"/>
        <v/>
      </c>
      <c r="N8409" s="11" t="str">
        <f t="shared" si="411"/>
        <v/>
      </c>
    </row>
    <row r="8410" spans="9:14" x14ac:dyDescent="0.25">
      <c r="I8410" s="11" t="b">
        <f t="shared" si="409"/>
        <v>0</v>
      </c>
      <c r="M8410" s="17" t="str">
        <f t="shared" si="410"/>
        <v/>
      </c>
      <c r="N8410" s="11" t="str">
        <f t="shared" si="411"/>
        <v/>
      </c>
    </row>
    <row r="8411" spans="9:14" x14ac:dyDescent="0.25">
      <c r="I8411" s="11" t="b">
        <f t="shared" si="409"/>
        <v>0</v>
      </c>
      <c r="M8411" s="17" t="str">
        <f t="shared" si="410"/>
        <v/>
      </c>
      <c r="N8411" s="11" t="str">
        <f t="shared" si="411"/>
        <v/>
      </c>
    </row>
    <row r="8412" spans="9:14" x14ac:dyDescent="0.25">
      <c r="I8412" s="11" t="b">
        <f t="shared" si="409"/>
        <v>0</v>
      </c>
      <c r="M8412" s="17" t="str">
        <f t="shared" si="410"/>
        <v/>
      </c>
      <c r="N8412" s="11" t="str">
        <f t="shared" si="411"/>
        <v/>
      </c>
    </row>
    <row r="8413" spans="9:14" x14ac:dyDescent="0.25">
      <c r="I8413" s="11" t="b">
        <f t="shared" ref="I8413:I8476" si="412">IF(AND(G8413="MERCADO PAGO",A8413="FATURAMENTO"),1,IF(AND(OR(G8413="MERCADO PAGO",G8413="pix mercado pago",G8413= "débito automático mercado pago", G8413= "boleto mercado pago"),A8413="DESPESAS"),4,IF(AND(G8413="SAFRA",A8413="FATURAMENTO"),2,IF(AND(OR(G8413="SAFRA",G8413="PIX SAFRA", G8413="DÉBITO AUTOMÁTICO SAFRA", G8413= "BOLETO SAFRA", G8413= "transferência safra"), A8413="DESPESAS"),5,IF(AND(G8413="espécie",A8413="FATURAMENTO"),3,IF(AND(G8413="espécie",A8413="DESPESAS"),6))))))</f>
        <v>0</v>
      </c>
      <c r="M8413" s="17" t="str">
        <f t="shared" si="410"/>
        <v/>
      </c>
      <c r="N8413" s="11" t="str">
        <f t="shared" si="411"/>
        <v/>
      </c>
    </row>
    <row r="8414" spans="9:14" x14ac:dyDescent="0.25">
      <c r="I8414" s="11" t="b">
        <f t="shared" si="412"/>
        <v>0</v>
      </c>
      <c r="M8414" s="17" t="str">
        <f t="shared" si="410"/>
        <v/>
      </c>
      <c r="N8414" s="11" t="str">
        <f t="shared" si="411"/>
        <v/>
      </c>
    </row>
    <row r="8415" spans="9:14" x14ac:dyDescent="0.25">
      <c r="I8415" s="11" t="b">
        <f t="shared" si="412"/>
        <v>0</v>
      </c>
      <c r="M8415" s="17" t="str">
        <f t="shared" si="410"/>
        <v/>
      </c>
      <c r="N8415" s="11" t="str">
        <f t="shared" si="411"/>
        <v/>
      </c>
    </row>
    <row r="8416" spans="9:14" x14ac:dyDescent="0.25">
      <c r="I8416" s="11" t="b">
        <f t="shared" si="412"/>
        <v>0</v>
      </c>
      <c r="M8416" s="17" t="str">
        <f t="shared" si="410"/>
        <v/>
      </c>
      <c r="N8416" s="11" t="str">
        <f t="shared" si="411"/>
        <v/>
      </c>
    </row>
    <row r="8417" spans="9:14" x14ac:dyDescent="0.25">
      <c r="I8417" s="11" t="b">
        <f t="shared" si="412"/>
        <v>0</v>
      </c>
      <c r="M8417" s="17" t="str">
        <f t="shared" si="410"/>
        <v/>
      </c>
      <c r="N8417" s="11" t="str">
        <f t="shared" si="411"/>
        <v/>
      </c>
    </row>
    <row r="8418" spans="9:14" x14ac:dyDescent="0.25">
      <c r="I8418" s="11" t="b">
        <f t="shared" si="412"/>
        <v>0</v>
      </c>
      <c r="M8418" s="17" t="str">
        <f t="shared" si="410"/>
        <v/>
      </c>
      <c r="N8418" s="11" t="str">
        <f t="shared" si="411"/>
        <v/>
      </c>
    </row>
    <row r="8419" spans="9:14" x14ac:dyDescent="0.25">
      <c r="I8419" s="11" t="b">
        <f t="shared" si="412"/>
        <v>0</v>
      </c>
      <c r="M8419" s="17" t="str">
        <f t="shared" si="410"/>
        <v/>
      </c>
      <c r="N8419" s="11" t="str">
        <f t="shared" si="411"/>
        <v/>
      </c>
    </row>
    <row r="8420" spans="9:14" x14ac:dyDescent="0.25">
      <c r="I8420" s="11" t="b">
        <f t="shared" si="412"/>
        <v>0</v>
      </c>
      <c r="M8420" s="17" t="str">
        <f t="shared" si="410"/>
        <v/>
      </c>
      <c r="N8420" s="11" t="str">
        <f t="shared" si="411"/>
        <v/>
      </c>
    </row>
    <row r="8421" spans="9:14" x14ac:dyDescent="0.25">
      <c r="I8421" s="11" t="b">
        <f t="shared" si="412"/>
        <v>0</v>
      </c>
      <c r="M8421" s="17" t="str">
        <f t="shared" si="410"/>
        <v/>
      </c>
      <c r="N8421" s="11" t="str">
        <f t="shared" si="411"/>
        <v/>
      </c>
    </row>
    <row r="8422" spans="9:14" x14ac:dyDescent="0.25">
      <c r="I8422" s="11" t="b">
        <f t="shared" si="412"/>
        <v>0</v>
      </c>
      <c r="M8422" s="17" t="str">
        <f t="shared" si="410"/>
        <v/>
      </c>
      <c r="N8422" s="11" t="str">
        <f t="shared" si="411"/>
        <v/>
      </c>
    </row>
    <row r="8423" spans="9:14" x14ac:dyDescent="0.25">
      <c r="I8423" s="11" t="b">
        <f t="shared" si="412"/>
        <v>0</v>
      </c>
      <c r="M8423" s="17" t="str">
        <f t="shared" si="410"/>
        <v/>
      </c>
      <c r="N8423" s="11" t="str">
        <f t="shared" si="411"/>
        <v/>
      </c>
    </row>
    <row r="8424" spans="9:14" x14ac:dyDescent="0.25">
      <c r="I8424" s="11" t="b">
        <f t="shared" si="412"/>
        <v>0</v>
      </c>
      <c r="M8424" s="17" t="str">
        <f t="shared" si="410"/>
        <v/>
      </c>
      <c r="N8424" s="11" t="str">
        <f t="shared" si="411"/>
        <v/>
      </c>
    </row>
    <row r="8425" spans="9:14" x14ac:dyDescent="0.25">
      <c r="I8425" s="11" t="b">
        <f t="shared" si="412"/>
        <v>0</v>
      </c>
      <c r="M8425" s="17" t="str">
        <f t="shared" si="410"/>
        <v/>
      </c>
      <c r="N8425" s="11" t="str">
        <f t="shared" si="411"/>
        <v/>
      </c>
    </row>
    <row r="8426" spans="9:14" x14ac:dyDescent="0.25">
      <c r="I8426" s="11" t="b">
        <f t="shared" si="412"/>
        <v>0</v>
      </c>
      <c r="M8426" s="17" t="str">
        <f t="shared" si="410"/>
        <v/>
      </c>
      <c r="N8426" s="11" t="str">
        <f t="shared" si="411"/>
        <v/>
      </c>
    </row>
    <row r="8427" spans="9:14" x14ac:dyDescent="0.25">
      <c r="I8427" s="11" t="b">
        <f t="shared" si="412"/>
        <v>0</v>
      </c>
      <c r="M8427" s="17" t="str">
        <f t="shared" si="410"/>
        <v/>
      </c>
      <c r="N8427" s="11" t="str">
        <f t="shared" si="411"/>
        <v/>
      </c>
    </row>
    <row r="8428" spans="9:14" x14ac:dyDescent="0.25">
      <c r="I8428" s="11" t="b">
        <f t="shared" si="412"/>
        <v>0</v>
      </c>
      <c r="M8428" s="17" t="str">
        <f t="shared" si="410"/>
        <v/>
      </c>
      <c r="N8428" s="11" t="str">
        <f t="shared" si="411"/>
        <v/>
      </c>
    </row>
    <row r="8429" spans="9:14" x14ac:dyDescent="0.25">
      <c r="I8429" s="11" t="b">
        <f t="shared" si="412"/>
        <v>0</v>
      </c>
      <c r="M8429" s="17" t="str">
        <f t="shared" si="410"/>
        <v/>
      </c>
      <c r="N8429" s="11" t="str">
        <f t="shared" si="411"/>
        <v/>
      </c>
    </row>
    <row r="8430" spans="9:14" x14ac:dyDescent="0.25">
      <c r="I8430" s="11" t="b">
        <f t="shared" si="412"/>
        <v>0</v>
      </c>
      <c r="M8430" s="17" t="str">
        <f t="shared" si="410"/>
        <v/>
      </c>
      <c r="N8430" s="11" t="str">
        <f t="shared" si="411"/>
        <v/>
      </c>
    </row>
    <row r="8431" spans="9:14" x14ac:dyDescent="0.25">
      <c r="I8431" s="11" t="b">
        <f t="shared" si="412"/>
        <v>0</v>
      </c>
      <c r="M8431" s="17" t="str">
        <f t="shared" si="410"/>
        <v/>
      </c>
      <c r="N8431" s="11" t="str">
        <f t="shared" si="411"/>
        <v/>
      </c>
    </row>
    <row r="8432" spans="9:14" x14ac:dyDescent="0.25">
      <c r="I8432" s="11" t="b">
        <f t="shared" si="412"/>
        <v>0</v>
      </c>
      <c r="M8432" s="17" t="str">
        <f t="shared" si="410"/>
        <v/>
      </c>
      <c r="N8432" s="11" t="str">
        <f t="shared" si="411"/>
        <v/>
      </c>
    </row>
    <row r="8433" spans="9:14" x14ac:dyDescent="0.25">
      <c r="I8433" s="11" t="b">
        <f t="shared" si="412"/>
        <v>0</v>
      </c>
      <c r="M8433" s="17" t="str">
        <f t="shared" si="410"/>
        <v/>
      </c>
      <c r="N8433" s="11" t="str">
        <f t="shared" si="411"/>
        <v/>
      </c>
    </row>
    <row r="8434" spans="9:14" x14ac:dyDescent="0.25">
      <c r="I8434" s="11" t="b">
        <f t="shared" si="412"/>
        <v>0</v>
      </c>
      <c r="M8434" s="17" t="str">
        <f t="shared" si="410"/>
        <v/>
      </c>
      <c r="N8434" s="11" t="str">
        <f t="shared" si="411"/>
        <v/>
      </c>
    </row>
    <row r="8435" spans="9:14" x14ac:dyDescent="0.25">
      <c r="I8435" s="11" t="b">
        <f t="shared" si="412"/>
        <v>0</v>
      </c>
      <c r="M8435" s="17" t="str">
        <f t="shared" si="410"/>
        <v/>
      </c>
      <c r="N8435" s="11" t="str">
        <f t="shared" si="411"/>
        <v/>
      </c>
    </row>
    <row r="8436" spans="9:14" x14ac:dyDescent="0.25">
      <c r="I8436" s="11" t="b">
        <f t="shared" si="412"/>
        <v>0</v>
      </c>
      <c r="M8436" s="17" t="str">
        <f t="shared" si="410"/>
        <v/>
      </c>
      <c r="N8436" s="11" t="str">
        <f t="shared" si="411"/>
        <v/>
      </c>
    </row>
    <row r="8437" spans="9:14" x14ac:dyDescent="0.25">
      <c r="I8437" s="11" t="b">
        <f t="shared" si="412"/>
        <v>0</v>
      </c>
      <c r="M8437" s="17" t="str">
        <f t="shared" si="410"/>
        <v/>
      </c>
      <c r="N8437" s="11" t="str">
        <f t="shared" si="411"/>
        <v/>
      </c>
    </row>
    <row r="8438" spans="9:14" x14ac:dyDescent="0.25">
      <c r="I8438" s="11" t="b">
        <f t="shared" si="412"/>
        <v>0</v>
      </c>
      <c r="M8438" s="17" t="str">
        <f t="shared" si="410"/>
        <v/>
      </c>
      <c r="N8438" s="11" t="str">
        <f t="shared" si="411"/>
        <v/>
      </c>
    </row>
    <row r="8439" spans="9:14" x14ac:dyDescent="0.25">
      <c r="I8439" s="11" t="b">
        <f t="shared" si="412"/>
        <v>0</v>
      </c>
      <c r="M8439" s="17" t="str">
        <f t="shared" si="410"/>
        <v/>
      </c>
      <c r="N8439" s="11" t="str">
        <f t="shared" si="411"/>
        <v/>
      </c>
    </row>
    <row r="8440" spans="9:14" x14ac:dyDescent="0.25">
      <c r="I8440" s="11" t="b">
        <f t="shared" si="412"/>
        <v>0</v>
      </c>
      <c r="M8440" s="17" t="str">
        <f t="shared" si="410"/>
        <v/>
      </c>
      <c r="N8440" s="11" t="str">
        <f t="shared" si="411"/>
        <v/>
      </c>
    </row>
    <row r="8441" spans="9:14" x14ac:dyDescent="0.25">
      <c r="I8441" s="11" t="b">
        <f t="shared" si="412"/>
        <v>0</v>
      </c>
      <c r="M8441" s="17" t="str">
        <f t="shared" si="410"/>
        <v/>
      </c>
      <c r="N8441" s="11" t="str">
        <f t="shared" si="411"/>
        <v/>
      </c>
    </row>
    <row r="8442" spans="9:14" x14ac:dyDescent="0.25">
      <c r="I8442" s="11" t="b">
        <f t="shared" si="412"/>
        <v>0</v>
      </c>
      <c r="M8442" s="17" t="str">
        <f t="shared" si="410"/>
        <v/>
      </c>
      <c r="N8442" s="11" t="str">
        <f t="shared" si="411"/>
        <v/>
      </c>
    </row>
    <row r="8443" spans="9:14" x14ac:dyDescent="0.25">
      <c r="I8443" s="11" t="b">
        <f t="shared" si="412"/>
        <v>0</v>
      </c>
      <c r="M8443" s="17" t="str">
        <f t="shared" si="410"/>
        <v/>
      </c>
      <c r="N8443" s="11" t="str">
        <f t="shared" si="411"/>
        <v/>
      </c>
    </row>
    <row r="8444" spans="9:14" x14ac:dyDescent="0.25">
      <c r="I8444" s="11" t="b">
        <f t="shared" si="412"/>
        <v>0</v>
      </c>
      <c r="M8444" s="17" t="str">
        <f t="shared" si="410"/>
        <v/>
      </c>
      <c r="N8444" s="11" t="str">
        <f t="shared" si="411"/>
        <v/>
      </c>
    </row>
    <row r="8445" spans="9:14" x14ac:dyDescent="0.25">
      <c r="I8445" s="11" t="b">
        <f t="shared" si="412"/>
        <v>0</v>
      </c>
      <c r="M8445" s="17" t="str">
        <f t="shared" si="410"/>
        <v/>
      </c>
      <c r="N8445" s="11" t="str">
        <f t="shared" si="411"/>
        <v/>
      </c>
    </row>
    <row r="8446" spans="9:14" x14ac:dyDescent="0.25">
      <c r="I8446" s="11" t="b">
        <f t="shared" si="412"/>
        <v>0</v>
      </c>
      <c r="M8446" s="17" t="str">
        <f t="shared" si="410"/>
        <v/>
      </c>
      <c r="N8446" s="11" t="str">
        <f t="shared" si="411"/>
        <v/>
      </c>
    </row>
    <row r="8447" spans="9:14" x14ac:dyDescent="0.25">
      <c r="I8447" s="11" t="b">
        <f t="shared" si="412"/>
        <v>0</v>
      </c>
      <c r="M8447" s="17" t="str">
        <f t="shared" si="410"/>
        <v/>
      </c>
      <c r="N8447" s="11" t="str">
        <f t="shared" si="411"/>
        <v/>
      </c>
    </row>
    <row r="8448" spans="9:14" x14ac:dyDescent="0.25">
      <c r="I8448" s="11" t="b">
        <f t="shared" si="412"/>
        <v>0</v>
      </c>
      <c r="M8448" s="17" t="str">
        <f t="shared" si="410"/>
        <v/>
      </c>
      <c r="N8448" s="11" t="str">
        <f t="shared" si="411"/>
        <v/>
      </c>
    </row>
    <row r="8449" spans="9:14" x14ac:dyDescent="0.25">
      <c r="I8449" s="11" t="b">
        <f t="shared" si="412"/>
        <v>0</v>
      </c>
      <c r="M8449" s="17" t="str">
        <f t="shared" ref="M8449:M8512" si="413">IF(B8449=0, "",M8448+ J8449-K8449)</f>
        <v/>
      </c>
      <c r="N8449" s="11" t="str">
        <f t="shared" ref="N8449:N8512" si="414">IF(B8449=0, "", MONTH(B8449))</f>
        <v/>
      </c>
    </row>
    <row r="8450" spans="9:14" x14ac:dyDescent="0.25">
      <c r="I8450" s="11" t="b">
        <f t="shared" si="412"/>
        <v>0</v>
      </c>
      <c r="M8450" s="17" t="str">
        <f t="shared" si="413"/>
        <v/>
      </c>
      <c r="N8450" s="11" t="str">
        <f t="shared" si="414"/>
        <v/>
      </c>
    </row>
    <row r="8451" spans="9:14" x14ac:dyDescent="0.25">
      <c r="I8451" s="11" t="b">
        <f t="shared" si="412"/>
        <v>0</v>
      </c>
      <c r="M8451" s="17" t="str">
        <f t="shared" si="413"/>
        <v/>
      </c>
      <c r="N8451" s="11" t="str">
        <f t="shared" si="414"/>
        <v/>
      </c>
    </row>
    <row r="8452" spans="9:14" x14ac:dyDescent="0.25">
      <c r="I8452" s="11" t="b">
        <f t="shared" si="412"/>
        <v>0</v>
      </c>
      <c r="M8452" s="17" t="str">
        <f t="shared" si="413"/>
        <v/>
      </c>
      <c r="N8452" s="11" t="str">
        <f t="shared" si="414"/>
        <v/>
      </c>
    </row>
    <row r="8453" spans="9:14" x14ac:dyDescent="0.25">
      <c r="I8453" s="11" t="b">
        <f t="shared" si="412"/>
        <v>0</v>
      </c>
      <c r="M8453" s="17" t="str">
        <f t="shared" si="413"/>
        <v/>
      </c>
      <c r="N8453" s="11" t="str">
        <f t="shared" si="414"/>
        <v/>
      </c>
    </row>
    <row r="8454" spans="9:14" x14ac:dyDescent="0.25">
      <c r="I8454" s="11" t="b">
        <f t="shared" si="412"/>
        <v>0</v>
      </c>
      <c r="M8454" s="17" t="str">
        <f t="shared" si="413"/>
        <v/>
      </c>
      <c r="N8454" s="11" t="str">
        <f t="shared" si="414"/>
        <v/>
      </c>
    </row>
    <row r="8455" spans="9:14" x14ac:dyDescent="0.25">
      <c r="I8455" s="11" t="b">
        <f t="shared" si="412"/>
        <v>0</v>
      </c>
      <c r="M8455" s="17" t="str">
        <f t="shared" si="413"/>
        <v/>
      </c>
      <c r="N8455" s="11" t="str">
        <f t="shared" si="414"/>
        <v/>
      </c>
    </row>
    <row r="8456" spans="9:14" x14ac:dyDescent="0.25">
      <c r="I8456" s="11" t="b">
        <f t="shared" si="412"/>
        <v>0</v>
      </c>
      <c r="M8456" s="17" t="str">
        <f t="shared" si="413"/>
        <v/>
      </c>
      <c r="N8456" s="11" t="str">
        <f t="shared" si="414"/>
        <v/>
      </c>
    </row>
    <row r="8457" spans="9:14" x14ac:dyDescent="0.25">
      <c r="I8457" s="11" t="b">
        <f t="shared" si="412"/>
        <v>0</v>
      </c>
      <c r="M8457" s="17" t="str">
        <f t="shared" si="413"/>
        <v/>
      </c>
      <c r="N8457" s="11" t="str">
        <f t="shared" si="414"/>
        <v/>
      </c>
    </row>
    <row r="8458" spans="9:14" x14ac:dyDescent="0.25">
      <c r="I8458" s="11" t="b">
        <f t="shared" si="412"/>
        <v>0</v>
      </c>
      <c r="M8458" s="17" t="str">
        <f t="shared" si="413"/>
        <v/>
      </c>
      <c r="N8458" s="11" t="str">
        <f t="shared" si="414"/>
        <v/>
      </c>
    </row>
    <row r="8459" spans="9:14" x14ac:dyDescent="0.25">
      <c r="I8459" s="11" t="b">
        <f t="shared" si="412"/>
        <v>0</v>
      </c>
      <c r="M8459" s="17" t="str">
        <f t="shared" si="413"/>
        <v/>
      </c>
      <c r="N8459" s="11" t="str">
        <f t="shared" si="414"/>
        <v/>
      </c>
    </row>
    <row r="8460" spans="9:14" x14ac:dyDescent="0.25">
      <c r="I8460" s="11" t="b">
        <f t="shared" si="412"/>
        <v>0</v>
      </c>
      <c r="M8460" s="17" t="str">
        <f t="shared" si="413"/>
        <v/>
      </c>
      <c r="N8460" s="11" t="str">
        <f t="shared" si="414"/>
        <v/>
      </c>
    </row>
    <row r="8461" spans="9:14" x14ac:dyDescent="0.25">
      <c r="I8461" s="11" t="b">
        <f t="shared" si="412"/>
        <v>0</v>
      </c>
      <c r="M8461" s="17" t="str">
        <f t="shared" si="413"/>
        <v/>
      </c>
      <c r="N8461" s="11" t="str">
        <f t="shared" si="414"/>
        <v/>
      </c>
    </row>
    <row r="8462" spans="9:14" x14ac:dyDescent="0.25">
      <c r="I8462" s="11" t="b">
        <f t="shared" si="412"/>
        <v>0</v>
      </c>
      <c r="M8462" s="17" t="str">
        <f t="shared" si="413"/>
        <v/>
      </c>
      <c r="N8462" s="11" t="str">
        <f t="shared" si="414"/>
        <v/>
      </c>
    </row>
    <row r="8463" spans="9:14" x14ac:dyDescent="0.25">
      <c r="I8463" s="11" t="b">
        <f t="shared" si="412"/>
        <v>0</v>
      </c>
      <c r="M8463" s="17" t="str">
        <f t="shared" si="413"/>
        <v/>
      </c>
      <c r="N8463" s="11" t="str">
        <f t="shared" si="414"/>
        <v/>
      </c>
    </row>
    <row r="8464" spans="9:14" x14ac:dyDescent="0.25">
      <c r="I8464" s="11" t="b">
        <f t="shared" si="412"/>
        <v>0</v>
      </c>
      <c r="M8464" s="17" t="str">
        <f t="shared" si="413"/>
        <v/>
      </c>
      <c r="N8464" s="11" t="str">
        <f t="shared" si="414"/>
        <v/>
      </c>
    </row>
    <row r="8465" spans="9:14" x14ac:dyDescent="0.25">
      <c r="I8465" s="11" t="b">
        <f t="shared" si="412"/>
        <v>0</v>
      </c>
      <c r="M8465" s="17" t="str">
        <f t="shared" si="413"/>
        <v/>
      </c>
      <c r="N8465" s="11" t="str">
        <f t="shared" si="414"/>
        <v/>
      </c>
    </row>
    <row r="8466" spans="9:14" x14ac:dyDescent="0.25">
      <c r="I8466" s="11" t="b">
        <f t="shared" si="412"/>
        <v>0</v>
      </c>
      <c r="M8466" s="17" t="str">
        <f t="shared" si="413"/>
        <v/>
      </c>
      <c r="N8466" s="11" t="str">
        <f t="shared" si="414"/>
        <v/>
      </c>
    </row>
    <row r="8467" spans="9:14" x14ac:dyDescent="0.25">
      <c r="I8467" s="11" t="b">
        <f t="shared" si="412"/>
        <v>0</v>
      </c>
      <c r="M8467" s="17" t="str">
        <f t="shared" si="413"/>
        <v/>
      </c>
      <c r="N8467" s="11" t="str">
        <f t="shared" si="414"/>
        <v/>
      </c>
    </row>
    <row r="8468" spans="9:14" x14ac:dyDescent="0.25">
      <c r="I8468" s="11" t="b">
        <f t="shared" si="412"/>
        <v>0</v>
      </c>
      <c r="M8468" s="17" t="str">
        <f t="shared" si="413"/>
        <v/>
      </c>
      <c r="N8468" s="11" t="str">
        <f t="shared" si="414"/>
        <v/>
      </c>
    </row>
    <row r="8469" spans="9:14" x14ac:dyDescent="0.25">
      <c r="I8469" s="11" t="b">
        <f t="shared" si="412"/>
        <v>0</v>
      </c>
      <c r="M8469" s="17" t="str">
        <f t="shared" si="413"/>
        <v/>
      </c>
      <c r="N8469" s="11" t="str">
        <f t="shared" si="414"/>
        <v/>
      </c>
    </row>
    <row r="8470" spans="9:14" x14ac:dyDescent="0.25">
      <c r="I8470" s="11" t="b">
        <f t="shared" si="412"/>
        <v>0</v>
      </c>
      <c r="M8470" s="17" t="str">
        <f t="shared" si="413"/>
        <v/>
      </c>
      <c r="N8470" s="11" t="str">
        <f t="shared" si="414"/>
        <v/>
      </c>
    </row>
    <row r="8471" spans="9:14" x14ac:dyDescent="0.25">
      <c r="I8471" s="11" t="b">
        <f t="shared" si="412"/>
        <v>0</v>
      </c>
      <c r="M8471" s="17" t="str">
        <f t="shared" si="413"/>
        <v/>
      </c>
      <c r="N8471" s="11" t="str">
        <f t="shared" si="414"/>
        <v/>
      </c>
    </row>
    <row r="8472" spans="9:14" x14ac:dyDescent="0.25">
      <c r="I8472" s="11" t="b">
        <f t="shared" si="412"/>
        <v>0</v>
      </c>
      <c r="M8472" s="17" t="str">
        <f t="shared" si="413"/>
        <v/>
      </c>
      <c r="N8472" s="11" t="str">
        <f t="shared" si="414"/>
        <v/>
      </c>
    </row>
    <row r="8473" spans="9:14" x14ac:dyDescent="0.25">
      <c r="I8473" s="11" t="b">
        <f t="shared" si="412"/>
        <v>0</v>
      </c>
      <c r="M8473" s="17" t="str">
        <f t="shared" si="413"/>
        <v/>
      </c>
      <c r="N8473" s="11" t="str">
        <f t="shared" si="414"/>
        <v/>
      </c>
    </row>
    <row r="8474" spans="9:14" x14ac:dyDescent="0.25">
      <c r="I8474" s="11" t="b">
        <f t="shared" si="412"/>
        <v>0</v>
      </c>
      <c r="M8474" s="17" t="str">
        <f t="shared" si="413"/>
        <v/>
      </c>
      <c r="N8474" s="11" t="str">
        <f t="shared" si="414"/>
        <v/>
      </c>
    </row>
    <row r="8475" spans="9:14" x14ac:dyDescent="0.25">
      <c r="I8475" s="11" t="b">
        <f t="shared" si="412"/>
        <v>0</v>
      </c>
      <c r="M8475" s="17" t="str">
        <f t="shared" si="413"/>
        <v/>
      </c>
      <c r="N8475" s="11" t="str">
        <f t="shared" si="414"/>
        <v/>
      </c>
    </row>
    <row r="8476" spans="9:14" x14ac:dyDescent="0.25">
      <c r="I8476" s="11" t="b">
        <f t="shared" si="412"/>
        <v>0</v>
      </c>
      <c r="M8476" s="17" t="str">
        <f t="shared" si="413"/>
        <v/>
      </c>
      <c r="N8476" s="11" t="str">
        <f t="shared" si="414"/>
        <v/>
      </c>
    </row>
    <row r="8477" spans="9:14" x14ac:dyDescent="0.25">
      <c r="I8477" s="11" t="b">
        <f t="shared" ref="I8477:I8540" si="415">IF(AND(G8477="MERCADO PAGO",A8477="FATURAMENTO"),1,IF(AND(OR(G8477="MERCADO PAGO",G8477="pix mercado pago",G8477= "débito automático mercado pago", G8477= "boleto mercado pago"),A8477="DESPESAS"),4,IF(AND(G8477="SAFRA",A8477="FATURAMENTO"),2,IF(AND(OR(G8477="SAFRA",G8477="PIX SAFRA", G8477="DÉBITO AUTOMÁTICO SAFRA", G8477= "BOLETO SAFRA", G8477= "transferência safra"), A8477="DESPESAS"),5,IF(AND(G8477="espécie",A8477="FATURAMENTO"),3,IF(AND(G8477="espécie",A8477="DESPESAS"),6))))))</f>
        <v>0</v>
      </c>
      <c r="M8477" s="17" t="str">
        <f t="shared" si="413"/>
        <v/>
      </c>
      <c r="N8477" s="11" t="str">
        <f t="shared" si="414"/>
        <v/>
      </c>
    </row>
    <row r="8478" spans="9:14" x14ac:dyDescent="0.25">
      <c r="I8478" s="11" t="b">
        <f t="shared" si="415"/>
        <v>0</v>
      </c>
      <c r="M8478" s="17" t="str">
        <f t="shared" si="413"/>
        <v/>
      </c>
      <c r="N8478" s="11" t="str">
        <f t="shared" si="414"/>
        <v/>
      </c>
    </row>
    <row r="8479" spans="9:14" x14ac:dyDescent="0.25">
      <c r="I8479" s="11" t="b">
        <f t="shared" si="415"/>
        <v>0</v>
      </c>
      <c r="M8479" s="17" t="str">
        <f t="shared" si="413"/>
        <v/>
      </c>
      <c r="N8479" s="11" t="str">
        <f t="shared" si="414"/>
        <v/>
      </c>
    </row>
    <row r="8480" spans="9:14" x14ac:dyDescent="0.25">
      <c r="I8480" s="11" t="b">
        <f t="shared" si="415"/>
        <v>0</v>
      </c>
      <c r="M8480" s="17" t="str">
        <f t="shared" si="413"/>
        <v/>
      </c>
      <c r="N8480" s="11" t="str">
        <f t="shared" si="414"/>
        <v/>
      </c>
    </row>
    <row r="8481" spans="9:14" x14ac:dyDescent="0.25">
      <c r="I8481" s="11" t="b">
        <f t="shared" si="415"/>
        <v>0</v>
      </c>
      <c r="M8481" s="17" t="str">
        <f t="shared" si="413"/>
        <v/>
      </c>
      <c r="N8481" s="11" t="str">
        <f t="shared" si="414"/>
        <v/>
      </c>
    </row>
    <row r="8482" spans="9:14" x14ac:dyDescent="0.25">
      <c r="I8482" s="11" t="b">
        <f t="shared" si="415"/>
        <v>0</v>
      </c>
      <c r="M8482" s="17" t="str">
        <f t="shared" si="413"/>
        <v/>
      </c>
      <c r="N8482" s="11" t="str">
        <f t="shared" si="414"/>
        <v/>
      </c>
    </row>
    <row r="8483" spans="9:14" x14ac:dyDescent="0.25">
      <c r="I8483" s="11" t="b">
        <f t="shared" si="415"/>
        <v>0</v>
      </c>
      <c r="M8483" s="17" t="str">
        <f t="shared" si="413"/>
        <v/>
      </c>
      <c r="N8483" s="11" t="str">
        <f t="shared" si="414"/>
        <v/>
      </c>
    </row>
    <row r="8484" spans="9:14" x14ac:dyDescent="0.25">
      <c r="I8484" s="11" t="b">
        <f t="shared" si="415"/>
        <v>0</v>
      </c>
      <c r="M8484" s="17" t="str">
        <f t="shared" si="413"/>
        <v/>
      </c>
      <c r="N8484" s="11" t="str">
        <f t="shared" si="414"/>
        <v/>
      </c>
    </row>
    <row r="8485" spans="9:14" x14ac:dyDescent="0.25">
      <c r="I8485" s="11" t="b">
        <f t="shared" si="415"/>
        <v>0</v>
      </c>
      <c r="M8485" s="17" t="str">
        <f t="shared" si="413"/>
        <v/>
      </c>
      <c r="N8485" s="11" t="str">
        <f t="shared" si="414"/>
        <v/>
      </c>
    </row>
    <row r="8486" spans="9:14" x14ac:dyDescent="0.25">
      <c r="I8486" s="11" t="b">
        <f t="shared" si="415"/>
        <v>0</v>
      </c>
      <c r="M8486" s="17" t="str">
        <f t="shared" si="413"/>
        <v/>
      </c>
      <c r="N8486" s="11" t="str">
        <f t="shared" si="414"/>
        <v/>
      </c>
    </row>
    <row r="8487" spans="9:14" x14ac:dyDescent="0.25">
      <c r="I8487" s="11" t="b">
        <f t="shared" si="415"/>
        <v>0</v>
      </c>
      <c r="M8487" s="17" t="str">
        <f t="shared" si="413"/>
        <v/>
      </c>
      <c r="N8487" s="11" t="str">
        <f t="shared" si="414"/>
        <v/>
      </c>
    </row>
    <row r="8488" spans="9:14" x14ac:dyDescent="0.25">
      <c r="I8488" s="11" t="b">
        <f t="shared" si="415"/>
        <v>0</v>
      </c>
      <c r="M8488" s="17" t="str">
        <f t="shared" si="413"/>
        <v/>
      </c>
      <c r="N8488" s="11" t="str">
        <f t="shared" si="414"/>
        <v/>
      </c>
    </row>
    <row r="8489" spans="9:14" x14ac:dyDescent="0.25">
      <c r="I8489" s="11" t="b">
        <f t="shared" si="415"/>
        <v>0</v>
      </c>
      <c r="M8489" s="17" t="str">
        <f t="shared" si="413"/>
        <v/>
      </c>
      <c r="N8489" s="11" t="str">
        <f t="shared" si="414"/>
        <v/>
      </c>
    </row>
    <row r="8490" spans="9:14" x14ac:dyDescent="0.25">
      <c r="I8490" s="11" t="b">
        <f t="shared" si="415"/>
        <v>0</v>
      </c>
      <c r="M8490" s="17" t="str">
        <f t="shared" si="413"/>
        <v/>
      </c>
      <c r="N8490" s="11" t="str">
        <f t="shared" si="414"/>
        <v/>
      </c>
    </row>
    <row r="8491" spans="9:14" x14ac:dyDescent="0.25">
      <c r="I8491" s="11" t="b">
        <f t="shared" si="415"/>
        <v>0</v>
      </c>
      <c r="M8491" s="17" t="str">
        <f t="shared" si="413"/>
        <v/>
      </c>
      <c r="N8491" s="11" t="str">
        <f t="shared" si="414"/>
        <v/>
      </c>
    </row>
    <row r="8492" spans="9:14" x14ac:dyDescent="0.25">
      <c r="I8492" s="11" t="b">
        <f t="shared" si="415"/>
        <v>0</v>
      </c>
      <c r="M8492" s="17" t="str">
        <f t="shared" si="413"/>
        <v/>
      </c>
      <c r="N8492" s="11" t="str">
        <f t="shared" si="414"/>
        <v/>
      </c>
    </row>
    <row r="8493" spans="9:14" x14ac:dyDescent="0.25">
      <c r="I8493" s="11" t="b">
        <f t="shared" si="415"/>
        <v>0</v>
      </c>
      <c r="M8493" s="17" t="str">
        <f t="shared" si="413"/>
        <v/>
      </c>
      <c r="N8493" s="11" t="str">
        <f t="shared" si="414"/>
        <v/>
      </c>
    </row>
    <row r="8494" spans="9:14" x14ac:dyDescent="0.25">
      <c r="I8494" s="11" t="b">
        <f t="shared" si="415"/>
        <v>0</v>
      </c>
      <c r="M8494" s="17" t="str">
        <f t="shared" si="413"/>
        <v/>
      </c>
      <c r="N8494" s="11" t="str">
        <f t="shared" si="414"/>
        <v/>
      </c>
    </row>
    <row r="8495" spans="9:14" x14ac:dyDescent="0.25">
      <c r="I8495" s="11" t="b">
        <f t="shared" si="415"/>
        <v>0</v>
      </c>
      <c r="M8495" s="17" t="str">
        <f t="shared" si="413"/>
        <v/>
      </c>
      <c r="N8495" s="11" t="str">
        <f t="shared" si="414"/>
        <v/>
      </c>
    </row>
    <row r="8496" spans="9:14" x14ac:dyDescent="0.25">
      <c r="I8496" s="11" t="b">
        <f t="shared" si="415"/>
        <v>0</v>
      </c>
      <c r="M8496" s="17" t="str">
        <f t="shared" si="413"/>
        <v/>
      </c>
      <c r="N8496" s="11" t="str">
        <f t="shared" si="414"/>
        <v/>
      </c>
    </row>
    <row r="8497" spans="9:14" x14ac:dyDescent="0.25">
      <c r="I8497" s="11" t="b">
        <f t="shared" si="415"/>
        <v>0</v>
      </c>
      <c r="M8497" s="17" t="str">
        <f t="shared" si="413"/>
        <v/>
      </c>
      <c r="N8497" s="11" t="str">
        <f t="shared" si="414"/>
        <v/>
      </c>
    </row>
    <row r="8498" spans="9:14" x14ac:dyDescent="0.25">
      <c r="I8498" s="11" t="b">
        <f t="shared" si="415"/>
        <v>0</v>
      </c>
      <c r="M8498" s="17" t="str">
        <f t="shared" si="413"/>
        <v/>
      </c>
      <c r="N8498" s="11" t="str">
        <f t="shared" si="414"/>
        <v/>
      </c>
    </row>
    <row r="8499" spans="9:14" x14ac:dyDescent="0.25">
      <c r="I8499" s="11" t="b">
        <f t="shared" si="415"/>
        <v>0</v>
      </c>
      <c r="M8499" s="17" t="str">
        <f t="shared" si="413"/>
        <v/>
      </c>
      <c r="N8499" s="11" t="str">
        <f t="shared" si="414"/>
        <v/>
      </c>
    </row>
    <row r="8500" spans="9:14" x14ac:dyDescent="0.25">
      <c r="I8500" s="11" t="b">
        <f t="shared" si="415"/>
        <v>0</v>
      </c>
      <c r="M8500" s="17" t="str">
        <f t="shared" si="413"/>
        <v/>
      </c>
      <c r="N8500" s="11" t="str">
        <f t="shared" si="414"/>
        <v/>
      </c>
    </row>
    <row r="8501" spans="9:14" x14ac:dyDescent="0.25">
      <c r="I8501" s="11" t="b">
        <f t="shared" si="415"/>
        <v>0</v>
      </c>
      <c r="M8501" s="17" t="str">
        <f t="shared" si="413"/>
        <v/>
      </c>
      <c r="N8501" s="11" t="str">
        <f t="shared" si="414"/>
        <v/>
      </c>
    </row>
    <row r="8502" spans="9:14" x14ac:dyDescent="0.25">
      <c r="I8502" s="11" t="b">
        <f t="shared" si="415"/>
        <v>0</v>
      </c>
      <c r="M8502" s="17" t="str">
        <f t="shared" si="413"/>
        <v/>
      </c>
      <c r="N8502" s="11" t="str">
        <f t="shared" si="414"/>
        <v/>
      </c>
    </row>
    <row r="8503" spans="9:14" x14ac:dyDescent="0.25">
      <c r="I8503" s="11" t="b">
        <f t="shared" si="415"/>
        <v>0</v>
      </c>
      <c r="M8503" s="17" t="str">
        <f t="shared" si="413"/>
        <v/>
      </c>
      <c r="N8503" s="11" t="str">
        <f t="shared" si="414"/>
        <v/>
      </c>
    </row>
    <row r="8504" spans="9:14" x14ac:dyDescent="0.25">
      <c r="I8504" s="11" t="b">
        <f t="shared" si="415"/>
        <v>0</v>
      </c>
      <c r="M8504" s="17" t="str">
        <f t="shared" si="413"/>
        <v/>
      </c>
      <c r="N8504" s="11" t="str">
        <f t="shared" si="414"/>
        <v/>
      </c>
    </row>
    <row r="8505" spans="9:14" x14ac:dyDescent="0.25">
      <c r="I8505" s="11" t="b">
        <f t="shared" si="415"/>
        <v>0</v>
      </c>
      <c r="M8505" s="17" t="str">
        <f t="shared" si="413"/>
        <v/>
      </c>
      <c r="N8505" s="11" t="str">
        <f t="shared" si="414"/>
        <v/>
      </c>
    </row>
    <row r="8506" spans="9:14" x14ac:dyDescent="0.25">
      <c r="I8506" s="11" t="b">
        <f t="shared" si="415"/>
        <v>0</v>
      </c>
      <c r="M8506" s="17" t="str">
        <f t="shared" si="413"/>
        <v/>
      </c>
      <c r="N8506" s="11" t="str">
        <f t="shared" si="414"/>
        <v/>
      </c>
    </row>
    <row r="8507" spans="9:14" x14ac:dyDescent="0.25">
      <c r="I8507" s="11" t="b">
        <f t="shared" si="415"/>
        <v>0</v>
      </c>
      <c r="M8507" s="17" t="str">
        <f t="shared" si="413"/>
        <v/>
      </c>
      <c r="N8507" s="11" t="str">
        <f t="shared" si="414"/>
        <v/>
      </c>
    </row>
    <row r="8508" spans="9:14" x14ac:dyDescent="0.25">
      <c r="I8508" s="11" t="b">
        <f t="shared" si="415"/>
        <v>0</v>
      </c>
      <c r="M8508" s="17" t="str">
        <f t="shared" si="413"/>
        <v/>
      </c>
      <c r="N8508" s="11" t="str">
        <f t="shared" si="414"/>
        <v/>
      </c>
    </row>
    <row r="8509" spans="9:14" x14ac:dyDescent="0.25">
      <c r="I8509" s="11" t="b">
        <f t="shared" si="415"/>
        <v>0</v>
      </c>
      <c r="M8509" s="17" t="str">
        <f t="shared" si="413"/>
        <v/>
      </c>
      <c r="N8509" s="11" t="str">
        <f t="shared" si="414"/>
        <v/>
      </c>
    </row>
    <row r="8510" spans="9:14" x14ac:dyDescent="0.25">
      <c r="I8510" s="11" t="b">
        <f t="shared" si="415"/>
        <v>0</v>
      </c>
      <c r="M8510" s="17" t="str">
        <f t="shared" si="413"/>
        <v/>
      </c>
      <c r="N8510" s="11" t="str">
        <f t="shared" si="414"/>
        <v/>
      </c>
    </row>
    <row r="8511" spans="9:14" x14ac:dyDescent="0.25">
      <c r="I8511" s="11" t="b">
        <f t="shared" si="415"/>
        <v>0</v>
      </c>
      <c r="M8511" s="17" t="str">
        <f t="shared" si="413"/>
        <v/>
      </c>
      <c r="N8511" s="11" t="str">
        <f t="shared" si="414"/>
        <v/>
      </c>
    </row>
    <row r="8512" spans="9:14" x14ac:dyDescent="0.25">
      <c r="I8512" s="11" t="b">
        <f t="shared" si="415"/>
        <v>0</v>
      </c>
      <c r="M8512" s="17" t="str">
        <f t="shared" si="413"/>
        <v/>
      </c>
      <c r="N8512" s="11" t="str">
        <f t="shared" si="414"/>
        <v/>
      </c>
    </row>
    <row r="8513" spans="9:14" x14ac:dyDescent="0.25">
      <c r="I8513" s="11" t="b">
        <f t="shared" si="415"/>
        <v>0</v>
      </c>
      <c r="M8513" s="17" t="str">
        <f t="shared" ref="M8513:M8576" si="416">IF(B8513=0, "",M8512+ J8513-K8513)</f>
        <v/>
      </c>
      <c r="N8513" s="11" t="str">
        <f t="shared" ref="N8513:N8576" si="417">IF(B8513=0, "", MONTH(B8513))</f>
        <v/>
      </c>
    </row>
    <row r="8514" spans="9:14" x14ac:dyDescent="0.25">
      <c r="I8514" s="11" t="b">
        <f t="shared" si="415"/>
        <v>0</v>
      </c>
      <c r="M8514" s="17" t="str">
        <f t="shared" si="416"/>
        <v/>
      </c>
      <c r="N8514" s="11" t="str">
        <f t="shared" si="417"/>
        <v/>
      </c>
    </row>
    <row r="8515" spans="9:14" x14ac:dyDescent="0.25">
      <c r="I8515" s="11" t="b">
        <f t="shared" si="415"/>
        <v>0</v>
      </c>
      <c r="M8515" s="17" t="str">
        <f t="shared" si="416"/>
        <v/>
      </c>
      <c r="N8515" s="11" t="str">
        <f t="shared" si="417"/>
        <v/>
      </c>
    </row>
    <row r="8516" spans="9:14" x14ac:dyDescent="0.25">
      <c r="I8516" s="11" t="b">
        <f t="shared" si="415"/>
        <v>0</v>
      </c>
      <c r="M8516" s="17" t="str">
        <f t="shared" si="416"/>
        <v/>
      </c>
      <c r="N8516" s="11" t="str">
        <f t="shared" si="417"/>
        <v/>
      </c>
    </row>
    <row r="8517" spans="9:14" x14ac:dyDescent="0.25">
      <c r="I8517" s="11" t="b">
        <f t="shared" si="415"/>
        <v>0</v>
      </c>
      <c r="M8517" s="17" t="str">
        <f t="shared" si="416"/>
        <v/>
      </c>
      <c r="N8517" s="11" t="str">
        <f t="shared" si="417"/>
        <v/>
      </c>
    </row>
    <row r="8518" spans="9:14" x14ac:dyDescent="0.25">
      <c r="I8518" s="11" t="b">
        <f t="shared" si="415"/>
        <v>0</v>
      </c>
      <c r="M8518" s="17" t="str">
        <f t="shared" si="416"/>
        <v/>
      </c>
      <c r="N8518" s="11" t="str">
        <f t="shared" si="417"/>
        <v/>
      </c>
    </row>
    <row r="8519" spans="9:14" x14ac:dyDescent="0.25">
      <c r="I8519" s="11" t="b">
        <f t="shared" si="415"/>
        <v>0</v>
      </c>
      <c r="M8519" s="17" t="str">
        <f t="shared" si="416"/>
        <v/>
      </c>
      <c r="N8519" s="11" t="str">
        <f t="shared" si="417"/>
        <v/>
      </c>
    </row>
    <row r="8520" spans="9:14" x14ac:dyDescent="0.25">
      <c r="I8520" s="11" t="b">
        <f t="shared" si="415"/>
        <v>0</v>
      </c>
      <c r="M8520" s="17" t="str">
        <f t="shared" si="416"/>
        <v/>
      </c>
      <c r="N8520" s="11" t="str">
        <f t="shared" si="417"/>
        <v/>
      </c>
    </row>
    <row r="8521" spans="9:14" x14ac:dyDescent="0.25">
      <c r="I8521" s="11" t="b">
        <f t="shared" si="415"/>
        <v>0</v>
      </c>
      <c r="M8521" s="17" t="str">
        <f t="shared" si="416"/>
        <v/>
      </c>
      <c r="N8521" s="11" t="str">
        <f t="shared" si="417"/>
        <v/>
      </c>
    </row>
    <row r="8522" spans="9:14" x14ac:dyDescent="0.25">
      <c r="I8522" s="11" t="b">
        <f t="shared" si="415"/>
        <v>0</v>
      </c>
      <c r="M8522" s="17" t="str">
        <f t="shared" si="416"/>
        <v/>
      </c>
      <c r="N8522" s="11" t="str">
        <f t="shared" si="417"/>
        <v/>
      </c>
    </row>
    <row r="8523" spans="9:14" x14ac:dyDescent="0.25">
      <c r="I8523" s="11" t="b">
        <f t="shared" si="415"/>
        <v>0</v>
      </c>
      <c r="M8523" s="17" t="str">
        <f t="shared" si="416"/>
        <v/>
      </c>
      <c r="N8523" s="11" t="str">
        <f t="shared" si="417"/>
        <v/>
      </c>
    </row>
    <row r="8524" spans="9:14" x14ac:dyDescent="0.25">
      <c r="I8524" s="11" t="b">
        <f t="shared" si="415"/>
        <v>0</v>
      </c>
      <c r="M8524" s="17" t="str">
        <f t="shared" si="416"/>
        <v/>
      </c>
      <c r="N8524" s="11" t="str">
        <f t="shared" si="417"/>
        <v/>
      </c>
    </row>
    <row r="8525" spans="9:14" x14ac:dyDescent="0.25">
      <c r="I8525" s="11" t="b">
        <f t="shared" si="415"/>
        <v>0</v>
      </c>
      <c r="M8525" s="17" t="str">
        <f t="shared" si="416"/>
        <v/>
      </c>
      <c r="N8525" s="11" t="str">
        <f t="shared" si="417"/>
        <v/>
      </c>
    </row>
    <row r="8526" spans="9:14" x14ac:dyDescent="0.25">
      <c r="I8526" s="11" t="b">
        <f t="shared" si="415"/>
        <v>0</v>
      </c>
      <c r="M8526" s="17" t="str">
        <f t="shared" si="416"/>
        <v/>
      </c>
      <c r="N8526" s="11" t="str">
        <f t="shared" si="417"/>
        <v/>
      </c>
    </row>
    <row r="8527" spans="9:14" x14ac:dyDescent="0.25">
      <c r="I8527" s="11" t="b">
        <f t="shared" si="415"/>
        <v>0</v>
      </c>
      <c r="M8527" s="17" t="str">
        <f t="shared" si="416"/>
        <v/>
      </c>
      <c r="N8527" s="11" t="str">
        <f t="shared" si="417"/>
        <v/>
      </c>
    </row>
    <row r="8528" spans="9:14" x14ac:dyDescent="0.25">
      <c r="I8528" s="11" t="b">
        <f t="shared" si="415"/>
        <v>0</v>
      </c>
      <c r="M8528" s="17" t="str">
        <f t="shared" si="416"/>
        <v/>
      </c>
      <c r="N8528" s="11" t="str">
        <f t="shared" si="417"/>
        <v/>
      </c>
    </row>
    <row r="8529" spans="9:14" x14ac:dyDescent="0.25">
      <c r="I8529" s="11" t="b">
        <f t="shared" si="415"/>
        <v>0</v>
      </c>
      <c r="M8529" s="17" t="str">
        <f t="shared" si="416"/>
        <v/>
      </c>
      <c r="N8529" s="11" t="str">
        <f t="shared" si="417"/>
        <v/>
      </c>
    </row>
    <row r="8530" spans="9:14" x14ac:dyDescent="0.25">
      <c r="I8530" s="11" t="b">
        <f t="shared" si="415"/>
        <v>0</v>
      </c>
      <c r="M8530" s="17" t="str">
        <f t="shared" si="416"/>
        <v/>
      </c>
      <c r="N8530" s="11" t="str">
        <f t="shared" si="417"/>
        <v/>
      </c>
    </row>
    <row r="8531" spans="9:14" x14ac:dyDescent="0.25">
      <c r="I8531" s="11" t="b">
        <f t="shared" si="415"/>
        <v>0</v>
      </c>
      <c r="M8531" s="17" t="str">
        <f t="shared" si="416"/>
        <v/>
      </c>
      <c r="N8531" s="11" t="str">
        <f t="shared" si="417"/>
        <v/>
      </c>
    </row>
    <row r="8532" spans="9:14" x14ac:dyDescent="0.25">
      <c r="I8532" s="11" t="b">
        <f t="shared" si="415"/>
        <v>0</v>
      </c>
      <c r="M8532" s="17" t="str">
        <f t="shared" si="416"/>
        <v/>
      </c>
      <c r="N8532" s="11" t="str">
        <f t="shared" si="417"/>
        <v/>
      </c>
    </row>
    <row r="8533" spans="9:14" x14ac:dyDescent="0.25">
      <c r="I8533" s="11" t="b">
        <f t="shared" si="415"/>
        <v>0</v>
      </c>
      <c r="M8533" s="17" t="str">
        <f t="shared" si="416"/>
        <v/>
      </c>
      <c r="N8533" s="11" t="str">
        <f t="shared" si="417"/>
        <v/>
      </c>
    </row>
    <row r="8534" spans="9:14" x14ac:dyDescent="0.25">
      <c r="I8534" s="11" t="b">
        <f t="shared" si="415"/>
        <v>0</v>
      </c>
      <c r="M8534" s="17" t="str">
        <f t="shared" si="416"/>
        <v/>
      </c>
      <c r="N8534" s="11" t="str">
        <f t="shared" si="417"/>
        <v/>
      </c>
    </row>
    <row r="8535" spans="9:14" x14ac:dyDescent="0.25">
      <c r="I8535" s="11" t="b">
        <f t="shared" si="415"/>
        <v>0</v>
      </c>
      <c r="M8535" s="17" t="str">
        <f t="shared" si="416"/>
        <v/>
      </c>
      <c r="N8535" s="11" t="str">
        <f t="shared" si="417"/>
        <v/>
      </c>
    </row>
    <row r="8536" spans="9:14" x14ac:dyDescent="0.25">
      <c r="I8536" s="11" t="b">
        <f t="shared" si="415"/>
        <v>0</v>
      </c>
      <c r="M8536" s="17" t="str">
        <f t="shared" si="416"/>
        <v/>
      </c>
      <c r="N8536" s="11" t="str">
        <f t="shared" si="417"/>
        <v/>
      </c>
    </row>
    <row r="8537" spans="9:14" x14ac:dyDescent="0.25">
      <c r="I8537" s="11" t="b">
        <f t="shared" si="415"/>
        <v>0</v>
      </c>
      <c r="M8537" s="17" t="str">
        <f t="shared" si="416"/>
        <v/>
      </c>
      <c r="N8537" s="11" t="str">
        <f t="shared" si="417"/>
        <v/>
      </c>
    </row>
    <row r="8538" spans="9:14" x14ac:dyDescent="0.25">
      <c r="I8538" s="11" t="b">
        <f t="shared" si="415"/>
        <v>0</v>
      </c>
      <c r="M8538" s="17" t="str">
        <f t="shared" si="416"/>
        <v/>
      </c>
      <c r="N8538" s="11" t="str">
        <f t="shared" si="417"/>
        <v/>
      </c>
    </row>
    <row r="8539" spans="9:14" x14ac:dyDescent="0.25">
      <c r="I8539" s="11" t="b">
        <f t="shared" si="415"/>
        <v>0</v>
      </c>
      <c r="M8539" s="17" t="str">
        <f t="shared" si="416"/>
        <v/>
      </c>
      <c r="N8539" s="11" t="str">
        <f t="shared" si="417"/>
        <v/>
      </c>
    </row>
    <row r="8540" spans="9:14" x14ac:dyDescent="0.25">
      <c r="I8540" s="11" t="b">
        <f t="shared" si="415"/>
        <v>0</v>
      </c>
      <c r="M8540" s="17" t="str">
        <f t="shared" si="416"/>
        <v/>
      </c>
      <c r="N8540" s="11" t="str">
        <f t="shared" si="417"/>
        <v/>
      </c>
    </row>
    <row r="8541" spans="9:14" x14ac:dyDescent="0.25">
      <c r="I8541" s="11" t="b">
        <f t="shared" ref="I8541:I8604" si="418">IF(AND(G8541="MERCADO PAGO",A8541="FATURAMENTO"),1,IF(AND(OR(G8541="MERCADO PAGO",G8541="pix mercado pago",G8541= "débito automático mercado pago", G8541= "boleto mercado pago"),A8541="DESPESAS"),4,IF(AND(G8541="SAFRA",A8541="FATURAMENTO"),2,IF(AND(OR(G8541="SAFRA",G8541="PIX SAFRA", G8541="DÉBITO AUTOMÁTICO SAFRA", G8541= "BOLETO SAFRA", G8541= "transferência safra"), A8541="DESPESAS"),5,IF(AND(G8541="espécie",A8541="FATURAMENTO"),3,IF(AND(G8541="espécie",A8541="DESPESAS"),6))))))</f>
        <v>0</v>
      </c>
      <c r="M8541" s="17" t="str">
        <f t="shared" si="416"/>
        <v/>
      </c>
      <c r="N8541" s="11" t="str">
        <f t="shared" si="417"/>
        <v/>
      </c>
    </row>
    <row r="8542" spans="9:14" x14ac:dyDescent="0.25">
      <c r="I8542" s="11" t="b">
        <f t="shared" si="418"/>
        <v>0</v>
      </c>
      <c r="M8542" s="17" t="str">
        <f t="shared" si="416"/>
        <v/>
      </c>
      <c r="N8542" s="11" t="str">
        <f t="shared" si="417"/>
        <v/>
      </c>
    </row>
    <row r="8543" spans="9:14" x14ac:dyDescent="0.25">
      <c r="I8543" s="11" t="b">
        <f t="shared" si="418"/>
        <v>0</v>
      </c>
      <c r="M8543" s="17" t="str">
        <f t="shared" si="416"/>
        <v/>
      </c>
      <c r="N8543" s="11" t="str">
        <f t="shared" si="417"/>
        <v/>
      </c>
    </row>
    <row r="8544" spans="9:14" x14ac:dyDescent="0.25">
      <c r="I8544" s="11" t="b">
        <f t="shared" si="418"/>
        <v>0</v>
      </c>
      <c r="M8544" s="17" t="str">
        <f t="shared" si="416"/>
        <v/>
      </c>
      <c r="N8544" s="11" t="str">
        <f t="shared" si="417"/>
        <v/>
      </c>
    </row>
    <row r="8545" spans="9:14" x14ac:dyDescent="0.25">
      <c r="I8545" s="11" t="b">
        <f t="shared" si="418"/>
        <v>0</v>
      </c>
      <c r="M8545" s="17" t="str">
        <f t="shared" si="416"/>
        <v/>
      </c>
      <c r="N8545" s="11" t="str">
        <f t="shared" si="417"/>
        <v/>
      </c>
    </row>
    <row r="8546" spans="9:14" x14ac:dyDescent="0.25">
      <c r="I8546" s="11" t="b">
        <f t="shared" si="418"/>
        <v>0</v>
      </c>
      <c r="M8546" s="17" t="str">
        <f t="shared" si="416"/>
        <v/>
      </c>
      <c r="N8546" s="11" t="str">
        <f t="shared" si="417"/>
        <v/>
      </c>
    </row>
    <row r="8547" spans="9:14" x14ac:dyDescent="0.25">
      <c r="I8547" s="11" t="b">
        <f t="shared" si="418"/>
        <v>0</v>
      </c>
      <c r="M8547" s="17" t="str">
        <f t="shared" si="416"/>
        <v/>
      </c>
      <c r="N8547" s="11" t="str">
        <f t="shared" si="417"/>
        <v/>
      </c>
    </row>
    <row r="8548" spans="9:14" x14ac:dyDescent="0.25">
      <c r="I8548" s="11" t="b">
        <f t="shared" si="418"/>
        <v>0</v>
      </c>
      <c r="M8548" s="17" t="str">
        <f t="shared" si="416"/>
        <v/>
      </c>
      <c r="N8548" s="11" t="str">
        <f t="shared" si="417"/>
        <v/>
      </c>
    </row>
    <row r="8549" spans="9:14" x14ac:dyDescent="0.25">
      <c r="I8549" s="11" t="b">
        <f t="shared" si="418"/>
        <v>0</v>
      </c>
      <c r="M8549" s="17" t="str">
        <f t="shared" si="416"/>
        <v/>
      </c>
      <c r="N8549" s="11" t="str">
        <f t="shared" si="417"/>
        <v/>
      </c>
    </row>
    <row r="8550" spans="9:14" x14ac:dyDescent="0.25">
      <c r="I8550" s="11" t="b">
        <f t="shared" si="418"/>
        <v>0</v>
      </c>
      <c r="M8550" s="17" t="str">
        <f t="shared" si="416"/>
        <v/>
      </c>
      <c r="N8550" s="11" t="str">
        <f t="shared" si="417"/>
        <v/>
      </c>
    </row>
    <row r="8551" spans="9:14" x14ac:dyDescent="0.25">
      <c r="I8551" s="11" t="b">
        <f t="shared" si="418"/>
        <v>0</v>
      </c>
      <c r="M8551" s="17" t="str">
        <f t="shared" si="416"/>
        <v/>
      </c>
      <c r="N8551" s="11" t="str">
        <f t="shared" si="417"/>
        <v/>
      </c>
    </row>
    <row r="8552" spans="9:14" x14ac:dyDescent="0.25">
      <c r="I8552" s="11" t="b">
        <f t="shared" si="418"/>
        <v>0</v>
      </c>
      <c r="M8552" s="17" t="str">
        <f t="shared" si="416"/>
        <v/>
      </c>
      <c r="N8552" s="11" t="str">
        <f t="shared" si="417"/>
        <v/>
      </c>
    </row>
    <row r="8553" spans="9:14" x14ac:dyDescent="0.25">
      <c r="I8553" s="11" t="b">
        <f t="shared" si="418"/>
        <v>0</v>
      </c>
      <c r="M8553" s="17" t="str">
        <f t="shared" si="416"/>
        <v/>
      </c>
      <c r="N8553" s="11" t="str">
        <f t="shared" si="417"/>
        <v/>
      </c>
    </row>
    <row r="8554" spans="9:14" x14ac:dyDescent="0.25">
      <c r="I8554" s="11" t="b">
        <f t="shared" si="418"/>
        <v>0</v>
      </c>
      <c r="M8554" s="17" t="str">
        <f t="shared" si="416"/>
        <v/>
      </c>
      <c r="N8554" s="11" t="str">
        <f t="shared" si="417"/>
        <v/>
      </c>
    </row>
    <row r="8555" spans="9:14" x14ac:dyDescent="0.25">
      <c r="I8555" s="11" t="b">
        <f t="shared" si="418"/>
        <v>0</v>
      </c>
      <c r="M8555" s="17" t="str">
        <f t="shared" si="416"/>
        <v/>
      </c>
      <c r="N8555" s="11" t="str">
        <f t="shared" si="417"/>
        <v/>
      </c>
    </row>
    <row r="8556" spans="9:14" x14ac:dyDescent="0.25">
      <c r="I8556" s="11" t="b">
        <f t="shared" si="418"/>
        <v>0</v>
      </c>
      <c r="M8556" s="17" t="str">
        <f t="shared" si="416"/>
        <v/>
      </c>
      <c r="N8556" s="11" t="str">
        <f t="shared" si="417"/>
        <v/>
      </c>
    </row>
    <row r="8557" spans="9:14" x14ac:dyDescent="0.25">
      <c r="I8557" s="11" t="b">
        <f t="shared" si="418"/>
        <v>0</v>
      </c>
      <c r="M8557" s="17" t="str">
        <f t="shared" si="416"/>
        <v/>
      </c>
      <c r="N8557" s="11" t="str">
        <f t="shared" si="417"/>
        <v/>
      </c>
    </row>
    <row r="8558" spans="9:14" x14ac:dyDescent="0.25">
      <c r="I8558" s="11" t="b">
        <f t="shared" si="418"/>
        <v>0</v>
      </c>
      <c r="M8558" s="17" t="str">
        <f t="shared" si="416"/>
        <v/>
      </c>
      <c r="N8558" s="11" t="str">
        <f t="shared" si="417"/>
        <v/>
      </c>
    </row>
    <row r="8559" spans="9:14" x14ac:dyDescent="0.25">
      <c r="I8559" s="11" t="b">
        <f t="shared" si="418"/>
        <v>0</v>
      </c>
      <c r="M8559" s="17" t="str">
        <f t="shared" si="416"/>
        <v/>
      </c>
      <c r="N8559" s="11" t="str">
        <f t="shared" si="417"/>
        <v/>
      </c>
    </row>
    <row r="8560" spans="9:14" x14ac:dyDescent="0.25">
      <c r="I8560" s="11" t="b">
        <f t="shared" si="418"/>
        <v>0</v>
      </c>
      <c r="M8560" s="17" t="str">
        <f t="shared" si="416"/>
        <v/>
      </c>
      <c r="N8560" s="11" t="str">
        <f t="shared" si="417"/>
        <v/>
      </c>
    </row>
    <row r="8561" spans="9:14" x14ac:dyDescent="0.25">
      <c r="I8561" s="11" t="b">
        <f t="shared" si="418"/>
        <v>0</v>
      </c>
      <c r="M8561" s="17" t="str">
        <f t="shared" si="416"/>
        <v/>
      </c>
      <c r="N8561" s="11" t="str">
        <f t="shared" si="417"/>
        <v/>
      </c>
    </row>
    <row r="8562" spans="9:14" x14ac:dyDescent="0.25">
      <c r="I8562" s="11" t="b">
        <f t="shared" si="418"/>
        <v>0</v>
      </c>
      <c r="M8562" s="17" t="str">
        <f t="shared" si="416"/>
        <v/>
      </c>
      <c r="N8562" s="11" t="str">
        <f t="shared" si="417"/>
        <v/>
      </c>
    </row>
    <row r="8563" spans="9:14" x14ac:dyDescent="0.25">
      <c r="I8563" s="11" t="b">
        <f t="shared" si="418"/>
        <v>0</v>
      </c>
      <c r="M8563" s="17" t="str">
        <f t="shared" si="416"/>
        <v/>
      </c>
      <c r="N8563" s="11" t="str">
        <f t="shared" si="417"/>
        <v/>
      </c>
    </row>
    <row r="8564" spans="9:14" x14ac:dyDescent="0.25">
      <c r="I8564" s="11" t="b">
        <f t="shared" si="418"/>
        <v>0</v>
      </c>
      <c r="M8564" s="17" t="str">
        <f t="shared" si="416"/>
        <v/>
      </c>
      <c r="N8564" s="11" t="str">
        <f t="shared" si="417"/>
        <v/>
      </c>
    </row>
    <row r="8565" spans="9:14" x14ac:dyDescent="0.25">
      <c r="I8565" s="11" t="b">
        <f t="shared" si="418"/>
        <v>0</v>
      </c>
      <c r="M8565" s="17" t="str">
        <f t="shared" si="416"/>
        <v/>
      </c>
      <c r="N8565" s="11" t="str">
        <f t="shared" si="417"/>
        <v/>
      </c>
    </row>
    <row r="8566" spans="9:14" x14ac:dyDescent="0.25">
      <c r="I8566" s="11" t="b">
        <f t="shared" si="418"/>
        <v>0</v>
      </c>
      <c r="M8566" s="17" t="str">
        <f t="shared" si="416"/>
        <v/>
      </c>
      <c r="N8566" s="11" t="str">
        <f t="shared" si="417"/>
        <v/>
      </c>
    </row>
    <row r="8567" spans="9:14" x14ac:dyDescent="0.25">
      <c r="I8567" s="11" t="b">
        <f t="shared" si="418"/>
        <v>0</v>
      </c>
      <c r="M8567" s="17" t="str">
        <f t="shared" si="416"/>
        <v/>
      </c>
      <c r="N8567" s="11" t="str">
        <f t="shared" si="417"/>
        <v/>
      </c>
    </row>
    <row r="8568" spans="9:14" x14ac:dyDescent="0.25">
      <c r="I8568" s="11" t="b">
        <f t="shared" si="418"/>
        <v>0</v>
      </c>
      <c r="M8568" s="17" t="str">
        <f t="shared" si="416"/>
        <v/>
      </c>
      <c r="N8568" s="11" t="str">
        <f t="shared" si="417"/>
        <v/>
      </c>
    </row>
    <row r="8569" spans="9:14" x14ac:dyDescent="0.25">
      <c r="I8569" s="11" t="b">
        <f t="shared" si="418"/>
        <v>0</v>
      </c>
      <c r="M8569" s="17" t="str">
        <f t="shared" si="416"/>
        <v/>
      </c>
      <c r="N8569" s="11" t="str">
        <f t="shared" si="417"/>
        <v/>
      </c>
    </row>
    <row r="8570" spans="9:14" x14ac:dyDescent="0.25">
      <c r="I8570" s="11" t="b">
        <f t="shared" si="418"/>
        <v>0</v>
      </c>
      <c r="M8570" s="17" t="str">
        <f t="shared" si="416"/>
        <v/>
      </c>
      <c r="N8570" s="11" t="str">
        <f t="shared" si="417"/>
        <v/>
      </c>
    </row>
    <row r="8571" spans="9:14" x14ac:dyDescent="0.25">
      <c r="I8571" s="11" t="b">
        <f t="shared" si="418"/>
        <v>0</v>
      </c>
      <c r="M8571" s="17" t="str">
        <f t="shared" si="416"/>
        <v/>
      </c>
      <c r="N8571" s="11" t="str">
        <f t="shared" si="417"/>
        <v/>
      </c>
    </row>
    <row r="8572" spans="9:14" x14ac:dyDescent="0.25">
      <c r="I8572" s="11" t="b">
        <f t="shared" si="418"/>
        <v>0</v>
      </c>
      <c r="M8572" s="17" t="str">
        <f t="shared" si="416"/>
        <v/>
      </c>
      <c r="N8572" s="11" t="str">
        <f t="shared" si="417"/>
        <v/>
      </c>
    </row>
    <row r="8573" spans="9:14" x14ac:dyDescent="0.25">
      <c r="I8573" s="11" t="b">
        <f t="shared" si="418"/>
        <v>0</v>
      </c>
      <c r="M8573" s="17" t="str">
        <f t="shared" si="416"/>
        <v/>
      </c>
      <c r="N8573" s="11" t="str">
        <f t="shared" si="417"/>
        <v/>
      </c>
    </row>
    <row r="8574" spans="9:14" x14ac:dyDescent="0.25">
      <c r="I8574" s="11" t="b">
        <f t="shared" si="418"/>
        <v>0</v>
      </c>
      <c r="M8574" s="17" t="str">
        <f t="shared" si="416"/>
        <v/>
      </c>
      <c r="N8574" s="11" t="str">
        <f t="shared" si="417"/>
        <v/>
      </c>
    </row>
    <row r="8575" spans="9:14" x14ac:dyDescent="0.25">
      <c r="I8575" s="11" t="b">
        <f t="shared" si="418"/>
        <v>0</v>
      </c>
      <c r="M8575" s="17" t="str">
        <f t="shared" si="416"/>
        <v/>
      </c>
      <c r="N8575" s="11" t="str">
        <f t="shared" si="417"/>
        <v/>
      </c>
    </row>
    <row r="8576" spans="9:14" x14ac:dyDescent="0.25">
      <c r="I8576" s="11" t="b">
        <f t="shared" si="418"/>
        <v>0</v>
      </c>
      <c r="M8576" s="17" t="str">
        <f t="shared" si="416"/>
        <v/>
      </c>
      <c r="N8576" s="11" t="str">
        <f t="shared" si="417"/>
        <v/>
      </c>
    </row>
    <row r="8577" spans="9:14" x14ac:dyDescent="0.25">
      <c r="I8577" s="11" t="b">
        <f t="shared" si="418"/>
        <v>0</v>
      </c>
      <c r="M8577" s="17" t="str">
        <f t="shared" ref="M8577:M8640" si="419">IF(B8577=0, "",M8576+ J8577-K8577)</f>
        <v/>
      </c>
      <c r="N8577" s="11" t="str">
        <f t="shared" ref="N8577:N8640" si="420">IF(B8577=0, "", MONTH(B8577))</f>
        <v/>
      </c>
    </row>
    <row r="8578" spans="9:14" x14ac:dyDescent="0.25">
      <c r="I8578" s="11" t="b">
        <f t="shared" si="418"/>
        <v>0</v>
      </c>
      <c r="M8578" s="17" t="str">
        <f t="shared" si="419"/>
        <v/>
      </c>
      <c r="N8578" s="11" t="str">
        <f t="shared" si="420"/>
        <v/>
      </c>
    </row>
    <row r="8579" spans="9:14" x14ac:dyDescent="0.25">
      <c r="I8579" s="11" t="b">
        <f t="shared" si="418"/>
        <v>0</v>
      </c>
      <c r="M8579" s="17" t="str">
        <f t="shared" si="419"/>
        <v/>
      </c>
      <c r="N8579" s="11" t="str">
        <f t="shared" si="420"/>
        <v/>
      </c>
    </row>
    <row r="8580" spans="9:14" x14ac:dyDescent="0.25">
      <c r="I8580" s="11" t="b">
        <f t="shared" si="418"/>
        <v>0</v>
      </c>
      <c r="M8580" s="17" t="str">
        <f t="shared" si="419"/>
        <v/>
      </c>
      <c r="N8580" s="11" t="str">
        <f t="shared" si="420"/>
        <v/>
      </c>
    </row>
    <row r="8581" spans="9:14" x14ac:dyDescent="0.25">
      <c r="I8581" s="11" t="b">
        <f t="shared" si="418"/>
        <v>0</v>
      </c>
      <c r="M8581" s="17" t="str">
        <f t="shared" si="419"/>
        <v/>
      </c>
      <c r="N8581" s="11" t="str">
        <f t="shared" si="420"/>
        <v/>
      </c>
    </row>
    <row r="8582" spans="9:14" x14ac:dyDescent="0.25">
      <c r="I8582" s="11" t="b">
        <f t="shared" si="418"/>
        <v>0</v>
      </c>
      <c r="M8582" s="17" t="str">
        <f t="shared" si="419"/>
        <v/>
      </c>
      <c r="N8582" s="11" t="str">
        <f t="shared" si="420"/>
        <v/>
      </c>
    </row>
    <row r="8583" spans="9:14" x14ac:dyDescent="0.25">
      <c r="I8583" s="11" t="b">
        <f t="shared" si="418"/>
        <v>0</v>
      </c>
      <c r="M8583" s="17" t="str">
        <f t="shared" si="419"/>
        <v/>
      </c>
      <c r="N8583" s="11" t="str">
        <f t="shared" si="420"/>
        <v/>
      </c>
    </row>
    <row r="8584" spans="9:14" x14ac:dyDescent="0.25">
      <c r="I8584" s="11" t="b">
        <f t="shared" si="418"/>
        <v>0</v>
      </c>
      <c r="M8584" s="17" t="str">
        <f t="shared" si="419"/>
        <v/>
      </c>
      <c r="N8584" s="11" t="str">
        <f t="shared" si="420"/>
        <v/>
      </c>
    </row>
    <row r="8585" spans="9:14" x14ac:dyDescent="0.25">
      <c r="I8585" s="11" t="b">
        <f t="shared" si="418"/>
        <v>0</v>
      </c>
      <c r="M8585" s="17" t="str">
        <f t="shared" si="419"/>
        <v/>
      </c>
      <c r="N8585" s="11" t="str">
        <f t="shared" si="420"/>
        <v/>
      </c>
    </row>
    <row r="8586" spans="9:14" x14ac:dyDescent="0.25">
      <c r="I8586" s="11" t="b">
        <f t="shared" si="418"/>
        <v>0</v>
      </c>
      <c r="M8586" s="17" t="str">
        <f t="shared" si="419"/>
        <v/>
      </c>
      <c r="N8586" s="11" t="str">
        <f t="shared" si="420"/>
        <v/>
      </c>
    </row>
    <row r="8587" spans="9:14" x14ac:dyDescent="0.25">
      <c r="I8587" s="11" t="b">
        <f t="shared" si="418"/>
        <v>0</v>
      </c>
      <c r="M8587" s="17" t="str">
        <f t="shared" si="419"/>
        <v/>
      </c>
      <c r="N8587" s="11" t="str">
        <f t="shared" si="420"/>
        <v/>
      </c>
    </row>
    <row r="8588" spans="9:14" x14ac:dyDescent="0.25">
      <c r="I8588" s="11" t="b">
        <f t="shared" si="418"/>
        <v>0</v>
      </c>
      <c r="M8588" s="17" t="str">
        <f t="shared" si="419"/>
        <v/>
      </c>
      <c r="N8588" s="11" t="str">
        <f t="shared" si="420"/>
        <v/>
      </c>
    </row>
    <row r="8589" spans="9:14" x14ac:dyDescent="0.25">
      <c r="I8589" s="11" t="b">
        <f t="shared" si="418"/>
        <v>0</v>
      </c>
      <c r="M8589" s="17" t="str">
        <f t="shared" si="419"/>
        <v/>
      </c>
      <c r="N8589" s="11" t="str">
        <f t="shared" si="420"/>
        <v/>
      </c>
    </row>
    <row r="8590" spans="9:14" x14ac:dyDescent="0.25">
      <c r="I8590" s="11" t="b">
        <f t="shared" si="418"/>
        <v>0</v>
      </c>
      <c r="M8590" s="17" t="str">
        <f t="shared" si="419"/>
        <v/>
      </c>
      <c r="N8590" s="11" t="str">
        <f t="shared" si="420"/>
        <v/>
      </c>
    </row>
    <row r="8591" spans="9:14" x14ac:dyDescent="0.25">
      <c r="I8591" s="11" t="b">
        <f t="shared" si="418"/>
        <v>0</v>
      </c>
      <c r="M8591" s="17" t="str">
        <f t="shared" si="419"/>
        <v/>
      </c>
      <c r="N8591" s="11" t="str">
        <f t="shared" si="420"/>
        <v/>
      </c>
    </row>
    <row r="8592" spans="9:14" x14ac:dyDescent="0.25">
      <c r="I8592" s="11" t="b">
        <f t="shared" si="418"/>
        <v>0</v>
      </c>
      <c r="M8592" s="17" t="str">
        <f t="shared" si="419"/>
        <v/>
      </c>
      <c r="N8592" s="11" t="str">
        <f t="shared" si="420"/>
        <v/>
      </c>
    </row>
    <row r="8593" spans="9:14" x14ac:dyDescent="0.25">
      <c r="I8593" s="11" t="b">
        <f t="shared" si="418"/>
        <v>0</v>
      </c>
      <c r="M8593" s="17" t="str">
        <f t="shared" si="419"/>
        <v/>
      </c>
      <c r="N8593" s="11" t="str">
        <f t="shared" si="420"/>
        <v/>
      </c>
    </row>
    <row r="8594" spans="9:14" x14ac:dyDescent="0.25">
      <c r="I8594" s="11" t="b">
        <f t="shared" si="418"/>
        <v>0</v>
      </c>
      <c r="M8594" s="17" t="str">
        <f t="shared" si="419"/>
        <v/>
      </c>
      <c r="N8594" s="11" t="str">
        <f t="shared" si="420"/>
        <v/>
      </c>
    </row>
    <row r="8595" spans="9:14" x14ac:dyDescent="0.25">
      <c r="I8595" s="11" t="b">
        <f t="shared" si="418"/>
        <v>0</v>
      </c>
      <c r="M8595" s="17" t="str">
        <f t="shared" si="419"/>
        <v/>
      </c>
      <c r="N8595" s="11" t="str">
        <f t="shared" si="420"/>
        <v/>
      </c>
    </row>
    <row r="8596" spans="9:14" x14ac:dyDescent="0.25">
      <c r="I8596" s="11" t="b">
        <f t="shared" si="418"/>
        <v>0</v>
      </c>
      <c r="M8596" s="17" t="str">
        <f t="shared" si="419"/>
        <v/>
      </c>
      <c r="N8596" s="11" t="str">
        <f t="shared" si="420"/>
        <v/>
      </c>
    </row>
    <row r="8597" spans="9:14" x14ac:dyDescent="0.25">
      <c r="I8597" s="11" t="b">
        <f t="shared" si="418"/>
        <v>0</v>
      </c>
      <c r="M8597" s="17" t="str">
        <f t="shared" si="419"/>
        <v/>
      </c>
      <c r="N8597" s="11" t="str">
        <f t="shared" si="420"/>
        <v/>
      </c>
    </row>
    <row r="8598" spans="9:14" x14ac:dyDescent="0.25">
      <c r="I8598" s="11" t="b">
        <f t="shared" si="418"/>
        <v>0</v>
      </c>
      <c r="M8598" s="17" t="str">
        <f t="shared" si="419"/>
        <v/>
      </c>
      <c r="N8598" s="11" t="str">
        <f t="shared" si="420"/>
        <v/>
      </c>
    </row>
    <row r="8599" spans="9:14" x14ac:dyDescent="0.25">
      <c r="I8599" s="11" t="b">
        <f t="shared" si="418"/>
        <v>0</v>
      </c>
      <c r="M8599" s="17" t="str">
        <f t="shared" si="419"/>
        <v/>
      </c>
      <c r="N8599" s="11" t="str">
        <f t="shared" si="420"/>
        <v/>
      </c>
    </row>
    <row r="8600" spans="9:14" x14ac:dyDescent="0.25">
      <c r="I8600" s="11" t="b">
        <f t="shared" si="418"/>
        <v>0</v>
      </c>
      <c r="M8600" s="17" t="str">
        <f t="shared" si="419"/>
        <v/>
      </c>
      <c r="N8600" s="11" t="str">
        <f t="shared" si="420"/>
        <v/>
      </c>
    </row>
    <row r="8601" spans="9:14" x14ac:dyDescent="0.25">
      <c r="I8601" s="11" t="b">
        <f t="shared" si="418"/>
        <v>0</v>
      </c>
      <c r="M8601" s="17" t="str">
        <f t="shared" si="419"/>
        <v/>
      </c>
      <c r="N8601" s="11" t="str">
        <f t="shared" si="420"/>
        <v/>
      </c>
    </row>
    <row r="8602" spans="9:14" x14ac:dyDescent="0.25">
      <c r="I8602" s="11" t="b">
        <f t="shared" si="418"/>
        <v>0</v>
      </c>
      <c r="M8602" s="17" t="str">
        <f t="shared" si="419"/>
        <v/>
      </c>
      <c r="N8602" s="11" t="str">
        <f t="shared" si="420"/>
        <v/>
      </c>
    </row>
    <row r="8603" spans="9:14" x14ac:dyDescent="0.25">
      <c r="I8603" s="11" t="b">
        <f t="shared" si="418"/>
        <v>0</v>
      </c>
      <c r="M8603" s="17" t="str">
        <f t="shared" si="419"/>
        <v/>
      </c>
      <c r="N8603" s="11" t="str">
        <f t="shared" si="420"/>
        <v/>
      </c>
    </row>
    <row r="8604" spans="9:14" x14ac:dyDescent="0.25">
      <c r="I8604" s="11" t="b">
        <f t="shared" si="418"/>
        <v>0</v>
      </c>
      <c r="M8604" s="17" t="str">
        <f t="shared" si="419"/>
        <v/>
      </c>
      <c r="N8604" s="11" t="str">
        <f t="shared" si="420"/>
        <v/>
      </c>
    </row>
    <row r="8605" spans="9:14" x14ac:dyDescent="0.25">
      <c r="I8605" s="11" t="b">
        <f t="shared" ref="I8605:I8668" si="421">IF(AND(G8605="MERCADO PAGO",A8605="FATURAMENTO"),1,IF(AND(OR(G8605="MERCADO PAGO",G8605="pix mercado pago",G8605= "débito automático mercado pago", G8605= "boleto mercado pago"),A8605="DESPESAS"),4,IF(AND(G8605="SAFRA",A8605="FATURAMENTO"),2,IF(AND(OR(G8605="SAFRA",G8605="PIX SAFRA", G8605="DÉBITO AUTOMÁTICO SAFRA", G8605= "BOLETO SAFRA", G8605= "transferência safra"), A8605="DESPESAS"),5,IF(AND(G8605="espécie",A8605="FATURAMENTO"),3,IF(AND(G8605="espécie",A8605="DESPESAS"),6))))))</f>
        <v>0</v>
      </c>
      <c r="M8605" s="17" t="str">
        <f t="shared" si="419"/>
        <v/>
      </c>
      <c r="N8605" s="11" t="str">
        <f t="shared" si="420"/>
        <v/>
      </c>
    </row>
    <row r="8606" spans="9:14" x14ac:dyDescent="0.25">
      <c r="I8606" s="11" t="b">
        <f t="shared" si="421"/>
        <v>0</v>
      </c>
      <c r="M8606" s="17" t="str">
        <f t="shared" si="419"/>
        <v/>
      </c>
      <c r="N8606" s="11" t="str">
        <f t="shared" si="420"/>
        <v/>
      </c>
    </row>
    <row r="8607" spans="9:14" x14ac:dyDescent="0.25">
      <c r="I8607" s="11" t="b">
        <f t="shared" si="421"/>
        <v>0</v>
      </c>
      <c r="M8607" s="17" t="str">
        <f t="shared" si="419"/>
        <v/>
      </c>
      <c r="N8607" s="11" t="str">
        <f t="shared" si="420"/>
        <v/>
      </c>
    </row>
    <row r="8608" spans="9:14" x14ac:dyDescent="0.25">
      <c r="I8608" s="11" t="b">
        <f t="shared" si="421"/>
        <v>0</v>
      </c>
      <c r="M8608" s="17" t="str">
        <f t="shared" si="419"/>
        <v/>
      </c>
      <c r="N8608" s="11" t="str">
        <f t="shared" si="420"/>
        <v/>
      </c>
    </row>
    <row r="8609" spans="9:14" x14ac:dyDescent="0.25">
      <c r="I8609" s="11" t="b">
        <f t="shared" si="421"/>
        <v>0</v>
      </c>
      <c r="M8609" s="17" t="str">
        <f t="shared" si="419"/>
        <v/>
      </c>
      <c r="N8609" s="11" t="str">
        <f t="shared" si="420"/>
        <v/>
      </c>
    </row>
    <row r="8610" spans="9:14" x14ac:dyDescent="0.25">
      <c r="I8610" s="11" t="b">
        <f t="shared" si="421"/>
        <v>0</v>
      </c>
      <c r="M8610" s="17" t="str">
        <f t="shared" si="419"/>
        <v/>
      </c>
      <c r="N8610" s="11" t="str">
        <f t="shared" si="420"/>
        <v/>
      </c>
    </row>
    <row r="8611" spans="9:14" x14ac:dyDescent="0.25">
      <c r="I8611" s="11" t="b">
        <f t="shared" si="421"/>
        <v>0</v>
      </c>
      <c r="M8611" s="17" t="str">
        <f t="shared" si="419"/>
        <v/>
      </c>
      <c r="N8611" s="11" t="str">
        <f t="shared" si="420"/>
        <v/>
      </c>
    </row>
    <row r="8612" spans="9:14" x14ac:dyDescent="0.25">
      <c r="I8612" s="11" t="b">
        <f t="shared" si="421"/>
        <v>0</v>
      </c>
      <c r="M8612" s="17" t="str">
        <f t="shared" si="419"/>
        <v/>
      </c>
      <c r="N8612" s="11" t="str">
        <f t="shared" si="420"/>
        <v/>
      </c>
    </row>
    <row r="8613" spans="9:14" x14ac:dyDescent="0.25">
      <c r="I8613" s="11" t="b">
        <f t="shared" si="421"/>
        <v>0</v>
      </c>
      <c r="M8613" s="17" t="str">
        <f t="shared" si="419"/>
        <v/>
      </c>
      <c r="N8613" s="11" t="str">
        <f t="shared" si="420"/>
        <v/>
      </c>
    </row>
    <row r="8614" spans="9:14" x14ac:dyDescent="0.25">
      <c r="I8614" s="11" t="b">
        <f t="shared" si="421"/>
        <v>0</v>
      </c>
      <c r="M8614" s="17" t="str">
        <f t="shared" si="419"/>
        <v/>
      </c>
      <c r="N8614" s="11" t="str">
        <f t="shared" si="420"/>
        <v/>
      </c>
    </row>
    <row r="8615" spans="9:14" x14ac:dyDescent="0.25">
      <c r="I8615" s="11" t="b">
        <f t="shared" si="421"/>
        <v>0</v>
      </c>
      <c r="M8615" s="17" t="str">
        <f t="shared" si="419"/>
        <v/>
      </c>
      <c r="N8615" s="11" t="str">
        <f t="shared" si="420"/>
        <v/>
      </c>
    </row>
    <row r="8616" spans="9:14" x14ac:dyDescent="0.25">
      <c r="I8616" s="11" t="b">
        <f t="shared" si="421"/>
        <v>0</v>
      </c>
      <c r="M8616" s="17" t="str">
        <f t="shared" si="419"/>
        <v/>
      </c>
      <c r="N8616" s="11" t="str">
        <f t="shared" si="420"/>
        <v/>
      </c>
    </row>
    <row r="8617" spans="9:14" x14ac:dyDescent="0.25">
      <c r="I8617" s="11" t="b">
        <f t="shared" si="421"/>
        <v>0</v>
      </c>
      <c r="M8617" s="17" t="str">
        <f t="shared" si="419"/>
        <v/>
      </c>
      <c r="N8617" s="11" t="str">
        <f t="shared" si="420"/>
        <v/>
      </c>
    </row>
    <row r="8618" spans="9:14" x14ac:dyDescent="0.25">
      <c r="I8618" s="11" t="b">
        <f t="shared" si="421"/>
        <v>0</v>
      </c>
      <c r="M8618" s="17" t="str">
        <f t="shared" si="419"/>
        <v/>
      </c>
      <c r="N8618" s="11" t="str">
        <f t="shared" si="420"/>
        <v/>
      </c>
    </row>
    <row r="8619" spans="9:14" x14ac:dyDescent="0.25">
      <c r="I8619" s="11" t="b">
        <f t="shared" si="421"/>
        <v>0</v>
      </c>
      <c r="M8619" s="17" t="str">
        <f t="shared" si="419"/>
        <v/>
      </c>
      <c r="N8619" s="11" t="str">
        <f t="shared" si="420"/>
        <v/>
      </c>
    </row>
    <row r="8620" spans="9:14" x14ac:dyDescent="0.25">
      <c r="I8620" s="11" t="b">
        <f t="shared" si="421"/>
        <v>0</v>
      </c>
      <c r="M8620" s="17" t="str">
        <f t="shared" si="419"/>
        <v/>
      </c>
      <c r="N8620" s="11" t="str">
        <f t="shared" si="420"/>
        <v/>
      </c>
    </row>
    <row r="8621" spans="9:14" x14ac:dyDescent="0.25">
      <c r="I8621" s="11" t="b">
        <f t="shared" si="421"/>
        <v>0</v>
      </c>
      <c r="M8621" s="17" t="str">
        <f t="shared" si="419"/>
        <v/>
      </c>
      <c r="N8621" s="11" t="str">
        <f t="shared" si="420"/>
        <v/>
      </c>
    </row>
    <row r="8622" spans="9:14" x14ac:dyDescent="0.25">
      <c r="I8622" s="11" t="b">
        <f t="shared" si="421"/>
        <v>0</v>
      </c>
      <c r="M8622" s="17" t="str">
        <f t="shared" si="419"/>
        <v/>
      </c>
      <c r="N8622" s="11" t="str">
        <f t="shared" si="420"/>
        <v/>
      </c>
    </row>
    <row r="8623" spans="9:14" x14ac:dyDescent="0.25">
      <c r="I8623" s="11" t="b">
        <f t="shared" si="421"/>
        <v>0</v>
      </c>
      <c r="M8623" s="17" t="str">
        <f t="shared" si="419"/>
        <v/>
      </c>
      <c r="N8623" s="11" t="str">
        <f t="shared" si="420"/>
        <v/>
      </c>
    </row>
    <row r="8624" spans="9:14" x14ac:dyDescent="0.25">
      <c r="I8624" s="11" t="b">
        <f t="shared" si="421"/>
        <v>0</v>
      </c>
      <c r="M8624" s="17" t="str">
        <f t="shared" si="419"/>
        <v/>
      </c>
      <c r="N8624" s="11" t="str">
        <f t="shared" si="420"/>
        <v/>
      </c>
    </row>
    <row r="8625" spans="9:14" x14ac:dyDescent="0.25">
      <c r="I8625" s="11" t="b">
        <f t="shared" si="421"/>
        <v>0</v>
      </c>
      <c r="M8625" s="17" t="str">
        <f t="shared" si="419"/>
        <v/>
      </c>
      <c r="N8625" s="11" t="str">
        <f t="shared" si="420"/>
        <v/>
      </c>
    </row>
    <row r="8626" spans="9:14" x14ac:dyDescent="0.25">
      <c r="I8626" s="11" t="b">
        <f t="shared" si="421"/>
        <v>0</v>
      </c>
      <c r="M8626" s="17" t="str">
        <f t="shared" si="419"/>
        <v/>
      </c>
      <c r="N8626" s="11" t="str">
        <f t="shared" si="420"/>
        <v/>
      </c>
    </row>
    <row r="8627" spans="9:14" x14ac:dyDescent="0.25">
      <c r="I8627" s="11" t="b">
        <f t="shared" si="421"/>
        <v>0</v>
      </c>
      <c r="M8627" s="17" t="str">
        <f t="shared" si="419"/>
        <v/>
      </c>
      <c r="N8627" s="11" t="str">
        <f t="shared" si="420"/>
        <v/>
      </c>
    </row>
    <row r="8628" spans="9:14" x14ac:dyDescent="0.25">
      <c r="I8628" s="11" t="b">
        <f t="shared" si="421"/>
        <v>0</v>
      </c>
      <c r="M8628" s="17" t="str">
        <f t="shared" si="419"/>
        <v/>
      </c>
      <c r="N8628" s="11" t="str">
        <f t="shared" si="420"/>
        <v/>
      </c>
    </row>
    <row r="8629" spans="9:14" x14ac:dyDescent="0.25">
      <c r="I8629" s="11" t="b">
        <f t="shared" si="421"/>
        <v>0</v>
      </c>
      <c r="M8629" s="17" t="str">
        <f t="shared" si="419"/>
        <v/>
      </c>
      <c r="N8629" s="11" t="str">
        <f t="shared" si="420"/>
        <v/>
      </c>
    </row>
    <row r="8630" spans="9:14" x14ac:dyDescent="0.25">
      <c r="I8630" s="11" t="b">
        <f t="shared" si="421"/>
        <v>0</v>
      </c>
      <c r="M8630" s="17" t="str">
        <f t="shared" si="419"/>
        <v/>
      </c>
      <c r="N8630" s="11" t="str">
        <f t="shared" si="420"/>
        <v/>
      </c>
    </row>
    <row r="8631" spans="9:14" x14ac:dyDescent="0.25">
      <c r="I8631" s="11" t="b">
        <f t="shared" si="421"/>
        <v>0</v>
      </c>
      <c r="M8631" s="17" t="str">
        <f t="shared" si="419"/>
        <v/>
      </c>
      <c r="N8631" s="11" t="str">
        <f t="shared" si="420"/>
        <v/>
      </c>
    </row>
    <row r="8632" spans="9:14" x14ac:dyDescent="0.25">
      <c r="I8632" s="11" t="b">
        <f t="shared" si="421"/>
        <v>0</v>
      </c>
      <c r="M8632" s="17" t="str">
        <f t="shared" si="419"/>
        <v/>
      </c>
      <c r="N8632" s="11" t="str">
        <f t="shared" si="420"/>
        <v/>
      </c>
    </row>
    <row r="8633" spans="9:14" x14ac:dyDescent="0.25">
      <c r="I8633" s="11" t="b">
        <f t="shared" si="421"/>
        <v>0</v>
      </c>
      <c r="M8633" s="17" t="str">
        <f t="shared" si="419"/>
        <v/>
      </c>
      <c r="N8633" s="11" t="str">
        <f t="shared" si="420"/>
        <v/>
      </c>
    </row>
    <row r="8634" spans="9:14" x14ac:dyDescent="0.25">
      <c r="I8634" s="11" t="b">
        <f t="shared" si="421"/>
        <v>0</v>
      </c>
      <c r="M8634" s="17" t="str">
        <f t="shared" si="419"/>
        <v/>
      </c>
      <c r="N8634" s="11" t="str">
        <f t="shared" si="420"/>
        <v/>
      </c>
    </row>
    <row r="8635" spans="9:14" x14ac:dyDescent="0.25">
      <c r="I8635" s="11" t="b">
        <f t="shared" si="421"/>
        <v>0</v>
      </c>
      <c r="M8635" s="17" t="str">
        <f t="shared" si="419"/>
        <v/>
      </c>
      <c r="N8635" s="11" t="str">
        <f t="shared" si="420"/>
        <v/>
      </c>
    </row>
    <row r="8636" spans="9:14" x14ac:dyDescent="0.25">
      <c r="I8636" s="11" t="b">
        <f t="shared" si="421"/>
        <v>0</v>
      </c>
      <c r="M8636" s="17" t="str">
        <f t="shared" si="419"/>
        <v/>
      </c>
      <c r="N8636" s="11" t="str">
        <f t="shared" si="420"/>
        <v/>
      </c>
    </row>
    <row r="8637" spans="9:14" x14ac:dyDescent="0.25">
      <c r="I8637" s="11" t="b">
        <f t="shared" si="421"/>
        <v>0</v>
      </c>
      <c r="M8637" s="17" t="str">
        <f t="shared" si="419"/>
        <v/>
      </c>
      <c r="N8637" s="11" t="str">
        <f t="shared" si="420"/>
        <v/>
      </c>
    </row>
    <row r="8638" spans="9:14" x14ac:dyDescent="0.25">
      <c r="I8638" s="11" t="b">
        <f t="shared" si="421"/>
        <v>0</v>
      </c>
      <c r="M8638" s="17" t="str">
        <f t="shared" si="419"/>
        <v/>
      </c>
      <c r="N8638" s="11" t="str">
        <f t="shared" si="420"/>
        <v/>
      </c>
    </row>
    <row r="8639" spans="9:14" x14ac:dyDescent="0.25">
      <c r="I8639" s="11" t="b">
        <f t="shared" si="421"/>
        <v>0</v>
      </c>
      <c r="M8639" s="17" t="str">
        <f t="shared" si="419"/>
        <v/>
      </c>
      <c r="N8639" s="11" t="str">
        <f t="shared" si="420"/>
        <v/>
      </c>
    </row>
    <row r="8640" spans="9:14" x14ac:dyDescent="0.25">
      <c r="I8640" s="11" t="b">
        <f t="shared" si="421"/>
        <v>0</v>
      </c>
      <c r="M8640" s="17" t="str">
        <f t="shared" si="419"/>
        <v/>
      </c>
      <c r="N8640" s="11" t="str">
        <f t="shared" si="420"/>
        <v/>
      </c>
    </row>
    <row r="8641" spans="9:14" x14ac:dyDescent="0.25">
      <c r="I8641" s="11" t="b">
        <f t="shared" si="421"/>
        <v>0</v>
      </c>
      <c r="M8641" s="17" t="str">
        <f t="shared" ref="M8641:M8704" si="422">IF(B8641=0, "",M8640+ J8641-K8641)</f>
        <v/>
      </c>
      <c r="N8641" s="11" t="str">
        <f t="shared" ref="N8641:N8704" si="423">IF(B8641=0, "", MONTH(B8641))</f>
        <v/>
      </c>
    </row>
    <row r="8642" spans="9:14" x14ac:dyDescent="0.25">
      <c r="I8642" s="11" t="b">
        <f t="shared" si="421"/>
        <v>0</v>
      </c>
      <c r="M8642" s="17" t="str">
        <f t="shared" si="422"/>
        <v/>
      </c>
      <c r="N8642" s="11" t="str">
        <f t="shared" si="423"/>
        <v/>
      </c>
    </row>
    <row r="8643" spans="9:14" x14ac:dyDescent="0.25">
      <c r="I8643" s="11" t="b">
        <f t="shared" si="421"/>
        <v>0</v>
      </c>
      <c r="M8643" s="17" t="str">
        <f t="shared" si="422"/>
        <v/>
      </c>
      <c r="N8643" s="11" t="str">
        <f t="shared" si="423"/>
        <v/>
      </c>
    </row>
    <row r="8644" spans="9:14" x14ac:dyDescent="0.25">
      <c r="I8644" s="11" t="b">
        <f t="shared" si="421"/>
        <v>0</v>
      </c>
      <c r="M8644" s="17" t="str">
        <f t="shared" si="422"/>
        <v/>
      </c>
      <c r="N8644" s="11" t="str">
        <f t="shared" si="423"/>
        <v/>
      </c>
    </row>
    <row r="8645" spans="9:14" x14ac:dyDescent="0.25">
      <c r="I8645" s="11" t="b">
        <f t="shared" si="421"/>
        <v>0</v>
      </c>
      <c r="M8645" s="17" t="str">
        <f t="shared" si="422"/>
        <v/>
      </c>
      <c r="N8645" s="11" t="str">
        <f t="shared" si="423"/>
        <v/>
      </c>
    </row>
    <row r="8646" spans="9:14" x14ac:dyDescent="0.25">
      <c r="I8646" s="11" t="b">
        <f t="shared" si="421"/>
        <v>0</v>
      </c>
      <c r="M8646" s="17" t="str">
        <f t="shared" si="422"/>
        <v/>
      </c>
      <c r="N8646" s="11" t="str">
        <f t="shared" si="423"/>
        <v/>
      </c>
    </row>
    <row r="8647" spans="9:14" x14ac:dyDescent="0.25">
      <c r="I8647" s="11" t="b">
        <f t="shared" si="421"/>
        <v>0</v>
      </c>
      <c r="M8647" s="17" t="str">
        <f t="shared" si="422"/>
        <v/>
      </c>
      <c r="N8647" s="11" t="str">
        <f t="shared" si="423"/>
        <v/>
      </c>
    </row>
    <row r="8648" spans="9:14" x14ac:dyDescent="0.25">
      <c r="I8648" s="11" t="b">
        <f t="shared" si="421"/>
        <v>0</v>
      </c>
      <c r="M8648" s="17" t="str">
        <f t="shared" si="422"/>
        <v/>
      </c>
      <c r="N8648" s="11" t="str">
        <f t="shared" si="423"/>
        <v/>
      </c>
    </row>
    <row r="8649" spans="9:14" x14ac:dyDescent="0.25">
      <c r="I8649" s="11" t="b">
        <f t="shared" si="421"/>
        <v>0</v>
      </c>
      <c r="M8649" s="17" t="str">
        <f t="shared" si="422"/>
        <v/>
      </c>
      <c r="N8649" s="11" t="str">
        <f t="shared" si="423"/>
        <v/>
      </c>
    </row>
    <row r="8650" spans="9:14" x14ac:dyDescent="0.25">
      <c r="I8650" s="11" t="b">
        <f t="shared" si="421"/>
        <v>0</v>
      </c>
      <c r="M8650" s="17" t="str">
        <f t="shared" si="422"/>
        <v/>
      </c>
      <c r="N8650" s="11" t="str">
        <f t="shared" si="423"/>
        <v/>
      </c>
    </row>
    <row r="8651" spans="9:14" x14ac:dyDescent="0.25">
      <c r="I8651" s="11" t="b">
        <f t="shared" si="421"/>
        <v>0</v>
      </c>
      <c r="M8651" s="17" t="str">
        <f t="shared" si="422"/>
        <v/>
      </c>
      <c r="N8651" s="11" t="str">
        <f t="shared" si="423"/>
        <v/>
      </c>
    </row>
    <row r="8652" spans="9:14" x14ac:dyDescent="0.25">
      <c r="I8652" s="11" t="b">
        <f t="shared" si="421"/>
        <v>0</v>
      </c>
      <c r="M8652" s="17" t="str">
        <f t="shared" si="422"/>
        <v/>
      </c>
      <c r="N8652" s="11" t="str">
        <f t="shared" si="423"/>
        <v/>
      </c>
    </row>
    <row r="8653" spans="9:14" x14ac:dyDescent="0.25">
      <c r="I8653" s="11" t="b">
        <f t="shared" si="421"/>
        <v>0</v>
      </c>
      <c r="M8653" s="17" t="str">
        <f t="shared" si="422"/>
        <v/>
      </c>
      <c r="N8653" s="11" t="str">
        <f t="shared" si="423"/>
        <v/>
      </c>
    </row>
    <row r="8654" spans="9:14" x14ac:dyDescent="0.25">
      <c r="I8654" s="11" t="b">
        <f t="shared" si="421"/>
        <v>0</v>
      </c>
      <c r="M8654" s="17" t="str">
        <f t="shared" si="422"/>
        <v/>
      </c>
      <c r="N8654" s="11" t="str">
        <f t="shared" si="423"/>
        <v/>
      </c>
    </row>
    <row r="8655" spans="9:14" x14ac:dyDescent="0.25">
      <c r="I8655" s="11" t="b">
        <f t="shared" si="421"/>
        <v>0</v>
      </c>
      <c r="M8655" s="17" t="str">
        <f t="shared" si="422"/>
        <v/>
      </c>
      <c r="N8655" s="11" t="str">
        <f t="shared" si="423"/>
        <v/>
      </c>
    </row>
    <row r="8656" spans="9:14" x14ac:dyDescent="0.25">
      <c r="I8656" s="11" t="b">
        <f t="shared" si="421"/>
        <v>0</v>
      </c>
      <c r="M8656" s="17" t="str">
        <f t="shared" si="422"/>
        <v/>
      </c>
      <c r="N8656" s="11" t="str">
        <f t="shared" si="423"/>
        <v/>
      </c>
    </row>
    <row r="8657" spans="9:14" x14ac:dyDescent="0.25">
      <c r="I8657" s="11" t="b">
        <f t="shared" si="421"/>
        <v>0</v>
      </c>
      <c r="M8657" s="17" t="str">
        <f t="shared" si="422"/>
        <v/>
      </c>
      <c r="N8657" s="11" t="str">
        <f t="shared" si="423"/>
        <v/>
      </c>
    </row>
    <row r="8658" spans="9:14" x14ac:dyDescent="0.25">
      <c r="I8658" s="11" t="b">
        <f t="shared" si="421"/>
        <v>0</v>
      </c>
      <c r="M8658" s="17" t="str">
        <f t="shared" si="422"/>
        <v/>
      </c>
      <c r="N8658" s="11" t="str">
        <f t="shared" si="423"/>
        <v/>
      </c>
    </row>
    <row r="8659" spans="9:14" x14ac:dyDescent="0.25">
      <c r="I8659" s="11" t="b">
        <f t="shared" si="421"/>
        <v>0</v>
      </c>
      <c r="M8659" s="17" t="str">
        <f t="shared" si="422"/>
        <v/>
      </c>
      <c r="N8659" s="11" t="str">
        <f t="shared" si="423"/>
        <v/>
      </c>
    </row>
    <row r="8660" spans="9:14" x14ac:dyDescent="0.25">
      <c r="I8660" s="11" t="b">
        <f t="shared" si="421"/>
        <v>0</v>
      </c>
      <c r="M8660" s="17" t="str">
        <f t="shared" si="422"/>
        <v/>
      </c>
      <c r="N8660" s="11" t="str">
        <f t="shared" si="423"/>
        <v/>
      </c>
    </row>
    <row r="8661" spans="9:14" x14ac:dyDescent="0.25">
      <c r="I8661" s="11" t="b">
        <f t="shared" si="421"/>
        <v>0</v>
      </c>
      <c r="M8661" s="17" t="str">
        <f t="shared" si="422"/>
        <v/>
      </c>
      <c r="N8661" s="11" t="str">
        <f t="shared" si="423"/>
        <v/>
      </c>
    </row>
    <row r="8662" spans="9:14" x14ac:dyDescent="0.25">
      <c r="I8662" s="11" t="b">
        <f t="shared" si="421"/>
        <v>0</v>
      </c>
      <c r="M8662" s="17" t="str">
        <f t="shared" si="422"/>
        <v/>
      </c>
      <c r="N8662" s="11" t="str">
        <f t="shared" si="423"/>
        <v/>
      </c>
    </row>
    <row r="8663" spans="9:14" x14ac:dyDescent="0.25">
      <c r="I8663" s="11" t="b">
        <f t="shared" si="421"/>
        <v>0</v>
      </c>
      <c r="M8663" s="17" t="str">
        <f t="shared" si="422"/>
        <v/>
      </c>
      <c r="N8663" s="11" t="str">
        <f t="shared" si="423"/>
        <v/>
      </c>
    </row>
    <row r="8664" spans="9:14" x14ac:dyDescent="0.25">
      <c r="I8664" s="11" t="b">
        <f t="shared" si="421"/>
        <v>0</v>
      </c>
      <c r="M8664" s="17" t="str">
        <f t="shared" si="422"/>
        <v/>
      </c>
      <c r="N8664" s="11" t="str">
        <f t="shared" si="423"/>
        <v/>
      </c>
    </row>
    <row r="8665" spans="9:14" x14ac:dyDescent="0.25">
      <c r="I8665" s="11" t="b">
        <f t="shared" si="421"/>
        <v>0</v>
      </c>
      <c r="M8665" s="17" t="str">
        <f t="shared" si="422"/>
        <v/>
      </c>
      <c r="N8665" s="11" t="str">
        <f t="shared" si="423"/>
        <v/>
      </c>
    </row>
    <row r="8666" spans="9:14" x14ac:dyDescent="0.25">
      <c r="I8666" s="11" t="b">
        <f t="shared" si="421"/>
        <v>0</v>
      </c>
      <c r="M8666" s="17" t="str">
        <f t="shared" si="422"/>
        <v/>
      </c>
      <c r="N8666" s="11" t="str">
        <f t="shared" si="423"/>
        <v/>
      </c>
    </row>
    <row r="8667" spans="9:14" x14ac:dyDescent="0.25">
      <c r="I8667" s="11" t="b">
        <f t="shared" si="421"/>
        <v>0</v>
      </c>
      <c r="M8667" s="17" t="str">
        <f t="shared" si="422"/>
        <v/>
      </c>
      <c r="N8667" s="11" t="str">
        <f t="shared" si="423"/>
        <v/>
      </c>
    </row>
    <row r="8668" spans="9:14" x14ac:dyDescent="0.25">
      <c r="I8668" s="11" t="b">
        <f t="shared" si="421"/>
        <v>0</v>
      </c>
      <c r="M8668" s="17" t="str">
        <f t="shared" si="422"/>
        <v/>
      </c>
      <c r="N8668" s="11" t="str">
        <f t="shared" si="423"/>
        <v/>
      </c>
    </row>
    <row r="8669" spans="9:14" x14ac:dyDescent="0.25">
      <c r="I8669" s="11" t="b">
        <f t="shared" ref="I8669:I8732" si="424">IF(AND(G8669="MERCADO PAGO",A8669="FATURAMENTO"),1,IF(AND(OR(G8669="MERCADO PAGO",G8669="pix mercado pago",G8669= "débito automático mercado pago", G8669= "boleto mercado pago"),A8669="DESPESAS"),4,IF(AND(G8669="SAFRA",A8669="FATURAMENTO"),2,IF(AND(OR(G8669="SAFRA",G8669="PIX SAFRA", G8669="DÉBITO AUTOMÁTICO SAFRA", G8669= "BOLETO SAFRA", G8669= "transferência safra"), A8669="DESPESAS"),5,IF(AND(G8669="espécie",A8669="FATURAMENTO"),3,IF(AND(G8669="espécie",A8669="DESPESAS"),6))))))</f>
        <v>0</v>
      </c>
      <c r="M8669" s="17" t="str">
        <f t="shared" si="422"/>
        <v/>
      </c>
      <c r="N8669" s="11" t="str">
        <f t="shared" si="423"/>
        <v/>
      </c>
    </row>
    <row r="8670" spans="9:14" x14ac:dyDescent="0.25">
      <c r="I8670" s="11" t="b">
        <f t="shared" si="424"/>
        <v>0</v>
      </c>
      <c r="M8670" s="17" t="str">
        <f t="shared" si="422"/>
        <v/>
      </c>
      <c r="N8670" s="11" t="str">
        <f t="shared" si="423"/>
        <v/>
      </c>
    </row>
    <row r="8671" spans="9:14" x14ac:dyDescent="0.25">
      <c r="I8671" s="11" t="b">
        <f t="shared" si="424"/>
        <v>0</v>
      </c>
      <c r="M8671" s="17" t="str">
        <f t="shared" si="422"/>
        <v/>
      </c>
      <c r="N8671" s="11" t="str">
        <f t="shared" si="423"/>
        <v/>
      </c>
    </row>
    <row r="8672" spans="9:14" x14ac:dyDescent="0.25">
      <c r="I8672" s="11" t="b">
        <f t="shared" si="424"/>
        <v>0</v>
      </c>
      <c r="M8672" s="17" t="str">
        <f t="shared" si="422"/>
        <v/>
      </c>
      <c r="N8672" s="11" t="str">
        <f t="shared" si="423"/>
        <v/>
      </c>
    </row>
    <row r="8673" spans="9:14" x14ac:dyDescent="0.25">
      <c r="I8673" s="11" t="b">
        <f t="shared" si="424"/>
        <v>0</v>
      </c>
      <c r="M8673" s="17" t="str">
        <f t="shared" si="422"/>
        <v/>
      </c>
      <c r="N8673" s="11" t="str">
        <f t="shared" si="423"/>
        <v/>
      </c>
    </row>
    <row r="8674" spans="9:14" x14ac:dyDescent="0.25">
      <c r="I8674" s="11" t="b">
        <f t="shared" si="424"/>
        <v>0</v>
      </c>
      <c r="M8674" s="17" t="str">
        <f t="shared" si="422"/>
        <v/>
      </c>
      <c r="N8674" s="11" t="str">
        <f t="shared" si="423"/>
        <v/>
      </c>
    </row>
    <row r="8675" spans="9:14" x14ac:dyDescent="0.25">
      <c r="I8675" s="11" t="b">
        <f t="shared" si="424"/>
        <v>0</v>
      </c>
      <c r="M8675" s="17" t="str">
        <f t="shared" si="422"/>
        <v/>
      </c>
      <c r="N8675" s="11" t="str">
        <f t="shared" si="423"/>
        <v/>
      </c>
    </row>
    <row r="8676" spans="9:14" x14ac:dyDescent="0.25">
      <c r="I8676" s="11" t="b">
        <f t="shared" si="424"/>
        <v>0</v>
      </c>
      <c r="M8676" s="17" t="str">
        <f t="shared" si="422"/>
        <v/>
      </c>
      <c r="N8676" s="11" t="str">
        <f t="shared" si="423"/>
        <v/>
      </c>
    </row>
    <row r="8677" spans="9:14" x14ac:dyDescent="0.25">
      <c r="I8677" s="11" t="b">
        <f t="shared" si="424"/>
        <v>0</v>
      </c>
      <c r="M8677" s="17" t="str">
        <f t="shared" si="422"/>
        <v/>
      </c>
      <c r="N8677" s="11" t="str">
        <f t="shared" si="423"/>
        <v/>
      </c>
    </row>
    <row r="8678" spans="9:14" x14ac:dyDescent="0.25">
      <c r="I8678" s="11" t="b">
        <f t="shared" si="424"/>
        <v>0</v>
      </c>
      <c r="M8678" s="17" t="str">
        <f t="shared" si="422"/>
        <v/>
      </c>
      <c r="N8678" s="11" t="str">
        <f t="shared" si="423"/>
        <v/>
      </c>
    </row>
    <row r="8679" spans="9:14" x14ac:dyDescent="0.25">
      <c r="I8679" s="11" t="b">
        <f t="shared" si="424"/>
        <v>0</v>
      </c>
      <c r="M8679" s="17" t="str">
        <f t="shared" si="422"/>
        <v/>
      </c>
      <c r="N8679" s="11" t="str">
        <f t="shared" si="423"/>
        <v/>
      </c>
    </row>
    <row r="8680" spans="9:14" x14ac:dyDescent="0.25">
      <c r="I8680" s="11" t="b">
        <f t="shared" si="424"/>
        <v>0</v>
      </c>
      <c r="M8680" s="17" t="str">
        <f t="shared" si="422"/>
        <v/>
      </c>
      <c r="N8680" s="11" t="str">
        <f t="shared" si="423"/>
        <v/>
      </c>
    </row>
    <row r="8681" spans="9:14" x14ac:dyDescent="0.25">
      <c r="I8681" s="11" t="b">
        <f t="shared" si="424"/>
        <v>0</v>
      </c>
      <c r="M8681" s="17" t="str">
        <f t="shared" si="422"/>
        <v/>
      </c>
      <c r="N8681" s="11" t="str">
        <f t="shared" si="423"/>
        <v/>
      </c>
    </row>
    <row r="8682" spans="9:14" x14ac:dyDescent="0.25">
      <c r="I8682" s="11" t="b">
        <f t="shared" si="424"/>
        <v>0</v>
      </c>
      <c r="M8682" s="17" t="str">
        <f t="shared" si="422"/>
        <v/>
      </c>
      <c r="N8682" s="11" t="str">
        <f t="shared" si="423"/>
        <v/>
      </c>
    </row>
    <row r="8683" spans="9:14" x14ac:dyDescent="0.25">
      <c r="I8683" s="11" t="b">
        <f t="shared" si="424"/>
        <v>0</v>
      </c>
      <c r="M8683" s="17" t="str">
        <f t="shared" si="422"/>
        <v/>
      </c>
      <c r="N8683" s="11" t="str">
        <f t="shared" si="423"/>
        <v/>
      </c>
    </row>
    <row r="8684" spans="9:14" x14ac:dyDescent="0.25">
      <c r="I8684" s="11" t="b">
        <f t="shared" si="424"/>
        <v>0</v>
      </c>
      <c r="M8684" s="17" t="str">
        <f t="shared" si="422"/>
        <v/>
      </c>
      <c r="N8684" s="11" t="str">
        <f t="shared" si="423"/>
        <v/>
      </c>
    </row>
    <row r="8685" spans="9:14" x14ac:dyDescent="0.25">
      <c r="I8685" s="11" t="b">
        <f t="shared" si="424"/>
        <v>0</v>
      </c>
      <c r="M8685" s="17" t="str">
        <f t="shared" si="422"/>
        <v/>
      </c>
      <c r="N8685" s="11" t="str">
        <f t="shared" si="423"/>
        <v/>
      </c>
    </row>
    <row r="8686" spans="9:14" x14ac:dyDescent="0.25">
      <c r="I8686" s="11" t="b">
        <f t="shared" si="424"/>
        <v>0</v>
      </c>
      <c r="M8686" s="17" t="str">
        <f t="shared" si="422"/>
        <v/>
      </c>
      <c r="N8686" s="11" t="str">
        <f t="shared" si="423"/>
        <v/>
      </c>
    </row>
    <row r="8687" spans="9:14" x14ac:dyDescent="0.25">
      <c r="I8687" s="11" t="b">
        <f t="shared" si="424"/>
        <v>0</v>
      </c>
      <c r="M8687" s="17" t="str">
        <f t="shared" si="422"/>
        <v/>
      </c>
      <c r="N8687" s="11" t="str">
        <f t="shared" si="423"/>
        <v/>
      </c>
    </row>
    <row r="8688" spans="9:14" x14ac:dyDescent="0.25">
      <c r="I8688" s="11" t="b">
        <f t="shared" si="424"/>
        <v>0</v>
      </c>
      <c r="M8688" s="17" t="str">
        <f t="shared" si="422"/>
        <v/>
      </c>
      <c r="N8688" s="11" t="str">
        <f t="shared" si="423"/>
        <v/>
      </c>
    </row>
    <row r="8689" spans="9:14" x14ac:dyDescent="0.25">
      <c r="I8689" s="11" t="b">
        <f t="shared" si="424"/>
        <v>0</v>
      </c>
      <c r="M8689" s="17" t="str">
        <f t="shared" si="422"/>
        <v/>
      </c>
      <c r="N8689" s="11" t="str">
        <f t="shared" si="423"/>
        <v/>
      </c>
    </row>
    <row r="8690" spans="9:14" x14ac:dyDescent="0.25">
      <c r="I8690" s="11" t="b">
        <f t="shared" si="424"/>
        <v>0</v>
      </c>
      <c r="M8690" s="17" t="str">
        <f t="shared" si="422"/>
        <v/>
      </c>
      <c r="N8690" s="11" t="str">
        <f t="shared" si="423"/>
        <v/>
      </c>
    </row>
    <row r="8691" spans="9:14" x14ac:dyDescent="0.25">
      <c r="I8691" s="11" t="b">
        <f t="shared" si="424"/>
        <v>0</v>
      </c>
      <c r="M8691" s="17" t="str">
        <f t="shared" si="422"/>
        <v/>
      </c>
      <c r="N8691" s="11" t="str">
        <f t="shared" si="423"/>
        <v/>
      </c>
    </row>
    <row r="8692" spans="9:14" x14ac:dyDescent="0.25">
      <c r="I8692" s="11" t="b">
        <f t="shared" si="424"/>
        <v>0</v>
      </c>
      <c r="M8692" s="17" t="str">
        <f t="shared" si="422"/>
        <v/>
      </c>
      <c r="N8692" s="11" t="str">
        <f t="shared" si="423"/>
        <v/>
      </c>
    </row>
    <row r="8693" spans="9:14" x14ac:dyDescent="0.25">
      <c r="I8693" s="11" t="b">
        <f t="shared" si="424"/>
        <v>0</v>
      </c>
      <c r="M8693" s="17" t="str">
        <f t="shared" si="422"/>
        <v/>
      </c>
      <c r="N8693" s="11" t="str">
        <f t="shared" si="423"/>
        <v/>
      </c>
    </row>
    <row r="8694" spans="9:14" x14ac:dyDescent="0.25">
      <c r="I8694" s="11" t="b">
        <f t="shared" si="424"/>
        <v>0</v>
      </c>
      <c r="M8694" s="17" t="str">
        <f t="shared" si="422"/>
        <v/>
      </c>
      <c r="N8694" s="11" t="str">
        <f t="shared" si="423"/>
        <v/>
      </c>
    </row>
    <row r="8695" spans="9:14" x14ac:dyDescent="0.25">
      <c r="I8695" s="11" t="b">
        <f t="shared" si="424"/>
        <v>0</v>
      </c>
      <c r="M8695" s="17" t="str">
        <f t="shared" si="422"/>
        <v/>
      </c>
      <c r="N8695" s="11" t="str">
        <f t="shared" si="423"/>
        <v/>
      </c>
    </row>
    <row r="8696" spans="9:14" x14ac:dyDescent="0.25">
      <c r="I8696" s="11" t="b">
        <f t="shared" si="424"/>
        <v>0</v>
      </c>
      <c r="M8696" s="17" t="str">
        <f t="shared" si="422"/>
        <v/>
      </c>
      <c r="N8696" s="11" t="str">
        <f t="shared" si="423"/>
        <v/>
      </c>
    </row>
    <row r="8697" spans="9:14" x14ac:dyDescent="0.25">
      <c r="I8697" s="11" t="b">
        <f t="shared" si="424"/>
        <v>0</v>
      </c>
      <c r="M8697" s="17" t="str">
        <f t="shared" si="422"/>
        <v/>
      </c>
      <c r="N8697" s="11" t="str">
        <f t="shared" si="423"/>
        <v/>
      </c>
    </row>
    <row r="8698" spans="9:14" x14ac:dyDescent="0.25">
      <c r="I8698" s="11" t="b">
        <f t="shared" si="424"/>
        <v>0</v>
      </c>
      <c r="M8698" s="17" t="str">
        <f t="shared" si="422"/>
        <v/>
      </c>
      <c r="N8698" s="11" t="str">
        <f t="shared" si="423"/>
        <v/>
      </c>
    </row>
    <row r="8699" spans="9:14" x14ac:dyDescent="0.25">
      <c r="I8699" s="11" t="b">
        <f t="shared" si="424"/>
        <v>0</v>
      </c>
      <c r="M8699" s="17" t="str">
        <f t="shared" si="422"/>
        <v/>
      </c>
      <c r="N8699" s="11" t="str">
        <f t="shared" si="423"/>
        <v/>
      </c>
    </row>
    <row r="8700" spans="9:14" x14ac:dyDescent="0.25">
      <c r="I8700" s="11" t="b">
        <f t="shared" si="424"/>
        <v>0</v>
      </c>
      <c r="M8700" s="17" t="str">
        <f t="shared" si="422"/>
        <v/>
      </c>
      <c r="N8700" s="11" t="str">
        <f t="shared" si="423"/>
        <v/>
      </c>
    </row>
    <row r="8701" spans="9:14" x14ac:dyDescent="0.25">
      <c r="I8701" s="11" t="b">
        <f t="shared" si="424"/>
        <v>0</v>
      </c>
      <c r="M8701" s="17" t="str">
        <f t="shared" si="422"/>
        <v/>
      </c>
      <c r="N8701" s="11" t="str">
        <f t="shared" si="423"/>
        <v/>
      </c>
    </row>
    <row r="8702" spans="9:14" x14ac:dyDescent="0.25">
      <c r="I8702" s="11" t="b">
        <f t="shared" si="424"/>
        <v>0</v>
      </c>
      <c r="M8702" s="17" t="str">
        <f t="shared" si="422"/>
        <v/>
      </c>
      <c r="N8702" s="11" t="str">
        <f t="shared" si="423"/>
        <v/>
      </c>
    </row>
    <row r="8703" spans="9:14" x14ac:dyDescent="0.25">
      <c r="I8703" s="11" t="b">
        <f t="shared" si="424"/>
        <v>0</v>
      </c>
      <c r="M8703" s="17" t="str">
        <f t="shared" si="422"/>
        <v/>
      </c>
      <c r="N8703" s="11" t="str">
        <f t="shared" si="423"/>
        <v/>
      </c>
    </row>
    <row r="8704" spans="9:14" x14ac:dyDescent="0.25">
      <c r="I8704" s="11" t="b">
        <f t="shared" si="424"/>
        <v>0</v>
      </c>
      <c r="M8704" s="17" t="str">
        <f t="shared" si="422"/>
        <v/>
      </c>
      <c r="N8704" s="11" t="str">
        <f t="shared" si="423"/>
        <v/>
      </c>
    </row>
    <row r="8705" spans="9:14" x14ac:dyDescent="0.25">
      <c r="I8705" s="11" t="b">
        <f t="shared" si="424"/>
        <v>0</v>
      </c>
      <c r="M8705" s="17" t="str">
        <f t="shared" ref="M8705:M8768" si="425">IF(B8705=0, "",M8704+ J8705-K8705)</f>
        <v/>
      </c>
      <c r="N8705" s="11" t="str">
        <f t="shared" ref="N8705:N8768" si="426">IF(B8705=0, "", MONTH(B8705))</f>
        <v/>
      </c>
    </row>
    <row r="8706" spans="9:14" x14ac:dyDescent="0.25">
      <c r="I8706" s="11" t="b">
        <f t="shared" si="424"/>
        <v>0</v>
      </c>
      <c r="M8706" s="17" t="str">
        <f t="shared" si="425"/>
        <v/>
      </c>
      <c r="N8706" s="11" t="str">
        <f t="shared" si="426"/>
        <v/>
      </c>
    </row>
    <row r="8707" spans="9:14" x14ac:dyDescent="0.25">
      <c r="I8707" s="11" t="b">
        <f t="shared" si="424"/>
        <v>0</v>
      </c>
      <c r="M8707" s="17" t="str">
        <f t="shared" si="425"/>
        <v/>
      </c>
      <c r="N8707" s="11" t="str">
        <f t="shared" si="426"/>
        <v/>
      </c>
    </row>
    <row r="8708" spans="9:14" x14ac:dyDescent="0.25">
      <c r="I8708" s="11" t="b">
        <f t="shared" si="424"/>
        <v>0</v>
      </c>
      <c r="M8708" s="17" t="str">
        <f t="shared" si="425"/>
        <v/>
      </c>
      <c r="N8708" s="11" t="str">
        <f t="shared" si="426"/>
        <v/>
      </c>
    </row>
    <row r="8709" spans="9:14" x14ac:dyDescent="0.25">
      <c r="I8709" s="11" t="b">
        <f t="shared" si="424"/>
        <v>0</v>
      </c>
      <c r="M8709" s="17" t="str">
        <f t="shared" si="425"/>
        <v/>
      </c>
      <c r="N8709" s="11" t="str">
        <f t="shared" si="426"/>
        <v/>
      </c>
    </row>
    <row r="8710" spans="9:14" x14ac:dyDescent="0.25">
      <c r="I8710" s="11" t="b">
        <f t="shared" si="424"/>
        <v>0</v>
      </c>
      <c r="M8710" s="17" t="str">
        <f t="shared" si="425"/>
        <v/>
      </c>
      <c r="N8710" s="11" t="str">
        <f t="shared" si="426"/>
        <v/>
      </c>
    </row>
    <row r="8711" spans="9:14" x14ac:dyDescent="0.25">
      <c r="I8711" s="11" t="b">
        <f t="shared" si="424"/>
        <v>0</v>
      </c>
      <c r="M8711" s="17" t="str">
        <f t="shared" si="425"/>
        <v/>
      </c>
      <c r="N8711" s="11" t="str">
        <f t="shared" si="426"/>
        <v/>
      </c>
    </row>
    <row r="8712" spans="9:14" x14ac:dyDescent="0.25">
      <c r="I8712" s="11" t="b">
        <f t="shared" si="424"/>
        <v>0</v>
      </c>
      <c r="M8712" s="17" t="str">
        <f t="shared" si="425"/>
        <v/>
      </c>
      <c r="N8712" s="11" t="str">
        <f t="shared" si="426"/>
        <v/>
      </c>
    </row>
    <row r="8713" spans="9:14" x14ac:dyDescent="0.25">
      <c r="I8713" s="11" t="b">
        <f t="shared" si="424"/>
        <v>0</v>
      </c>
      <c r="M8713" s="17" t="str">
        <f t="shared" si="425"/>
        <v/>
      </c>
      <c r="N8713" s="11" t="str">
        <f t="shared" si="426"/>
        <v/>
      </c>
    </row>
    <row r="8714" spans="9:14" x14ac:dyDescent="0.25">
      <c r="I8714" s="11" t="b">
        <f t="shared" si="424"/>
        <v>0</v>
      </c>
      <c r="M8714" s="17" t="str">
        <f t="shared" si="425"/>
        <v/>
      </c>
      <c r="N8714" s="11" t="str">
        <f t="shared" si="426"/>
        <v/>
      </c>
    </row>
    <row r="8715" spans="9:14" x14ac:dyDescent="0.25">
      <c r="I8715" s="11" t="b">
        <f t="shared" si="424"/>
        <v>0</v>
      </c>
      <c r="M8715" s="17" t="str">
        <f t="shared" si="425"/>
        <v/>
      </c>
      <c r="N8715" s="11" t="str">
        <f t="shared" si="426"/>
        <v/>
      </c>
    </row>
    <row r="8716" spans="9:14" x14ac:dyDescent="0.25">
      <c r="I8716" s="11" t="b">
        <f t="shared" si="424"/>
        <v>0</v>
      </c>
      <c r="M8716" s="17" t="str">
        <f t="shared" si="425"/>
        <v/>
      </c>
      <c r="N8716" s="11" t="str">
        <f t="shared" si="426"/>
        <v/>
      </c>
    </row>
    <row r="8717" spans="9:14" x14ac:dyDescent="0.25">
      <c r="I8717" s="11" t="b">
        <f t="shared" si="424"/>
        <v>0</v>
      </c>
      <c r="M8717" s="17" t="str">
        <f t="shared" si="425"/>
        <v/>
      </c>
      <c r="N8717" s="11" t="str">
        <f t="shared" si="426"/>
        <v/>
      </c>
    </row>
    <row r="8718" spans="9:14" x14ac:dyDescent="0.25">
      <c r="I8718" s="11" t="b">
        <f t="shared" si="424"/>
        <v>0</v>
      </c>
      <c r="M8718" s="17" t="str">
        <f t="shared" si="425"/>
        <v/>
      </c>
      <c r="N8718" s="11" t="str">
        <f t="shared" si="426"/>
        <v/>
      </c>
    </row>
    <row r="8719" spans="9:14" x14ac:dyDescent="0.25">
      <c r="I8719" s="11" t="b">
        <f t="shared" si="424"/>
        <v>0</v>
      </c>
      <c r="M8719" s="17" t="str">
        <f t="shared" si="425"/>
        <v/>
      </c>
      <c r="N8719" s="11" t="str">
        <f t="shared" si="426"/>
        <v/>
      </c>
    </row>
    <row r="8720" spans="9:14" x14ac:dyDescent="0.25">
      <c r="I8720" s="11" t="b">
        <f t="shared" si="424"/>
        <v>0</v>
      </c>
      <c r="M8720" s="17" t="str">
        <f t="shared" si="425"/>
        <v/>
      </c>
      <c r="N8720" s="11" t="str">
        <f t="shared" si="426"/>
        <v/>
      </c>
    </row>
    <row r="8721" spans="9:14" x14ac:dyDescent="0.25">
      <c r="I8721" s="11" t="b">
        <f t="shared" si="424"/>
        <v>0</v>
      </c>
      <c r="M8721" s="17" t="str">
        <f t="shared" si="425"/>
        <v/>
      </c>
      <c r="N8721" s="11" t="str">
        <f t="shared" si="426"/>
        <v/>
      </c>
    </row>
    <row r="8722" spans="9:14" x14ac:dyDescent="0.25">
      <c r="I8722" s="11" t="b">
        <f t="shared" si="424"/>
        <v>0</v>
      </c>
      <c r="M8722" s="17" t="str">
        <f t="shared" si="425"/>
        <v/>
      </c>
      <c r="N8722" s="11" t="str">
        <f t="shared" si="426"/>
        <v/>
      </c>
    </row>
    <row r="8723" spans="9:14" x14ac:dyDescent="0.25">
      <c r="I8723" s="11" t="b">
        <f t="shared" si="424"/>
        <v>0</v>
      </c>
      <c r="M8723" s="17" t="str">
        <f t="shared" si="425"/>
        <v/>
      </c>
      <c r="N8723" s="11" t="str">
        <f t="shared" si="426"/>
        <v/>
      </c>
    </row>
    <row r="8724" spans="9:14" x14ac:dyDescent="0.25">
      <c r="I8724" s="11" t="b">
        <f t="shared" si="424"/>
        <v>0</v>
      </c>
      <c r="M8724" s="17" t="str">
        <f t="shared" si="425"/>
        <v/>
      </c>
      <c r="N8724" s="11" t="str">
        <f t="shared" si="426"/>
        <v/>
      </c>
    </row>
    <row r="8725" spans="9:14" x14ac:dyDescent="0.25">
      <c r="I8725" s="11" t="b">
        <f t="shared" si="424"/>
        <v>0</v>
      </c>
      <c r="M8725" s="17" t="str">
        <f t="shared" si="425"/>
        <v/>
      </c>
      <c r="N8725" s="11" t="str">
        <f t="shared" si="426"/>
        <v/>
      </c>
    </row>
    <row r="8726" spans="9:14" x14ac:dyDescent="0.25">
      <c r="I8726" s="11" t="b">
        <f t="shared" si="424"/>
        <v>0</v>
      </c>
      <c r="M8726" s="17" t="str">
        <f t="shared" si="425"/>
        <v/>
      </c>
      <c r="N8726" s="11" t="str">
        <f t="shared" si="426"/>
        <v/>
      </c>
    </row>
    <row r="8727" spans="9:14" x14ac:dyDescent="0.25">
      <c r="I8727" s="11" t="b">
        <f t="shared" si="424"/>
        <v>0</v>
      </c>
      <c r="M8727" s="17" t="str">
        <f t="shared" si="425"/>
        <v/>
      </c>
      <c r="N8727" s="11" t="str">
        <f t="shared" si="426"/>
        <v/>
      </c>
    </row>
    <row r="8728" spans="9:14" x14ac:dyDescent="0.25">
      <c r="I8728" s="11" t="b">
        <f t="shared" si="424"/>
        <v>0</v>
      </c>
      <c r="M8728" s="17" t="str">
        <f t="shared" si="425"/>
        <v/>
      </c>
      <c r="N8728" s="11" t="str">
        <f t="shared" si="426"/>
        <v/>
      </c>
    </row>
    <row r="8729" spans="9:14" x14ac:dyDescent="0.25">
      <c r="I8729" s="11" t="b">
        <f t="shared" si="424"/>
        <v>0</v>
      </c>
      <c r="M8729" s="17" t="str">
        <f t="shared" si="425"/>
        <v/>
      </c>
      <c r="N8729" s="11" t="str">
        <f t="shared" si="426"/>
        <v/>
      </c>
    </row>
    <row r="8730" spans="9:14" x14ac:dyDescent="0.25">
      <c r="I8730" s="11" t="b">
        <f t="shared" si="424"/>
        <v>0</v>
      </c>
      <c r="M8730" s="17" t="str">
        <f t="shared" si="425"/>
        <v/>
      </c>
      <c r="N8730" s="11" t="str">
        <f t="shared" si="426"/>
        <v/>
      </c>
    </row>
    <row r="8731" spans="9:14" x14ac:dyDescent="0.25">
      <c r="I8731" s="11" t="b">
        <f t="shared" si="424"/>
        <v>0</v>
      </c>
      <c r="M8731" s="17" t="str">
        <f t="shared" si="425"/>
        <v/>
      </c>
      <c r="N8731" s="11" t="str">
        <f t="shared" si="426"/>
        <v/>
      </c>
    </row>
    <row r="8732" spans="9:14" x14ac:dyDescent="0.25">
      <c r="I8732" s="11" t="b">
        <f t="shared" si="424"/>
        <v>0</v>
      </c>
      <c r="M8732" s="17" t="str">
        <f t="shared" si="425"/>
        <v/>
      </c>
      <c r="N8732" s="11" t="str">
        <f t="shared" si="426"/>
        <v/>
      </c>
    </row>
    <row r="8733" spans="9:14" x14ac:dyDescent="0.25">
      <c r="I8733" s="11" t="b">
        <f t="shared" ref="I8733:I8796" si="427">IF(AND(G8733="MERCADO PAGO",A8733="FATURAMENTO"),1,IF(AND(OR(G8733="MERCADO PAGO",G8733="pix mercado pago",G8733= "débito automático mercado pago", G8733= "boleto mercado pago"),A8733="DESPESAS"),4,IF(AND(G8733="SAFRA",A8733="FATURAMENTO"),2,IF(AND(OR(G8733="SAFRA",G8733="PIX SAFRA", G8733="DÉBITO AUTOMÁTICO SAFRA", G8733= "BOLETO SAFRA", G8733= "transferência safra"), A8733="DESPESAS"),5,IF(AND(G8733="espécie",A8733="FATURAMENTO"),3,IF(AND(G8733="espécie",A8733="DESPESAS"),6))))))</f>
        <v>0</v>
      </c>
      <c r="M8733" s="17" t="str">
        <f t="shared" si="425"/>
        <v/>
      </c>
      <c r="N8733" s="11" t="str">
        <f t="shared" si="426"/>
        <v/>
      </c>
    </row>
    <row r="8734" spans="9:14" x14ac:dyDescent="0.25">
      <c r="I8734" s="11" t="b">
        <f t="shared" si="427"/>
        <v>0</v>
      </c>
      <c r="M8734" s="17" t="str">
        <f t="shared" si="425"/>
        <v/>
      </c>
      <c r="N8734" s="11" t="str">
        <f t="shared" si="426"/>
        <v/>
      </c>
    </row>
    <row r="8735" spans="9:14" x14ac:dyDescent="0.25">
      <c r="I8735" s="11" t="b">
        <f t="shared" si="427"/>
        <v>0</v>
      </c>
      <c r="M8735" s="17" t="str">
        <f t="shared" si="425"/>
        <v/>
      </c>
      <c r="N8735" s="11" t="str">
        <f t="shared" si="426"/>
        <v/>
      </c>
    </row>
    <row r="8736" spans="9:14" x14ac:dyDescent="0.25">
      <c r="I8736" s="11" t="b">
        <f t="shared" si="427"/>
        <v>0</v>
      </c>
      <c r="M8736" s="17" t="str">
        <f t="shared" si="425"/>
        <v/>
      </c>
      <c r="N8736" s="11" t="str">
        <f t="shared" si="426"/>
        <v/>
      </c>
    </row>
    <row r="8737" spans="9:14" x14ac:dyDescent="0.25">
      <c r="I8737" s="11" t="b">
        <f t="shared" si="427"/>
        <v>0</v>
      </c>
      <c r="M8737" s="17" t="str">
        <f t="shared" si="425"/>
        <v/>
      </c>
      <c r="N8737" s="11" t="str">
        <f t="shared" si="426"/>
        <v/>
      </c>
    </row>
    <row r="8738" spans="9:14" x14ac:dyDescent="0.25">
      <c r="I8738" s="11" t="b">
        <f t="shared" si="427"/>
        <v>0</v>
      </c>
      <c r="M8738" s="17" t="str">
        <f t="shared" si="425"/>
        <v/>
      </c>
      <c r="N8738" s="11" t="str">
        <f t="shared" si="426"/>
        <v/>
      </c>
    </row>
    <row r="8739" spans="9:14" x14ac:dyDescent="0.25">
      <c r="I8739" s="11" t="b">
        <f t="shared" si="427"/>
        <v>0</v>
      </c>
      <c r="M8739" s="17" t="str">
        <f t="shared" si="425"/>
        <v/>
      </c>
      <c r="N8739" s="11" t="str">
        <f t="shared" si="426"/>
        <v/>
      </c>
    </row>
    <row r="8740" spans="9:14" x14ac:dyDescent="0.25">
      <c r="I8740" s="11" t="b">
        <f t="shared" si="427"/>
        <v>0</v>
      </c>
      <c r="M8740" s="17" t="str">
        <f t="shared" si="425"/>
        <v/>
      </c>
      <c r="N8740" s="11" t="str">
        <f t="shared" si="426"/>
        <v/>
      </c>
    </row>
    <row r="8741" spans="9:14" x14ac:dyDescent="0.25">
      <c r="I8741" s="11" t="b">
        <f t="shared" si="427"/>
        <v>0</v>
      </c>
      <c r="M8741" s="17" t="str">
        <f t="shared" si="425"/>
        <v/>
      </c>
      <c r="N8741" s="11" t="str">
        <f t="shared" si="426"/>
        <v/>
      </c>
    </row>
    <row r="8742" spans="9:14" x14ac:dyDescent="0.25">
      <c r="I8742" s="11" t="b">
        <f t="shared" si="427"/>
        <v>0</v>
      </c>
      <c r="M8742" s="17" t="str">
        <f t="shared" si="425"/>
        <v/>
      </c>
      <c r="N8742" s="11" t="str">
        <f t="shared" si="426"/>
        <v/>
      </c>
    </row>
    <row r="8743" spans="9:14" x14ac:dyDescent="0.25">
      <c r="I8743" s="11" t="b">
        <f t="shared" si="427"/>
        <v>0</v>
      </c>
      <c r="M8743" s="17" t="str">
        <f t="shared" si="425"/>
        <v/>
      </c>
      <c r="N8743" s="11" t="str">
        <f t="shared" si="426"/>
        <v/>
      </c>
    </row>
    <row r="8744" spans="9:14" x14ac:dyDescent="0.25">
      <c r="I8744" s="11" t="b">
        <f t="shared" si="427"/>
        <v>0</v>
      </c>
      <c r="M8744" s="17" t="str">
        <f t="shared" si="425"/>
        <v/>
      </c>
      <c r="N8744" s="11" t="str">
        <f t="shared" si="426"/>
        <v/>
      </c>
    </row>
    <row r="8745" spans="9:14" x14ac:dyDescent="0.25">
      <c r="I8745" s="11" t="b">
        <f t="shared" si="427"/>
        <v>0</v>
      </c>
      <c r="M8745" s="17" t="str">
        <f t="shared" si="425"/>
        <v/>
      </c>
      <c r="N8745" s="11" t="str">
        <f t="shared" si="426"/>
        <v/>
      </c>
    </row>
    <row r="8746" spans="9:14" x14ac:dyDescent="0.25">
      <c r="I8746" s="11" t="b">
        <f t="shared" si="427"/>
        <v>0</v>
      </c>
      <c r="M8746" s="17" t="str">
        <f t="shared" si="425"/>
        <v/>
      </c>
      <c r="N8746" s="11" t="str">
        <f t="shared" si="426"/>
        <v/>
      </c>
    </row>
    <row r="8747" spans="9:14" x14ac:dyDescent="0.25">
      <c r="I8747" s="11" t="b">
        <f t="shared" si="427"/>
        <v>0</v>
      </c>
      <c r="M8747" s="17" t="str">
        <f t="shared" si="425"/>
        <v/>
      </c>
      <c r="N8747" s="11" t="str">
        <f t="shared" si="426"/>
        <v/>
      </c>
    </row>
    <row r="8748" spans="9:14" x14ac:dyDescent="0.25">
      <c r="I8748" s="11" t="b">
        <f t="shared" si="427"/>
        <v>0</v>
      </c>
      <c r="M8748" s="17" t="str">
        <f t="shared" si="425"/>
        <v/>
      </c>
      <c r="N8748" s="11" t="str">
        <f t="shared" si="426"/>
        <v/>
      </c>
    </row>
    <row r="8749" spans="9:14" x14ac:dyDescent="0.25">
      <c r="I8749" s="11" t="b">
        <f t="shared" si="427"/>
        <v>0</v>
      </c>
      <c r="M8749" s="17" t="str">
        <f t="shared" si="425"/>
        <v/>
      </c>
      <c r="N8749" s="11" t="str">
        <f t="shared" si="426"/>
        <v/>
      </c>
    </row>
    <row r="8750" spans="9:14" x14ac:dyDescent="0.25">
      <c r="I8750" s="11" t="b">
        <f t="shared" si="427"/>
        <v>0</v>
      </c>
      <c r="M8750" s="17" t="str">
        <f t="shared" si="425"/>
        <v/>
      </c>
      <c r="N8750" s="11" t="str">
        <f t="shared" si="426"/>
        <v/>
      </c>
    </row>
    <row r="8751" spans="9:14" x14ac:dyDescent="0.25">
      <c r="I8751" s="11" t="b">
        <f t="shared" si="427"/>
        <v>0</v>
      </c>
      <c r="M8751" s="17" t="str">
        <f t="shared" si="425"/>
        <v/>
      </c>
      <c r="N8751" s="11" t="str">
        <f t="shared" si="426"/>
        <v/>
      </c>
    </row>
    <row r="8752" spans="9:14" x14ac:dyDescent="0.25">
      <c r="I8752" s="11" t="b">
        <f t="shared" si="427"/>
        <v>0</v>
      </c>
      <c r="M8752" s="17" t="str">
        <f t="shared" si="425"/>
        <v/>
      </c>
      <c r="N8752" s="11" t="str">
        <f t="shared" si="426"/>
        <v/>
      </c>
    </row>
    <row r="8753" spans="9:14" x14ac:dyDescent="0.25">
      <c r="I8753" s="11" t="b">
        <f t="shared" si="427"/>
        <v>0</v>
      </c>
      <c r="M8753" s="17" t="str">
        <f t="shared" si="425"/>
        <v/>
      </c>
      <c r="N8753" s="11" t="str">
        <f t="shared" si="426"/>
        <v/>
      </c>
    </row>
    <row r="8754" spans="9:14" x14ac:dyDescent="0.25">
      <c r="I8754" s="11" t="b">
        <f t="shared" si="427"/>
        <v>0</v>
      </c>
      <c r="M8754" s="17" t="str">
        <f t="shared" si="425"/>
        <v/>
      </c>
      <c r="N8754" s="11" t="str">
        <f t="shared" si="426"/>
        <v/>
      </c>
    </row>
    <row r="8755" spans="9:14" x14ac:dyDescent="0.25">
      <c r="I8755" s="11" t="b">
        <f t="shared" si="427"/>
        <v>0</v>
      </c>
      <c r="M8755" s="17" t="str">
        <f t="shared" si="425"/>
        <v/>
      </c>
      <c r="N8755" s="11" t="str">
        <f t="shared" si="426"/>
        <v/>
      </c>
    </row>
    <row r="8756" spans="9:14" x14ac:dyDescent="0.25">
      <c r="I8756" s="11" t="b">
        <f t="shared" si="427"/>
        <v>0</v>
      </c>
      <c r="M8756" s="17" t="str">
        <f t="shared" si="425"/>
        <v/>
      </c>
      <c r="N8756" s="11" t="str">
        <f t="shared" si="426"/>
        <v/>
      </c>
    </row>
    <row r="8757" spans="9:14" x14ac:dyDescent="0.25">
      <c r="I8757" s="11" t="b">
        <f t="shared" si="427"/>
        <v>0</v>
      </c>
      <c r="M8757" s="17" t="str">
        <f t="shared" si="425"/>
        <v/>
      </c>
      <c r="N8757" s="11" t="str">
        <f t="shared" si="426"/>
        <v/>
      </c>
    </row>
    <row r="8758" spans="9:14" x14ac:dyDescent="0.25">
      <c r="I8758" s="11" t="b">
        <f t="shared" si="427"/>
        <v>0</v>
      </c>
      <c r="M8758" s="17" t="str">
        <f t="shared" si="425"/>
        <v/>
      </c>
      <c r="N8758" s="11" t="str">
        <f t="shared" si="426"/>
        <v/>
      </c>
    </row>
    <row r="8759" spans="9:14" x14ac:dyDescent="0.25">
      <c r="I8759" s="11" t="b">
        <f t="shared" si="427"/>
        <v>0</v>
      </c>
      <c r="M8759" s="17" t="str">
        <f t="shared" si="425"/>
        <v/>
      </c>
      <c r="N8759" s="11" t="str">
        <f t="shared" si="426"/>
        <v/>
      </c>
    </row>
    <row r="8760" spans="9:14" x14ac:dyDescent="0.25">
      <c r="I8760" s="11" t="b">
        <f t="shared" si="427"/>
        <v>0</v>
      </c>
      <c r="M8760" s="17" t="str">
        <f t="shared" si="425"/>
        <v/>
      </c>
      <c r="N8760" s="11" t="str">
        <f t="shared" si="426"/>
        <v/>
      </c>
    </row>
    <row r="8761" spans="9:14" x14ac:dyDescent="0.25">
      <c r="I8761" s="11" t="b">
        <f t="shared" si="427"/>
        <v>0</v>
      </c>
      <c r="M8761" s="17" t="str">
        <f t="shared" si="425"/>
        <v/>
      </c>
      <c r="N8761" s="11" t="str">
        <f t="shared" si="426"/>
        <v/>
      </c>
    </row>
    <row r="8762" spans="9:14" x14ac:dyDescent="0.25">
      <c r="I8762" s="11" t="b">
        <f t="shared" si="427"/>
        <v>0</v>
      </c>
      <c r="M8762" s="17" t="str">
        <f t="shared" si="425"/>
        <v/>
      </c>
      <c r="N8762" s="11" t="str">
        <f t="shared" si="426"/>
        <v/>
      </c>
    </row>
    <row r="8763" spans="9:14" x14ac:dyDescent="0.25">
      <c r="I8763" s="11" t="b">
        <f t="shared" si="427"/>
        <v>0</v>
      </c>
      <c r="M8763" s="17" t="str">
        <f t="shared" si="425"/>
        <v/>
      </c>
      <c r="N8763" s="11" t="str">
        <f t="shared" si="426"/>
        <v/>
      </c>
    </row>
    <row r="8764" spans="9:14" x14ac:dyDescent="0.25">
      <c r="I8764" s="11" t="b">
        <f t="shared" si="427"/>
        <v>0</v>
      </c>
      <c r="M8764" s="17" t="str">
        <f t="shared" si="425"/>
        <v/>
      </c>
      <c r="N8764" s="11" t="str">
        <f t="shared" si="426"/>
        <v/>
      </c>
    </row>
    <row r="8765" spans="9:14" x14ac:dyDescent="0.25">
      <c r="I8765" s="11" t="b">
        <f t="shared" si="427"/>
        <v>0</v>
      </c>
      <c r="M8765" s="17" t="str">
        <f t="shared" si="425"/>
        <v/>
      </c>
      <c r="N8765" s="11" t="str">
        <f t="shared" si="426"/>
        <v/>
      </c>
    </row>
    <row r="8766" spans="9:14" x14ac:dyDescent="0.25">
      <c r="I8766" s="11" t="b">
        <f t="shared" si="427"/>
        <v>0</v>
      </c>
      <c r="M8766" s="17" t="str">
        <f t="shared" si="425"/>
        <v/>
      </c>
      <c r="N8766" s="11" t="str">
        <f t="shared" si="426"/>
        <v/>
      </c>
    </row>
    <row r="8767" spans="9:14" x14ac:dyDescent="0.25">
      <c r="I8767" s="11" t="b">
        <f t="shared" si="427"/>
        <v>0</v>
      </c>
      <c r="M8767" s="17" t="str">
        <f t="shared" si="425"/>
        <v/>
      </c>
      <c r="N8767" s="11" t="str">
        <f t="shared" si="426"/>
        <v/>
      </c>
    </row>
    <row r="8768" spans="9:14" x14ac:dyDescent="0.25">
      <c r="I8768" s="11" t="b">
        <f t="shared" si="427"/>
        <v>0</v>
      </c>
      <c r="M8768" s="17" t="str">
        <f t="shared" si="425"/>
        <v/>
      </c>
      <c r="N8768" s="11" t="str">
        <f t="shared" si="426"/>
        <v/>
      </c>
    </row>
    <row r="8769" spans="9:14" x14ac:dyDescent="0.25">
      <c r="I8769" s="11" t="b">
        <f t="shared" si="427"/>
        <v>0</v>
      </c>
      <c r="M8769" s="17" t="str">
        <f t="shared" ref="M8769:M8832" si="428">IF(B8769=0, "",M8768+ J8769-K8769)</f>
        <v/>
      </c>
      <c r="N8769" s="11" t="str">
        <f t="shared" ref="N8769:N8832" si="429">IF(B8769=0, "", MONTH(B8769))</f>
        <v/>
      </c>
    </row>
    <row r="8770" spans="9:14" x14ac:dyDescent="0.25">
      <c r="I8770" s="11" t="b">
        <f t="shared" si="427"/>
        <v>0</v>
      </c>
      <c r="M8770" s="17" t="str">
        <f t="shared" si="428"/>
        <v/>
      </c>
      <c r="N8770" s="11" t="str">
        <f t="shared" si="429"/>
        <v/>
      </c>
    </row>
    <row r="8771" spans="9:14" x14ac:dyDescent="0.25">
      <c r="I8771" s="11" t="b">
        <f t="shared" si="427"/>
        <v>0</v>
      </c>
      <c r="M8771" s="17" t="str">
        <f t="shared" si="428"/>
        <v/>
      </c>
      <c r="N8771" s="11" t="str">
        <f t="shared" si="429"/>
        <v/>
      </c>
    </row>
    <row r="8772" spans="9:14" x14ac:dyDescent="0.25">
      <c r="I8772" s="11" t="b">
        <f t="shared" si="427"/>
        <v>0</v>
      </c>
      <c r="M8772" s="17" t="str">
        <f t="shared" si="428"/>
        <v/>
      </c>
      <c r="N8772" s="11" t="str">
        <f t="shared" si="429"/>
        <v/>
      </c>
    </row>
    <row r="8773" spans="9:14" x14ac:dyDescent="0.25">
      <c r="I8773" s="11" t="b">
        <f t="shared" si="427"/>
        <v>0</v>
      </c>
      <c r="M8773" s="17" t="str">
        <f t="shared" si="428"/>
        <v/>
      </c>
      <c r="N8773" s="11" t="str">
        <f t="shared" si="429"/>
        <v/>
      </c>
    </row>
    <row r="8774" spans="9:14" x14ac:dyDescent="0.25">
      <c r="I8774" s="11" t="b">
        <f t="shared" si="427"/>
        <v>0</v>
      </c>
      <c r="M8774" s="17" t="str">
        <f t="shared" si="428"/>
        <v/>
      </c>
      <c r="N8774" s="11" t="str">
        <f t="shared" si="429"/>
        <v/>
      </c>
    </row>
    <row r="8775" spans="9:14" x14ac:dyDescent="0.25">
      <c r="I8775" s="11" t="b">
        <f t="shared" si="427"/>
        <v>0</v>
      </c>
      <c r="M8775" s="17" t="str">
        <f t="shared" si="428"/>
        <v/>
      </c>
      <c r="N8775" s="11" t="str">
        <f t="shared" si="429"/>
        <v/>
      </c>
    </row>
    <row r="8776" spans="9:14" x14ac:dyDescent="0.25">
      <c r="I8776" s="11" t="b">
        <f t="shared" si="427"/>
        <v>0</v>
      </c>
      <c r="M8776" s="17" t="str">
        <f t="shared" si="428"/>
        <v/>
      </c>
      <c r="N8776" s="11" t="str">
        <f t="shared" si="429"/>
        <v/>
      </c>
    </row>
    <row r="8777" spans="9:14" x14ac:dyDescent="0.25">
      <c r="I8777" s="11" t="b">
        <f t="shared" si="427"/>
        <v>0</v>
      </c>
      <c r="M8777" s="17" t="str">
        <f t="shared" si="428"/>
        <v/>
      </c>
      <c r="N8777" s="11" t="str">
        <f t="shared" si="429"/>
        <v/>
      </c>
    </row>
    <row r="8778" spans="9:14" x14ac:dyDescent="0.25">
      <c r="I8778" s="11" t="b">
        <f t="shared" si="427"/>
        <v>0</v>
      </c>
      <c r="M8778" s="17" t="str">
        <f t="shared" si="428"/>
        <v/>
      </c>
      <c r="N8778" s="11" t="str">
        <f t="shared" si="429"/>
        <v/>
      </c>
    </row>
    <row r="8779" spans="9:14" x14ac:dyDescent="0.25">
      <c r="I8779" s="11" t="b">
        <f t="shared" si="427"/>
        <v>0</v>
      </c>
      <c r="M8779" s="17" t="str">
        <f t="shared" si="428"/>
        <v/>
      </c>
      <c r="N8779" s="11" t="str">
        <f t="shared" si="429"/>
        <v/>
      </c>
    </row>
    <row r="8780" spans="9:14" x14ac:dyDescent="0.25">
      <c r="I8780" s="11" t="b">
        <f t="shared" si="427"/>
        <v>0</v>
      </c>
      <c r="M8780" s="17" t="str">
        <f t="shared" si="428"/>
        <v/>
      </c>
      <c r="N8780" s="11" t="str">
        <f t="shared" si="429"/>
        <v/>
      </c>
    </row>
    <row r="8781" spans="9:14" x14ac:dyDescent="0.25">
      <c r="I8781" s="11" t="b">
        <f t="shared" si="427"/>
        <v>0</v>
      </c>
      <c r="M8781" s="17" t="str">
        <f t="shared" si="428"/>
        <v/>
      </c>
      <c r="N8781" s="11" t="str">
        <f t="shared" si="429"/>
        <v/>
      </c>
    </row>
    <row r="8782" spans="9:14" x14ac:dyDescent="0.25">
      <c r="I8782" s="11" t="b">
        <f t="shared" si="427"/>
        <v>0</v>
      </c>
      <c r="M8782" s="17" t="str">
        <f t="shared" si="428"/>
        <v/>
      </c>
      <c r="N8782" s="11" t="str">
        <f t="shared" si="429"/>
        <v/>
      </c>
    </row>
    <row r="8783" spans="9:14" x14ac:dyDescent="0.25">
      <c r="I8783" s="11" t="b">
        <f t="shared" si="427"/>
        <v>0</v>
      </c>
      <c r="M8783" s="17" t="str">
        <f t="shared" si="428"/>
        <v/>
      </c>
      <c r="N8783" s="11" t="str">
        <f t="shared" si="429"/>
        <v/>
      </c>
    </row>
    <row r="8784" spans="9:14" x14ac:dyDescent="0.25">
      <c r="I8784" s="11" t="b">
        <f t="shared" si="427"/>
        <v>0</v>
      </c>
      <c r="M8784" s="17" t="str">
        <f t="shared" si="428"/>
        <v/>
      </c>
      <c r="N8784" s="11" t="str">
        <f t="shared" si="429"/>
        <v/>
      </c>
    </row>
    <row r="8785" spans="9:14" x14ac:dyDescent="0.25">
      <c r="I8785" s="11" t="b">
        <f t="shared" si="427"/>
        <v>0</v>
      </c>
      <c r="M8785" s="17" t="str">
        <f t="shared" si="428"/>
        <v/>
      </c>
      <c r="N8785" s="11" t="str">
        <f t="shared" si="429"/>
        <v/>
      </c>
    </row>
    <row r="8786" spans="9:14" x14ac:dyDescent="0.25">
      <c r="I8786" s="11" t="b">
        <f t="shared" si="427"/>
        <v>0</v>
      </c>
      <c r="M8786" s="17" t="str">
        <f t="shared" si="428"/>
        <v/>
      </c>
      <c r="N8786" s="11" t="str">
        <f t="shared" si="429"/>
        <v/>
      </c>
    </row>
    <row r="8787" spans="9:14" x14ac:dyDescent="0.25">
      <c r="I8787" s="11" t="b">
        <f t="shared" si="427"/>
        <v>0</v>
      </c>
      <c r="M8787" s="17" t="str">
        <f t="shared" si="428"/>
        <v/>
      </c>
      <c r="N8787" s="11" t="str">
        <f t="shared" si="429"/>
        <v/>
      </c>
    </row>
    <row r="8788" spans="9:14" x14ac:dyDescent="0.25">
      <c r="I8788" s="11" t="b">
        <f t="shared" si="427"/>
        <v>0</v>
      </c>
      <c r="M8788" s="17" t="str">
        <f t="shared" si="428"/>
        <v/>
      </c>
      <c r="N8788" s="11" t="str">
        <f t="shared" si="429"/>
        <v/>
      </c>
    </row>
    <row r="8789" spans="9:14" x14ac:dyDescent="0.25">
      <c r="I8789" s="11" t="b">
        <f t="shared" si="427"/>
        <v>0</v>
      </c>
      <c r="M8789" s="17" t="str">
        <f t="shared" si="428"/>
        <v/>
      </c>
      <c r="N8789" s="11" t="str">
        <f t="shared" si="429"/>
        <v/>
      </c>
    </row>
    <row r="8790" spans="9:14" x14ac:dyDescent="0.25">
      <c r="I8790" s="11" t="b">
        <f t="shared" si="427"/>
        <v>0</v>
      </c>
      <c r="M8790" s="17" t="str">
        <f t="shared" si="428"/>
        <v/>
      </c>
      <c r="N8790" s="11" t="str">
        <f t="shared" si="429"/>
        <v/>
      </c>
    </row>
    <row r="8791" spans="9:14" x14ac:dyDescent="0.25">
      <c r="I8791" s="11" t="b">
        <f t="shared" si="427"/>
        <v>0</v>
      </c>
      <c r="M8791" s="17" t="str">
        <f t="shared" si="428"/>
        <v/>
      </c>
      <c r="N8791" s="11" t="str">
        <f t="shared" si="429"/>
        <v/>
      </c>
    </row>
    <row r="8792" spans="9:14" x14ac:dyDescent="0.25">
      <c r="I8792" s="11" t="b">
        <f t="shared" si="427"/>
        <v>0</v>
      </c>
      <c r="M8792" s="17" t="str">
        <f t="shared" si="428"/>
        <v/>
      </c>
      <c r="N8792" s="11" t="str">
        <f t="shared" si="429"/>
        <v/>
      </c>
    </row>
    <row r="8793" spans="9:14" x14ac:dyDescent="0.25">
      <c r="I8793" s="11" t="b">
        <f t="shared" si="427"/>
        <v>0</v>
      </c>
      <c r="M8793" s="17" t="str">
        <f t="shared" si="428"/>
        <v/>
      </c>
      <c r="N8793" s="11" t="str">
        <f t="shared" si="429"/>
        <v/>
      </c>
    </row>
    <row r="8794" spans="9:14" x14ac:dyDescent="0.25">
      <c r="I8794" s="11" t="b">
        <f t="shared" si="427"/>
        <v>0</v>
      </c>
      <c r="M8794" s="17" t="str">
        <f t="shared" si="428"/>
        <v/>
      </c>
      <c r="N8794" s="11" t="str">
        <f t="shared" si="429"/>
        <v/>
      </c>
    </row>
    <row r="8795" spans="9:14" x14ac:dyDescent="0.25">
      <c r="I8795" s="11" t="b">
        <f t="shared" si="427"/>
        <v>0</v>
      </c>
      <c r="M8795" s="17" t="str">
        <f t="shared" si="428"/>
        <v/>
      </c>
      <c r="N8795" s="11" t="str">
        <f t="shared" si="429"/>
        <v/>
      </c>
    </row>
    <row r="8796" spans="9:14" x14ac:dyDescent="0.25">
      <c r="I8796" s="11" t="b">
        <f t="shared" si="427"/>
        <v>0</v>
      </c>
      <c r="M8796" s="17" t="str">
        <f t="shared" si="428"/>
        <v/>
      </c>
      <c r="N8796" s="11" t="str">
        <f t="shared" si="429"/>
        <v/>
      </c>
    </row>
    <row r="8797" spans="9:14" x14ac:dyDescent="0.25">
      <c r="I8797" s="11" t="b">
        <f t="shared" ref="I8797:I8860" si="430">IF(AND(G8797="MERCADO PAGO",A8797="FATURAMENTO"),1,IF(AND(OR(G8797="MERCADO PAGO",G8797="pix mercado pago",G8797= "débito automático mercado pago", G8797= "boleto mercado pago"),A8797="DESPESAS"),4,IF(AND(G8797="SAFRA",A8797="FATURAMENTO"),2,IF(AND(OR(G8797="SAFRA",G8797="PIX SAFRA", G8797="DÉBITO AUTOMÁTICO SAFRA", G8797= "BOLETO SAFRA", G8797= "transferência safra"), A8797="DESPESAS"),5,IF(AND(G8797="espécie",A8797="FATURAMENTO"),3,IF(AND(G8797="espécie",A8797="DESPESAS"),6))))))</f>
        <v>0</v>
      </c>
      <c r="M8797" s="17" t="str">
        <f t="shared" si="428"/>
        <v/>
      </c>
      <c r="N8797" s="11" t="str">
        <f t="shared" si="429"/>
        <v/>
      </c>
    </row>
    <row r="8798" spans="9:14" x14ac:dyDescent="0.25">
      <c r="I8798" s="11" t="b">
        <f t="shared" si="430"/>
        <v>0</v>
      </c>
      <c r="M8798" s="17" t="str">
        <f t="shared" si="428"/>
        <v/>
      </c>
      <c r="N8798" s="11" t="str">
        <f t="shared" si="429"/>
        <v/>
      </c>
    </row>
    <row r="8799" spans="9:14" x14ac:dyDescent="0.25">
      <c r="I8799" s="11" t="b">
        <f t="shared" si="430"/>
        <v>0</v>
      </c>
      <c r="M8799" s="17" t="str">
        <f t="shared" si="428"/>
        <v/>
      </c>
      <c r="N8799" s="11" t="str">
        <f t="shared" si="429"/>
        <v/>
      </c>
    </row>
    <row r="8800" spans="9:14" x14ac:dyDescent="0.25">
      <c r="I8800" s="11" t="b">
        <f t="shared" si="430"/>
        <v>0</v>
      </c>
      <c r="M8800" s="17" t="str">
        <f t="shared" si="428"/>
        <v/>
      </c>
      <c r="N8800" s="11" t="str">
        <f t="shared" si="429"/>
        <v/>
      </c>
    </row>
    <row r="8801" spans="9:14" x14ac:dyDescent="0.25">
      <c r="I8801" s="11" t="b">
        <f t="shared" si="430"/>
        <v>0</v>
      </c>
      <c r="M8801" s="17" t="str">
        <f t="shared" si="428"/>
        <v/>
      </c>
      <c r="N8801" s="11" t="str">
        <f t="shared" si="429"/>
        <v/>
      </c>
    </row>
    <row r="8802" spans="9:14" x14ac:dyDescent="0.25">
      <c r="I8802" s="11" t="b">
        <f t="shared" si="430"/>
        <v>0</v>
      </c>
      <c r="M8802" s="17" t="str">
        <f t="shared" si="428"/>
        <v/>
      </c>
      <c r="N8802" s="11" t="str">
        <f t="shared" si="429"/>
        <v/>
      </c>
    </row>
    <row r="8803" spans="9:14" x14ac:dyDescent="0.25">
      <c r="I8803" s="11" t="b">
        <f t="shared" si="430"/>
        <v>0</v>
      </c>
      <c r="M8803" s="17" t="str">
        <f t="shared" si="428"/>
        <v/>
      </c>
      <c r="N8803" s="11" t="str">
        <f t="shared" si="429"/>
        <v/>
      </c>
    </row>
    <row r="8804" spans="9:14" x14ac:dyDescent="0.25">
      <c r="I8804" s="11" t="b">
        <f t="shared" si="430"/>
        <v>0</v>
      </c>
      <c r="M8804" s="17" t="str">
        <f t="shared" si="428"/>
        <v/>
      </c>
      <c r="N8804" s="11" t="str">
        <f t="shared" si="429"/>
        <v/>
      </c>
    </row>
    <row r="8805" spans="9:14" x14ac:dyDescent="0.25">
      <c r="I8805" s="11" t="b">
        <f t="shared" si="430"/>
        <v>0</v>
      </c>
      <c r="M8805" s="17" t="str">
        <f t="shared" si="428"/>
        <v/>
      </c>
      <c r="N8805" s="11" t="str">
        <f t="shared" si="429"/>
        <v/>
      </c>
    </row>
    <row r="8806" spans="9:14" x14ac:dyDescent="0.25">
      <c r="I8806" s="11" t="b">
        <f t="shared" si="430"/>
        <v>0</v>
      </c>
      <c r="M8806" s="17" t="str">
        <f t="shared" si="428"/>
        <v/>
      </c>
      <c r="N8806" s="11" t="str">
        <f t="shared" si="429"/>
        <v/>
      </c>
    </row>
    <row r="8807" spans="9:14" x14ac:dyDescent="0.25">
      <c r="I8807" s="11" t="b">
        <f t="shared" si="430"/>
        <v>0</v>
      </c>
      <c r="M8807" s="17" t="str">
        <f t="shared" si="428"/>
        <v/>
      </c>
      <c r="N8807" s="11" t="str">
        <f t="shared" si="429"/>
        <v/>
      </c>
    </row>
    <row r="8808" spans="9:14" x14ac:dyDescent="0.25">
      <c r="I8808" s="11" t="b">
        <f t="shared" si="430"/>
        <v>0</v>
      </c>
      <c r="M8808" s="17" t="str">
        <f t="shared" si="428"/>
        <v/>
      </c>
      <c r="N8808" s="11" t="str">
        <f t="shared" si="429"/>
        <v/>
      </c>
    </row>
    <row r="8809" spans="9:14" x14ac:dyDescent="0.25">
      <c r="I8809" s="11" t="b">
        <f t="shared" si="430"/>
        <v>0</v>
      </c>
      <c r="M8809" s="17" t="str">
        <f t="shared" si="428"/>
        <v/>
      </c>
      <c r="N8809" s="11" t="str">
        <f t="shared" si="429"/>
        <v/>
      </c>
    </row>
    <row r="8810" spans="9:14" x14ac:dyDescent="0.25">
      <c r="I8810" s="11" t="b">
        <f t="shared" si="430"/>
        <v>0</v>
      </c>
      <c r="M8810" s="17" t="str">
        <f t="shared" si="428"/>
        <v/>
      </c>
      <c r="N8810" s="11" t="str">
        <f t="shared" si="429"/>
        <v/>
      </c>
    </row>
    <row r="8811" spans="9:14" x14ac:dyDescent="0.25">
      <c r="I8811" s="11" t="b">
        <f t="shared" si="430"/>
        <v>0</v>
      </c>
      <c r="M8811" s="17" t="str">
        <f t="shared" si="428"/>
        <v/>
      </c>
      <c r="N8811" s="11" t="str">
        <f t="shared" si="429"/>
        <v/>
      </c>
    </row>
    <row r="8812" spans="9:14" x14ac:dyDescent="0.25">
      <c r="I8812" s="11" t="b">
        <f t="shared" si="430"/>
        <v>0</v>
      </c>
      <c r="M8812" s="17" t="str">
        <f t="shared" si="428"/>
        <v/>
      </c>
      <c r="N8812" s="11" t="str">
        <f t="shared" si="429"/>
        <v/>
      </c>
    </row>
    <row r="8813" spans="9:14" x14ac:dyDescent="0.25">
      <c r="I8813" s="11" t="b">
        <f t="shared" si="430"/>
        <v>0</v>
      </c>
      <c r="M8813" s="17" t="str">
        <f t="shared" si="428"/>
        <v/>
      </c>
      <c r="N8813" s="11" t="str">
        <f t="shared" si="429"/>
        <v/>
      </c>
    </row>
    <row r="8814" spans="9:14" x14ac:dyDescent="0.25">
      <c r="I8814" s="11" t="b">
        <f t="shared" si="430"/>
        <v>0</v>
      </c>
      <c r="M8814" s="17" t="str">
        <f t="shared" si="428"/>
        <v/>
      </c>
      <c r="N8814" s="11" t="str">
        <f t="shared" si="429"/>
        <v/>
      </c>
    </row>
    <row r="8815" spans="9:14" x14ac:dyDescent="0.25">
      <c r="I8815" s="11" t="b">
        <f t="shared" si="430"/>
        <v>0</v>
      </c>
      <c r="M8815" s="17" t="str">
        <f t="shared" si="428"/>
        <v/>
      </c>
      <c r="N8815" s="11" t="str">
        <f t="shared" si="429"/>
        <v/>
      </c>
    </row>
    <row r="8816" spans="9:14" x14ac:dyDescent="0.25">
      <c r="I8816" s="11" t="b">
        <f t="shared" si="430"/>
        <v>0</v>
      </c>
      <c r="M8816" s="17" t="str">
        <f t="shared" si="428"/>
        <v/>
      </c>
      <c r="N8816" s="11" t="str">
        <f t="shared" si="429"/>
        <v/>
      </c>
    </row>
    <row r="8817" spans="9:14" x14ac:dyDescent="0.25">
      <c r="I8817" s="11" t="b">
        <f t="shared" si="430"/>
        <v>0</v>
      </c>
      <c r="M8817" s="17" t="str">
        <f t="shared" si="428"/>
        <v/>
      </c>
      <c r="N8817" s="11" t="str">
        <f t="shared" si="429"/>
        <v/>
      </c>
    </row>
    <row r="8818" spans="9:14" x14ac:dyDescent="0.25">
      <c r="I8818" s="11" t="b">
        <f t="shared" si="430"/>
        <v>0</v>
      </c>
      <c r="M8818" s="17" t="str">
        <f t="shared" si="428"/>
        <v/>
      </c>
      <c r="N8818" s="11" t="str">
        <f t="shared" si="429"/>
        <v/>
      </c>
    </row>
    <row r="8819" spans="9:14" x14ac:dyDescent="0.25">
      <c r="I8819" s="11" t="b">
        <f t="shared" si="430"/>
        <v>0</v>
      </c>
      <c r="M8819" s="17" t="str">
        <f t="shared" si="428"/>
        <v/>
      </c>
      <c r="N8819" s="11" t="str">
        <f t="shared" si="429"/>
        <v/>
      </c>
    </row>
    <row r="8820" spans="9:14" x14ac:dyDescent="0.25">
      <c r="I8820" s="11" t="b">
        <f t="shared" si="430"/>
        <v>0</v>
      </c>
      <c r="M8820" s="17" t="str">
        <f t="shared" si="428"/>
        <v/>
      </c>
      <c r="N8820" s="11" t="str">
        <f t="shared" si="429"/>
        <v/>
      </c>
    </row>
    <row r="8821" spans="9:14" x14ac:dyDescent="0.25">
      <c r="I8821" s="11" t="b">
        <f t="shared" si="430"/>
        <v>0</v>
      </c>
      <c r="M8821" s="17" t="str">
        <f t="shared" si="428"/>
        <v/>
      </c>
      <c r="N8821" s="11" t="str">
        <f t="shared" si="429"/>
        <v/>
      </c>
    </row>
    <row r="8822" spans="9:14" x14ac:dyDescent="0.25">
      <c r="I8822" s="11" t="b">
        <f t="shared" si="430"/>
        <v>0</v>
      </c>
      <c r="M8822" s="17" t="str">
        <f t="shared" si="428"/>
        <v/>
      </c>
      <c r="N8822" s="11" t="str">
        <f t="shared" si="429"/>
        <v/>
      </c>
    </row>
    <row r="8823" spans="9:14" x14ac:dyDescent="0.25">
      <c r="I8823" s="11" t="b">
        <f t="shared" si="430"/>
        <v>0</v>
      </c>
      <c r="M8823" s="17" t="str">
        <f t="shared" si="428"/>
        <v/>
      </c>
      <c r="N8823" s="11" t="str">
        <f t="shared" si="429"/>
        <v/>
      </c>
    </row>
    <row r="8824" spans="9:14" x14ac:dyDescent="0.25">
      <c r="I8824" s="11" t="b">
        <f t="shared" si="430"/>
        <v>0</v>
      </c>
      <c r="M8824" s="17" t="str">
        <f t="shared" si="428"/>
        <v/>
      </c>
      <c r="N8824" s="11" t="str">
        <f t="shared" si="429"/>
        <v/>
      </c>
    </row>
    <row r="8825" spans="9:14" x14ac:dyDescent="0.25">
      <c r="I8825" s="11" t="b">
        <f t="shared" si="430"/>
        <v>0</v>
      </c>
      <c r="M8825" s="17" t="str">
        <f t="shared" si="428"/>
        <v/>
      </c>
      <c r="N8825" s="11" t="str">
        <f t="shared" si="429"/>
        <v/>
      </c>
    </row>
    <row r="8826" spans="9:14" x14ac:dyDescent="0.25">
      <c r="I8826" s="11" t="b">
        <f t="shared" si="430"/>
        <v>0</v>
      </c>
      <c r="M8826" s="17" t="str">
        <f t="shared" si="428"/>
        <v/>
      </c>
      <c r="N8826" s="11" t="str">
        <f t="shared" si="429"/>
        <v/>
      </c>
    </row>
    <row r="8827" spans="9:14" x14ac:dyDescent="0.25">
      <c r="I8827" s="11" t="b">
        <f t="shared" si="430"/>
        <v>0</v>
      </c>
      <c r="M8827" s="17" t="str">
        <f t="shared" si="428"/>
        <v/>
      </c>
      <c r="N8827" s="11" t="str">
        <f t="shared" si="429"/>
        <v/>
      </c>
    </row>
    <row r="8828" spans="9:14" x14ac:dyDescent="0.25">
      <c r="I8828" s="11" t="b">
        <f t="shared" si="430"/>
        <v>0</v>
      </c>
      <c r="M8828" s="17" t="str">
        <f t="shared" si="428"/>
        <v/>
      </c>
      <c r="N8828" s="11" t="str">
        <f t="shared" si="429"/>
        <v/>
      </c>
    </row>
    <row r="8829" spans="9:14" x14ac:dyDescent="0.25">
      <c r="I8829" s="11" t="b">
        <f t="shared" si="430"/>
        <v>0</v>
      </c>
      <c r="M8829" s="17" t="str">
        <f t="shared" si="428"/>
        <v/>
      </c>
      <c r="N8829" s="11" t="str">
        <f t="shared" si="429"/>
        <v/>
      </c>
    </row>
    <row r="8830" spans="9:14" x14ac:dyDescent="0.25">
      <c r="I8830" s="11" t="b">
        <f t="shared" si="430"/>
        <v>0</v>
      </c>
      <c r="M8830" s="17" t="str">
        <f t="shared" si="428"/>
        <v/>
      </c>
      <c r="N8830" s="11" t="str">
        <f t="shared" si="429"/>
        <v/>
      </c>
    </row>
    <row r="8831" spans="9:14" x14ac:dyDescent="0.25">
      <c r="I8831" s="11" t="b">
        <f t="shared" si="430"/>
        <v>0</v>
      </c>
      <c r="M8831" s="17" t="str">
        <f t="shared" si="428"/>
        <v/>
      </c>
      <c r="N8831" s="11" t="str">
        <f t="shared" si="429"/>
        <v/>
      </c>
    </row>
    <row r="8832" spans="9:14" x14ac:dyDescent="0.25">
      <c r="I8832" s="11" t="b">
        <f t="shared" si="430"/>
        <v>0</v>
      </c>
      <c r="M8832" s="17" t="str">
        <f t="shared" si="428"/>
        <v/>
      </c>
      <c r="N8832" s="11" t="str">
        <f t="shared" si="429"/>
        <v/>
      </c>
    </row>
    <row r="8833" spans="9:14" x14ac:dyDescent="0.25">
      <c r="I8833" s="11" t="b">
        <f t="shared" si="430"/>
        <v>0</v>
      </c>
      <c r="M8833" s="17" t="str">
        <f t="shared" ref="M8833:M8896" si="431">IF(B8833=0, "",M8832+ J8833-K8833)</f>
        <v/>
      </c>
      <c r="N8833" s="11" t="str">
        <f t="shared" ref="N8833:N8896" si="432">IF(B8833=0, "", MONTH(B8833))</f>
        <v/>
      </c>
    </row>
    <row r="8834" spans="9:14" x14ac:dyDescent="0.25">
      <c r="I8834" s="11" t="b">
        <f t="shared" si="430"/>
        <v>0</v>
      </c>
      <c r="M8834" s="17" t="str">
        <f t="shared" si="431"/>
        <v/>
      </c>
      <c r="N8834" s="11" t="str">
        <f t="shared" si="432"/>
        <v/>
      </c>
    </row>
    <row r="8835" spans="9:14" x14ac:dyDescent="0.25">
      <c r="I8835" s="11" t="b">
        <f t="shared" si="430"/>
        <v>0</v>
      </c>
      <c r="M8835" s="17" t="str">
        <f t="shared" si="431"/>
        <v/>
      </c>
      <c r="N8835" s="11" t="str">
        <f t="shared" si="432"/>
        <v/>
      </c>
    </row>
    <row r="8836" spans="9:14" x14ac:dyDescent="0.25">
      <c r="I8836" s="11" t="b">
        <f t="shared" si="430"/>
        <v>0</v>
      </c>
      <c r="M8836" s="17" t="str">
        <f t="shared" si="431"/>
        <v/>
      </c>
      <c r="N8836" s="11" t="str">
        <f t="shared" si="432"/>
        <v/>
      </c>
    </row>
    <row r="8837" spans="9:14" x14ac:dyDescent="0.25">
      <c r="I8837" s="11" t="b">
        <f t="shared" si="430"/>
        <v>0</v>
      </c>
      <c r="M8837" s="17" t="str">
        <f t="shared" si="431"/>
        <v/>
      </c>
      <c r="N8837" s="11" t="str">
        <f t="shared" si="432"/>
        <v/>
      </c>
    </row>
    <row r="8838" spans="9:14" x14ac:dyDescent="0.25">
      <c r="I8838" s="11" t="b">
        <f t="shared" si="430"/>
        <v>0</v>
      </c>
      <c r="M8838" s="17" t="str">
        <f t="shared" si="431"/>
        <v/>
      </c>
      <c r="N8838" s="11" t="str">
        <f t="shared" si="432"/>
        <v/>
      </c>
    </row>
    <row r="8839" spans="9:14" x14ac:dyDescent="0.25">
      <c r="I8839" s="11" t="b">
        <f t="shared" si="430"/>
        <v>0</v>
      </c>
      <c r="M8839" s="17" t="str">
        <f t="shared" si="431"/>
        <v/>
      </c>
      <c r="N8839" s="11" t="str">
        <f t="shared" si="432"/>
        <v/>
      </c>
    </row>
    <row r="8840" spans="9:14" x14ac:dyDescent="0.25">
      <c r="I8840" s="11" t="b">
        <f t="shared" si="430"/>
        <v>0</v>
      </c>
      <c r="M8840" s="17" t="str">
        <f t="shared" si="431"/>
        <v/>
      </c>
      <c r="N8840" s="11" t="str">
        <f t="shared" si="432"/>
        <v/>
      </c>
    </row>
    <row r="8841" spans="9:14" x14ac:dyDescent="0.25">
      <c r="I8841" s="11" t="b">
        <f t="shared" si="430"/>
        <v>0</v>
      </c>
      <c r="M8841" s="17" t="str">
        <f t="shared" si="431"/>
        <v/>
      </c>
      <c r="N8841" s="11" t="str">
        <f t="shared" si="432"/>
        <v/>
      </c>
    </row>
    <row r="8842" spans="9:14" x14ac:dyDescent="0.25">
      <c r="I8842" s="11" t="b">
        <f t="shared" si="430"/>
        <v>0</v>
      </c>
      <c r="M8842" s="17" t="str">
        <f t="shared" si="431"/>
        <v/>
      </c>
      <c r="N8842" s="11" t="str">
        <f t="shared" si="432"/>
        <v/>
      </c>
    </row>
    <row r="8843" spans="9:14" x14ac:dyDescent="0.25">
      <c r="I8843" s="11" t="b">
        <f t="shared" si="430"/>
        <v>0</v>
      </c>
      <c r="M8843" s="17" t="str">
        <f t="shared" si="431"/>
        <v/>
      </c>
      <c r="N8843" s="11" t="str">
        <f t="shared" si="432"/>
        <v/>
      </c>
    </row>
    <row r="8844" spans="9:14" x14ac:dyDescent="0.25">
      <c r="I8844" s="11" t="b">
        <f t="shared" si="430"/>
        <v>0</v>
      </c>
      <c r="M8844" s="17" t="str">
        <f t="shared" si="431"/>
        <v/>
      </c>
      <c r="N8844" s="11" t="str">
        <f t="shared" si="432"/>
        <v/>
      </c>
    </row>
    <row r="8845" spans="9:14" x14ac:dyDescent="0.25">
      <c r="I8845" s="11" t="b">
        <f t="shared" si="430"/>
        <v>0</v>
      </c>
      <c r="M8845" s="17" t="str">
        <f t="shared" si="431"/>
        <v/>
      </c>
      <c r="N8845" s="11" t="str">
        <f t="shared" si="432"/>
        <v/>
      </c>
    </row>
    <row r="8846" spans="9:14" x14ac:dyDescent="0.25">
      <c r="I8846" s="11" t="b">
        <f t="shared" si="430"/>
        <v>0</v>
      </c>
      <c r="M8846" s="17" t="str">
        <f t="shared" si="431"/>
        <v/>
      </c>
      <c r="N8846" s="11" t="str">
        <f t="shared" si="432"/>
        <v/>
      </c>
    </row>
    <row r="8847" spans="9:14" x14ac:dyDescent="0.25">
      <c r="I8847" s="11" t="b">
        <f t="shared" si="430"/>
        <v>0</v>
      </c>
      <c r="M8847" s="17" t="str">
        <f t="shared" si="431"/>
        <v/>
      </c>
      <c r="N8847" s="11" t="str">
        <f t="shared" si="432"/>
        <v/>
      </c>
    </row>
    <row r="8848" spans="9:14" x14ac:dyDescent="0.25">
      <c r="I8848" s="11" t="b">
        <f t="shared" si="430"/>
        <v>0</v>
      </c>
      <c r="M8848" s="17" t="str">
        <f t="shared" si="431"/>
        <v/>
      </c>
      <c r="N8848" s="11" t="str">
        <f t="shared" si="432"/>
        <v/>
      </c>
    </row>
    <row r="8849" spans="9:14" x14ac:dyDescent="0.25">
      <c r="I8849" s="11" t="b">
        <f t="shared" si="430"/>
        <v>0</v>
      </c>
      <c r="M8849" s="17" t="str">
        <f t="shared" si="431"/>
        <v/>
      </c>
      <c r="N8849" s="11" t="str">
        <f t="shared" si="432"/>
        <v/>
      </c>
    </row>
    <row r="8850" spans="9:14" x14ac:dyDescent="0.25">
      <c r="I8850" s="11" t="b">
        <f t="shared" si="430"/>
        <v>0</v>
      </c>
      <c r="M8850" s="17" t="str">
        <f t="shared" si="431"/>
        <v/>
      </c>
      <c r="N8850" s="11" t="str">
        <f t="shared" si="432"/>
        <v/>
      </c>
    </row>
    <row r="8851" spans="9:14" x14ac:dyDescent="0.25">
      <c r="I8851" s="11" t="b">
        <f t="shared" si="430"/>
        <v>0</v>
      </c>
      <c r="M8851" s="17" t="str">
        <f t="shared" si="431"/>
        <v/>
      </c>
      <c r="N8851" s="11" t="str">
        <f t="shared" si="432"/>
        <v/>
      </c>
    </row>
    <row r="8852" spans="9:14" x14ac:dyDescent="0.25">
      <c r="I8852" s="11" t="b">
        <f t="shared" si="430"/>
        <v>0</v>
      </c>
      <c r="M8852" s="17" t="str">
        <f t="shared" si="431"/>
        <v/>
      </c>
      <c r="N8852" s="11" t="str">
        <f t="shared" si="432"/>
        <v/>
      </c>
    </row>
    <row r="8853" spans="9:14" x14ac:dyDescent="0.25">
      <c r="I8853" s="11" t="b">
        <f t="shared" si="430"/>
        <v>0</v>
      </c>
      <c r="M8853" s="17" t="str">
        <f t="shared" si="431"/>
        <v/>
      </c>
      <c r="N8853" s="11" t="str">
        <f t="shared" si="432"/>
        <v/>
      </c>
    </row>
    <row r="8854" spans="9:14" x14ac:dyDescent="0.25">
      <c r="I8854" s="11" t="b">
        <f t="shared" si="430"/>
        <v>0</v>
      </c>
      <c r="M8854" s="17" t="str">
        <f t="shared" si="431"/>
        <v/>
      </c>
      <c r="N8854" s="11" t="str">
        <f t="shared" si="432"/>
        <v/>
      </c>
    </row>
    <row r="8855" spans="9:14" x14ac:dyDescent="0.25">
      <c r="I8855" s="11" t="b">
        <f t="shared" si="430"/>
        <v>0</v>
      </c>
      <c r="M8855" s="17" t="str">
        <f t="shared" si="431"/>
        <v/>
      </c>
      <c r="N8855" s="11" t="str">
        <f t="shared" si="432"/>
        <v/>
      </c>
    </row>
    <row r="8856" spans="9:14" x14ac:dyDescent="0.25">
      <c r="I8856" s="11" t="b">
        <f t="shared" si="430"/>
        <v>0</v>
      </c>
      <c r="M8856" s="17" t="str">
        <f t="shared" si="431"/>
        <v/>
      </c>
      <c r="N8856" s="11" t="str">
        <f t="shared" si="432"/>
        <v/>
      </c>
    </row>
    <row r="8857" spans="9:14" x14ac:dyDescent="0.25">
      <c r="I8857" s="11" t="b">
        <f t="shared" si="430"/>
        <v>0</v>
      </c>
      <c r="M8857" s="17" t="str">
        <f t="shared" si="431"/>
        <v/>
      </c>
      <c r="N8857" s="11" t="str">
        <f t="shared" si="432"/>
        <v/>
      </c>
    </row>
    <row r="8858" spans="9:14" x14ac:dyDescent="0.25">
      <c r="I8858" s="11" t="b">
        <f t="shared" si="430"/>
        <v>0</v>
      </c>
      <c r="M8858" s="17" t="str">
        <f t="shared" si="431"/>
        <v/>
      </c>
      <c r="N8858" s="11" t="str">
        <f t="shared" si="432"/>
        <v/>
      </c>
    </row>
    <row r="8859" spans="9:14" x14ac:dyDescent="0.25">
      <c r="I8859" s="11" t="b">
        <f t="shared" si="430"/>
        <v>0</v>
      </c>
      <c r="M8859" s="17" t="str">
        <f t="shared" si="431"/>
        <v/>
      </c>
      <c r="N8859" s="11" t="str">
        <f t="shared" si="432"/>
        <v/>
      </c>
    </row>
    <row r="8860" spans="9:14" x14ac:dyDescent="0.25">
      <c r="I8860" s="11" t="b">
        <f t="shared" si="430"/>
        <v>0</v>
      </c>
      <c r="M8860" s="17" t="str">
        <f t="shared" si="431"/>
        <v/>
      </c>
      <c r="N8860" s="11" t="str">
        <f t="shared" si="432"/>
        <v/>
      </c>
    </row>
    <row r="8861" spans="9:14" x14ac:dyDescent="0.25">
      <c r="I8861" s="11" t="b">
        <f t="shared" ref="I8861:I8924" si="433">IF(AND(G8861="MERCADO PAGO",A8861="FATURAMENTO"),1,IF(AND(OR(G8861="MERCADO PAGO",G8861="pix mercado pago",G8861= "débito automático mercado pago", G8861= "boleto mercado pago"),A8861="DESPESAS"),4,IF(AND(G8861="SAFRA",A8861="FATURAMENTO"),2,IF(AND(OR(G8861="SAFRA",G8861="PIX SAFRA", G8861="DÉBITO AUTOMÁTICO SAFRA", G8861= "BOLETO SAFRA", G8861= "transferência safra"), A8861="DESPESAS"),5,IF(AND(G8861="espécie",A8861="FATURAMENTO"),3,IF(AND(G8861="espécie",A8861="DESPESAS"),6))))))</f>
        <v>0</v>
      </c>
      <c r="M8861" s="17" t="str">
        <f t="shared" si="431"/>
        <v/>
      </c>
      <c r="N8861" s="11" t="str">
        <f t="shared" si="432"/>
        <v/>
      </c>
    </row>
    <row r="8862" spans="9:14" x14ac:dyDescent="0.25">
      <c r="I8862" s="11" t="b">
        <f t="shared" si="433"/>
        <v>0</v>
      </c>
      <c r="M8862" s="17" t="str">
        <f t="shared" si="431"/>
        <v/>
      </c>
      <c r="N8862" s="11" t="str">
        <f t="shared" si="432"/>
        <v/>
      </c>
    </row>
    <row r="8863" spans="9:14" x14ac:dyDescent="0.25">
      <c r="I8863" s="11" t="b">
        <f t="shared" si="433"/>
        <v>0</v>
      </c>
      <c r="M8863" s="17" t="str">
        <f t="shared" si="431"/>
        <v/>
      </c>
      <c r="N8863" s="11" t="str">
        <f t="shared" si="432"/>
        <v/>
      </c>
    </row>
    <row r="8864" spans="9:14" x14ac:dyDescent="0.25">
      <c r="I8864" s="11" t="b">
        <f t="shared" si="433"/>
        <v>0</v>
      </c>
      <c r="M8864" s="17" t="str">
        <f t="shared" si="431"/>
        <v/>
      </c>
      <c r="N8864" s="11" t="str">
        <f t="shared" si="432"/>
        <v/>
      </c>
    </row>
    <row r="8865" spans="9:14" x14ac:dyDescent="0.25">
      <c r="I8865" s="11" t="b">
        <f t="shared" si="433"/>
        <v>0</v>
      </c>
      <c r="M8865" s="17" t="str">
        <f t="shared" si="431"/>
        <v/>
      </c>
      <c r="N8865" s="11" t="str">
        <f t="shared" si="432"/>
        <v/>
      </c>
    </row>
    <row r="8866" spans="9:14" x14ac:dyDescent="0.25">
      <c r="I8866" s="11" t="b">
        <f t="shared" si="433"/>
        <v>0</v>
      </c>
      <c r="M8866" s="17" t="str">
        <f t="shared" si="431"/>
        <v/>
      </c>
      <c r="N8866" s="11" t="str">
        <f t="shared" si="432"/>
        <v/>
      </c>
    </row>
    <row r="8867" spans="9:14" x14ac:dyDescent="0.25">
      <c r="I8867" s="11" t="b">
        <f t="shared" si="433"/>
        <v>0</v>
      </c>
      <c r="M8867" s="17" t="str">
        <f t="shared" si="431"/>
        <v/>
      </c>
      <c r="N8867" s="11" t="str">
        <f t="shared" si="432"/>
        <v/>
      </c>
    </row>
    <row r="8868" spans="9:14" x14ac:dyDescent="0.25">
      <c r="I8868" s="11" t="b">
        <f t="shared" si="433"/>
        <v>0</v>
      </c>
      <c r="M8868" s="17" t="str">
        <f t="shared" si="431"/>
        <v/>
      </c>
      <c r="N8868" s="11" t="str">
        <f t="shared" si="432"/>
        <v/>
      </c>
    </row>
    <row r="8869" spans="9:14" x14ac:dyDescent="0.25">
      <c r="I8869" s="11" t="b">
        <f t="shared" si="433"/>
        <v>0</v>
      </c>
      <c r="M8869" s="17" t="str">
        <f t="shared" si="431"/>
        <v/>
      </c>
      <c r="N8869" s="11" t="str">
        <f t="shared" si="432"/>
        <v/>
      </c>
    </row>
    <row r="8870" spans="9:14" x14ac:dyDescent="0.25">
      <c r="I8870" s="11" t="b">
        <f t="shared" si="433"/>
        <v>0</v>
      </c>
      <c r="M8870" s="17" t="str">
        <f t="shared" si="431"/>
        <v/>
      </c>
      <c r="N8870" s="11" t="str">
        <f t="shared" si="432"/>
        <v/>
      </c>
    </row>
    <row r="8871" spans="9:14" x14ac:dyDescent="0.25">
      <c r="I8871" s="11" t="b">
        <f t="shared" si="433"/>
        <v>0</v>
      </c>
      <c r="M8871" s="17" t="str">
        <f t="shared" si="431"/>
        <v/>
      </c>
      <c r="N8871" s="11" t="str">
        <f t="shared" si="432"/>
        <v/>
      </c>
    </row>
    <row r="8872" spans="9:14" x14ac:dyDescent="0.25">
      <c r="I8872" s="11" t="b">
        <f t="shared" si="433"/>
        <v>0</v>
      </c>
      <c r="M8872" s="17" t="str">
        <f t="shared" si="431"/>
        <v/>
      </c>
      <c r="N8872" s="11" t="str">
        <f t="shared" si="432"/>
        <v/>
      </c>
    </row>
    <row r="8873" spans="9:14" x14ac:dyDescent="0.25">
      <c r="I8873" s="11" t="b">
        <f t="shared" si="433"/>
        <v>0</v>
      </c>
      <c r="M8873" s="17" t="str">
        <f t="shared" si="431"/>
        <v/>
      </c>
      <c r="N8873" s="11" t="str">
        <f t="shared" si="432"/>
        <v/>
      </c>
    </row>
    <row r="8874" spans="9:14" x14ac:dyDescent="0.25">
      <c r="I8874" s="11" t="b">
        <f t="shared" si="433"/>
        <v>0</v>
      </c>
      <c r="M8874" s="17" t="str">
        <f t="shared" si="431"/>
        <v/>
      </c>
      <c r="N8874" s="11" t="str">
        <f t="shared" si="432"/>
        <v/>
      </c>
    </row>
    <row r="8875" spans="9:14" x14ac:dyDescent="0.25">
      <c r="I8875" s="11" t="b">
        <f t="shared" si="433"/>
        <v>0</v>
      </c>
      <c r="M8875" s="17" t="str">
        <f t="shared" si="431"/>
        <v/>
      </c>
      <c r="N8875" s="11" t="str">
        <f t="shared" si="432"/>
        <v/>
      </c>
    </row>
    <row r="8876" spans="9:14" x14ac:dyDescent="0.25">
      <c r="I8876" s="11" t="b">
        <f t="shared" si="433"/>
        <v>0</v>
      </c>
      <c r="M8876" s="17" t="str">
        <f t="shared" si="431"/>
        <v/>
      </c>
      <c r="N8876" s="11" t="str">
        <f t="shared" si="432"/>
        <v/>
      </c>
    </row>
    <row r="8877" spans="9:14" x14ac:dyDescent="0.25">
      <c r="I8877" s="11" t="b">
        <f t="shared" si="433"/>
        <v>0</v>
      </c>
      <c r="M8877" s="17" t="str">
        <f t="shared" si="431"/>
        <v/>
      </c>
      <c r="N8877" s="11" t="str">
        <f t="shared" si="432"/>
        <v/>
      </c>
    </row>
    <row r="8878" spans="9:14" x14ac:dyDescent="0.25">
      <c r="I8878" s="11" t="b">
        <f t="shared" si="433"/>
        <v>0</v>
      </c>
      <c r="M8878" s="17" t="str">
        <f t="shared" si="431"/>
        <v/>
      </c>
      <c r="N8878" s="11" t="str">
        <f t="shared" si="432"/>
        <v/>
      </c>
    </row>
    <row r="8879" spans="9:14" x14ac:dyDescent="0.25">
      <c r="I8879" s="11" t="b">
        <f t="shared" si="433"/>
        <v>0</v>
      </c>
      <c r="M8879" s="17" t="str">
        <f t="shared" si="431"/>
        <v/>
      </c>
      <c r="N8879" s="11" t="str">
        <f t="shared" si="432"/>
        <v/>
      </c>
    </row>
    <row r="8880" spans="9:14" x14ac:dyDescent="0.25">
      <c r="I8880" s="11" t="b">
        <f t="shared" si="433"/>
        <v>0</v>
      </c>
      <c r="M8880" s="17" t="str">
        <f t="shared" si="431"/>
        <v/>
      </c>
      <c r="N8880" s="11" t="str">
        <f t="shared" si="432"/>
        <v/>
      </c>
    </row>
    <row r="8881" spans="9:14" x14ac:dyDescent="0.25">
      <c r="I8881" s="11" t="b">
        <f t="shared" si="433"/>
        <v>0</v>
      </c>
      <c r="M8881" s="17" t="str">
        <f t="shared" si="431"/>
        <v/>
      </c>
      <c r="N8881" s="11" t="str">
        <f t="shared" si="432"/>
        <v/>
      </c>
    </row>
    <row r="8882" spans="9:14" x14ac:dyDescent="0.25">
      <c r="I8882" s="11" t="b">
        <f t="shared" si="433"/>
        <v>0</v>
      </c>
      <c r="M8882" s="17" t="str">
        <f t="shared" si="431"/>
        <v/>
      </c>
      <c r="N8882" s="11" t="str">
        <f t="shared" si="432"/>
        <v/>
      </c>
    </row>
    <row r="8883" spans="9:14" x14ac:dyDescent="0.25">
      <c r="I8883" s="11" t="b">
        <f t="shared" si="433"/>
        <v>0</v>
      </c>
      <c r="M8883" s="17" t="str">
        <f t="shared" si="431"/>
        <v/>
      </c>
      <c r="N8883" s="11" t="str">
        <f t="shared" si="432"/>
        <v/>
      </c>
    </row>
    <row r="8884" spans="9:14" x14ac:dyDescent="0.25">
      <c r="I8884" s="11" t="b">
        <f t="shared" si="433"/>
        <v>0</v>
      </c>
      <c r="M8884" s="17" t="str">
        <f t="shared" si="431"/>
        <v/>
      </c>
      <c r="N8884" s="11" t="str">
        <f t="shared" si="432"/>
        <v/>
      </c>
    </row>
    <row r="8885" spans="9:14" x14ac:dyDescent="0.25">
      <c r="I8885" s="11" t="b">
        <f t="shared" si="433"/>
        <v>0</v>
      </c>
      <c r="M8885" s="17" t="str">
        <f t="shared" si="431"/>
        <v/>
      </c>
      <c r="N8885" s="11" t="str">
        <f t="shared" si="432"/>
        <v/>
      </c>
    </row>
    <row r="8886" spans="9:14" x14ac:dyDescent="0.25">
      <c r="I8886" s="11" t="b">
        <f t="shared" si="433"/>
        <v>0</v>
      </c>
      <c r="M8886" s="17" t="str">
        <f t="shared" si="431"/>
        <v/>
      </c>
      <c r="N8886" s="11" t="str">
        <f t="shared" si="432"/>
        <v/>
      </c>
    </row>
    <row r="8887" spans="9:14" x14ac:dyDescent="0.25">
      <c r="I8887" s="11" t="b">
        <f t="shared" si="433"/>
        <v>0</v>
      </c>
      <c r="M8887" s="17" t="str">
        <f t="shared" si="431"/>
        <v/>
      </c>
      <c r="N8887" s="11" t="str">
        <f t="shared" si="432"/>
        <v/>
      </c>
    </row>
    <row r="8888" spans="9:14" x14ac:dyDescent="0.25">
      <c r="I8888" s="11" t="b">
        <f t="shared" si="433"/>
        <v>0</v>
      </c>
      <c r="M8888" s="17" t="str">
        <f t="shared" si="431"/>
        <v/>
      </c>
      <c r="N8888" s="11" t="str">
        <f t="shared" si="432"/>
        <v/>
      </c>
    </row>
    <row r="8889" spans="9:14" x14ac:dyDescent="0.25">
      <c r="I8889" s="11" t="b">
        <f t="shared" si="433"/>
        <v>0</v>
      </c>
      <c r="M8889" s="17" t="str">
        <f t="shared" si="431"/>
        <v/>
      </c>
      <c r="N8889" s="11" t="str">
        <f t="shared" si="432"/>
        <v/>
      </c>
    </row>
    <row r="8890" spans="9:14" x14ac:dyDescent="0.25">
      <c r="I8890" s="11" t="b">
        <f t="shared" si="433"/>
        <v>0</v>
      </c>
      <c r="M8890" s="17" t="str">
        <f t="shared" si="431"/>
        <v/>
      </c>
      <c r="N8890" s="11" t="str">
        <f t="shared" si="432"/>
        <v/>
      </c>
    </row>
    <row r="8891" spans="9:14" x14ac:dyDescent="0.25">
      <c r="I8891" s="11" t="b">
        <f t="shared" si="433"/>
        <v>0</v>
      </c>
      <c r="M8891" s="17" t="str">
        <f t="shared" si="431"/>
        <v/>
      </c>
      <c r="N8891" s="11" t="str">
        <f t="shared" si="432"/>
        <v/>
      </c>
    </row>
    <row r="8892" spans="9:14" x14ac:dyDescent="0.25">
      <c r="I8892" s="11" t="b">
        <f t="shared" si="433"/>
        <v>0</v>
      </c>
      <c r="M8892" s="17" t="str">
        <f t="shared" si="431"/>
        <v/>
      </c>
      <c r="N8892" s="11" t="str">
        <f t="shared" si="432"/>
        <v/>
      </c>
    </row>
    <row r="8893" spans="9:14" x14ac:dyDescent="0.25">
      <c r="I8893" s="11" t="b">
        <f t="shared" si="433"/>
        <v>0</v>
      </c>
      <c r="M8893" s="17" t="str">
        <f t="shared" si="431"/>
        <v/>
      </c>
      <c r="N8893" s="11" t="str">
        <f t="shared" si="432"/>
        <v/>
      </c>
    </row>
    <row r="8894" spans="9:14" x14ac:dyDescent="0.25">
      <c r="I8894" s="11" t="b">
        <f t="shared" si="433"/>
        <v>0</v>
      </c>
      <c r="M8894" s="17" t="str">
        <f t="shared" si="431"/>
        <v/>
      </c>
      <c r="N8894" s="11" t="str">
        <f t="shared" si="432"/>
        <v/>
      </c>
    </row>
    <row r="8895" spans="9:14" x14ac:dyDescent="0.25">
      <c r="I8895" s="11" t="b">
        <f t="shared" si="433"/>
        <v>0</v>
      </c>
      <c r="M8895" s="17" t="str">
        <f t="shared" si="431"/>
        <v/>
      </c>
      <c r="N8895" s="11" t="str">
        <f t="shared" si="432"/>
        <v/>
      </c>
    </row>
    <row r="8896" spans="9:14" x14ac:dyDescent="0.25">
      <c r="I8896" s="11" t="b">
        <f t="shared" si="433"/>
        <v>0</v>
      </c>
      <c r="M8896" s="17" t="str">
        <f t="shared" si="431"/>
        <v/>
      </c>
      <c r="N8896" s="11" t="str">
        <f t="shared" si="432"/>
        <v/>
      </c>
    </row>
    <row r="8897" spans="9:14" x14ac:dyDescent="0.25">
      <c r="I8897" s="11" t="b">
        <f t="shared" si="433"/>
        <v>0</v>
      </c>
      <c r="M8897" s="17" t="str">
        <f t="shared" ref="M8897:M8960" si="434">IF(B8897=0, "",M8896+ J8897-K8897)</f>
        <v/>
      </c>
      <c r="N8897" s="11" t="str">
        <f t="shared" ref="N8897:N8960" si="435">IF(B8897=0, "", MONTH(B8897))</f>
        <v/>
      </c>
    </row>
    <row r="8898" spans="9:14" x14ac:dyDescent="0.25">
      <c r="I8898" s="11" t="b">
        <f t="shared" si="433"/>
        <v>0</v>
      </c>
      <c r="M8898" s="17" t="str">
        <f t="shared" si="434"/>
        <v/>
      </c>
      <c r="N8898" s="11" t="str">
        <f t="shared" si="435"/>
        <v/>
      </c>
    </row>
    <row r="8899" spans="9:14" x14ac:dyDescent="0.25">
      <c r="I8899" s="11" t="b">
        <f t="shared" si="433"/>
        <v>0</v>
      </c>
      <c r="M8899" s="17" t="str">
        <f t="shared" si="434"/>
        <v/>
      </c>
      <c r="N8899" s="11" t="str">
        <f t="shared" si="435"/>
        <v/>
      </c>
    </row>
    <row r="8900" spans="9:14" x14ac:dyDescent="0.25">
      <c r="I8900" s="11" t="b">
        <f t="shared" si="433"/>
        <v>0</v>
      </c>
      <c r="M8900" s="17" t="str">
        <f t="shared" si="434"/>
        <v/>
      </c>
      <c r="N8900" s="11" t="str">
        <f t="shared" si="435"/>
        <v/>
      </c>
    </row>
    <row r="8901" spans="9:14" x14ac:dyDescent="0.25">
      <c r="I8901" s="11" t="b">
        <f t="shared" si="433"/>
        <v>0</v>
      </c>
      <c r="M8901" s="17" t="str">
        <f t="shared" si="434"/>
        <v/>
      </c>
      <c r="N8901" s="11" t="str">
        <f t="shared" si="435"/>
        <v/>
      </c>
    </row>
    <row r="8902" spans="9:14" x14ac:dyDescent="0.25">
      <c r="I8902" s="11" t="b">
        <f t="shared" si="433"/>
        <v>0</v>
      </c>
      <c r="M8902" s="17" t="str">
        <f t="shared" si="434"/>
        <v/>
      </c>
      <c r="N8902" s="11" t="str">
        <f t="shared" si="435"/>
        <v/>
      </c>
    </row>
    <row r="8903" spans="9:14" x14ac:dyDescent="0.25">
      <c r="I8903" s="11" t="b">
        <f t="shared" si="433"/>
        <v>0</v>
      </c>
      <c r="M8903" s="17" t="str">
        <f t="shared" si="434"/>
        <v/>
      </c>
      <c r="N8903" s="11" t="str">
        <f t="shared" si="435"/>
        <v/>
      </c>
    </row>
    <row r="8904" spans="9:14" x14ac:dyDescent="0.25">
      <c r="I8904" s="11" t="b">
        <f t="shared" si="433"/>
        <v>0</v>
      </c>
      <c r="M8904" s="17" t="str">
        <f t="shared" si="434"/>
        <v/>
      </c>
      <c r="N8904" s="11" t="str">
        <f t="shared" si="435"/>
        <v/>
      </c>
    </row>
    <row r="8905" spans="9:14" x14ac:dyDescent="0.25">
      <c r="I8905" s="11" t="b">
        <f t="shared" si="433"/>
        <v>0</v>
      </c>
      <c r="M8905" s="17" t="str">
        <f t="shared" si="434"/>
        <v/>
      </c>
      <c r="N8905" s="11" t="str">
        <f t="shared" si="435"/>
        <v/>
      </c>
    </row>
    <row r="8906" spans="9:14" x14ac:dyDescent="0.25">
      <c r="I8906" s="11" t="b">
        <f t="shared" si="433"/>
        <v>0</v>
      </c>
      <c r="M8906" s="17" t="str">
        <f t="shared" si="434"/>
        <v/>
      </c>
      <c r="N8906" s="11" t="str">
        <f t="shared" si="435"/>
        <v/>
      </c>
    </row>
    <row r="8907" spans="9:14" x14ac:dyDescent="0.25">
      <c r="I8907" s="11" t="b">
        <f t="shared" si="433"/>
        <v>0</v>
      </c>
      <c r="M8907" s="17" t="str">
        <f t="shared" si="434"/>
        <v/>
      </c>
      <c r="N8907" s="11" t="str">
        <f t="shared" si="435"/>
        <v/>
      </c>
    </row>
    <row r="8908" spans="9:14" x14ac:dyDescent="0.25">
      <c r="I8908" s="11" t="b">
        <f t="shared" si="433"/>
        <v>0</v>
      </c>
      <c r="M8908" s="17" t="str">
        <f t="shared" si="434"/>
        <v/>
      </c>
      <c r="N8908" s="11" t="str">
        <f t="shared" si="435"/>
        <v/>
      </c>
    </row>
    <row r="8909" spans="9:14" x14ac:dyDescent="0.25">
      <c r="I8909" s="11" t="b">
        <f t="shared" si="433"/>
        <v>0</v>
      </c>
      <c r="M8909" s="17" t="str">
        <f t="shared" si="434"/>
        <v/>
      </c>
      <c r="N8909" s="11" t="str">
        <f t="shared" si="435"/>
        <v/>
      </c>
    </row>
    <row r="8910" spans="9:14" x14ac:dyDescent="0.25">
      <c r="I8910" s="11" t="b">
        <f t="shared" si="433"/>
        <v>0</v>
      </c>
      <c r="M8910" s="17" t="str">
        <f t="shared" si="434"/>
        <v/>
      </c>
      <c r="N8910" s="11" t="str">
        <f t="shared" si="435"/>
        <v/>
      </c>
    </row>
    <row r="8911" spans="9:14" x14ac:dyDescent="0.25">
      <c r="I8911" s="11" t="b">
        <f t="shared" si="433"/>
        <v>0</v>
      </c>
      <c r="M8911" s="17" t="str">
        <f t="shared" si="434"/>
        <v/>
      </c>
      <c r="N8911" s="11" t="str">
        <f t="shared" si="435"/>
        <v/>
      </c>
    </row>
    <row r="8912" spans="9:14" x14ac:dyDescent="0.25">
      <c r="I8912" s="11" t="b">
        <f t="shared" si="433"/>
        <v>0</v>
      </c>
      <c r="M8912" s="17" t="str">
        <f t="shared" si="434"/>
        <v/>
      </c>
      <c r="N8912" s="11" t="str">
        <f t="shared" si="435"/>
        <v/>
      </c>
    </row>
    <row r="8913" spans="9:14" x14ac:dyDescent="0.25">
      <c r="I8913" s="11" t="b">
        <f t="shared" si="433"/>
        <v>0</v>
      </c>
      <c r="M8913" s="17" t="str">
        <f t="shared" si="434"/>
        <v/>
      </c>
      <c r="N8913" s="11" t="str">
        <f t="shared" si="435"/>
        <v/>
      </c>
    </row>
    <row r="8914" spans="9:14" x14ac:dyDescent="0.25">
      <c r="I8914" s="11" t="b">
        <f t="shared" si="433"/>
        <v>0</v>
      </c>
      <c r="M8914" s="17" t="str">
        <f t="shared" si="434"/>
        <v/>
      </c>
      <c r="N8914" s="11" t="str">
        <f t="shared" si="435"/>
        <v/>
      </c>
    </row>
    <row r="8915" spans="9:14" x14ac:dyDescent="0.25">
      <c r="I8915" s="11" t="b">
        <f t="shared" si="433"/>
        <v>0</v>
      </c>
      <c r="M8915" s="17" t="str">
        <f t="shared" si="434"/>
        <v/>
      </c>
      <c r="N8915" s="11" t="str">
        <f t="shared" si="435"/>
        <v/>
      </c>
    </row>
    <row r="8916" spans="9:14" x14ac:dyDescent="0.25">
      <c r="I8916" s="11" t="b">
        <f t="shared" si="433"/>
        <v>0</v>
      </c>
      <c r="M8916" s="17" t="str">
        <f t="shared" si="434"/>
        <v/>
      </c>
      <c r="N8916" s="11" t="str">
        <f t="shared" si="435"/>
        <v/>
      </c>
    </row>
    <row r="8917" spans="9:14" x14ac:dyDescent="0.25">
      <c r="I8917" s="11" t="b">
        <f t="shared" si="433"/>
        <v>0</v>
      </c>
      <c r="M8917" s="17" t="str">
        <f t="shared" si="434"/>
        <v/>
      </c>
      <c r="N8917" s="11" t="str">
        <f t="shared" si="435"/>
        <v/>
      </c>
    </row>
    <row r="8918" spans="9:14" x14ac:dyDescent="0.25">
      <c r="I8918" s="11" t="b">
        <f t="shared" si="433"/>
        <v>0</v>
      </c>
      <c r="M8918" s="17" t="str">
        <f t="shared" si="434"/>
        <v/>
      </c>
      <c r="N8918" s="11" t="str">
        <f t="shared" si="435"/>
        <v/>
      </c>
    </row>
    <row r="8919" spans="9:14" x14ac:dyDescent="0.25">
      <c r="I8919" s="11" t="b">
        <f t="shared" si="433"/>
        <v>0</v>
      </c>
      <c r="M8919" s="17" t="str">
        <f t="shared" si="434"/>
        <v/>
      </c>
      <c r="N8919" s="11" t="str">
        <f t="shared" si="435"/>
        <v/>
      </c>
    </row>
    <row r="8920" spans="9:14" x14ac:dyDescent="0.25">
      <c r="I8920" s="11" t="b">
        <f t="shared" si="433"/>
        <v>0</v>
      </c>
      <c r="M8920" s="17" t="str">
        <f t="shared" si="434"/>
        <v/>
      </c>
      <c r="N8920" s="11" t="str">
        <f t="shared" si="435"/>
        <v/>
      </c>
    </row>
    <row r="8921" spans="9:14" x14ac:dyDescent="0.25">
      <c r="I8921" s="11" t="b">
        <f t="shared" si="433"/>
        <v>0</v>
      </c>
      <c r="M8921" s="17" t="str">
        <f t="shared" si="434"/>
        <v/>
      </c>
      <c r="N8921" s="11" t="str">
        <f t="shared" si="435"/>
        <v/>
      </c>
    </row>
    <row r="8922" spans="9:14" x14ac:dyDescent="0.25">
      <c r="I8922" s="11" t="b">
        <f t="shared" si="433"/>
        <v>0</v>
      </c>
      <c r="M8922" s="17" t="str">
        <f t="shared" si="434"/>
        <v/>
      </c>
      <c r="N8922" s="11" t="str">
        <f t="shared" si="435"/>
        <v/>
      </c>
    </row>
    <row r="8923" spans="9:14" x14ac:dyDescent="0.25">
      <c r="I8923" s="11" t="b">
        <f t="shared" si="433"/>
        <v>0</v>
      </c>
      <c r="M8923" s="17" t="str">
        <f t="shared" si="434"/>
        <v/>
      </c>
      <c r="N8923" s="11" t="str">
        <f t="shared" si="435"/>
        <v/>
      </c>
    </row>
    <row r="8924" spans="9:14" x14ac:dyDescent="0.25">
      <c r="I8924" s="11" t="b">
        <f t="shared" si="433"/>
        <v>0</v>
      </c>
      <c r="M8924" s="17" t="str">
        <f t="shared" si="434"/>
        <v/>
      </c>
      <c r="N8924" s="11" t="str">
        <f t="shared" si="435"/>
        <v/>
      </c>
    </row>
    <row r="8925" spans="9:14" x14ac:dyDescent="0.25">
      <c r="I8925" s="11" t="b">
        <f t="shared" ref="I8925:I8988" si="436">IF(AND(G8925="MERCADO PAGO",A8925="FATURAMENTO"),1,IF(AND(OR(G8925="MERCADO PAGO",G8925="pix mercado pago",G8925= "débito automático mercado pago", G8925= "boleto mercado pago"),A8925="DESPESAS"),4,IF(AND(G8925="SAFRA",A8925="FATURAMENTO"),2,IF(AND(OR(G8925="SAFRA",G8925="PIX SAFRA", G8925="DÉBITO AUTOMÁTICO SAFRA", G8925= "BOLETO SAFRA", G8925= "transferência safra"), A8925="DESPESAS"),5,IF(AND(G8925="espécie",A8925="FATURAMENTO"),3,IF(AND(G8925="espécie",A8925="DESPESAS"),6))))))</f>
        <v>0</v>
      </c>
      <c r="M8925" s="17" t="str">
        <f t="shared" si="434"/>
        <v/>
      </c>
      <c r="N8925" s="11" t="str">
        <f t="shared" si="435"/>
        <v/>
      </c>
    </row>
    <row r="8926" spans="9:14" x14ac:dyDescent="0.25">
      <c r="I8926" s="11" t="b">
        <f t="shared" si="436"/>
        <v>0</v>
      </c>
      <c r="M8926" s="17" t="str">
        <f t="shared" si="434"/>
        <v/>
      </c>
      <c r="N8926" s="11" t="str">
        <f t="shared" si="435"/>
        <v/>
      </c>
    </row>
    <row r="8927" spans="9:14" x14ac:dyDescent="0.25">
      <c r="I8927" s="11" t="b">
        <f t="shared" si="436"/>
        <v>0</v>
      </c>
      <c r="M8927" s="17" t="str">
        <f t="shared" si="434"/>
        <v/>
      </c>
      <c r="N8927" s="11" t="str">
        <f t="shared" si="435"/>
        <v/>
      </c>
    </row>
    <row r="8928" spans="9:14" x14ac:dyDescent="0.25">
      <c r="I8928" s="11" t="b">
        <f t="shared" si="436"/>
        <v>0</v>
      </c>
      <c r="M8928" s="17" t="str">
        <f t="shared" si="434"/>
        <v/>
      </c>
      <c r="N8928" s="11" t="str">
        <f t="shared" si="435"/>
        <v/>
      </c>
    </row>
    <row r="8929" spans="9:14" x14ac:dyDescent="0.25">
      <c r="I8929" s="11" t="b">
        <f t="shared" si="436"/>
        <v>0</v>
      </c>
      <c r="M8929" s="17" t="str">
        <f t="shared" si="434"/>
        <v/>
      </c>
      <c r="N8929" s="11" t="str">
        <f t="shared" si="435"/>
        <v/>
      </c>
    </row>
    <row r="8930" spans="9:14" x14ac:dyDescent="0.25">
      <c r="I8930" s="11" t="b">
        <f t="shared" si="436"/>
        <v>0</v>
      </c>
      <c r="M8930" s="17" t="str">
        <f t="shared" si="434"/>
        <v/>
      </c>
      <c r="N8930" s="11" t="str">
        <f t="shared" si="435"/>
        <v/>
      </c>
    </row>
    <row r="8931" spans="9:14" x14ac:dyDescent="0.25">
      <c r="I8931" s="11" t="b">
        <f t="shared" si="436"/>
        <v>0</v>
      </c>
      <c r="M8931" s="17" t="str">
        <f t="shared" si="434"/>
        <v/>
      </c>
      <c r="N8931" s="11" t="str">
        <f t="shared" si="435"/>
        <v/>
      </c>
    </row>
    <row r="8932" spans="9:14" x14ac:dyDescent="0.25">
      <c r="I8932" s="11" t="b">
        <f t="shared" si="436"/>
        <v>0</v>
      </c>
      <c r="M8932" s="17" t="str">
        <f t="shared" si="434"/>
        <v/>
      </c>
      <c r="N8932" s="11" t="str">
        <f t="shared" si="435"/>
        <v/>
      </c>
    </row>
    <row r="8933" spans="9:14" x14ac:dyDescent="0.25">
      <c r="I8933" s="11" t="b">
        <f t="shared" si="436"/>
        <v>0</v>
      </c>
      <c r="M8933" s="17" t="str">
        <f t="shared" si="434"/>
        <v/>
      </c>
      <c r="N8933" s="11" t="str">
        <f t="shared" si="435"/>
        <v/>
      </c>
    </row>
    <row r="8934" spans="9:14" x14ac:dyDescent="0.25">
      <c r="I8934" s="11" t="b">
        <f t="shared" si="436"/>
        <v>0</v>
      </c>
      <c r="M8934" s="17" t="str">
        <f t="shared" si="434"/>
        <v/>
      </c>
      <c r="N8934" s="11" t="str">
        <f t="shared" si="435"/>
        <v/>
      </c>
    </row>
    <row r="8935" spans="9:14" x14ac:dyDescent="0.25">
      <c r="I8935" s="11" t="b">
        <f t="shared" si="436"/>
        <v>0</v>
      </c>
      <c r="M8935" s="17" t="str">
        <f t="shared" si="434"/>
        <v/>
      </c>
      <c r="N8935" s="11" t="str">
        <f t="shared" si="435"/>
        <v/>
      </c>
    </row>
    <row r="8936" spans="9:14" x14ac:dyDescent="0.25">
      <c r="I8936" s="11" t="b">
        <f t="shared" si="436"/>
        <v>0</v>
      </c>
      <c r="M8936" s="17" t="str">
        <f t="shared" si="434"/>
        <v/>
      </c>
      <c r="N8936" s="11" t="str">
        <f t="shared" si="435"/>
        <v/>
      </c>
    </row>
    <row r="8937" spans="9:14" x14ac:dyDescent="0.25">
      <c r="I8937" s="11" t="b">
        <f t="shared" si="436"/>
        <v>0</v>
      </c>
      <c r="M8937" s="17" t="str">
        <f t="shared" si="434"/>
        <v/>
      </c>
      <c r="N8937" s="11" t="str">
        <f t="shared" si="435"/>
        <v/>
      </c>
    </row>
    <row r="8938" spans="9:14" x14ac:dyDescent="0.25">
      <c r="I8938" s="11" t="b">
        <f t="shared" si="436"/>
        <v>0</v>
      </c>
      <c r="M8938" s="17" t="str">
        <f t="shared" si="434"/>
        <v/>
      </c>
      <c r="N8938" s="11" t="str">
        <f t="shared" si="435"/>
        <v/>
      </c>
    </row>
    <row r="8939" spans="9:14" x14ac:dyDescent="0.25">
      <c r="I8939" s="11" t="b">
        <f t="shared" si="436"/>
        <v>0</v>
      </c>
      <c r="M8939" s="17" t="str">
        <f t="shared" si="434"/>
        <v/>
      </c>
      <c r="N8939" s="11" t="str">
        <f t="shared" si="435"/>
        <v/>
      </c>
    </row>
    <row r="8940" spans="9:14" x14ac:dyDescent="0.25">
      <c r="I8940" s="11" t="b">
        <f t="shared" si="436"/>
        <v>0</v>
      </c>
      <c r="M8940" s="17" t="str">
        <f t="shared" si="434"/>
        <v/>
      </c>
      <c r="N8940" s="11" t="str">
        <f t="shared" si="435"/>
        <v/>
      </c>
    </row>
    <row r="8941" spans="9:14" x14ac:dyDescent="0.25">
      <c r="I8941" s="11" t="b">
        <f t="shared" si="436"/>
        <v>0</v>
      </c>
      <c r="M8941" s="17" t="str">
        <f t="shared" si="434"/>
        <v/>
      </c>
      <c r="N8941" s="11" t="str">
        <f t="shared" si="435"/>
        <v/>
      </c>
    </row>
    <row r="8942" spans="9:14" x14ac:dyDescent="0.25">
      <c r="I8942" s="11" t="b">
        <f t="shared" si="436"/>
        <v>0</v>
      </c>
      <c r="M8942" s="17" t="str">
        <f t="shared" si="434"/>
        <v/>
      </c>
      <c r="N8942" s="11" t="str">
        <f t="shared" si="435"/>
        <v/>
      </c>
    </row>
    <row r="8943" spans="9:14" x14ac:dyDescent="0.25">
      <c r="I8943" s="11" t="b">
        <f t="shared" si="436"/>
        <v>0</v>
      </c>
      <c r="M8943" s="17" t="str">
        <f t="shared" si="434"/>
        <v/>
      </c>
      <c r="N8943" s="11" t="str">
        <f t="shared" si="435"/>
        <v/>
      </c>
    </row>
    <row r="8944" spans="9:14" x14ac:dyDescent="0.25">
      <c r="I8944" s="11" t="b">
        <f t="shared" si="436"/>
        <v>0</v>
      </c>
      <c r="M8944" s="17" t="str">
        <f t="shared" si="434"/>
        <v/>
      </c>
      <c r="N8944" s="11" t="str">
        <f t="shared" si="435"/>
        <v/>
      </c>
    </row>
    <row r="8945" spans="9:14" x14ac:dyDescent="0.25">
      <c r="I8945" s="11" t="b">
        <f t="shared" si="436"/>
        <v>0</v>
      </c>
      <c r="M8945" s="17" t="str">
        <f t="shared" si="434"/>
        <v/>
      </c>
      <c r="N8945" s="11" t="str">
        <f t="shared" si="435"/>
        <v/>
      </c>
    </row>
    <row r="8946" spans="9:14" x14ac:dyDescent="0.25">
      <c r="I8946" s="11" t="b">
        <f t="shared" si="436"/>
        <v>0</v>
      </c>
      <c r="M8946" s="17" t="str">
        <f t="shared" si="434"/>
        <v/>
      </c>
      <c r="N8946" s="11" t="str">
        <f t="shared" si="435"/>
        <v/>
      </c>
    </row>
    <row r="8947" spans="9:14" x14ac:dyDescent="0.25">
      <c r="I8947" s="11" t="b">
        <f t="shared" si="436"/>
        <v>0</v>
      </c>
      <c r="M8947" s="17" t="str">
        <f t="shared" si="434"/>
        <v/>
      </c>
      <c r="N8947" s="11" t="str">
        <f t="shared" si="435"/>
        <v/>
      </c>
    </row>
    <row r="8948" spans="9:14" x14ac:dyDescent="0.25">
      <c r="I8948" s="11" t="b">
        <f t="shared" si="436"/>
        <v>0</v>
      </c>
      <c r="M8948" s="17" t="str">
        <f t="shared" si="434"/>
        <v/>
      </c>
      <c r="N8948" s="11" t="str">
        <f t="shared" si="435"/>
        <v/>
      </c>
    </row>
    <row r="8949" spans="9:14" x14ac:dyDescent="0.25">
      <c r="I8949" s="11" t="b">
        <f t="shared" si="436"/>
        <v>0</v>
      </c>
      <c r="M8949" s="17" t="str">
        <f t="shared" si="434"/>
        <v/>
      </c>
      <c r="N8949" s="11" t="str">
        <f t="shared" si="435"/>
        <v/>
      </c>
    </row>
    <row r="8950" spans="9:14" x14ac:dyDescent="0.25">
      <c r="I8950" s="11" t="b">
        <f t="shared" si="436"/>
        <v>0</v>
      </c>
      <c r="M8950" s="17" t="str">
        <f t="shared" si="434"/>
        <v/>
      </c>
      <c r="N8950" s="11" t="str">
        <f t="shared" si="435"/>
        <v/>
      </c>
    </row>
    <row r="8951" spans="9:14" x14ac:dyDescent="0.25">
      <c r="I8951" s="11" t="b">
        <f t="shared" si="436"/>
        <v>0</v>
      </c>
      <c r="M8951" s="17" t="str">
        <f t="shared" si="434"/>
        <v/>
      </c>
      <c r="N8951" s="11" t="str">
        <f t="shared" si="435"/>
        <v/>
      </c>
    </row>
    <row r="8952" spans="9:14" x14ac:dyDescent="0.25">
      <c r="I8952" s="11" t="b">
        <f t="shared" si="436"/>
        <v>0</v>
      </c>
      <c r="M8952" s="17" t="str">
        <f t="shared" si="434"/>
        <v/>
      </c>
      <c r="N8952" s="11" t="str">
        <f t="shared" si="435"/>
        <v/>
      </c>
    </row>
    <row r="8953" spans="9:14" x14ac:dyDescent="0.25">
      <c r="I8953" s="11" t="b">
        <f t="shared" si="436"/>
        <v>0</v>
      </c>
      <c r="M8953" s="17" t="str">
        <f t="shared" si="434"/>
        <v/>
      </c>
      <c r="N8953" s="11" t="str">
        <f t="shared" si="435"/>
        <v/>
      </c>
    </row>
    <row r="8954" spans="9:14" x14ac:dyDescent="0.25">
      <c r="I8954" s="11" t="b">
        <f t="shared" si="436"/>
        <v>0</v>
      </c>
      <c r="M8954" s="17" t="str">
        <f t="shared" si="434"/>
        <v/>
      </c>
      <c r="N8954" s="11" t="str">
        <f t="shared" si="435"/>
        <v/>
      </c>
    </row>
    <row r="8955" spans="9:14" x14ac:dyDescent="0.25">
      <c r="I8955" s="11" t="b">
        <f t="shared" si="436"/>
        <v>0</v>
      </c>
      <c r="M8955" s="17" t="str">
        <f t="shared" si="434"/>
        <v/>
      </c>
      <c r="N8955" s="11" t="str">
        <f t="shared" si="435"/>
        <v/>
      </c>
    </row>
    <row r="8956" spans="9:14" x14ac:dyDescent="0.25">
      <c r="I8956" s="11" t="b">
        <f t="shared" si="436"/>
        <v>0</v>
      </c>
      <c r="M8956" s="17" t="str">
        <f t="shared" si="434"/>
        <v/>
      </c>
      <c r="N8956" s="11" t="str">
        <f t="shared" si="435"/>
        <v/>
      </c>
    </row>
    <row r="8957" spans="9:14" x14ac:dyDescent="0.25">
      <c r="I8957" s="11" t="b">
        <f t="shared" si="436"/>
        <v>0</v>
      </c>
      <c r="M8957" s="17" t="str">
        <f t="shared" si="434"/>
        <v/>
      </c>
      <c r="N8957" s="11" t="str">
        <f t="shared" si="435"/>
        <v/>
      </c>
    </row>
    <row r="8958" spans="9:14" x14ac:dyDescent="0.25">
      <c r="I8958" s="11" t="b">
        <f t="shared" si="436"/>
        <v>0</v>
      </c>
      <c r="M8958" s="17" t="str">
        <f t="shared" si="434"/>
        <v/>
      </c>
      <c r="N8958" s="11" t="str">
        <f t="shared" si="435"/>
        <v/>
      </c>
    </row>
    <row r="8959" spans="9:14" x14ac:dyDescent="0.25">
      <c r="I8959" s="11" t="b">
        <f t="shared" si="436"/>
        <v>0</v>
      </c>
      <c r="M8959" s="17" t="str">
        <f t="shared" si="434"/>
        <v/>
      </c>
      <c r="N8959" s="11" t="str">
        <f t="shared" si="435"/>
        <v/>
      </c>
    </row>
    <row r="8960" spans="9:14" x14ac:dyDescent="0.25">
      <c r="I8960" s="11" t="b">
        <f t="shared" si="436"/>
        <v>0</v>
      </c>
      <c r="M8960" s="17" t="str">
        <f t="shared" si="434"/>
        <v/>
      </c>
      <c r="N8960" s="11" t="str">
        <f t="shared" si="435"/>
        <v/>
      </c>
    </row>
    <row r="8961" spans="9:14" x14ac:dyDescent="0.25">
      <c r="I8961" s="11" t="b">
        <f t="shared" si="436"/>
        <v>0</v>
      </c>
      <c r="M8961" s="17" t="str">
        <f t="shared" ref="M8961:M9024" si="437">IF(B8961=0, "",M8960+ J8961-K8961)</f>
        <v/>
      </c>
      <c r="N8961" s="11" t="str">
        <f t="shared" ref="N8961:N9024" si="438">IF(B8961=0, "", MONTH(B8961))</f>
        <v/>
      </c>
    </row>
    <row r="8962" spans="9:14" x14ac:dyDescent="0.25">
      <c r="I8962" s="11" t="b">
        <f t="shared" si="436"/>
        <v>0</v>
      </c>
      <c r="M8962" s="17" t="str">
        <f t="shared" si="437"/>
        <v/>
      </c>
      <c r="N8962" s="11" t="str">
        <f t="shared" si="438"/>
        <v/>
      </c>
    </row>
    <row r="8963" spans="9:14" x14ac:dyDescent="0.25">
      <c r="I8963" s="11" t="b">
        <f t="shared" si="436"/>
        <v>0</v>
      </c>
      <c r="M8963" s="17" t="str">
        <f t="shared" si="437"/>
        <v/>
      </c>
      <c r="N8963" s="11" t="str">
        <f t="shared" si="438"/>
        <v/>
      </c>
    </row>
    <row r="8964" spans="9:14" x14ac:dyDescent="0.25">
      <c r="I8964" s="11" t="b">
        <f t="shared" si="436"/>
        <v>0</v>
      </c>
      <c r="M8964" s="17" t="str">
        <f t="shared" si="437"/>
        <v/>
      </c>
      <c r="N8964" s="11" t="str">
        <f t="shared" si="438"/>
        <v/>
      </c>
    </row>
    <row r="8965" spans="9:14" x14ac:dyDescent="0.25">
      <c r="I8965" s="11" t="b">
        <f t="shared" si="436"/>
        <v>0</v>
      </c>
      <c r="M8965" s="17" t="str">
        <f t="shared" si="437"/>
        <v/>
      </c>
      <c r="N8965" s="11" t="str">
        <f t="shared" si="438"/>
        <v/>
      </c>
    </row>
    <row r="8966" spans="9:14" x14ac:dyDescent="0.25">
      <c r="I8966" s="11" t="b">
        <f t="shared" si="436"/>
        <v>0</v>
      </c>
      <c r="M8966" s="17" t="str">
        <f t="shared" si="437"/>
        <v/>
      </c>
      <c r="N8966" s="11" t="str">
        <f t="shared" si="438"/>
        <v/>
      </c>
    </row>
    <row r="8967" spans="9:14" x14ac:dyDescent="0.25">
      <c r="I8967" s="11" t="b">
        <f t="shared" si="436"/>
        <v>0</v>
      </c>
      <c r="M8967" s="17" t="str">
        <f t="shared" si="437"/>
        <v/>
      </c>
      <c r="N8967" s="11" t="str">
        <f t="shared" si="438"/>
        <v/>
      </c>
    </row>
    <row r="8968" spans="9:14" x14ac:dyDescent="0.25">
      <c r="I8968" s="11" t="b">
        <f t="shared" si="436"/>
        <v>0</v>
      </c>
      <c r="M8968" s="17" t="str">
        <f t="shared" si="437"/>
        <v/>
      </c>
      <c r="N8968" s="11" t="str">
        <f t="shared" si="438"/>
        <v/>
      </c>
    </row>
    <row r="8969" spans="9:14" x14ac:dyDescent="0.25">
      <c r="I8969" s="11" t="b">
        <f t="shared" si="436"/>
        <v>0</v>
      </c>
      <c r="M8969" s="17" t="str">
        <f t="shared" si="437"/>
        <v/>
      </c>
      <c r="N8969" s="11" t="str">
        <f t="shared" si="438"/>
        <v/>
      </c>
    </row>
    <row r="8970" spans="9:14" x14ac:dyDescent="0.25">
      <c r="I8970" s="11" t="b">
        <f t="shared" si="436"/>
        <v>0</v>
      </c>
      <c r="M8970" s="17" t="str">
        <f t="shared" si="437"/>
        <v/>
      </c>
      <c r="N8970" s="11" t="str">
        <f t="shared" si="438"/>
        <v/>
      </c>
    </row>
    <row r="8971" spans="9:14" x14ac:dyDescent="0.25">
      <c r="I8971" s="11" t="b">
        <f t="shared" si="436"/>
        <v>0</v>
      </c>
      <c r="M8971" s="17" t="str">
        <f t="shared" si="437"/>
        <v/>
      </c>
      <c r="N8971" s="11" t="str">
        <f t="shared" si="438"/>
        <v/>
      </c>
    </row>
    <row r="8972" spans="9:14" x14ac:dyDescent="0.25">
      <c r="I8972" s="11" t="b">
        <f t="shared" si="436"/>
        <v>0</v>
      </c>
      <c r="M8972" s="17" t="str">
        <f t="shared" si="437"/>
        <v/>
      </c>
      <c r="N8972" s="11" t="str">
        <f t="shared" si="438"/>
        <v/>
      </c>
    </row>
    <row r="8973" spans="9:14" x14ac:dyDescent="0.25">
      <c r="I8973" s="11" t="b">
        <f t="shared" si="436"/>
        <v>0</v>
      </c>
      <c r="M8973" s="17" t="str">
        <f t="shared" si="437"/>
        <v/>
      </c>
      <c r="N8973" s="11" t="str">
        <f t="shared" si="438"/>
        <v/>
      </c>
    </row>
    <row r="8974" spans="9:14" x14ac:dyDescent="0.25">
      <c r="I8974" s="11" t="b">
        <f t="shared" si="436"/>
        <v>0</v>
      </c>
      <c r="M8974" s="17" t="str">
        <f t="shared" si="437"/>
        <v/>
      </c>
      <c r="N8974" s="11" t="str">
        <f t="shared" si="438"/>
        <v/>
      </c>
    </row>
    <row r="8975" spans="9:14" x14ac:dyDescent="0.25">
      <c r="I8975" s="11" t="b">
        <f t="shared" si="436"/>
        <v>0</v>
      </c>
      <c r="M8975" s="17" t="str">
        <f t="shared" si="437"/>
        <v/>
      </c>
      <c r="N8975" s="11" t="str">
        <f t="shared" si="438"/>
        <v/>
      </c>
    </row>
    <row r="8976" spans="9:14" x14ac:dyDescent="0.25">
      <c r="I8976" s="11" t="b">
        <f t="shared" si="436"/>
        <v>0</v>
      </c>
      <c r="M8976" s="17" t="str">
        <f t="shared" si="437"/>
        <v/>
      </c>
      <c r="N8976" s="11" t="str">
        <f t="shared" si="438"/>
        <v/>
      </c>
    </row>
    <row r="8977" spans="9:14" x14ac:dyDescent="0.25">
      <c r="I8977" s="11" t="b">
        <f t="shared" si="436"/>
        <v>0</v>
      </c>
      <c r="M8977" s="17" t="str">
        <f t="shared" si="437"/>
        <v/>
      </c>
      <c r="N8977" s="11" t="str">
        <f t="shared" si="438"/>
        <v/>
      </c>
    </row>
    <row r="8978" spans="9:14" x14ac:dyDescent="0.25">
      <c r="I8978" s="11" t="b">
        <f t="shared" si="436"/>
        <v>0</v>
      </c>
      <c r="M8978" s="17" t="str">
        <f t="shared" si="437"/>
        <v/>
      </c>
      <c r="N8978" s="11" t="str">
        <f t="shared" si="438"/>
        <v/>
      </c>
    </row>
    <row r="8979" spans="9:14" x14ac:dyDescent="0.25">
      <c r="I8979" s="11" t="b">
        <f t="shared" si="436"/>
        <v>0</v>
      </c>
      <c r="M8979" s="17" t="str">
        <f t="shared" si="437"/>
        <v/>
      </c>
      <c r="N8979" s="11" t="str">
        <f t="shared" si="438"/>
        <v/>
      </c>
    </row>
    <row r="8980" spans="9:14" x14ac:dyDescent="0.25">
      <c r="I8980" s="11" t="b">
        <f t="shared" si="436"/>
        <v>0</v>
      </c>
      <c r="M8980" s="17" t="str">
        <f t="shared" si="437"/>
        <v/>
      </c>
      <c r="N8980" s="11" t="str">
        <f t="shared" si="438"/>
        <v/>
      </c>
    </row>
    <row r="8981" spans="9:14" x14ac:dyDescent="0.25">
      <c r="I8981" s="11" t="b">
        <f t="shared" si="436"/>
        <v>0</v>
      </c>
      <c r="M8981" s="17" t="str">
        <f t="shared" si="437"/>
        <v/>
      </c>
      <c r="N8981" s="11" t="str">
        <f t="shared" si="438"/>
        <v/>
      </c>
    </row>
    <row r="8982" spans="9:14" x14ac:dyDescent="0.25">
      <c r="I8982" s="11" t="b">
        <f t="shared" si="436"/>
        <v>0</v>
      </c>
      <c r="M8982" s="17" t="str">
        <f t="shared" si="437"/>
        <v/>
      </c>
      <c r="N8982" s="11" t="str">
        <f t="shared" si="438"/>
        <v/>
      </c>
    </row>
    <row r="8983" spans="9:14" x14ac:dyDescent="0.25">
      <c r="I8983" s="11" t="b">
        <f t="shared" si="436"/>
        <v>0</v>
      </c>
      <c r="M8983" s="17" t="str">
        <f t="shared" si="437"/>
        <v/>
      </c>
      <c r="N8983" s="11" t="str">
        <f t="shared" si="438"/>
        <v/>
      </c>
    </row>
    <row r="8984" spans="9:14" x14ac:dyDescent="0.25">
      <c r="I8984" s="11" t="b">
        <f t="shared" si="436"/>
        <v>0</v>
      </c>
      <c r="M8984" s="17" t="str">
        <f t="shared" si="437"/>
        <v/>
      </c>
      <c r="N8984" s="11" t="str">
        <f t="shared" si="438"/>
        <v/>
      </c>
    </row>
    <row r="8985" spans="9:14" x14ac:dyDescent="0.25">
      <c r="I8985" s="11" t="b">
        <f t="shared" si="436"/>
        <v>0</v>
      </c>
      <c r="M8985" s="17" t="str">
        <f t="shared" si="437"/>
        <v/>
      </c>
      <c r="N8985" s="11" t="str">
        <f t="shared" si="438"/>
        <v/>
      </c>
    </row>
    <row r="8986" spans="9:14" x14ac:dyDescent="0.25">
      <c r="I8986" s="11" t="b">
        <f t="shared" si="436"/>
        <v>0</v>
      </c>
      <c r="M8986" s="17" t="str">
        <f t="shared" si="437"/>
        <v/>
      </c>
      <c r="N8986" s="11" t="str">
        <f t="shared" si="438"/>
        <v/>
      </c>
    </row>
    <row r="8987" spans="9:14" x14ac:dyDescent="0.25">
      <c r="I8987" s="11" t="b">
        <f t="shared" si="436"/>
        <v>0</v>
      </c>
      <c r="M8987" s="17" t="str">
        <f t="shared" si="437"/>
        <v/>
      </c>
      <c r="N8987" s="11" t="str">
        <f t="shared" si="438"/>
        <v/>
      </c>
    </row>
    <row r="8988" spans="9:14" x14ac:dyDescent="0.25">
      <c r="I8988" s="11" t="b">
        <f t="shared" si="436"/>
        <v>0</v>
      </c>
      <c r="M8988" s="17" t="str">
        <f t="shared" si="437"/>
        <v/>
      </c>
      <c r="N8988" s="11" t="str">
        <f t="shared" si="438"/>
        <v/>
      </c>
    </row>
    <row r="8989" spans="9:14" x14ac:dyDescent="0.25">
      <c r="I8989" s="11" t="b">
        <f t="shared" ref="I8989:I9052" si="439">IF(AND(G8989="MERCADO PAGO",A8989="FATURAMENTO"),1,IF(AND(OR(G8989="MERCADO PAGO",G8989="pix mercado pago",G8989= "débito automático mercado pago", G8989= "boleto mercado pago"),A8989="DESPESAS"),4,IF(AND(G8989="SAFRA",A8989="FATURAMENTO"),2,IF(AND(OR(G8989="SAFRA",G8989="PIX SAFRA", G8989="DÉBITO AUTOMÁTICO SAFRA", G8989= "BOLETO SAFRA", G8989= "transferência safra"), A8989="DESPESAS"),5,IF(AND(G8989="espécie",A8989="FATURAMENTO"),3,IF(AND(G8989="espécie",A8989="DESPESAS"),6))))))</f>
        <v>0</v>
      </c>
      <c r="M8989" s="17" t="str">
        <f t="shared" si="437"/>
        <v/>
      </c>
      <c r="N8989" s="11" t="str">
        <f t="shared" si="438"/>
        <v/>
      </c>
    </row>
    <row r="8990" spans="9:14" x14ac:dyDescent="0.25">
      <c r="I8990" s="11" t="b">
        <f t="shared" si="439"/>
        <v>0</v>
      </c>
      <c r="M8990" s="17" t="str">
        <f t="shared" si="437"/>
        <v/>
      </c>
      <c r="N8990" s="11" t="str">
        <f t="shared" si="438"/>
        <v/>
      </c>
    </row>
    <row r="8991" spans="9:14" x14ac:dyDescent="0.25">
      <c r="I8991" s="11" t="b">
        <f t="shared" si="439"/>
        <v>0</v>
      </c>
      <c r="M8991" s="17" t="str">
        <f t="shared" si="437"/>
        <v/>
      </c>
      <c r="N8991" s="11" t="str">
        <f t="shared" si="438"/>
        <v/>
      </c>
    </row>
    <row r="8992" spans="9:14" x14ac:dyDescent="0.25">
      <c r="I8992" s="11" t="b">
        <f t="shared" si="439"/>
        <v>0</v>
      </c>
      <c r="M8992" s="17" t="str">
        <f t="shared" si="437"/>
        <v/>
      </c>
      <c r="N8992" s="11" t="str">
        <f t="shared" si="438"/>
        <v/>
      </c>
    </row>
    <row r="8993" spans="9:14" x14ac:dyDescent="0.25">
      <c r="I8993" s="11" t="b">
        <f t="shared" si="439"/>
        <v>0</v>
      </c>
      <c r="M8993" s="17" t="str">
        <f t="shared" si="437"/>
        <v/>
      </c>
      <c r="N8993" s="11" t="str">
        <f t="shared" si="438"/>
        <v/>
      </c>
    </row>
    <row r="8994" spans="9:14" x14ac:dyDescent="0.25">
      <c r="I8994" s="11" t="b">
        <f t="shared" si="439"/>
        <v>0</v>
      </c>
      <c r="M8994" s="17" t="str">
        <f t="shared" si="437"/>
        <v/>
      </c>
      <c r="N8994" s="11" t="str">
        <f t="shared" si="438"/>
        <v/>
      </c>
    </row>
    <row r="8995" spans="9:14" x14ac:dyDescent="0.25">
      <c r="I8995" s="11" t="b">
        <f t="shared" si="439"/>
        <v>0</v>
      </c>
      <c r="M8995" s="17" t="str">
        <f t="shared" si="437"/>
        <v/>
      </c>
      <c r="N8995" s="11" t="str">
        <f t="shared" si="438"/>
        <v/>
      </c>
    </row>
    <row r="8996" spans="9:14" x14ac:dyDescent="0.25">
      <c r="I8996" s="11" t="b">
        <f t="shared" si="439"/>
        <v>0</v>
      </c>
      <c r="M8996" s="17" t="str">
        <f t="shared" si="437"/>
        <v/>
      </c>
      <c r="N8996" s="11" t="str">
        <f t="shared" si="438"/>
        <v/>
      </c>
    </row>
    <row r="8997" spans="9:14" x14ac:dyDescent="0.25">
      <c r="I8997" s="11" t="b">
        <f t="shared" si="439"/>
        <v>0</v>
      </c>
      <c r="M8997" s="17" t="str">
        <f t="shared" si="437"/>
        <v/>
      </c>
      <c r="N8997" s="11" t="str">
        <f t="shared" si="438"/>
        <v/>
      </c>
    </row>
    <row r="8998" spans="9:14" x14ac:dyDescent="0.25">
      <c r="I8998" s="11" t="b">
        <f t="shared" si="439"/>
        <v>0</v>
      </c>
      <c r="M8998" s="17" t="str">
        <f t="shared" si="437"/>
        <v/>
      </c>
      <c r="N8998" s="11" t="str">
        <f t="shared" si="438"/>
        <v/>
      </c>
    </row>
    <row r="8999" spans="9:14" x14ac:dyDescent="0.25">
      <c r="I8999" s="11" t="b">
        <f t="shared" si="439"/>
        <v>0</v>
      </c>
      <c r="M8999" s="17" t="str">
        <f t="shared" si="437"/>
        <v/>
      </c>
      <c r="N8999" s="11" t="str">
        <f t="shared" si="438"/>
        <v/>
      </c>
    </row>
    <row r="9000" spans="9:14" x14ac:dyDescent="0.25">
      <c r="I9000" s="11" t="b">
        <f t="shared" si="439"/>
        <v>0</v>
      </c>
      <c r="M9000" s="17" t="str">
        <f t="shared" si="437"/>
        <v/>
      </c>
      <c r="N9000" s="11" t="str">
        <f t="shared" si="438"/>
        <v/>
      </c>
    </row>
    <row r="9001" spans="9:14" x14ac:dyDescent="0.25">
      <c r="I9001" s="11" t="b">
        <f t="shared" si="439"/>
        <v>0</v>
      </c>
      <c r="M9001" s="17" t="str">
        <f t="shared" si="437"/>
        <v/>
      </c>
      <c r="N9001" s="11" t="str">
        <f t="shared" si="438"/>
        <v/>
      </c>
    </row>
    <row r="9002" spans="9:14" x14ac:dyDescent="0.25">
      <c r="I9002" s="11" t="b">
        <f t="shared" si="439"/>
        <v>0</v>
      </c>
      <c r="M9002" s="17" t="str">
        <f t="shared" si="437"/>
        <v/>
      </c>
      <c r="N9002" s="11" t="str">
        <f t="shared" si="438"/>
        <v/>
      </c>
    </row>
    <row r="9003" spans="9:14" x14ac:dyDescent="0.25">
      <c r="I9003" s="11" t="b">
        <f t="shared" si="439"/>
        <v>0</v>
      </c>
      <c r="M9003" s="17" t="str">
        <f t="shared" si="437"/>
        <v/>
      </c>
      <c r="N9003" s="11" t="str">
        <f t="shared" si="438"/>
        <v/>
      </c>
    </row>
    <row r="9004" spans="9:14" x14ac:dyDescent="0.25">
      <c r="I9004" s="11" t="b">
        <f t="shared" si="439"/>
        <v>0</v>
      </c>
      <c r="M9004" s="17" t="str">
        <f t="shared" si="437"/>
        <v/>
      </c>
      <c r="N9004" s="11" t="str">
        <f t="shared" si="438"/>
        <v/>
      </c>
    </row>
    <row r="9005" spans="9:14" x14ac:dyDescent="0.25">
      <c r="I9005" s="11" t="b">
        <f t="shared" si="439"/>
        <v>0</v>
      </c>
      <c r="M9005" s="17" t="str">
        <f t="shared" si="437"/>
        <v/>
      </c>
      <c r="N9005" s="11" t="str">
        <f t="shared" si="438"/>
        <v/>
      </c>
    </row>
    <row r="9006" spans="9:14" x14ac:dyDescent="0.25">
      <c r="I9006" s="11" t="b">
        <f t="shared" si="439"/>
        <v>0</v>
      </c>
      <c r="M9006" s="17" t="str">
        <f t="shared" si="437"/>
        <v/>
      </c>
      <c r="N9006" s="11" t="str">
        <f t="shared" si="438"/>
        <v/>
      </c>
    </row>
    <row r="9007" spans="9:14" x14ac:dyDescent="0.25">
      <c r="I9007" s="11" t="b">
        <f t="shared" si="439"/>
        <v>0</v>
      </c>
      <c r="M9007" s="17" t="str">
        <f t="shared" si="437"/>
        <v/>
      </c>
      <c r="N9007" s="11" t="str">
        <f t="shared" si="438"/>
        <v/>
      </c>
    </row>
    <row r="9008" spans="9:14" x14ac:dyDescent="0.25">
      <c r="I9008" s="11" t="b">
        <f t="shared" si="439"/>
        <v>0</v>
      </c>
      <c r="M9008" s="17" t="str">
        <f t="shared" si="437"/>
        <v/>
      </c>
      <c r="N9008" s="11" t="str">
        <f t="shared" si="438"/>
        <v/>
      </c>
    </row>
    <row r="9009" spans="9:14" x14ac:dyDescent="0.25">
      <c r="I9009" s="11" t="b">
        <f t="shared" si="439"/>
        <v>0</v>
      </c>
      <c r="M9009" s="17" t="str">
        <f t="shared" si="437"/>
        <v/>
      </c>
      <c r="N9009" s="11" t="str">
        <f t="shared" si="438"/>
        <v/>
      </c>
    </row>
    <row r="9010" spans="9:14" x14ac:dyDescent="0.25">
      <c r="I9010" s="11" t="b">
        <f t="shared" si="439"/>
        <v>0</v>
      </c>
      <c r="M9010" s="17" t="str">
        <f t="shared" si="437"/>
        <v/>
      </c>
      <c r="N9010" s="11" t="str">
        <f t="shared" si="438"/>
        <v/>
      </c>
    </row>
    <row r="9011" spans="9:14" x14ac:dyDescent="0.25">
      <c r="I9011" s="11" t="b">
        <f t="shared" si="439"/>
        <v>0</v>
      </c>
      <c r="M9011" s="17" t="str">
        <f t="shared" si="437"/>
        <v/>
      </c>
      <c r="N9011" s="11" t="str">
        <f t="shared" si="438"/>
        <v/>
      </c>
    </row>
    <row r="9012" spans="9:14" x14ac:dyDescent="0.25">
      <c r="I9012" s="11" t="b">
        <f t="shared" si="439"/>
        <v>0</v>
      </c>
      <c r="M9012" s="17" t="str">
        <f t="shared" si="437"/>
        <v/>
      </c>
      <c r="N9012" s="11" t="str">
        <f t="shared" si="438"/>
        <v/>
      </c>
    </row>
    <row r="9013" spans="9:14" x14ac:dyDescent="0.25">
      <c r="I9013" s="11" t="b">
        <f t="shared" si="439"/>
        <v>0</v>
      </c>
      <c r="M9013" s="17" t="str">
        <f t="shared" si="437"/>
        <v/>
      </c>
      <c r="N9013" s="11" t="str">
        <f t="shared" si="438"/>
        <v/>
      </c>
    </row>
    <row r="9014" spans="9:14" x14ac:dyDescent="0.25">
      <c r="I9014" s="11" t="b">
        <f t="shared" si="439"/>
        <v>0</v>
      </c>
      <c r="M9014" s="17" t="str">
        <f t="shared" si="437"/>
        <v/>
      </c>
      <c r="N9014" s="11" t="str">
        <f t="shared" si="438"/>
        <v/>
      </c>
    </row>
    <row r="9015" spans="9:14" x14ac:dyDescent="0.25">
      <c r="I9015" s="11" t="b">
        <f t="shared" si="439"/>
        <v>0</v>
      </c>
      <c r="M9015" s="17" t="str">
        <f t="shared" si="437"/>
        <v/>
      </c>
      <c r="N9015" s="11" t="str">
        <f t="shared" si="438"/>
        <v/>
      </c>
    </row>
    <row r="9016" spans="9:14" x14ac:dyDescent="0.25">
      <c r="I9016" s="11" t="b">
        <f t="shared" si="439"/>
        <v>0</v>
      </c>
      <c r="M9016" s="17" t="str">
        <f t="shared" si="437"/>
        <v/>
      </c>
      <c r="N9016" s="11" t="str">
        <f t="shared" si="438"/>
        <v/>
      </c>
    </row>
    <row r="9017" spans="9:14" x14ac:dyDescent="0.25">
      <c r="I9017" s="11" t="b">
        <f t="shared" si="439"/>
        <v>0</v>
      </c>
      <c r="M9017" s="17" t="str">
        <f t="shared" si="437"/>
        <v/>
      </c>
      <c r="N9017" s="11" t="str">
        <f t="shared" si="438"/>
        <v/>
      </c>
    </row>
    <row r="9018" spans="9:14" x14ac:dyDescent="0.25">
      <c r="I9018" s="11" t="b">
        <f t="shared" si="439"/>
        <v>0</v>
      </c>
      <c r="M9018" s="17" t="str">
        <f t="shared" si="437"/>
        <v/>
      </c>
      <c r="N9018" s="11" t="str">
        <f t="shared" si="438"/>
        <v/>
      </c>
    </row>
    <row r="9019" spans="9:14" x14ac:dyDescent="0.25">
      <c r="I9019" s="11" t="b">
        <f t="shared" si="439"/>
        <v>0</v>
      </c>
      <c r="M9019" s="17" t="str">
        <f t="shared" si="437"/>
        <v/>
      </c>
      <c r="N9019" s="11" t="str">
        <f t="shared" si="438"/>
        <v/>
      </c>
    </row>
    <row r="9020" spans="9:14" x14ac:dyDescent="0.25">
      <c r="I9020" s="11" t="b">
        <f t="shared" si="439"/>
        <v>0</v>
      </c>
      <c r="M9020" s="17" t="str">
        <f t="shared" si="437"/>
        <v/>
      </c>
      <c r="N9020" s="11" t="str">
        <f t="shared" si="438"/>
        <v/>
      </c>
    </row>
    <row r="9021" spans="9:14" x14ac:dyDescent="0.25">
      <c r="I9021" s="11" t="b">
        <f t="shared" si="439"/>
        <v>0</v>
      </c>
      <c r="M9021" s="17" t="str">
        <f t="shared" si="437"/>
        <v/>
      </c>
      <c r="N9021" s="11" t="str">
        <f t="shared" si="438"/>
        <v/>
      </c>
    </row>
    <row r="9022" spans="9:14" x14ac:dyDescent="0.25">
      <c r="I9022" s="11" t="b">
        <f t="shared" si="439"/>
        <v>0</v>
      </c>
      <c r="M9022" s="17" t="str">
        <f t="shared" si="437"/>
        <v/>
      </c>
      <c r="N9022" s="11" t="str">
        <f t="shared" si="438"/>
        <v/>
      </c>
    </row>
    <row r="9023" spans="9:14" x14ac:dyDescent="0.25">
      <c r="I9023" s="11" t="b">
        <f t="shared" si="439"/>
        <v>0</v>
      </c>
      <c r="M9023" s="17" t="str">
        <f t="shared" si="437"/>
        <v/>
      </c>
      <c r="N9023" s="11" t="str">
        <f t="shared" si="438"/>
        <v/>
      </c>
    </row>
    <row r="9024" spans="9:14" x14ac:dyDescent="0.25">
      <c r="I9024" s="11" t="b">
        <f t="shared" si="439"/>
        <v>0</v>
      </c>
      <c r="M9024" s="17" t="str">
        <f t="shared" si="437"/>
        <v/>
      </c>
      <c r="N9024" s="11" t="str">
        <f t="shared" si="438"/>
        <v/>
      </c>
    </row>
    <row r="9025" spans="9:14" x14ac:dyDescent="0.25">
      <c r="I9025" s="11" t="b">
        <f t="shared" si="439"/>
        <v>0</v>
      </c>
      <c r="M9025" s="17" t="str">
        <f t="shared" ref="M9025:M9088" si="440">IF(B9025=0, "",M9024+ J9025-K9025)</f>
        <v/>
      </c>
      <c r="N9025" s="11" t="str">
        <f t="shared" ref="N9025:N9088" si="441">IF(B9025=0, "", MONTH(B9025))</f>
        <v/>
      </c>
    </row>
    <row r="9026" spans="9:14" x14ac:dyDescent="0.25">
      <c r="I9026" s="11" t="b">
        <f t="shared" si="439"/>
        <v>0</v>
      </c>
      <c r="M9026" s="17" t="str">
        <f t="shared" si="440"/>
        <v/>
      </c>
      <c r="N9026" s="11" t="str">
        <f t="shared" si="441"/>
        <v/>
      </c>
    </row>
    <row r="9027" spans="9:14" x14ac:dyDescent="0.25">
      <c r="I9027" s="11" t="b">
        <f t="shared" si="439"/>
        <v>0</v>
      </c>
      <c r="M9027" s="17" t="str">
        <f t="shared" si="440"/>
        <v/>
      </c>
      <c r="N9027" s="11" t="str">
        <f t="shared" si="441"/>
        <v/>
      </c>
    </row>
    <row r="9028" spans="9:14" x14ac:dyDescent="0.25">
      <c r="I9028" s="11" t="b">
        <f t="shared" si="439"/>
        <v>0</v>
      </c>
      <c r="M9028" s="17" t="str">
        <f t="shared" si="440"/>
        <v/>
      </c>
      <c r="N9028" s="11" t="str">
        <f t="shared" si="441"/>
        <v/>
      </c>
    </row>
    <row r="9029" spans="9:14" x14ac:dyDescent="0.25">
      <c r="I9029" s="11" t="b">
        <f t="shared" si="439"/>
        <v>0</v>
      </c>
      <c r="M9029" s="17" t="str">
        <f t="shared" si="440"/>
        <v/>
      </c>
      <c r="N9029" s="11" t="str">
        <f t="shared" si="441"/>
        <v/>
      </c>
    </row>
    <row r="9030" spans="9:14" x14ac:dyDescent="0.25">
      <c r="I9030" s="11" t="b">
        <f t="shared" si="439"/>
        <v>0</v>
      </c>
      <c r="M9030" s="17" t="str">
        <f t="shared" si="440"/>
        <v/>
      </c>
      <c r="N9030" s="11" t="str">
        <f t="shared" si="441"/>
        <v/>
      </c>
    </row>
    <row r="9031" spans="9:14" x14ac:dyDescent="0.25">
      <c r="I9031" s="11" t="b">
        <f t="shared" si="439"/>
        <v>0</v>
      </c>
      <c r="M9031" s="17" t="str">
        <f t="shared" si="440"/>
        <v/>
      </c>
      <c r="N9031" s="11" t="str">
        <f t="shared" si="441"/>
        <v/>
      </c>
    </row>
    <row r="9032" spans="9:14" x14ac:dyDescent="0.25">
      <c r="I9032" s="11" t="b">
        <f t="shared" si="439"/>
        <v>0</v>
      </c>
      <c r="M9032" s="17" t="str">
        <f t="shared" si="440"/>
        <v/>
      </c>
      <c r="N9032" s="11" t="str">
        <f t="shared" si="441"/>
        <v/>
      </c>
    </row>
    <row r="9033" spans="9:14" x14ac:dyDescent="0.25">
      <c r="I9033" s="11" t="b">
        <f t="shared" si="439"/>
        <v>0</v>
      </c>
      <c r="M9033" s="17" t="str">
        <f t="shared" si="440"/>
        <v/>
      </c>
      <c r="N9033" s="11" t="str">
        <f t="shared" si="441"/>
        <v/>
      </c>
    </row>
    <row r="9034" spans="9:14" x14ac:dyDescent="0.25">
      <c r="I9034" s="11" t="b">
        <f t="shared" si="439"/>
        <v>0</v>
      </c>
      <c r="M9034" s="17" t="str">
        <f t="shared" si="440"/>
        <v/>
      </c>
      <c r="N9034" s="11" t="str">
        <f t="shared" si="441"/>
        <v/>
      </c>
    </row>
    <row r="9035" spans="9:14" x14ac:dyDescent="0.25">
      <c r="I9035" s="11" t="b">
        <f t="shared" si="439"/>
        <v>0</v>
      </c>
      <c r="M9035" s="17" t="str">
        <f t="shared" si="440"/>
        <v/>
      </c>
      <c r="N9035" s="11" t="str">
        <f t="shared" si="441"/>
        <v/>
      </c>
    </row>
    <row r="9036" spans="9:14" x14ac:dyDescent="0.25">
      <c r="I9036" s="11" t="b">
        <f t="shared" si="439"/>
        <v>0</v>
      </c>
      <c r="M9036" s="17" t="str">
        <f t="shared" si="440"/>
        <v/>
      </c>
      <c r="N9036" s="11" t="str">
        <f t="shared" si="441"/>
        <v/>
      </c>
    </row>
    <row r="9037" spans="9:14" x14ac:dyDescent="0.25">
      <c r="I9037" s="11" t="b">
        <f t="shared" si="439"/>
        <v>0</v>
      </c>
      <c r="M9037" s="17" t="str">
        <f t="shared" si="440"/>
        <v/>
      </c>
      <c r="N9037" s="11" t="str">
        <f t="shared" si="441"/>
        <v/>
      </c>
    </row>
    <row r="9038" spans="9:14" x14ac:dyDescent="0.25">
      <c r="I9038" s="11" t="b">
        <f t="shared" si="439"/>
        <v>0</v>
      </c>
      <c r="M9038" s="17" t="str">
        <f t="shared" si="440"/>
        <v/>
      </c>
      <c r="N9038" s="11" t="str">
        <f t="shared" si="441"/>
        <v/>
      </c>
    </row>
    <row r="9039" spans="9:14" x14ac:dyDescent="0.25">
      <c r="I9039" s="11" t="b">
        <f t="shared" si="439"/>
        <v>0</v>
      </c>
      <c r="M9039" s="17" t="str">
        <f t="shared" si="440"/>
        <v/>
      </c>
      <c r="N9039" s="11" t="str">
        <f t="shared" si="441"/>
        <v/>
      </c>
    </row>
    <row r="9040" spans="9:14" x14ac:dyDescent="0.25">
      <c r="I9040" s="11" t="b">
        <f t="shared" si="439"/>
        <v>0</v>
      </c>
      <c r="M9040" s="17" t="str">
        <f t="shared" si="440"/>
        <v/>
      </c>
      <c r="N9040" s="11" t="str">
        <f t="shared" si="441"/>
        <v/>
      </c>
    </row>
    <row r="9041" spans="9:14" x14ac:dyDescent="0.25">
      <c r="I9041" s="11" t="b">
        <f t="shared" si="439"/>
        <v>0</v>
      </c>
      <c r="M9041" s="17" t="str">
        <f t="shared" si="440"/>
        <v/>
      </c>
      <c r="N9041" s="11" t="str">
        <f t="shared" si="441"/>
        <v/>
      </c>
    </row>
    <row r="9042" spans="9:14" x14ac:dyDescent="0.25">
      <c r="I9042" s="11" t="b">
        <f t="shared" si="439"/>
        <v>0</v>
      </c>
      <c r="M9042" s="17" t="str">
        <f t="shared" si="440"/>
        <v/>
      </c>
      <c r="N9042" s="11" t="str">
        <f t="shared" si="441"/>
        <v/>
      </c>
    </row>
    <row r="9043" spans="9:14" x14ac:dyDescent="0.25">
      <c r="I9043" s="11" t="b">
        <f t="shared" si="439"/>
        <v>0</v>
      </c>
      <c r="M9043" s="17" t="str">
        <f t="shared" si="440"/>
        <v/>
      </c>
      <c r="N9043" s="11" t="str">
        <f t="shared" si="441"/>
        <v/>
      </c>
    </row>
    <row r="9044" spans="9:14" x14ac:dyDescent="0.25">
      <c r="I9044" s="11" t="b">
        <f t="shared" si="439"/>
        <v>0</v>
      </c>
      <c r="M9044" s="17" t="str">
        <f t="shared" si="440"/>
        <v/>
      </c>
      <c r="N9044" s="11" t="str">
        <f t="shared" si="441"/>
        <v/>
      </c>
    </row>
    <row r="9045" spans="9:14" x14ac:dyDescent="0.25">
      <c r="I9045" s="11" t="b">
        <f t="shared" si="439"/>
        <v>0</v>
      </c>
      <c r="M9045" s="17" t="str">
        <f t="shared" si="440"/>
        <v/>
      </c>
      <c r="N9045" s="11" t="str">
        <f t="shared" si="441"/>
        <v/>
      </c>
    </row>
    <row r="9046" spans="9:14" x14ac:dyDescent="0.25">
      <c r="I9046" s="11" t="b">
        <f t="shared" si="439"/>
        <v>0</v>
      </c>
      <c r="M9046" s="17" t="str">
        <f t="shared" si="440"/>
        <v/>
      </c>
      <c r="N9046" s="11" t="str">
        <f t="shared" si="441"/>
        <v/>
      </c>
    </row>
    <row r="9047" spans="9:14" x14ac:dyDescent="0.25">
      <c r="I9047" s="11" t="b">
        <f t="shared" si="439"/>
        <v>0</v>
      </c>
      <c r="M9047" s="17" t="str">
        <f t="shared" si="440"/>
        <v/>
      </c>
      <c r="N9047" s="11" t="str">
        <f t="shared" si="441"/>
        <v/>
      </c>
    </row>
    <row r="9048" spans="9:14" x14ac:dyDescent="0.25">
      <c r="I9048" s="11" t="b">
        <f t="shared" si="439"/>
        <v>0</v>
      </c>
      <c r="M9048" s="17" t="str">
        <f t="shared" si="440"/>
        <v/>
      </c>
      <c r="N9048" s="11" t="str">
        <f t="shared" si="441"/>
        <v/>
      </c>
    </row>
    <row r="9049" spans="9:14" x14ac:dyDescent="0.25">
      <c r="I9049" s="11" t="b">
        <f t="shared" si="439"/>
        <v>0</v>
      </c>
      <c r="M9049" s="17" t="str">
        <f t="shared" si="440"/>
        <v/>
      </c>
      <c r="N9049" s="11" t="str">
        <f t="shared" si="441"/>
        <v/>
      </c>
    </row>
    <row r="9050" spans="9:14" x14ac:dyDescent="0.25">
      <c r="I9050" s="11" t="b">
        <f t="shared" si="439"/>
        <v>0</v>
      </c>
      <c r="M9050" s="17" t="str">
        <f t="shared" si="440"/>
        <v/>
      </c>
      <c r="N9050" s="11" t="str">
        <f t="shared" si="441"/>
        <v/>
      </c>
    </row>
    <row r="9051" spans="9:14" x14ac:dyDescent="0.25">
      <c r="I9051" s="11" t="b">
        <f t="shared" si="439"/>
        <v>0</v>
      </c>
      <c r="M9051" s="17" t="str">
        <f t="shared" si="440"/>
        <v/>
      </c>
      <c r="N9051" s="11" t="str">
        <f t="shared" si="441"/>
        <v/>
      </c>
    </row>
    <row r="9052" spans="9:14" x14ac:dyDescent="0.25">
      <c r="I9052" s="11" t="b">
        <f t="shared" si="439"/>
        <v>0</v>
      </c>
      <c r="M9052" s="17" t="str">
        <f t="shared" si="440"/>
        <v/>
      </c>
      <c r="N9052" s="11" t="str">
        <f t="shared" si="441"/>
        <v/>
      </c>
    </row>
    <row r="9053" spans="9:14" x14ac:dyDescent="0.25">
      <c r="I9053" s="11" t="b">
        <f t="shared" ref="I9053:I9116" si="442">IF(AND(G9053="MERCADO PAGO",A9053="FATURAMENTO"),1,IF(AND(OR(G9053="MERCADO PAGO",G9053="pix mercado pago",G9053= "débito automático mercado pago", G9053= "boleto mercado pago"),A9053="DESPESAS"),4,IF(AND(G9053="SAFRA",A9053="FATURAMENTO"),2,IF(AND(OR(G9053="SAFRA",G9053="PIX SAFRA", G9053="DÉBITO AUTOMÁTICO SAFRA", G9053= "BOLETO SAFRA", G9053= "transferência safra"), A9053="DESPESAS"),5,IF(AND(G9053="espécie",A9053="FATURAMENTO"),3,IF(AND(G9053="espécie",A9053="DESPESAS"),6))))))</f>
        <v>0</v>
      </c>
      <c r="M9053" s="17" t="str">
        <f t="shared" si="440"/>
        <v/>
      </c>
      <c r="N9053" s="11" t="str">
        <f t="shared" si="441"/>
        <v/>
      </c>
    </row>
    <row r="9054" spans="9:14" x14ac:dyDescent="0.25">
      <c r="I9054" s="11" t="b">
        <f t="shared" si="442"/>
        <v>0</v>
      </c>
      <c r="M9054" s="17" t="str">
        <f t="shared" si="440"/>
        <v/>
      </c>
      <c r="N9054" s="11" t="str">
        <f t="shared" si="441"/>
        <v/>
      </c>
    </row>
    <row r="9055" spans="9:14" x14ac:dyDescent="0.25">
      <c r="I9055" s="11" t="b">
        <f t="shared" si="442"/>
        <v>0</v>
      </c>
      <c r="M9055" s="17" t="str">
        <f t="shared" si="440"/>
        <v/>
      </c>
      <c r="N9055" s="11" t="str">
        <f t="shared" si="441"/>
        <v/>
      </c>
    </row>
    <row r="9056" spans="9:14" x14ac:dyDescent="0.25">
      <c r="I9056" s="11" t="b">
        <f t="shared" si="442"/>
        <v>0</v>
      </c>
      <c r="M9056" s="17" t="str">
        <f t="shared" si="440"/>
        <v/>
      </c>
      <c r="N9056" s="11" t="str">
        <f t="shared" si="441"/>
        <v/>
      </c>
    </row>
    <row r="9057" spans="9:14" x14ac:dyDescent="0.25">
      <c r="I9057" s="11" t="b">
        <f t="shared" si="442"/>
        <v>0</v>
      </c>
      <c r="M9057" s="17" t="str">
        <f t="shared" si="440"/>
        <v/>
      </c>
      <c r="N9057" s="11" t="str">
        <f t="shared" si="441"/>
        <v/>
      </c>
    </row>
    <row r="9058" spans="9:14" x14ac:dyDescent="0.25">
      <c r="I9058" s="11" t="b">
        <f t="shared" si="442"/>
        <v>0</v>
      </c>
      <c r="M9058" s="17" t="str">
        <f t="shared" si="440"/>
        <v/>
      </c>
      <c r="N9058" s="11" t="str">
        <f t="shared" si="441"/>
        <v/>
      </c>
    </row>
    <row r="9059" spans="9:14" x14ac:dyDescent="0.25">
      <c r="I9059" s="11" t="b">
        <f t="shared" si="442"/>
        <v>0</v>
      </c>
      <c r="M9059" s="17" t="str">
        <f t="shared" si="440"/>
        <v/>
      </c>
      <c r="N9059" s="11" t="str">
        <f t="shared" si="441"/>
        <v/>
      </c>
    </row>
    <row r="9060" spans="9:14" x14ac:dyDescent="0.25">
      <c r="I9060" s="11" t="b">
        <f t="shared" si="442"/>
        <v>0</v>
      </c>
      <c r="M9060" s="17" t="str">
        <f t="shared" si="440"/>
        <v/>
      </c>
      <c r="N9060" s="11" t="str">
        <f t="shared" si="441"/>
        <v/>
      </c>
    </row>
    <row r="9061" spans="9:14" x14ac:dyDescent="0.25">
      <c r="I9061" s="11" t="b">
        <f t="shared" si="442"/>
        <v>0</v>
      </c>
      <c r="M9061" s="17" t="str">
        <f t="shared" si="440"/>
        <v/>
      </c>
      <c r="N9061" s="11" t="str">
        <f t="shared" si="441"/>
        <v/>
      </c>
    </row>
    <row r="9062" spans="9:14" x14ac:dyDescent="0.25">
      <c r="I9062" s="11" t="b">
        <f t="shared" si="442"/>
        <v>0</v>
      </c>
      <c r="M9062" s="17" t="str">
        <f t="shared" si="440"/>
        <v/>
      </c>
      <c r="N9062" s="11" t="str">
        <f t="shared" si="441"/>
        <v/>
      </c>
    </row>
    <row r="9063" spans="9:14" x14ac:dyDescent="0.25">
      <c r="I9063" s="11" t="b">
        <f t="shared" si="442"/>
        <v>0</v>
      </c>
      <c r="M9063" s="17" t="str">
        <f t="shared" si="440"/>
        <v/>
      </c>
      <c r="N9063" s="11" t="str">
        <f t="shared" si="441"/>
        <v/>
      </c>
    </row>
    <row r="9064" spans="9:14" x14ac:dyDescent="0.25">
      <c r="I9064" s="11" t="b">
        <f t="shared" si="442"/>
        <v>0</v>
      </c>
      <c r="M9064" s="17" t="str">
        <f t="shared" si="440"/>
        <v/>
      </c>
      <c r="N9064" s="11" t="str">
        <f t="shared" si="441"/>
        <v/>
      </c>
    </row>
    <row r="9065" spans="9:14" x14ac:dyDescent="0.25">
      <c r="I9065" s="11" t="b">
        <f t="shared" si="442"/>
        <v>0</v>
      </c>
      <c r="M9065" s="17" t="str">
        <f t="shared" si="440"/>
        <v/>
      </c>
      <c r="N9065" s="11" t="str">
        <f t="shared" si="441"/>
        <v/>
      </c>
    </row>
    <row r="9066" spans="9:14" x14ac:dyDescent="0.25">
      <c r="I9066" s="11" t="b">
        <f t="shared" si="442"/>
        <v>0</v>
      </c>
      <c r="M9066" s="17" t="str">
        <f t="shared" si="440"/>
        <v/>
      </c>
      <c r="N9066" s="11" t="str">
        <f t="shared" si="441"/>
        <v/>
      </c>
    </row>
    <row r="9067" spans="9:14" x14ac:dyDescent="0.25">
      <c r="I9067" s="11" t="b">
        <f t="shared" si="442"/>
        <v>0</v>
      </c>
      <c r="M9067" s="17" t="str">
        <f t="shared" si="440"/>
        <v/>
      </c>
      <c r="N9067" s="11" t="str">
        <f t="shared" si="441"/>
        <v/>
      </c>
    </row>
    <row r="9068" spans="9:14" x14ac:dyDescent="0.25">
      <c r="I9068" s="11" t="b">
        <f t="shared" si="442"/>
        <v>0</v>
      </c>
      <c r="M9068" s="17" t="str">
        <f t="shared" si="440"/>
        <v/>
      </c>
      <c r="N9068" s="11" t="str">
        <f t="shared" si="441"/>
        <v/>
      </c>
    </row>
    <row r="9069" spans="9:14" x14ac:dyDescent="0.25">
      <c r="I9069" s="11" t="b">
        <f t="shared" si="442"/>
        <v>0</v>
      </c>
      <c r="M9069" s="17" t="str">
        <f t="shared" si="440"/>
        <v/>
      </c>
      <c r="N9069" s="11" t="str">
        <f t="shared" si="441"/>
        <v/>
      </c>
    </row>
    <row r="9070" spans="9:14" x14ac:dyDescent="0.25">
      <c r="I9070" s="11" t="b">
        <f t="shared" si="442"/>
        <v>0</v>
      </c>
      <c r="M9070" s="17" t="str">
        <f t="shared" si="440"/>
        <v/>
      </c>
      <c r="N9070" s="11" t="str">
        <f t="shared" si="441"/>
        <v/>
      </c>
    </row>
    <row r="9071" spans="9:14" x14ac:dyDescent="0.25">
      <c r="I9071" s="11" t="b">
        <f t="shared" si="442"/>
        <v>0</v>
      </c>
      <c r="M9071" s="17" t="str">
        <f t="shared" si="440"/>
        <v/>
      </c>
      <c r="N9071" s="11" t="str">
        <f t="shared" si="441"/>
        <v/>
      </c>
    </row>
    <row r="9072" spans="9:14" x14ac:dyDescent="0.25">
      <c r="I9072" s="11" t="b">
        <f t="shared" si="442"/>
        <v>0</v>
      </c>
      <c r="M9072" s="17" t="str">
        <f t="shared" si="440"/>
        <v/>
      </c>
      <c r="N9072" s="11" t="str">
        <f t="shared" si="441"/>
        <v/>
      </c>
    </row>
    <row r="9073" spans="9:14" x14ac:dyDescent="0.25">
      <c r="I9073" s="11" t="b">
        <f t="shared" si="442"/>
        <v>0</v>
      </c>
      <c r="M9073" s="17" t="str">
        <f t="shared" si="440"/>
        <v/>
      </c>
      <c r="N9073" s="11" t="str">
        <f t="shared" si="441"/>
        <v/>
      </c>
    </row>
    <row r="9074" spans="9:14" x14ac:dyDescent="0.25">
      <c r="I9074" s="11" t="b">
        <f t="shared" si="442"/>
        <v>0</v>
      </c>
      <c r="M9074" s="17" t="str">
        <f t="shared" si="440"/>
        <v/>
      </c>
      <c r="N9074" s="11" t="str">
        <f t="shared" si="441"/>
        <v/>
      </c>
    </row>
    <row r="9075" spans="9:14" x14ac:dyDescent="0.25">
      <c r="I9075" s="11" t="b">
        <f t="shared" si="442"/>
        <v>0</v>
      </c>
      <c r="M9075" s="17" t="str">
        <f t="shared" si="440"/>
        <v/>
      </c>
      <c r="N9075" s="11" t="str">
        <f t="shared" si="441"/>
        <v/>
      </c>
    </row>
    <row r="9076" spans="9:14" x14ac:dyDescent="0.25">
      <c r="I9076" s="11" t="b">
        <f t="shared" si="442"/>
        <v>0</v>
      </c>
      <c r="M9076" s="17" t="str">
        <f t="shared" si="440"/>
        <v/>
      </c>
      <c r="N9076" s="11" t="str">
        <f t="shared" si="441"/>
        <v/>
      </c>
    </row>
    <row r="9077" spans="9:14" x14ac:dyDescent="0.25">
      <c r="I9077" s="11" t="b">
        <f t="shared" si="442"/>
        <v>0</v>
      </c>
      <c r="M9077" s="17" t="str">
        <f t="shared" si="440"/>
        <v/>
      </c>
      <c r="N9077" s="11" t="str">
        <f t="shared" si="441"/>
        <v/>
      </c>
    </row>
    <row r="9078" spans="9:14" x14ac:dyDescent="0.25">
      <c r="I9078" s="11" t="b">
        <f t="shared" si="442"/>
        <v>0</v>
      </c>
      <c r="M9078" s="17" t="str">
        <f t="shared" si="440"/>
        <v/>
      </c>
      <c r="N9078" s="11" t="str">
        <f t="shared" si="441"/>
        <v/>
      </c>
    </row>
    <row r="9079" spans="9:14" x14ac:dyDescent="0.25">
      <c r="I9079" s="11" t="b">
        <f t="shared" si="442"/>
        <v>0</v>
      </c>
      <c r="M9079" s="17" t="str">
        <f t="shared" si="440"/>
        <v/>
      </c>
      <c r="N9079" s="11" t="str">
        <f t="shared" si="441"/>
        <v/>
      </c>
    </row>
    <row r="9080" spans="9:14" x14ac:dyDescent="0.25">
      <c r="I9080" s="11" t="b">
        <f t="shared" si="442"/>
        <v>0</v>
      </c>
      <c r="M9080" s="17" t="str">
        <f t="shared" si="440"/>
        <v/>
      </c>
      <c r="N9080" s="11" t="str">
        <f t="shared" si="441"/>
        <v/>
      </c>
    </row>
    <row r="9081" spans="9:14" x14ac:dyDescent="0.25">
      <c r="I9081" s="11" t="b">
        <f t="shared" si="442"/>
        <v>0</v>
      </c>
      <c r="M9081" s="17" t="str">
        <f t="shared" si="440"/>
        <v/>
      </c>
      <c r="N9081" s="11" t="str">
        <f t="shared" si="441"/>
        <v/>
      </c>
    </row>
    <row r="9082" spans="9:14" x14ac:dyDescent="0.25">
      <c r="I9082" s="11" t="b">
        <f t="shared" si="442"/>
        <v>0</v>
      </c>
      <c r="M9082" s="17" t="str">
        <f t="shared" si="440"/>
        <v/>
      </c>
      <c r="N9082" s="11" t="str">
        <f t="shared" si="441"/>
        <v/>
      </c>
    </row>
    <row r="9083" spans="9:14" x14ac:dyDescent="0.25">
      <c r="I9083" s="11" t="b">
        <f t="shared" si="442"/>
        <v>0</v>
      </c>
      <c r="M9083" s="17" t="str">
        <f t="shared" si="440"/>
        <v/>
      </c>
      <c r="N9083" s="11" t="str">
        <f t="shared" si="441"/>
        <v/>
      </c>
    </row>
    <row r="9084" spans="9:14" x14ac:dyDescent="0.25">
      <c r="I9084" s="11" t="b">
        <f t="shared" si="442"/>
        <v>0</v>
      </c>
      <c r="M9084" s="17" t="str">
        <f t="shared" si="440"/>
        <v/>
      </c>
      <c r="N9084" s="11" t="str">
        <f t="shared" si="441"/>
        <v/>
      </c>
    </row>
    <row r="9085" spans="9:14" x14ac:dyDescent="0.25">
      <c r="I9085" s="11" t="b">
        <f t="shared" si="442"/>
        <v>0</v>
      </c>
      <c r="M9085" s="17" t="str">
        <f t="shared" si="440"/>
        <v/>
      </c>
      <c r="N9085" s="11" t="str">
        <f t="shared" si="441"/>
        <v/>
      </c>
    </row>
    <row r="9086" spans="9:14" x14ac:dyDescent="0.25">
      <c r="I9086" s="11" t="b">
        <f t="shared" si="442"/>
        <v>0</v>
      </c>
      <c r="M9086" s="17" t="str">
        <f t="shared" si="440"/>
        <v/>
      </c>
      <c r="N9086" s="11" t="str">
        <f t="shared" si="441"/>
        <v/>
      </c>
    </row>
    <row r="9087" spans="9:14" x14ac:dyDescent="0.25">
      <c r="I9087" s="11" t="b">
        <f t="shared" si="442"/>
        <v>0</v>
      </c>
      <c r="M9087" s="17" t="str">
        <f t="shared" si="440"/>
        <v/>
      </c>
      <c r="N9087" s="11" t="str">
        <f t="shared" si="441"/>
        <v/>
      </c>
    </row>
    <row r="9088" spans="9:14" x14ac:dyDescent="0.25">
      <c r="I9088" s="11" t="b">
        <f t="shared" si="442"/>
        <v>0</v>
      </c>
      <c r="M9088" s="17" t="str">
        <f t="shared" si="440"/>
        <v/>
      </c>
      <c r="N9088" s="11" t="str">
        <f t="shared" si="441"/>
        <v/>
      </c>
    </row>
    <row r="9089" spans="9:14" x14ac:dyDescent="0.25">
      <c r="I9089" s="11" t="b">
        <f t="shared" si="442"/>
        <v>0</v>
      </c>
      <c r="M9089" s="17" t="str">
        <f t="shared" ref="M9089:M9152" si="443">IF(B9089=0, "",M9088+ J9089-K9089)</f>
        <v/>
      </c>
      <c r="N9089" s="11" t="str">
        <f t="shared" ref="N9089:N9152" si="444">IF(B9089=0, "", MONTH(B9089))</f>
        <v/>
      </c>
    </row>
    <row r="9090" spans="9:14" x14ac:dyDescent="0.25">
      <c r="I9090" s="11" t="b">
        <f t="shared" si="442"/>
        <v>0</v>
      </c>
      <c r="M9090" s="17" t="str">
        <f t="shared" si="443"/>
        <v/>
      </c>
      <c r="N9090" s="11" t="str">
        <f t="shared" si="444"/>
        <v/>
      </c>
    </row>
    <row r="9091" spans="9:14" x14ac:dyDescent="0.25">
      <c r="I9091" s="11" t="b">
        <f t="shared" si="442"/>
        <v>0</v>
      </c>
      <c r="M9091" s="17" t="str">
        <f t="shared" si="443"/>
        <v/>
      </c>
      <c r="N9091" s="11" t="str">
        <f t="shared" si="444"/>
        <v/>
      </c>
    </row>
    <row r="9092" spans="9:14" x14ac:dyDescent="0.25">
      <c r="I9092" s="11" t="b">
        <f t="shared" si="442"/>
        <v>0</v>
      </c>
      <c r="M9092" s="17" t="str">
        <f t="shared" si="443"/>
        <v/>
      </c>
      <c r="N9092" s="11" t="str">
        <f t="shared" si="444"/>
        <v/>
      </c>
    </row>
    <row r="9093" spans="9:14" x14ac:dyDescent="0.25">
      <c r="I9093" s="11" t="b">
        <f t="shared" si="442"/>
        <v>0</v>
      </c>
      <c r="M9093" s="17" t="str">
        <f t="shared" si="443"/>
        <v/>
      </c>
      <c r="N9093" s="11" t="str">
        <f t="shared" si="444"/>
        <v/>
      </c>
    </row>
    <row r="9094" spans="9:14" x14ac:dyDescent="0.25">
      <c r="I9094" s="11" t="b">
        <f t="shared" si="442"/>
        <v>0</v>
      </c>
      <c r="M9094" s="17" t="str">
        <f t="shared" si="443"/>
        <v/>
      </c>
      <c r="N9094" s="11" t="str">
        <f t="shared" si="444"/>
        <v/>
      </c>
    </row>
    <row r="9095" spans="9:14" x14ac:dyDescent="0.25">
      <c r="I9095" s="11" t="b">
        <f t="shared" si="442"/>
        <v>0</v>
      </c>
      <c r="M9095" s="17" t="str">
        <f t="shared" si="443"/>
        <v/>
      </c>
      <c r="N9095" s="11" t="str">
        <f t="shared" si="444"/>
        <v/>
      </c>
    </row>
    <row r="9096" spans="9:14" x14ac:dyDescent="0.25">
      <c r="I9096" s="11" t="b">
        <f t="shared" si="442"/>
        <v>0</v>
      </c>
      <c r="M9096" s="17" t="str">
        <f t="shared" si="443"/>
        <v/>
      </c>
      <c r="N9096" s="11" t="str">
        <f t="shared" si="444"/>
        <v/>
      </c>
    </row>
    <row r="9097" spans="9:14" x14ac:dyDescent="0.25">
      <c r="I9097" s="11" t="b">
        <f t="shared" si="442"/>
        <v>0</v>
      </c>
      <c r="M9097" s="17" t="str">
        <f t="shared" si="443"/>
        <v/>
      </c>
      <c r="N9097" s="11" t="str">
        <f t="shared" si="444"/>
        <v/>
      </c>
    </row>
    <row r="9098" spans="9:14" x14ac:dyDescent="0.25">
      <c r="I9098" s="11" t="b">
        <f t="shared" si="442"/>
        <v>0</v>
      </c>
      <c r="M9098" s="17" t="str">
        <f t="shared" si="443"/>
        <v/>
      </c>
      <c r="N9098" s="11" t="str">
        <f t="shared" si="444"/>
        <v/>
      </c>
    </row>
    <row r="9099" spans="9:14" x14ac:dyDescent="0.25">
      <c r="I9099" s="11" t="b">
        <f t="shared" si="442"/>
        <v>0</v>
      </c>
      <c r="M9099" s="17" t="str">
        <f t="shared" si="443"/>
        <v/>
      </c>
      <c r="N9099" s="11" t="str">
        <f t="shared" si="444"/>
        <v/>
      </c>
    </row>
    <row r="9100" spans="9:14" x14ac:dyDescent="0.25">
      <c r="I9100" s="11" t="b">
        <f t="shared" si="442"/>
        <v>0</v>
      </c>
      <c r="M9100" s="17" t="str">
        <f t="shared" si="443"/>
        <v/>
      </c>
      <c r="N9100" s="11" t="str">
        <f t="shared" si="444"/>
        <v/>
      </c>
    </row>
    <row r="9101" spans="9:14" x14ac:dyDescent="0.25">
      <c r="I9101" s="11" t="b">
        <f t="shared" si="442"/>
        <v>0</v>
      </c>
      <c r="M9101" s="17" t="str">
        <f t="shared" si="443"/>
        <v/>
      </c>
      <c r="N9101" s="11" t="str">
        <f t="shared" si="444"/>
        <v/>
      </c>
    </row>
    <row r="9102" spans="9:14" x14ac:dyDescent="0.25">
      <c r="I9102" s="11" t="b">
        <f t="shared" si="442"/>
        <v>0</v>
      </c>
      <c r="M9102" s="17" t="str">
        <f t="shared" si="443"/>
        <v/>
      </c>
      <c r="N9102" s="11" t="str">
        <f t="shared" si="444"/>
        <v/>
      </c>
    </row>
    <row r="9103" spans="9:14" x14ac:dyDescent="0.25">
      <c r="I9103" s="11" t="b">
        <f t="shared" si="442"/>
        <v>0</v>
      </c>
      <c r="M9103" s="17" t="str">
        <f t="shared" si="443"/>
        <v/>
      </c>
      <c r="N9103" s="11" t="str">
        <f t="shared" si="444"/>
        <v/>
      </c>
    </row>
    <row r="9104" spans="9:14" x14ac:dyDescent="0.25">
      <c r="I9104" s="11" t="b">
        <f t="shared" si="442"/>
        <v>0</v>
      </c>
      <c r="M9104" s="17" t="str">
        <f t="shared" si="443"/>
        <v/>
      </c>
      <c r="N9104" s="11" t="str">
        <f t="shared" si="444"/>
        <v/>
      </c>
    </row>
    <row r="9105" spans="9:14" x14ac:dyDescent="0.25">
      <c r="I9105" s="11" t="b">
        <f t="shared" si="442"/>
        <v>0</v>
      </c>
      <c r="M9105" s="17" t="str">
        <f t="shared" si="443"/>
        <v/>
      </c>
      <c r="N9105" s="11" t="str">
        <f t="shared" si="444"/>
        <v/>
      </c>
    </row>
    <row r="9106" spans="9:14" x14ac:dyDescent="0.25">
      <c r="I9106" s="11" t="b">
        <f t="shared" si="442"/>
        <v>0</v>
      </c>
      <c r="M9106" s="17" t="str">
        <f t="shared" si="443"/>
        <v/>
      </c>
      <c r="N9106" s="11" t="str">
        <f t="shared" si="444"/>
        <v/>
      </c>
    </row>
    <row r="9107" spans="9:14" x14ac:dyDescent="0.25">
      <c r="I9107" s="11" t="b">
        <f t="shared" si="442"/>
        <v>0</v>
      </c>
      <c r="M9107" s="17" t="str">
        <f t="shared" si="443"/>
        <v/>
      </c>
      <c r="N9107" s="11" t="str">
        <f t="shared" si="444"/>
        <v/>
      </c>
    </row>
    <row r="9108" spans="9:14" x14ac:dyDescent="0.25">
      <c r="I9108" s="11" t="b">
        <f t="shared" si="442"/>
        <v>0</v>
      </c>
      <c r="M9108" s="17" t="str">
        <f t="shared" si="443"/>
        <v/>
      </c>
      <c r="N9108" s="11" t="str">
        <f t="shared" si="444"/>
        <v/>
      </c>
    </row>
    <row r="9109" spans="9:14" x14ac:dyDescent="0.25">
      <c r="I9109" s="11" t="b">
        <f t="shared" si="442"/>
        <v>0</v>
      </c>
      <c r="M9109" s="17" t="str">
        <f t="shared" si="443"/>
        <v/>
      </c>
      <c r="N9109" s="11" t="str">
        <f t="shared" si="444"/>
        <v/>
      </c>
    </row>
    <row r="9110" spans="9:14" x14ac:dyDescent="0.25">
      <c r="I9110" s="11" t="b">
        <f t="shared" si="442"/>
        <v>0</v>
      </c>
      <c r="M9110" s="17" t="str">
        <f t="shared" si="443"/>
        <v/>
      </c>
      <c r="N9110" s="11" t="str">
        <f t="shared" si="444"/>
        <v/>
      </c>
    </row>
    <row r="9111" spans="9:14" x14ac:dyDescent="0.25">
      <c r="I9111" s="11" t="b">
        <f t="shared" si="442"/>
        <v>0</v>
      </c>
      <c r="M9111" s="17" t="str">
        <f t="shared" si="443"/>
        <v/>
      </c>
      <c r="N9111" s="11" t="str">
        <f t="shared" si="444"/>
        <v/>
      </c>
    </row>
    <row r="9112" spans="9:14" x14ac:dyDescent="0.25">
      <c r="I9112" s="11" t="b">
        <f t="shared" si="442"/>
        <v>0</v>
      </c>
      <c r="M9112" s="17" t="str">
        <f t="shared" si="443"/>
        <v/>
      </c>
      <c r="N9112" s="11" t="str">
        <f t="shared" si="444"/>
        <v/>
      </c>
    </row>
    <row r="9113" spans="9:14" x14ac:dyDescent="0.25">
      <c r="I9113" s="11" t="b">
        <f t="shared" si="442"/>
        <v>0</v>
      </c>
      <c r="M9113" s="17" t="str">
        <f t="shared" si="443"/>
        <v/>
      </c>
      <c r="N9113" s="11" t="str">
        <f t="shared" si="444"/>
        <v/>
      </c>
    </row>
    <row r="9114" spans="9:14" x14ac:dyDescent="0.25">
      <c r="I9114" s="11" t="b">
        <f t="shared" si="442"/>
        <v>0</v>
      </c>
      <c r="M9114" s="17" t="str">
        <f t="shared" si="443"/>
        <v/>
      </c>
      <c r="N9114" s="11" t="str">
        <f t="shared" si="444"/>
        <v/>
      </c>
    </row>
    <row r="9115" spans="9:14" x14ac:dyDescent="0.25">
      <c r="I9115" s="11" t="b">
        <f t="shared" si="442"/>
        <v>0</v>
      </c>
      <c r="M9115" s="17" t="str">
        <f t="shared" si="443"/>
        <v/>
      </c>
      <c r="N9115" s="11" t="str">
        <f t="shared" si="444"/>
        <v/>
      </c>
    </row>
    <row r="9116" spans="9:14" x14ac:dyDescent="0.25">
      <c r="I9116" s="11" t="b">
        <f t="shared" si="442"/>
        <v>0</v>
      </c>
      <c r="M9116" s="17" t="str">
        <f t="shared" si="443"/>
        <v/>
      </c>
      <c r="N9116" s="11" t="str">
        <f t="shared" si="444"/>
        <v/>
      </c>
    </row>
    <row r="9117" spans="9:14" x14ac:dyDescent="0.25">
      <c r="I9117" s="11" t="b">
        <f t="shared" ref="I9117:I9180" si="445">IF(AND(G9117="MERCADO PAGO",A9117="FATURAMENTO"),1,IF(AND(OR(G9117="MERCADO PAGO",G9117="pix mercado pago",G9117= "débito automático mercado pago", G9117= "boleto mercado pago"),A9117="DESPESAS"),4,IF(AND(G9117="SAFRA",A9117="FATURAMENTO"),2,IF(AND(OR(G9117="SAFRA",G9117="PIX SAFRA", G9117="DÉBITO AUTOMÁTICO SAFRA", G9117= "BOLETO SAFRA", G9117= "transferência safra"), A9117="DESPESAS"),5,IF(AND(G9117="espécie",A9117="FATURAMENTO"),3,IF(AND(G9117="espécie",A9117="DESPESAS"),6))))))</f>
        <v>0</v>
      </c>
      <c r="M9117" s="17" t="str">
        <f t="shared" si="443"/>
        <v/>
      </c>
      <c r="N9117" s="11" t="str">
        <f t="shared" si="444"/>
        <v/>
      </c>
    </row>
    <row r="9118" spans="9:14" x14ac:dyDescent="0.25">
      <c r="I9118" s="11" t="b">
        <f t="shared" si="445"/>
        <v>0</v>
      </c>
      <c r="M9118" s="17" t="str">
        <f t="shared" si="443"/>
        <v/>
      </c>
      <c r="N9118" s="11" t="str">
        <f t="shared" si="444"/>
        <v/>
      </c>
    </row>
    <row r="9119" spans="9:14" x14ac:dyDescent="0.25">
      <c r="I9119" s="11" t="b">
        <f t="shared" si="445"/>
        <v>0</v>
      </c>
      <c r="M9119" s="17" t="str">
        <f t="shared" si="443"/>
        <v/>
      </c>
      <c r="N9119" s="11" t="str">
        <f t="shared" si="444"/>
        <v/>
      </c>
    </row>
    <row r="9120" spans="9:14" x14ac:dyDescent="0.25">
      <c r="I9120" s="11" t="b">
        <f t="shared" si="445"/>
        <v>0</v>
      </c>
      <c r="M9120" s="17" t="str">
        <f t="shared" si="443"/>
        <v/>
      </c>
      <c r="N9120" s="11" t="str">
        <f t="shared" si="444"/>
        <v/>
      </c>
    </row>
    <row r="9121" spans="9:14" x14ac:dyDescent="0.25">
      <c r="I9121" s="11" t="b">
        <f t="shared" si="445"/>
        <v>0</v>
      </c>
      <c r="M9121" s="17" t="str">
        <f t="shared" si="443"/>
        <v/>
      </c>
      <c r="N9121" s="11" t="str">
        <f t="shared" si="444"/>
        <v/>
      </c>
    </row>
    <row r="9122" spans="9:14" x14ac:dyDescent="0.25">
      <c r="I9122" s="11" t="b">
        <f t="shared" si="445"/>
        <v>0</v>
      </c>
      <c r="M9122" s="17" t="str">
        <f t="shared" si="443"/>
        <v/>
      </c>
      <c r="N9122" s="11" t="str">
        <f t="shared" si="444"/>
        <v/>
      </c>
    </row>
    <row r="9123" spans="9:14" x14ac:dyDescent="0.25">
      <c r="I9123" s="11" t="b">
        <f t="shared" si="445"/>
        <v>0</v>
      </c>
      <c r="M9123" s="17" t="str">
        <f t="shared" si="443"/>
        <v/>
      </c>
      <c r="N9123" s="11" t="str">
        <f t="shared" si="444"/>
        <v/>
      </c>
    </row>
    <row r="9124" spans="9:14" x14ac:dyDescent="0.25">
      <c r="I9124" s="11" t="b">
        <f t="shared" si="445"/>
        <v>0</v>
      </c>
      <c r="M9124" s="17" t="str">
        <f t="shared" si="443"/>
        <v/>
      </c>
      <c r="N9124" s="11" t="str">
        <f t="shared" si="444"/>
        <v/>
      </c>
    </row>
    <row r="9125" spans="9:14" x14ac:dyDescent="0.25">
      <c r="I9125" s="11" t="b">
        <f t="shared" si="445"/>
        <v>0</v>
      </c>
      <c r="M9125" s="17" t="str">
        <f t="shared" si="443"/>
        <v/>
      </c>
      <c r="N9125" s="11" t="str">
        <f t="shared" si="444"/>
        <v/>
      </c>
    </row>
    <row r="9126" spans="9:14" x14ac:dyDescent="0.25">
      <c r="I9126" s="11" t="b">
        <f t="shared" si="445"/>
        <v>0</v>
      </c>
      <c r="M9126" s="17" t="str">
        <f t="shared" si="443"/>
        <v/>
      </c>
      <c r="N9126" s="11" t="str">
        <f t="shared" si="444"/>
        <v/>
      </c>
    </row>
    <row r="9127" spans="9:14" x14ac:dyDescent="0.25">
      <c r="I9127" s="11" t="b">
        <f t="shared" si="445"/>
        <v>0</v>
      </c>
      <c r="M9127" s="17" t="str">
        <f t="shared" si="443"/>
        <v/>
      </c>
      <c r="N9127" s="11" t="str">
        <f t="shared" si="444"/>
        <v/>
      </c>
    </row>
    <row r="9128" spans="9:14" x14ac:dyDescent="0.25">
      <c r="I9128" s="11" t="b">
        <f t="shared" si="445"/>
        <v>0</v>
      </c>
      <c r="M9128" s="17" t="str">
        <f t="shared" si="443"/>
        <v/>
      </c>
      <c r="N9128" s="11" t="str">
        <f t="shared" si="444"/>
        <v/>
      </c>
    </row>
    <row r="9129" spans="9:14" x14ac:dyDescent="0.25">
      <c r="I9129" s="11" t="b">
        <f t="shared" si="445"/>
        <v>0</v>
      </c>
      <c r="M9129" s="17" t="str">
        <f t="shared" si="443"/>
        <v/>
      </c>
      <c r="N9129" s="11" t="str">
        <f t="shared" si="444"/>
        <v/>
      </c>
    </row>
    <row r="9130" spans="9:14" x14ac:dyDescent="0.25">
      <c r="I9130" s="11" t="b">
        <f t="shared" si="445"/>
        <v>0</v>
      </c>
      <c r="M9130" s="17" t="str">
        <f t="shared" si="443"/>
        <v/>
      </c>
      <c r="N9130" s="11" t="str">
        <f t="shared" si="444"/>
        <v/>
      </c>
    </row>
    <row r="9131" spans="9:14" x14ac:dyDescent="0.25">
      <c r="I9131" s="11" t="b">
        <f t="shared" si="445"/>
        <v>0</v>
      </c>
      <c r="M9131" s="17" t="str">
        <f t="shared" si="443"/>
        <v/>
      </c>
      <c r="N9131" s="11" t="str">
        <f t="shared" si="444"/>
        <v/>
      </c>
    </row>
    <row r="9132" spans="9:14" x14ac:dyDescent="0.25">
      <c r="I9132" s="11" t="b">
        <f t="shared" si="445"/>
        <v>0</v>
      </c>
      <c r="M9132" s="17" t="str">
        <f t="shared" si="443"/>
        <v/>
      </c>
      <c r="N9132" s="11" t="str">
        <f t="shared" si="444"/>
        <v/>
      </c>
    </row>
    <row r="9133" spans="9:14" x14ac:dyDescent="0.25">
      <c r="I9133" s="11" t="b">
        <f t="shared" si="445"/>
        <v>0</v>
      </c>
      <c r="M9133" s="17" t="str">
        <f t="shared" si="443"/>
        <v/>
      </c>
      <c r="N9133" s="11" t="str">
        <f t="shared" si="444"/>
        <v/>
      </c>
    </row>
    <row r="9134" spans="9:14" x14ac:dyDescent="0.25">
      <c r="I9134" s="11" t="b">
        <f t="shared" si="445"/>
        <v>0</v>
      </c>
      <c r="M9134" s="17" t="str">
        <f t="shared" si="443"/>
        <v/>
      </c>
      <c r="N9134" s="11" t="str">
        <f t="shared" si="444"/>
        <v/>
      </c>
    </row>
    <row r="9135" spans="9:14" x14ac:dyDescent="0.25">
      <c r="I9135" s="11" t="b">
        <f t="shared" si="445"/>
        <v>0</v>
      </c>
      <c r="M9135" s="17" t="str">
        <f t="shared" si="443"/>
        <v/>
      </c>
      <c r="N9135" s="11" t="str">
        <f t="shared" si="444"/>
        <v/>
      </c>
    </row>
    <row r="9136" spans="9:14" x14ac:dyDescent="0.25">
      <c r="I9136" s="11" t="b">
        <f t="shared" si="445"/>
        <v>0</v>
      </c>
      <c r="M9136" s="17" t="str">
        <f t="shared" si="443"/>
        <v/>
      </c>
      <c r="N9136" s="11" t="str">
        <f t="shared" si="444"/>
        <v/>
      </c>
    </row>
    <row r="9137" spans="9:14" x14ac:dyDescent="0.25">
      <c r="I9137" s="11" t="b">
        <f t="shared" si="445"/>
        <v>0</v>
      </c>
      <c r="M9137" s="17" t="str">
        <f t="shared" si="443"/>
        <v/>
      </c>
      <c r="N9137" s="11" t="str">
        <f t="shared" si="444"/>
        <v/>
      </c>
    </row>
    <row r="9138" spans="9:14" x14ac:dyDescent="0.25">
      <c r="I9138" s="11" t="b">
        <f t="shared" si="445"/>
        <v>0</v>
      </c>
      <c r="M9138" s="17" t="str">
        <f t="shared" si="443"/>
        <v/>
      </c>
      <c r="N9138" s="11" t="str">
        <f t="shared" si="444"/>
        <v/>
      </c>
    </row>
    <row r="9139" spans="9:14" x14ac:dyDescent="0.25">
      <c r="I9139" s="11" t="b">
        <f t="shared" si="445"/>
        <v>0</v>
      </c>
      <c r="M9139" s="17" t="str">
        <f t="shared" si="443"/>
        <v/>
      </c>
      <c r="N9139" s="11" t="str">
        <f t="shared" si="444"/>
        <v/>
      </c>
    </row>
    <row r="9140" spans="9:14" x14ac:dyDescent="0.25">
      <c r="I9140" s="11" t="b">
        <f t="shared" si="445"/>
        <v>0</v>
      </c>
      <c r="M9140" s="17" t="str">
        <f t="shared" si="443"/>
        <v/>
      </c>
      <c r="N9140" s="11" t="str">
        <f t="shared" si="444"/>
        <v/>
      </c>
    </row>
    <row r="9141" spans="9:14" x14ac:dyDescent="0.25">
      <c r="I9141" s="11" t="b">
        <f t="shared" si="445"/>
        <v>0</v>
      </c>
      <c r="M9141" s="17" t="str">
        <f t="shared" si="443"/>
        <v/>
      </c>
      <c r="N9141" s="11" t="str">
        <f t="shared" si="444"/>
        <v/>
      </c>
    </row>
    <row r="9142" spans="9:14" x14ac:dyDescent="0.25">
      <c r="I9142" s="11" t="b">
        <f t="shared" si="445"/>
        <v>0</v>
      </c>
      <c r="M9142" s="17" t="str">
        <f t="shared" si="443"/>
        <v/>
      </c>
      <c r="N9142" s="11" t="str">
        <f t="shared" si="444"/>
        <v/>
      </c>
    </row>
    <row r="9143" spans="9:14" x14ac:dyDescent="0.25">
      <c r="I9143" s="11" t="b">
        <f t="shared" si="445"/>
        <v>0</v>
      </c>
      <c r="M9143" s="17" t="str">
        <f t="shared" si="443"/>
        <v/>
      </c>
      <c r="N9143" s="11" t="str">
        <f t="shared" si="444"/>
        <v/>
      </c>
    </row>
    <row r="9144" spans="9:14" x14ac:dyDescent="0.25">
      <c r="I9144" s="11" t="b">
        <f t="shared" si="445"/>
        <v>0</v>
      </c>
      <c r="M9144" s="17" t="str">
        <f t="shared" si="443"/>
        <v/>
      </c>
      <c r="N9144" s="11" t="str">
        <f t="shared" si="444"/>
        <v/>
      </c>
    </row>
    <row r="9145" spans="9:14" x14ac:dyDescent="0.25">
      <c r="I9145" s="11" t="b">
        <f t="shared" si="445"/>
        <v>0</v>
      </c>
      <c r="M9145" s="17" t="str">
        <f t="shared" si="443"/>
        <v/>
      </c>
      <c r="N9145" s="11" t="str">
        <f t="shared" si="444"/>
        <v/>
      </c>
    </row>
    <row r="9146" spans="9:14" x14ac:dyDescent="0.25">
      <c r="I9146" s="11" t="b">
        <f t="shared" si="445"/>
        <v>0</v>
      </c>
      <c r="M9146" s="17" t="str">
        <f t="shared" si="443"/>
        <v/>
      </c>
      <c r="N9146" s="11" t="str">
        <f t="shared" si="444"/>
        <v/>
      </c>
    </row>
    <row r="9147" spans="9:14" x14ac:dyDescent="0.25">
      <c r="I9147" s="11" t="b">
        <f t="shared" si="445"/>
        <v>0</v>
      </c>
      <c r="M9147" s="17" t="str">
        <f t="shared" si="443"/>
        <v/>
      </c>
      <c r="N9147" s="11" t="str">
        <f t="shared" si="444"/>
        <v/>
      </c>
    </row>
    <row r="9148" spans="9:14" x14ac:dyDescent="0.25">
      <c r="I9148" s="11" t="b">
        <f t="shared" si="445"/>
        <v>0</v>
      </c>
      <c r="M9148" s="17" t="str">
        <f t="shared" si="443"/>
        <v/>
      </c>
      <c r="N9148" s="11" t="str">
        <f t="shared" si="444"/>
        <v/>
      </c>
    </row>
    <row r="9149" spans="9:14" x14ac:dyDescent="0.25">
      <c r="I9149" s="11" t="b">
        <f t="shared" si="445"/>
        <v>0</v>
      </c>
      <c r="M9149" s="17" t="str">
        <f t="shared" si="443"/>
        <v/>
      </c>
      <c r="N9149" s="11" t="str">
        <f t="shared" si="444"/>
        <v/>
      </c>
    </row>
    <row r="9150" spans="9:14" x14ac:dyDescent="0.25">
      <c r="I9150" s="11" t="b">
        <f t="shared" si="445"/>
        <v>0</v>
      </c>
      <c r="M9150" s="17" t="str">
        <f t="shared" si="443"/>
        <v/>
      </c>
      <c r="N9150" s="11" t="str">
        <f t="shared" si="444"/>
        <v/>
      </c>
    </row>
    <row r="9151" spans="9:14" x14ac:dyDescent="0.25">
      <c r="I9151" s="11" t="b">
        <f t="shared" si="445"/>
        <v>0</v>
      </c>
      <c r="M9151" s="17" t="str">
        <f t="shared" si="443"/>
        <v/>
      </c>
      <c r="N9151" s="11" t="str">
        <f t="shared" si="444"/>
        <v/>
      </c>
    </row>
    <row r="9152" spans="9:14" x14ac:dyDescent="0.25">
      <c r="I9152" s="11" t="b">
        <f t="shared" si="445"/>
        <v>0</v>
      </c>
      <c r="M9152" s="17" t="str">
        <f t="shared" si="443"/>
        <v/>
      </c>
      <c r="N9152" s="11" t="str">
        <f t="shared" si="444"/>
        <v/>
      </c>
    </row>
    <row r="9153" spans="9:14" x14ac:dyDescent="0.25">
      <c r="I9153" s="11" t="b">
        <f t="shared" si="445"/>
        <v>0</v>
      </c>
      <c r="M9153" s="17" t="str">
        <f t="shared" ref="M9153:M9216" si="446">IF(B9153=0, "",M9152+ J9153-K9153)</f>
        <v/>
      </c>
      <c r="N9153" s="11" t="str">
        <f t="shared" ref="N9153:N9216" si="447">IF(B9153=0, "", MONTH(B9153))</f>
        <v/>
      </c>
    </row>
    <row r="9154" spans="9:14" x14ac:dyDescent="0.25">
      <c r="I9154" s="11" t="b">
        <f t="shared" si="445"/>
        <v>0</v>
      </c>
      <c r="M9154" s="17" t="str">
        <f t="shared" si="446"/>
        <v/>
      </c>
      <c r="N9154" s="11" t="str">
        <f t="shared" si="447"/>
        <v/>
      </c>
    </row>
    <row r="9155" spans="9:14" x14ac:dyDescent="0.25">
      <c r="I9155" s="11" t="b">
        <f t="shared" si="445"/>
        <v>0</v>
      </c>
      <c r="M9155" s="17" t="str">
        <f t="shared" si="446"/>
        <v/>
      </c>
      <c r="N9155" s="11" t="str">
        <f t="shared" si="447"/>
        <v/>
      </c>
    </row>
    <row r="9156" spans="9:14" x14ac:dyDescent="0.25">
      <c r="I9156" s="11" t="b">
        <f t="shared" si="445"/>
        <v>0</v>
      </c>
      <c r="M9156" s="17" t="str">
        <f t="shared" si="446"/>
        <v/>
      </c>
      <c r="N9156" s="11" t="str">
        <f t="shared" si="447"/>
        <v/>
      </c>
    </row>
    <row r="9157" spans="9:14" x14ac:dyDescent="0.25">
      <c r="I9157" s="11" t="b">
        <f t="shared" si="445"/>
        <v>0</v>
      </c>
      <c r="M9157" s="17" t="str">
        <f t="shared" si="446"/>
        <v/>
      </c>
      <c r="N9157" s="11" t="str">
        <f t="shared" si="447"/>
        <v/>
      </c>
    </row>
    <row r="9158" spans="9:14" x14ac:dyDescent="0.25">
      <c r="I9158" s="11" t="b">
        <f t="shared" si="445"/>
        <v>0</v>
      </c>
      <c r="M9158" s="17" t="str">
        <f t="shared" si="446"/>
        <v/>
      </c>
      <c r="N9158" s="11" t="str">
        <f t="shared" si="447"/>
        <v/>
      </c>
    </row>
    <row r="9159" spans="9:14" x14ac:dyDescent="0.25">
      <c r="I9159" s="11" t="b">
        <f t="shared" si="445"/>
        <v>0</v>
      </c>
      <c r="M9159" s="17" t="str">
        <f t="shared" si="446"/>
        <v/>
      </c>
      <c r="N9159" s="11" t="str">
        <f t="shared" si="447"/>
        <v/>
      </c>
    </row>
    <row r="9160" spans="9:14" x14ac:dyDescent="0.25">
      <c r="I9160" s="11" t="b">
        <f t="shared" si="445"/>
        <v>0</v>
      </c>
      <c r="M9160" s="17" t="str">
        <f t="shared" si="446"/>
        <v/>
      </c>
      <c r="N9160" s="11" t="str">
        <f t="shared" si="447"/>
        <v/>
      </c>
    </row>
    <row r="9161" spans="9:14" x14ac:dyDescent="0.25">
      <c r="I9161" s="11" t="b">
        <f t="shared" si="445"/>
        <v>0</v>
      </c>
      <c r="M9161" s="17" t="str">
        <f t="shared" si="446"/>
        <v/>
      </c>
      <c r="N9161" s="11" t="str">
        <f t="shared" si="447"/>
        <v/>
      </c>
    </row>
    <row r="9162" spans="9:14" x14ac:dyDescent="0.25">
      <c r="I9162" s="11" t="b">
        <f t="shared" si="445"/>
        <v>0</v>
      </c>
      <c r="M9162" s="17" t="str">
        <f t="shared" si="446"/>
        <v/>
      </c>
      <c r="N9162" s="11" t="str">
        <f t="shared" si="447"/>
        <v/>
      </c>
    </row>
    <row r="9163" spans="9:14" x14ac:dyDescent="0.25">
      <c r="I9163" s="11" t="b">
        <f t="shared" si="445"/>
        <v>0</v>
      </c>
      <c r="M9163" s="17" t="str">
        <f t="shared" si="446"/>
        <v/>
      </c>
      <c r="N9163" s="11" t="str">
        <f t="shared" si="447"/>
        <v/>
      </c>
    </row>
    <row r="9164" spans="9:14" x14ac:dyDescent="0.25">
      <c r="I9164" s="11" t="b">
        <f t="shared" si="445"/>
        <v>0</v>
      </c>
      <c r="M9164" s="17" t="str">
        <f t="shared" si="446"/>
        <v/>
      </c>
      <c r="N9164" s="11" t="str">
        <f t="shared" si="447"/>
        <v/>
      </c>
    </row>
    <row r="9165" spans="9:14" x14ac:dyDescent="0.25">
      <c r="I9165" s="11" t="b">
        <f t="shared" si="445"/>
        <v>0</v>
      </c>
      <c r="M9165" s="17" t="str">
        <f t="shared" si="446"/>
        <v/>
      </c>
      <c r="N9165" s="11" t="str">
        <f t="shared" si="447"/>
        <v/>
      </c>
    </row>
    <row r="9166" spans="9:14" x14ac:dyDescent="0.25">
      <c r="I9166" s="11" t="b">
        <f t="shared" si="445"/>
        <v>0</v>
      </c>
      <c r="M9166" s="17" t="str">
        <f t="shared" si="446"/>
        <v/>
      </c>
      <c r="N9166" s="11" t="str">
        <f t="shared" si="447"/>
        <v/>
      </c>
    </row>
    <row r="9167" spans="9:14" x14ac:dyDescent="0.25">
      <c r="I9167" s="11" t="b">
        <f t="shared" si="445"/>
        <v>0</v>
      </c>
      <c r="M9167" s="17" t="str">
        <f t="shared" si="446"/>
        <v/>
      </c>
      <c r="N9167" s="11" t="str">
        <f t="shared" si="447"/>
        <v/>
      </c>
    </row>
    <row r="9168" spans="9:14" x14ac:dyDescent="0.25">
      <c r="I9168" s="11" t="b">
        <f t="shared" si="445"/>
        <v>0</v>
      </c>
      <c r="M9168" s="17" t="str">
        <f t="shared" si="446"/>
        <v/>
      </c>
      <c r="N9168" s="11" t="str">
        <f t="shared" si="447"/>
        <v/>
      </c>
    </row>
    <row r="9169" spans="9:14" x14ac:dyDescent="0.25">
      <c r="I9169" s="11" t="b">
        <f t="shared" si="445"/>
        <v>0</v>
      </c>
      <c r="M9169" s="17" t="str">
        <f t="shared" si="446"/>
        <v/>
      </c>
      <c r="N9169" s="11" t="str">
        <f t="shared" si="447"/>
        <v/>
      </c>
    </row>
    <row r="9170" spans="9:14" x14ac:dyDescent="0.25">
      <c r="I9170" s="11" t="b">
        <f t="shared" si="445"/>
        <v>0</v>
      </c>
      <c r="M9170" s="17" t="str">
        <f t="shared" si="446"/>
        <v/>
      </c>
      <c r="N9170" s="11" t="str">
        <f t="shared" si="447"/>
        <v/>
      </c>
    </row>
    <row r="9171" spans="9:14" x14ac:dyDescent="0.25">
      <c r="I9171" s="11" t="b">
        <f t="shared" si="445"/>
        <v>0</v>
      </c>
      <c r="M9171" s="17" t="str">
        <f t="shared" si="446"/>
        <v/>
      </c>
      <c r="N9171" s="11" t="str">
        <f t="shared" si="447"/>
        <v/>
      </c>
    </row>
    <row r="9172" spans="9:14" x14ac:dyDescent="0.25">
      <c r="I9172" s="11" t="b">
        <f t="shared" si="445"/>
        <v>0</v>
      </c>
      <c r="M9172" s="17" t="str">
        <f t="shared" si="446"/>
        <v/>
      </c>
      <c r="N9172" s="11" t="str">
        <f t="shared" si="447"/>
        <v/>
      </c>
    </row>
    <row r="9173" spans="9:14" x14ac:dyDescent="0.25">
      <c r="I9173" s="11" t="b">
        <f t="shared" si="445"/>
        <v>0</v>
      </c>
      <c r="M9173" s="17" t="str">
        <f t="shared" si="446"/>
        <v/>
      </c>
      <c r="N9173" s="11" t="str">
        <f t="shared" si="447"/>
        <v/>
      </c>
    </row>
    <row r="9174" spans="9:14" x14ac:dyDescent="0.25">
      <c r="I9174" s="11" t="b">
        <f t="shared" si="445"/>
        <v>0</v>
      </c>
      <c r="M9174" s="17" t="str">
        <f t="shared" si="446"/>
        <v/>
      </c>
      <c r="N9174" s="11" t="str">
        <f t="shared" si="447"/>
        <v/>
      </c>
    </row>
    <row r="9175" spans="9:14" x14ac:dyDescent="0.25">
      <c r="I9175" s="11" t="b">
        <f t="shared" si="445"/>
        <v>0</v>
      </c>
      <c r="M9175" s="17" t="str">
        <f t="shared" si="446"/>
        <v/>
      </c>
      <c r="N9175" s="11" t="str">
        <f t="shared" si="447"/>
        <v/>
      </c>
    </row>
    <row r="9176" spans="9:14" x14ac:dyDescent="0.25">
      <c r="I9176" s="11" t="b">
        <f t="shared" si="445"/>
        <v>0</v>
      </c>
      <c r="M9176" s="17" t="str">
        <f t="shared" si="446"/>
        <v/>
      </c>
      <c r="N9176" s="11" t="str">
        <f t="shared" si="447"/>
        <v/>
      </c>
    </row>
    <row r="9177" spans="9:14" x14ac:dyDescent="0.25">
      <c r="I9177" s="11" t="b">
        <f t="shared" si="445"/>
        <v>0</v>
      </c>
      <c r="M9177" s="17" t="str">
        <f t="shared" si="446"/>
        <v/>
      </c>
      <c r="N9177" s="11" t="str">
        <f t="shared" si="447"/>
        <v/>
      </c>
    </row>
    <row r="9178" spans="9:14" x14ac:dyDescent="0.25">
      <c r="I9178" s="11" t="b">
        <f t="shared" si="445"/>
        <v>0</v>
      </c>
      <c r="M9178" s="17" t="str">
        <f t="shared" si="446"/>
        <v/>
      </c>
      <c r="N9178" s="11" t="str">
        <f t="shared" si="447"/>
        <v/>
      </c>
    </row>
    <row r="9179" spans="9:14" x14ac:dyDescent="0.25">
      <c r="I9179" s="11" t="b">
        <f t="shared" si="445"/>
        <v>0</v>
      </c>
      <c r="M9179" s="17" t="str">
        <f t="shared" si="446"/>
        <v/>
      </c>
      <c r="N9179" s="11" t="str">
        <f t="shared" si="447"/>
        <v/>
      </c>
    </row>
    <row r="9180" spans="9:14" x14ac:dyDescent="0.25">
      <c r="I9180" s="11" t="b">
        <f t="shared" si="445"/>
        <v>0</v>
      </c>
      <c r="M9180" s="17" t="str">
        <f t="shared" si="446"/>
        <v/>
      </c>
      <c r="N9180" s="11" t="str">
        <f t="shared" si="447"/>
        <v/>
      </c>
    </row>
    <row r="9181" spans="9:14" x14ac:dyDescent="0.25">
      <c r="I9181" s="11" t="b">
        <f t="shared" ref="I9181:I9244" si="448">IF(AND(G9181="MERCADO PAGO",A9181="FATURAMENTO"),1,IF(AND(OR(G9181="MERCADO PAGO",G9181="pix mercado pago",G9181= "débito automático mercado pago", G9181= "boleto mercado pago"),A9181="DESPESAS"),4,IF(AND(G9181="SAFRA",A9181="FATURAMENTO"),2,IF(AND(OR(G9181="SAFRA",G9181="PIX SAFRA", G9181="DÉBITO AUTOMÁTICO SAFRA", G9181= "BOLETO SAFRA", G9181= "transferência safra"), A9181="DESPESAS"),5,IF(AND(G9181="espécie",A9181="FATURAMENTO"),3,IF(AND(G9181="espécie",A9181="DESPESAS"),6))))))</f>
        <v>0</v>
      </c>
      <c r="M9181" s="17" t="str">
        <f t="shared" si="446"/>
        <v/>
      </c>
      <c r="N9181" s="11" t="str">
        <f t="shared" si="447"/>
        <v/>
      </c>
    </row>
    <row r="9182" spans="9:14" x14ac:dyDescent="0.25">
      <c r="I9182" s="11" t="b">
        <f t="shared" si="448"/>
        <v>0</v>
      </c>
      <c r="M9182" s="17" t="str">
        <f t="shared" si="446"/>
        <v/>
      </c>
      <c r="N9182" s="11" t="str">
        <f t="shared" si="447"/>
        <v/>
      </c>
    </row>
    <row r="9183" spans="9:14" x14ac:dyDescent="0.25">
      <c r="I9183" s="11" t="b">
        <f t="shared" si="448"/>
        <v>0</v>
      </c>
      <c r="M9183" s="17" t="str">
        <f t="shared" si="446"/>
        <v/>
      </c>
      <c r="N9183" s="11" t="str">
        <f t="shared" si="447"/>
        <v/>
      </c>
    </row>
    <row r="9184" spans="9:14" x14ac:dyDescent="0.25">
      <c r="I9184" s="11" t="b">
        <f t="shared" si="448"/>
        <v>0</v>
      </c>
      <c r="M9184" s="17" t="str">
        <f t="shared" si="446"/>
        <v/>
      </c>
      <c r="N9184" s="11" t="str">
        <f t="shared" si="447"/>
        <v/>
      </c>
    </row>
    <row r="9185" spans="9:14" x14ac:dyDescent="0.25">
      <c r="I9185" s="11" t="b">
        <f t="shared" si="448"/>
        <v>0</v>
      </c>
      <c r="M9185" s="17" t="str">
        <f t="shared" si="446"/>
        <v/>
      </c>
      <c r="N9185" s="11" t="str">
        <f t="shared" si="447"/>
        <v/>
      </c>
    </row>
    <row r="9186" spans="9:14" x14ac:dyDescent="0.25">
      <c r="I9186" s="11" t="b">
        <f t="shared" si="448"/>
        <v>0</v>
      </c>
      <c r="M9186" s="17" t="str">
        <f t="shared" si="446"/>
        <v/>
      </c>
      <c r="N9186" s="11" t="str">
        <f t="shared" si="447"/>
        <v/>
      </c>
    </row>
    <row r="9187" spans="9:14" x14ac:dyDescent="0.25">
      <c r="I9187" s="11" t="b">
        <f t="shared" si="448"/>
        <v>0</v>
      </c>
      <c r="M9187" s="17" t="str">
        <f t="shared" si="446"/>
        <v/>
      </c>
      <c r="N9187" s="11" t="str">
        <f t="shared" si="447"/>
        <v/>
      </c>
    </row>
    <row r="9188" spans="9:14" x14ac:dyDescent="0.25">
      <c r="I9188" s="11" t="b">
        <f t="shared" si="448"/>
        <v>0</v>
      </c>
      <c r="M9188" s="17" t="str">
        <f t="shared" si="446"/>
        <v/>
      </c>
      <c r="N9188" s="11" t="str">
        <f t="shared" si="447"/>
        <v/>
      </c>
    </row>
    <row r="9189" spans="9:14" x14ac:dyDescent="0.25">
      <c r="I9189" s="11" t="b">
        <f t="shared" si="448"/>
        <v>0</v>
      </c>
      <c r="M9189" s="17" t="str">
        <f t="shared" si="446"/>
        <v/>
      </c>
      <c r="N9189" s="11" t="str">
        <f t="shared" si="447"/>
        <v/>
      </c>
    </row>
    <row r="9190" spans="9:14" x14ac:dyDescent="0.25">
      <c r="I9190" s="11" t="b">
        <f t="shared" si="448"/>
        <v>0</v>
      </c>
      <c r="M9190" s="17" t="str">
        <f t="shared" si="446"/>
        <v/>
      </c>
      <c r="N9190" s="11" t="str">
        <f t="shared" si="447"/>
        <v/>
      </c>
    </row>
    <row r="9191" spans="9:14" x14ac:dyDescent="0.25">
      <c r="I9191" s="11" t="b">
        <f t="shared" si="448"/>
        <v>0</v>
      </c>
      <c r="M9191" s="17" t="str">
        <f t="shared" si="446"/>
        <v/>
      </c>
      <c r="N9191" s="11" t="str">
        <f t="shared" si="447"/>
        <v/>
      </c>
    </row>
    <row r="9192" spans="9:14" x14ac:dyDescent="0.25">
      <c r="I9192" s="11" t="b">
        <f t="shared" si="448"/>
        <v>0</v>
      </c>
      <c r="M9192" s="17" t="str">
        <f t="shared" si="446"/>
        <v/>
      </c>
      <c r="N9192" s="11" t="str">
        <f t="shared" si="447"/>
        <v/>
      </c>
    </row>
    <row r="9193" spans="9:14" x14ac:dyDescent="0.25">
      <c r="I9193" s="11" t="b">
        <f t="shared" si="448"/>
        <v>0</v>
      </c>
      <c r="M9193" s="17" t="str">
        <f t="shared" si="446"/>
        <v/>
      </c>
      <c r="N9193" s="11" t="str">
        <f t="shared" si="447"/>
        <v/>
      </c>
    </row>
    <row r="9194" spans="9:14" x14ac:dyDescent="0.25">
      <c r="I9194" s="11" t="b">
        <f t="shared" si="448"/>
        <v>0</v>
      </c>
      <c r="M9194" s="17" t="str">
        <f t="shared" si="446"/>
        <v/>
      </c>
      <c r="N9194" s="11" t="str">
        <f t="shared" si="447"/>
        <v/>
      </c>
    </row>
    <row r="9195" spans="9:14" x14ac:dyDescent="0.25">
      <c r="I9195" s="11" t="b">
        <f t="shared" si="448"/>
        <v>0</v>
      </c>
      <c r="M9195" s="17" t="str">
        <f t="shared" si="446"/>
        <v/>
      </c>
      <c r="N9195" s="11" t="str">
        <f t="shared" si="447"/>
        <v/>
      </c>
    </row>
    <row r="9196" spans="9:14" x14ac:dyDescent="0.25">
      <c r="I9196" s="11" t="b">
        <f t="shared" si="448"/>
        <v>0</v>
      </c>
      <c r="M9196" s="17" t="str">
        <f t="shared" si="446"/>
        <v/>
      </c>
      <c r="N9196" s="11" t="str">
        <f t="shared" si="447"/>
        <v/>
      </c>
    </row>
    <row r="9197" spans="9:14" x14ac:dyDescent="0.25">
      <c r="I9197" s="11" t="b">
        <f t="shared" si="448"/>
        <v>0</v>
      </c>
      <c r="M9197" s="17" t="str">
        <f t="shared" si="446"/>
        <v/>
      </c>
      <c r="N9197" s="11" t="str">
        <f t="shared" si="447"/>
        <v/>
      </c>
    </row>
    <row r="9198" spans="9:14" x14ac:dyDescent="0.25">
      <c r="I9198" s="11" t="b">
        <f t="shared" si="448"/>
        <v>0</v>
      </c>
      <c r="M9198" s="17" t="str">
        <f t="shared" si="446"/>
        <v/>
      </c>
      <c r="N9198" s="11" t="str">
        <f t="shared" si="447"/>
        <v/>
      </c>
    </row>
    <row r="9199" spans="9:14" x14ac:dyDescent="0.25">
      <c r="I9199" s="11" t="b">
        <f t="shared" si="448"/>
        <v>0</v>
      </c>
      <c r="M9199" s="17" t="str">
        <f t="shared" si="446"/>
        <v/>
      </c>
      <c r="N9199" s="11" t="str">
        <f t="shared" si="447"/>
        <v/>
      </c>
    </row>
    <row r="9200" spans="9:14" x14ac:dyDescent="0.25">
      <c r="I9200" s="11" t="b">
        <f t="shared" si="448"/>
        <v>0</v>
      </c>
      <c r="M9200" s="17" t="str">
        <f t="shared" si="446"/>
        <v/>
      </c>
      <c r="N9200" s="11" t="str">
        <f t="shared" si="447"/>
        <v/>
      </c>
    </row>
    <row r="9201" spans="9:14" x14ac:dyDescent="0.25">
      <c r="I9201" s="11" t="b">
        <f t="shared" si="448"/>
        <v>0</v>
      </c>
      <c r="M9201" s="17" t="str">
        <f t="shared" si="446"/>
        <v/>
      </c>
      <c r="N9201" s="11" t="str">
        <f t="shared" si="447"/>
        <v/>
      </c>
    </row>
    <row r="9202" spans="9:14" x14ac:dyDescent="0.25">
      <c r="I9202" s="11" t="b">
        <f t="shared" si="448"/>
        <v>0</v>
      </c>
      <c r="M9202" s="17" t="str">
        <f t="shared" si="446"/>
        <v/>
      </c>
      <c r="N9202" s="11" t="str">
        <f t="shared" si="447"/>
        <v/>
      </c>
    </row>
    <row r="9203" spans="9:14" x14ac:dyDescent="0.25">
      <c r="I9203" s="11" t="b">
        <f t="shared" si="448"/>
        <v>0</v>
      </c>
      <c r="M9203" s="17" t="str">
        <f t="shared" si="446"/>
        <v/>
      </c>
      <c r="N9203" s="11" t="str">
        <f t="shared" si="447"/>
        <v/>
      </c>
    </row>
    <row r="9204" spans="9:14" x14ac:dyDescent="0.25">
      <c r="I9204" s="11" t="b">
        <f t="shared" si="448"/>
        <v>0</v>
      </c>
      <c r="M9204" s="17" t="str">
        <f t="shared" si="446"/>
        <v/>
      </c>
      <c r="N9204" s="11" t="str">
        <f t="shared" si="447"/>
        <v/>
      </c>
    </row>
    <row r="9205" spans="9:14" x14ac:dyDescent="0.25">
      <c r="I9205" s="11" t="b">
        <f t="shared" si="448"/>
        <v>0</v>
      </c>
      <c r="M9205" s="17" t="str">
        <f t="shared" si="446"/>
        <v/>
      </c>
      <c r="N9205" s="11" t="str">
        <f t="shared" si="447"/>
        <v/>
      </c>
    </row>
    <row r="9206" spans="9:14" x14ac:dyDescent="0.25">
      <c r="I9206" s="11" t="b">
        <f t="shared" si="448"/>
        <v>0</v>
      </c>
      <c r="M9206" s="17" t="str">
        <f t="shared" si="446"/>
        <v/>
      </c>
      <c r="N9206" s="11" t="str">
        <f t="shared" si="447"/>
        <v/>
      </c>
    </row>
    <row r="9207" spans="9:14" x14ac:dyDescent="0.25">
      <c r="I9207" s="11" t="b">
        <f t="shared" si="448"/>
        <v>0</v>
      </c>
      <c r="M9207" s="17" t="str">
        <f t="shared" si="446"/>
        <v/>
      </c>
      <c r="N9207" s="11" t="str">
        <f t="shared" si="447"/>
        <v/>
      </c>
    </row>
    <row r="9208" spans="9:14" x14ac:dyDescent="0.25">
      <c r="I9208" s="11" t="b">
        <f t="shared" si="448"/>
        <v>0</v>
      </c>
      <c r="M9208" s="17" t="str">
        <f t="shared" si="446"/>
        <v/>
      </c>
      <c r="N9208" s="11" t="str">
        <f t="shared" si="447"/>
        <v/>
      </c>
    </row>
    <row r="9209" spans="9:14" x14ac:dyDescent="0.25">
      <c r="I9209" s="11" t="b">
        <f t="shared" si="448"/>
        <v>0</v>
      </c>
      <c r="M9209" s="17" t="str">
        <f t="shared" si="446"/>
        <v/>
      </c>
      <c r="N9209" s="11" t="str">
        <f t="shared" si="447"/>
        <v/>
      </c>
    </row>
    <row r="9210" spans="9:14" x14ac:dyDescent="0.25">
      <c r="I9210" s="11" t="b">
        <f t="shared" si="448"/>
        <v>0</v>
      </c>
      <c r="M9210" s="17" t="str">
        <f t="shared" si="446"/>
        <v/>
      </c>
      <c r="N9210" s="11" t="str">
        <f t="shared" si="447"/>
        <v/>
      </c>
    </row>
    <row r="9211" spans="9:14" x14ac:dyDescent="0.25">
      <c r="I9211" s="11" t="b">
        <f t="shared" si="448"/>
        <v>0</v>
      </c>
      <c r="M9211" s="17" t="str">
        <f t="shared" si="446"/>
        <v/>
      </c>
      <c r="N9211" s="11" t="str">
        <f t="shared" si="447"/>
        <v/>
      </c>
    </row>
    <row r="9212" spans="9:14" x14ac:dyDescent="0.25">
      <c r="I9212" s="11" t="b">
        <f t="shared" si="448"/>
        <v>0</v>
      </c>
      <c r="M9212" s="17" t="str">
        <f t="shared" si="446"/>
        <v/>
      </c>
      <c r="N9212" s="11" t="str">
        <f t="shared" si="447"/>
        <v/>
      </c>
    </row>
    <row r="9213" spans="9:14" x14ac:dyDescent="0.25">
      <c r="I9213" s="11" t="b">
        <f t="shared" si="448"/>
        <v>0</v>
      </c>
      <c r="M9213" s="17" t="str">
        <f t="shared" si="446"/>
        <v/>
      </c>
      <c r="N9213" s="11" t="str">
        <f t="shared" si="447"/>
        <v/>
      </c>
    </row>
    <row r="9214" spans="9:14" x14ac:dyDescent="0.25">
      <c r="I9214" s="11" t="b">
        <f t="shared" si="448"/>
        <v>0</v>
      </c>
      <c r="M9214" s="17" t="str">
        <f t="shared" si="446"/>
        <v/>
      </c>
      <c r="N9214" s="11" t="str">
        <f t="shared" si="447"/>
        <v/>
      </c>
    </row>
    <row r="9215" spans="9:14" x14ac:dyDescent="0.25">
      <c r="I9215" s="11" t="b">
        <f t="shared" si="448"/>
        <v>0</v>
      </c>
      <c r="M9215" s="17" t="str">
        <f t="shared" si="446"/>
        <v/>
      </c>
      <c r="N9215" s="11" t="str">
        <f t="shared" si="447"/>
        <v/>
      </c>
    </row>
    <row r="9216" spans="9:14" x14ac:dyDescent="0.25">
      <c r="I9216" s="11" t="b">
        <f t="shared" si="448"/>
        <v>0</v>
      </c>
      <c r="M9216" s="17" t="str">
        <f t="shared" si="446"/>
        <v/>
      </c>
      <c r="N9216" s="11" t="str">
        <f t="shared" si="447"/>
        <v/>
      </c>
    </row>
    <row r="9217" spans="9:14" x14ac:dyDescent="0.25">
      <c r="I9217" s="11" t="b">
        <f t="shared" si="448"/>
        <v>0</v>
      </c>
      <c r="M9217" s="17" t="str">
        <f t="shared" ref="M9217:M9280" si="449">IF(B9217=0, "",M9216+ J9217-K9217)</f>
        <v/>
      </c>
      <c r="N9217" s="11" t="str">
        <f t="shared" ref="N9217:N9280" si="450">IF(B9217=0, "", MONTH(B9217))</f>
        <v/>
      </c>
    </row>
    <row r="9218" spans="9:14" x14ac:dyDescent="0.25">
      <c r="I9218" s="11" t="b">
        <f t="shared" si="448"/>
        <v>0</v>
      </c>
      <c r="M9218" s="17" t="str">
        <f t="shared" si="449"/>
        <v/>
      </c>
      <c r="N9218" s="11" t="str">
        <f t="shared" si="450"/>
        <v/>
      </c>
    </row>
    <row r="9219" spans="9:14" x14ac:dyDescent="0.25">
      <c r="I9219" s="11" t="b">
        <f t="shared" si="448"/>
        <v>0</v>
      </c>
      <c r="M9219" s="17" t="str">
        <f t="shared" si="449"/>
        <v/>
      </c>
      <c r="N9219" s="11" t="str">
        <f t="shared" si="450"/>
        <v/>
      </c>
    </row>
    <row r="9220" spans="9:14" x14ac:dyDescent="0.25">
      <c r="I9220" s="11" t="b">
        <f t="shared" si="448"/>
        <v>0</v>
      </c>
      <c r="M9220" s="17" t="str">
        <f t="shared" si="449"/>
        <v/>
      </c>
      <c r="N9220" s="11" t="str">
        <f t="shared" si="450"/>
        <v/>
      </c>
    </row>
    <row r="9221" spans="9:14" x14ac:dyDescent="0.25">
      <c r="I9221" s="11" t="b">
        <f t="shared" si="448"/>
        <v>0</v>
      </c>
      <c r="M9221" s="17" t="str">
        <f t="shared" si="449"/>
        <v/>
      </c>
      <c r="N9221" s="11" t="str">
        <f t="shared" si="450"/>
        <v/>
      </c>
    </row>
    <row r="9222" spans="9:14" x14ac:dyDescent="0.25">
      <c r="I9222" s="11" t="b">
        <f t="shared" si="448"/>
        <v>0</v>
      </c>
      <c r="M9222" s="17" t="str">
        <f t="shared" si="449"/>
        <v/>
      </c>
      <c r="N9222" s="11" t="str">
        <f t="shared" si="450"/>
        <v/>
      </c>
    </row>
    <row r="9223" spans="9:14" x14ac:dyDescent="0.25">
      <c r="I9223" s="11" t="b">
        <f t="shared" si="448"/>
        <v>0</v>
      </c>
      <c r="M9223" s="17" t="str">
        <f t="shared" si="449"/>
        <v/>
      </c>
      <c r="N9223" s="11" t="str">
        <f t="shared" si="450"/>
        <v/>
      </c>
    </row>
    <row r="9224" spans="9:14" x14ac:dyDescent="0.25">
      <c r="I9224" s="11" t="b">
        <f t="shared" si="448"/>
        <v>0</v>
      </c>
      <c r="M9224" s="17" t="str">
        <f t="shared" si="449"/>
        <v/>
      </c>
      <c r="N9224" s="11" t="str">
        <f t="shared" si="450"/>
        <v/>
      </c>
    </row>
    <row r="9225" spans="9:14" x14ac:dyDescent="0.25">
      <c r="I9225" s="11" t="b">
        <f t="shared" si="448"/>
        <v>0</v>
      </c>
      <c r="M9225" s="17" t="str">
        <f t="shared" si="449"/>
        <v/>
      </c>
      <c r="N9225" s="11" t="str">
        <f t="shared" si="450"/>
        <v/>
      </c>
    </row>
    <row r="9226" spans="9:14" x14ac:dyDescent="0.25">
      <c r="I9226" s="11" t="b">
        <f t="shared" si="448"/>
        <v>0</v>
      </c>
      <c r="M9226" s="17" t="str">
        <f t="shared" si="449"/>
        <v/>
      </c>
      <c r="N9226" s="11" t="str">
        <f t="shared" si="450"/>
        <v/>
      </c>
    </row>
    <row r="9227" spans="9:14" x14ac:dyDescent="0.25">
      <c r="I9227" s="11" t="b">
        <f t="shared" si="448"/>
        <v>0</v>
      </c>
      <c r="M9227" s="17" t="str">
        <f t="shared" si="449"/>
        <v/>
      </c>
      <c r="N9227" s="11" t="str">
        <f t="shared" si="450"/>
        <v/>
      </c>
    </row>
    <row r="9228" spans="9:14" x14ac:dyDescent="0.25">
      <c r="I9228" s="11" t="b">
        <f t="shared" si="448"/>
        <v>0</v>
      </c>
      <c r="M9228" s="17" t="str">
        <f t="shared" si="449"/>
        <v/>
      </c>
      <c r="N9228" s="11" t="str">
        <f t="shared" si="450"/>
        <v/>
      </c>
    </row>
    <row r="9229" spans="9:14" x14ac:dyDescent="0.25">
      <c r="I9229" s="11" t="b">
        <f t="shared" si="448"/>
        <v>0</v>
      </c>
      <c r="M9229" s="17" t="str">
        <f t="shared" si="449"/>
        <v/>
      </c>
      <c r="N9229" s="11" t="str">
        <f t="shared" si="450"/>
        <v/>
      </c>
    </row>
    <row r="9230" spans="9:14" x14ac:dyDescent="0.25">
      <c r="I9230" s="11" t="b">
        <f t="shared" si="448"/>
        <v>0</v>
      </c>
      <c r="M9230" s="17" t="str">
        <f t="shared" si="449"/>
        <v/>
      </c>
      <c r="N9230" s="11" t="str">
        <f t="shared" si="450"/>
        <v/>
      </c>
    </row>
    <row r="9231" spans="9:14" x14ac:dyDescent="0.25">
      <c r="I9231" s="11" t="b">
        <f t="shared" si="448"/>
        <v>0</v>
      </c>
      <c r="M9231" s="17" t="str">
        <f t="shared" si="449"/>
        <v/>
      </c>
      <c r="N9231" s="11" t="str">
        <f t="shared" si="450"/>
        <v/>
      </c>
    </row>
    <row r="9232" spans="9:14" x14ac:dyDescent="0.25">
      <c r="I9232" s="11" t="b">
        <f t="shared" si="448"/>
        <v>0</v>
      </c>
      <c r="M9232" s="17" t="str">
        <f t="shared" si="449"/>
        <v/>
      </c>
      <c r="N9232" s="11" t="str">
        <f t="shared" si="450"/>
        <v/>
      </c>
    </row>
    <row r="9233" spans="9:14" x14ac:dyDescent="0.25">
      <c r="I9233" s="11" t="b">
        <f t="shared" si="448"/>
        <v>0</v>
      </c>
      <c r="M9233" s="17" t="str">
        <f t="shared" si="449"/>
        <v/>
      </c>
      <c r="N9233" s="11" t="str">
        <f t="shared" si="450"/>
        <v/>
      </c>
    </row>
    <row r="9234" spans="9:14" x14ac:dyDescent="0.25">
      <c r="I9234" s="11" t="b">
        <f t="shared" si="448"/>
        <v>0</v>
      </c>
      <c r="M9234" s="17" t="str">
        <f t="shared" si="449"/>
        <v/>
      </c>
      <c r="N9234" s="11" t="str">
        <f t="shared" si="450"/>
        <v/>
      </c>
    </row>
    <row r="9235" spans="9:14" x14ac:dyDescent="0.25">
      <c r="I9235" s="11" t="b">
        <f t="shared" si="448"/>
        <v>0</v>
      </c>
      <c r="M9235" s="17" t="str">
        <f t="shared" si="449"/>
        <v/>
      </c>
      <c r="N9235" s="11" t="str">
        <f t="shared" si="450"/>
        <v/>
      </c>
    </row>
    <row r="9236" spans="9:14" x14ac:dyDescent="0.25">
      <c r="I9236" s="11" t="b">
        <f t="shared" si="448"/>
        <v>0</v>
      </c>
      <c r="M9236" s="17" t="str">
        <f t="shared" si="449"/>
        <v/>
      </c>
      <c r="N9236" s="11" t="str">
        <f t="shared" si="450"/>
        <v/>
      </c>
    </row>
    <row r="9237" spans="9:14" x14ac:dyDescent="0.25">
      <c r="I9237" s="11" t="b">
        <f t="shared" si="448"/>
        <v>0</v>
      </c>
      <c r="M9237" s="17" t="str">
        <f t="shared" si="449"/>
        <v/>
      </c>
      <c r="N9237" s="11" t="str">
        <f t="shared" si="450"/>
        <v/>
      </c>
    </row>
    <row r="9238" spans="9:14" x14ac:dyDescent="0.25">
      <c r="I9238" s="11" t="b">
        <f t="shared" si="448"/>
        <v>0</v>
      </c>
      <c r="M9238" s="17" t="str">
        <f t="shared" si="449"/>
        <v/>
      </c>
      <c r="N9238" s="11" t="str">
        <f t="shared" si="450"/>
        <v/>
      </c>
    </row>
    <row r="9239" spans="9:14" x14ac:dyDescent="0.25">
      <c r="I9239" s="11" t="b">
        <f t="shared" si="448"/>
        <v>0</v>
      </c>
      <c r="M9239" s="17" t="str">
        <f t="shared" si="449"/>
        <v/>
      </c>
      <c r="N9239" s="11" t="str">
        <f t="shared" si="450"/>
        <v/>
      </c>
    </row>
    <row r="9240" spans="9:14" x14ac:dyDescent="0.25">
      <c r="I9240" s="11" t="b">
        <f t="shared" si="448"/>
        <v>0</v>
      </c>
      <c r="M9240" s="17" t="str">
        <f t="shared" si="449"/>
        <v/>
      </c>
      <c r="N9240" s="11" t="str">
        <f t="shared" si="450"/>
        <v/>
      </c>
    </row>
    <row r="9241" spans="9:14" x14ac:dyDescent="0.25">
      <c r="I9241" s="11" t="b">
        <f t="shared" si="448"/>
        <v>0</v>
      </c>
      <c r="M9241" s="17" t="str">
        <f t="shared" si="449"/>
        <v/>
      </c>
      <c r="N9241" s="11" t="str">
        <f t="shared" si="450"/>
        <v/>
      </c>
    </row>
    <row r="9242" spans="9:14" x14ac:dyDescent="0.25">
      <c r="I9242" s="11" t="b">
        <f t="shared" si="448"/>
        <v>0</v>
      </c>
      <c r="M9242" s="17" t="str">
        <f t="shared" si="449"/>
        <v/>
      </c>
      <c r="N9242" s="11" t="str">
        <f t="shared" si="450"/>
        <v/>
      </c>
    </row>
    <row r="9243" spans="9:14" x14ac:dyDescent="0.25">
      <c r="I9243" s="11" t="b">
        <f t="shared" si="448"/>
        <v>0</v>
      </c>
      <c r="M9243" s="17" t="str">
        <f t="shared" si="449"/>
        <v/>
      </c>
      <c r="N9243" s="11" t="str">
        <f t="shared" si="450"/>
        <v/>
      </c>
    </row>
    <row r="9244" spans="9:14" x14ac:dyDescent="0.25">
      <c r="I9244" s="11" t="b">
        <f t="shared" si="448"/>
        <v>0</v>
      </c>
      <c r="M9244" s="17" t="str">
        <f t="shared" si="449"/>
        <v/>
      </c>
      <c r="N9244" s="11" t="str">
        <f t="shared" si="450"/>
        <v/>
      </c>
    </row>
    <row r="9245" spans="9:14" x14ac:dyDescent="0.25">
      <c r="I9245" s="11" t="b">
        <f t="shared" ref="I9245:I9308" si="451">IF(AND(G9245="MERCADO PAGO",A9245="FATURAMENTO"),1,IF(AND(OR(G9245="MERCADO PAGO",G9245="pix mercado pago",G9245= "débito automático mercado pago", G9245= "boleto mercado pago"),A9245="DESPESAS"),4,IF(AND(G9245="SAFRA",A9245="FATURAMENTO"),2,IF(AND(OR(G9245="SAFRA",G9245="PIX SAFRA", G9245="DÉBITO AUTOMÁTICO SAFRA", G9245= "BOLETO SAFRA", G9245= "transferência safra"), A9245="DESPESAS"),5,IF(AND(G9245="espécie",A9245="FATURAMENTO"),3,IF(AND(G9245="espécie",A9245="DESPESAS"),6))))))</f>
        <v>0</v>
      </c>
      <c r="M9245" s="17" t="str">
        <f t="shared" si="449"/>
        <v/>
      </c>
      <c r="N9245" s="11" t="str">
        <f t="shared" si="450"/>
        <v/>
      </c>
    </row>
    <row r="9246" spans="9:14" x14ac:dyDescent="0.25">
      <c r="I9246" s="11" t="b">
        <f t="shared" si="451"/>
        <v>0</v>
      </c>
      <c r="M9246" s="17" t="str">
        <f t="shared" si="449"/>
        <v/>
      </c>
      <c r="N9246" s="11" t="str">
        <f t="shared" si="450"/>
        <v/>
      </c>
    </row>
    <row r="9247" spans="9:14" x14ac:dyDescent="0.25">
      <c r="I9247" s="11" t="b">
        <f t="shared" si="451"/>
        <v>0</v>
      </c>
      <c r="M9247" s="17" t="str">
        <f t="shared" si="449"/>
        <v/>
      </c>
      <c r="N9247" s="11" t="str">
        <f t="shared" si="450"/>
        <v/>
      </c>
    </row>
    <row r="9248" spans="9:14" x14ac:dyDescent="0.25">
      <c r="I9248" s="11" t="b">
        <f t="shared" si="451"/>
        <v>0</v>
      </c>
      <c r="M9248" s="17" t="str">
        <f t="shared" si="449"/>
        <v/>
      </c>
      <c r="N9248" s="11" t="str">
        <f t="shared" si="450"/>
        <v/>
      </c>
    </row>
    <row r="9249" spans="9:14" x14ac:dyDescent="0.25">
      <c r="I9249" s="11" t="b">
        <f t="shared" si="451"/>
        <v>0</v>
      </c>
      <c r="M9249" s="17" t="str">
        <f t="shared" si="449"/>
        <v/>
      </c>
      <c r="N9249" s="11" t="str">
        <f t="shared" si="450"/>
        <v/>
      </c>
    </row>
    <row r="9250" spans="9:14" x14ac:dyDescent="0.25">
      <c r="I9250" s="11" t="b">
        <f t="shared" si="451"/>
        <v>0</v>
      </c>
      <c r="M9250" s="17" t="str">
        <f t="shared" si="449"/>
        <v/>
      </c>
      <c r="N9250" s="11" t="str">
        <f t="shared" si="450"/>
        <v/>
      </c>
    </row>
    <row r="9251" spans="9:14" x14ac:dyDescent="0.25">
      <c r="I9251" s="11" t="b">
        <f t="shared" si="451"/>
        <v>0</v>
      </c>
      <c r="M9251" s="17" t="str">
        <f t="shared" si="449"/>
        <v/>
      </c>
      <c r="N9251" s="11" t="str">
        <f t="shared" si="450"/>
        <v/>
      </c>
    </row>
    <row r="9252" spans="9:14" x14ac:dyDescent="0.25">
      <c r="I9252" s="11" t="b">
        <f t="shared" si="451"/>
        <v>0</v>
      </c>
      <c r="M9252" s="17" t="str">
        <f t="shared" si="449"/>
        <v/>
      </c>
      <c r="N9252" s="11" t="str">
        <f t="shared" si="450"/>
        <v/>
      </c>
    </row>
    <row r="9253" spans="9:14" x14ac:dyDescent="0.25">
      <c r="I9253" s="11" t="b">
        <f t="shared" si="451"/>
        <v>0</v>
      </c>
      <c r="M9253" s="17" t="str">
        <f t="shared" si="449"/>
        <v/>
      </c>
      <c r="N9253" s="11" t="str">
        <f t="shared" si="450"/>
        <v/>
      </c>
    </row>
    <row r="9254" spans="9:14" x14ac:dyDescent="0.25">
      <c r="I9254" s="11" t="b">
        <f t="shared" si="451"/>
        <v>0</v>
      </c>
      <c r="M9254" s="17" t="str">
        <f t="shared" si="449"/>
        <v/>
      </c>
      <c r="N9254" s="11" t="str">
        <f t="shared" si="450"/>
        <v/>
      </c>
    </row>
    <row r="9255" spans="9:14" x14ac:dyDescent="0.25">
      <c r="I9255" s="11" t="b">
        <f t="shared" si="451"/>
        <v>0</v>
      </c>
      <c r="M9255" s="17" t="str">
        <f t="shared" si="449"/>
        <v/>
      </c>
      <c r="N9255" s="11" t="str">
        <f t="shared" si="450"/>
        <v/>
      </c>
    </row>
    <row r="9256" spans="9:14" x14ac:dyDescent="0.25">
      <c r="I9256" s="11" t="b">
        <f t="shared" si="451"/>
        <v>0</v>
      </c>
      <c r="M9256" s="17" t="str">
        <f t="shared" si="449"/>
        <v/>
      </c>
      <c r="N9256" s="11" t="str">
        <f t="shared" si="450"/>
        <v/>
      </c>
    </row>
    <row r="9257" spans="9:14" x14ac:dyDescent="0.25">
      <c r="I9257" s="11" t="b">
        <f t="shared" si="451"/>
        <v>0</v>
      </c>
      <c r="M9257" s="17" t="str">
        <f t="shared" si="449"/>
        <v/>
      </c>
      <c r="N9257" s="11" t="str">
        <f t="shared" si="450"/>
        <v/>
      </c>
    </row>
    <row r="9258" spans="9:14" x14ac:dyDescent="0.25">
      <c r="I9258" s="11" t="b">
        <f t="shared" si="451"/>
        <v>0</v>
      </c>
      <c r="M9258" s="17" t="str">
        <f t="shared" si="449"/>
        <v/>
      </c>
      <c r="N9258" s="11" t="str">
        <f t="shared" si="450"/>
        <v/>
      </c>
    </row>
    <row r="9259" spans="9:14" x14ac:dyDescent="0.25">
      <c r="I9259" s="11" t="b">
        <f t="shared" si="451"/>
        <v>0</v>
      </c>
      <c r="M9259" s="17" t="str">
        <f t="shared" si="449"/>
        <v/>
      </c>
      <c r="N9259" s="11" t="str">
        <f t="shared" si="450"/>
        <v/>
      </c>
    </row>
    <row r="9260" spans="9:14" x14ac:dyDescent="0.25">
      <c r="I9260" s="11" t="b">
        <f t="shared" si="451"/>
        <v>0</v>
      </c>
      <c r="M9260" s="17" t="str">
        <f t="shared" si="449"/>
        <v/>
      </c>
      <c r="N9260" s="11" t="str">
        <f t="shared" si="450"/>
        <v/>
      </c>
    </row>
    <row r="9261" spans="9:14" x14ac:dyDescent="0.25">
      <c r="I9261" s="11" t="b">
        <f t="shared" si="451"/>
        <v>0</v>
      </c>
      <c r="M9261" s="17" t="str">
        <f t="shared" si="449"/>
        <v/>
      </c>
      <c r="N9261" s="11" t="str">
        <f t="shared" si="450"/>
        <v/>
      </c>
    </row>
    <row r="9262" spans="9:14" x14ac:dyDescent="0.25">
      <c r="I9262" s="11" t="b">
        <f t="shared" si="451"/>
        <v>0</v>
      </c>
      <c r="M9262" s="17" t="str">
        <f t="shared" si="449"/>
        <v/>
      </c>
      <c r="N9262" s="11" t="str">
        <f t="shared" si="450"/>
        <v/>
      </c>
    </row>
    <row r="9263" spans="9:14" x14ac:dyDescent="0.25">
      <c r="I9263" s="11" t="b">
        <f t="shared" si="451"/>
        <v>0</v>
      </c>
      <c r="M9263" s="17" t="str">
        <f t="shared" si="449"/>
        <v/>
      </c>
      <c r="N9263" s="11" t="str">
        <f t="shared" si="450"/>
        <v/>
      </c>
    </row>
    <row r="9264" spans="9:14" x14ac:dyDescent="0.25">
      <c r="I9264" s="11" t="b">
        <f t="shared" si="451"/>
        <v>0</v>
      </c>
      <c r="M9264" s="17" t="str">
        <f t="shared" si="449"/>
        <v/>
      </c>
      <c r="N9264" s="11" t="str">
        <f t="shared" si="450"/>
        <v/>
      </c>
    </row>
    <row r="9265" spans="9:14" x14ac:dyDescent="0.25">
      <c r="I9265" s="11" t="b">
        <f t="shared" si="451"/>
        <v>0</v>
      </c>
      <c r="M9265" s="17" t="str">
        <f t="shared" si="449"/>
        <v/>
      </c>
      <c r="N9265" s="11" t="str">
        <f t="shared" si="450"/>
        <v/>
      </c>
    </row>
    <row r="9266" spans="9:14" x14ac:dyDescent="0.25">
      <c r="I9266" s="11" t="b">
        <f t="shared" si="451"/>
        <v>0</v>
      </c>
      <c r="M9266" s="17" t="str">
        <f t="shared" si="449"/>
        <v/>
      </c>
      <c r="N9266" s="11" t="str">
        <f t="shared" si="450"/>
        <v/>
      </c>
    </row>
    <row r="9267" spans="9:14" x14ac:dyDescent="0.25">
      <c r="I9267" s="11" t="b">
        <f t="shared" si="451"/>
        <v>0</v>
      </c>
      <c r="M9267" s="17" t="str">
        <f t="shared" si="449"/>
        <v/>
      </c>
      <c r="N9267" s="11" t="str">
        <f t="shared" si="450"/>
        <v/>
      </c>
    </row>
    <row r="9268" spans="9:14" x14ac:dyDescent="0.25">
      <c r="I9268" s="11" t="b">
        <f t="shared" si="451"/>
        <v>0</v>
      </c>
      <c r="M9268" s="17" t="str">
        <f t="shared" si="449"/>
        <v/>
      </c>
      <c r="N9268" s="11" t="str">
        <f t="shared" si="450"/>
        <v/>
      </c>
    </row>
    <row r="9269" spans="9:14" x14ac:dyDescent="0.25">
      <c r="I9269" s="11" t="b">
        <f t="shared" si="451"/>
        <v>0</v>
      </c>
      <c r="M9269" s="17" t="str">
        <f t="shared" si="449"/>
        <v/>
      </c>
      <c r="N9269" s="11" t="str">
        <f t="shared" si="450"/>
        <v/>
      </c>
    </row>
    <row r="9270" spans="9:14" x14ac:dyDescent="0.25">
      <c r="I9270" s="11" t="b">
        <f t="shared" si="451"/>
        <v>0</v>
      </c>
      <c r="M9270" s="17" t="str">
        <f t="shared" si="449"/>
        <v/>
      </c>
      <c r="N9270" s="11" t="str">
        <f t="shared" si="450"/>
        <v/>
      </c>
    </row>
    <row r="9271" spans="9:14" x14ac:dyDescent="0.25">
      <c r="I9271" s="11" t="b">
        <f t="shared" si="451"/>
        <v>0</v>
      </c>
      <c r="M9271" s="17" t="str">
        <f t="shared" si="449"/>
        <v/>
      </c>
      <c r="N9271" s="11" t="str">
        <f t="shared" si="450"/>
        <v/>
      </c>
    </row>
    <row r="9272" spans="9:14" x14ac:dyDescent="0.25">
      <c r="I9272" s="11" t="b">
        <f t="shared" si="451"/>
        <v>0</v>
      </c>
      <c r="M9272" s="17" t="str">
        <f t="shared" si="449"/>
        <v/>
      </c>
      <c r="N9272" s="11" t="str">
        <f t="shared" si="450"/>
        <v/>
      </c>
    </row>
    <row r="9273" spans="9:14" x14ac:dyDescent="0.25">
      <c r="I9273" s="11" t="b">
        <f t="shared" si="451"/>
        <v>0</v>
      </c>
      <c r="M9273" s="17" t="str">
        <f t="shared" si="449"/>
        <v/>
      </c>
      <c r="N9273" s="11" t="str">
        <f t="shared" si="450"/>
        <v/>
      </c>
    </row>
    <row r="9274" spans="9:14" x14ac:dyDescent="0.25">
      <c r="I9274" s="11" t="b">
        <f t="shared" si="451"/>
        <v>0</v>
      </c>
      <c r="M9274" s="17" t="str">
        <f t="shared" si="449"/>
        <v/>
      </c>
      <c r="N9274" s="11" t="str">
        <f t="shared" si="450"/>
        <v/>
      </c>
    </row>
    <row r="9275" spans="9:14" x14ac:dyDescent="0.25">
      <c r="I9275" s="11" t="b">
        <f t="shared" si="451"/>
        <v>0</v>
      </c>
      <c r="M9275" s="17" t="str">
        <f t="shared" si="449"/>
        <v/>
      </c>
      <c r="N9275" s="11" t="str">
        <f t="shared" si="450"/>
        <v/>
      </c>
    </row>
    <row r="9276" spans="9:14" x14ac:dyDescent="0.25">
      <c r="I9276" s="11" t="b">
        <f t="shared" si="451"/>
        <v>0</v>
      </c>
      <c r="M9276" s="17" t="str">
        <f t="shared" si="449"/>
        <v/>
      </c>
      <c r="N9276" s="11" t="str">
        <f t="shared" si="450"/>
        <v/>
      </c>
    </row>
    <row r="9277" spans="9:14" x14ac:dyDescent="0.25">
      <c r="I9277" s="11" t="b">
        <f t="shared" si="451"/>
        <v>0</v>
      </c>
      <c r="M9277" s="17" t="str">
        <f t="shared" si="449"/>
        <v/>
      </c>
      <c r="N9277" s="11" t="str">
        <f t="shared" si="450"/>
        <v/>
      </c>
    </row>
    <row r="9278" spans="9:14" x14ac:dyDescent="0.25">
      <c r="I9278" s="11" t="b">
        <f t="shared" si="451"/>
        <v>0</v>
      </c>
      <c r="M9278" s="17" t="str">
        <f t="shared" si="449"/>
        <v/>
      </c>
      <c r="N9278" s="11" t="str">
        <f t="shared" si="450"/>
        <v/>
      </c>
    </row>
    <row r="9279" spans="9:14" x14ac:dyDescent="0.25">
      <c r="I9279" s="11" t="b">
        <f t="shared" si="451"/>
        <v>0</v>
      </c>
      <c r="M9279" s="17" t="str">
        <f t="shared" si="449"/>
        <v/>
      </c>
      <c r="N9279" s="11" t="str">
        <f t="shared" si="450"/>
        <v/>
      </c>
    </row>
    <row r="9280" spans="9:14" x14ac:dyDescent="0.25">
      <c r="I9280" s="11" t="b">
        <f t="shared" si="451"/>
        <v>0</v>
      </c>
      <c r="M9280" s="17" t="str">
        <f t="shared" si="449"/>
        <v/>
      </c>
      <c r="N9280" s="11" t="str">
        <f t="shared" si="450"/>
        <v/>
      </c>
    </row>
    <row r="9281" spans="9:14" x14ac:dyDescent="0.25">
      <c r="I9281" s="11" t="b">
        <f t="shared" si="451"/>
        <v>0</v>
      </c>
      <c r="M9281" s="17" t="str">
        <f t="shared" ref="M9281:M9344" si="452">IF(B9281=0, "",M9280+ J9281-K9281)</f>
        <v/>
      </c>
      <c r="N9281" s="11" t="str">
        <f t="shared" ref="N9281:N9344" si="453">IF(B9281=0, "", MONTH(B9281))</f>
        <v/>
      </c>
    </row>
    <row r="9282" spans="9:14" x14ac:dyDescent="0.25">
      <c r="I9282" s="11" t="b">
        <f t="shared" si="451"/>
        <v>0</v>
      </c>
      <c r="M9282" s="17" t="str">
        <f t="shared" si="452"/>
        <v/>
      </c>
      <c r="N9282" s="11" t="str">
        <f t="shared" si="453"/>
        <v/>
      </c>
    </row>
    <row r="9283" spans="9:14" x14ac:dyDescent="0.25">
      <c r="I9283" s="11" t="b">
        <f t="shared" si="451"/>
        <v>0</v>
      </c>
      <c r="M9283" s="17" t="str">
        <f t="shared" si="452"/>
        <v/>
      </c>
      <c r="N9283" s="11" t="str">
        <f t="shared" si="453"/>
        <v/>
      </c>
    </row>
    <row r="9284" spans="9:14" x14ac:dyDescent="0.25">
      <c r="I9284" s="11" t="b">
        <f t="shared" si="451"/>
        <v>0</v>
      </c>
      <c r="M9284" s="17" t="str">
        <f t="shared" si="452"/>
        <v/>
      </c>
      <c r="N9284" s="11" t="str">
        <f t="shared" si="453"/>
        <v/>
      </c>
    </row>
    <row r="9285" spans="9:14" x14ac:dyDescent="0.25">
      <c r="I9285" s="11" t="b">
        <f t="shared" si="451"/>
        <v>0</v>
      </c>
      <c r="M9285" s="17" t="str">
        <f t="shared" si="452"/>
        <v/>
      </c>
      <c r="N9285" s="11" t="str">
        <f t="shared" si="453"/>
        <v/>
      </c>
    </row>
    <row r="9286" spans="9:14" x14ac:dyDescent="0.25">
      <c r="I9286" s="11" t="b">
        <f t="shared" si="451"/>
        <v>0</v>
      </c>
      <c r="M9286" s="17" t="str">
        <f t="shared" si="452"/>
        <v/>
      </c>
      <c r="N9286" s="11" t="str">
        <f t="shared" si="453"/>
        <v/>
      </c>
    </row>
    <row r="9287" spans="9:14" x14ac:dyDescent="0.25">
      <c r="I9287" s="11" t="b">
        <f t="shared" si="451"/>
        <v>0</v>
      </c>
      <c r="M9287" s="17" t="str">
        <f t="shared" si="452"/>
        <v/>
      </c>
      <c r="N9287" s="11" t="str">
        <f t="shared" si="453"/>
        <v/>
      </c>
    </row>
    <row r="9288" spans="9:14" x14ac:dyDescent="0.25">
      <c r="I9288" s="11" t="b">
        <f t="shared" si="451"/>
        <v>0</v>
      </c>
      <c r="M9288" s="17" t="str">
        <f t="shared" si="452"/>
        <v/>
      </c>
      <c r="N9288" s="11" t="str">
        <f t="shared" si="453"/>
        <v/>
      </c>
    </row>
    <row r="9289" spans="9:14" x14ac:dyDescent="0.25">
      <c r="I9289" s="11" t="b">
        <f t="shared" si="451"/>
        <v>0</v>
      </c>
      <c r="M9289" s="17" t="str">
        <f t="shared" si="452"/>
        <v/>
      </c>
      <c r="N9289" s="11" t="str">
        <f t="shared" si="453"/>
        <v/>
      </c>
    </row>
    <row r="9290" spans="9:14" x14ac:dyDescent="0.25">
      <c r="I9290" s="11" t="b">
        <f t="shared" si="451"/>
        <v>0</v>
      </c>
      <c r="M9290" s="17" t="str">
        <f t="shared" si="452"/>
        <v/>
      </c>
      <c r="N9290" s="11" t="str">
        <f t="shared" si="453"/>
        <v/>
      </c>
    </row>
    <row r="9291" spans="9:14" x14ac:dyDescent="0.25">
      <c r="I9291" s="11" t="b">
        <f t="shared" si="451"/>
        <v>0</v>
      </c>
      <c r="M9291" s="17" t="str">
        <f t="shared" si="452"/>
        <v/>
      </c>
      <c r="N9291" s="11" t="str">
        <f t="shared" si="453"/>
        <v/>
      </c>
    </row>
    <row r="9292" spans="9:14" x14ac:dyDescent="0.25">
      <c r="I9292" s="11" t="b">
        <f t="shared" si="451"/>
        <v>0</v>
      </c>
      <c r="M9292" s="17" t="str">
        <f t="shared" si="452"/>
        <v/>
      </c>
      <c r="N9292" s="11" t="str">
        <f t="shared" si="453"/>
        <v/>
      </c>
    </row>
    <row r="9293" spans="9:14" x14ac:dyDescent="0.25">
      <c r="I9293" s="11" t="b">
        <f t="shared" si="451"/>
        <v>0</v>
      </c>
      <c r="M9293" s="17" t="str">
        <f t="shared" si="452"/>
        <v/>
      </c>
      <c r="N9293" s="11" t="str">
        <f t="shared" si="453"/>
        <v/>
      </c>
    </row>
    <row r="9294" spans="9:14" x14ac:dyDescent="0.25">
      <c r="I9294" s="11" t="b">
        <f t="shared" si="451"/>
        <v>0</v>
      </c>
      <c r="M9294" s="17" t="str">
        <f t="shared" si="452"/>
        <v/>
      </c>
      <c r="N9294" s="11" t="str">
        <f t="shared" si="453"/>
        <v/>
      </c>
    </row>
    <row r="9295" spans="9:14" x14ac:dyDescent="0.25">
      <c r="I9295" s="11" t="b">
        <f t="shared" si="451"/>
        <v>0</v>
      </c>
      <c r="M9295" s="17" t="str">
        <f t="shared" si="452"/>
        <v/>
      </c>
      <c r="N9295" s="11" t="str">
        <f t="shared" si="453"/>
        <v/>
      </c>
    </row>
    <row r="9296" spans="9:14" x14ac:dyDescent="0.25">
      <c r="I9296" s="11" t="b">
        <f t="shared" si="451"/>
        <v>0</v>
      </c>
      <c r="M9296" s="17" t="str">
        <f t="shared" si="452"/>
        <v/>
      </c>
      <c r="N9296" s="11" t="str">
        <f t="shared" si="453"/>
        <v/>
      </c>
    </row>
    <row r="9297" spans="9:14" x14ac:dyDescent="0.25">
      <c r="I9297" s="11" t="b">
        <f t="shared" si="451"/>
        <v>0</v>
      </c>
      <c r="M9297" s="17" t="str">
        <f t="shared" si="452"/>
        <v/>
      </c>
      <c r="N9297" s="11" t="str">
        <f t="shared" si="453"/>
        <v/>
      </c>
    </row>
    <row r="9298" spans="9:14" x14ac:dyDescent="0.25">
      <c r="I9298" s="11" t="b">
        <f t="shared" si="451"/>
        <v>0</v>
      </c>
      <c r="M9298" s="17" t="str">
        <f t="shared" si="452"/>
        <v/>
      </c>
      <c r="N9298" s="11" t="str">
        <f t="shared" si="453"/>
        <v/>
      </c>
    </row>
    <row r="9299" spans="9:14" x14ac:dyDescent="0.25">
      <c r="I9299" s="11" t="b">
        <f t="shared" si="451"/>
        <v>0</v>
      </c>
      <c r="M9299" s="17" t="str">
        <f t="shared" si="452"/>
        <v/>
      </c>
      <c r="N9299" s="11" t="str">
        <f t="shared" si="453"/>
        <v/>
      </c>
    </row>
    <row r="9300" spans="9:14" x14ac:dyDescent="0.25">
      <c r="I9300" s="11" t="b">
        <f t="shared" si="451"/>
        <v>0</v>
      </c>
      <c r="M9300" s="17" t="str">
        <f t="shared" si="452"/>
        <v/>
      </c>
      <c r="N9300" s="11" t="str">
        <f t="shared" si="453"/>
        <v/>
      </c>
    </row>
    <row r="9301" spans="9:14" x14ac:dyDescent="0.25">
      <c r="I9301" s="11" t="b">
        <f t="shared" si="451"/>
        <v>0</v>
      </c>
      <c r="M9301" s="17" t="str">
        <f t="shared" si="452"/>
        <v/>
      </c>
      <c r="N9301" s="11" t="str">
        <f t="shared" si="453"/>
        <v/>
      </c>
    </row>
    <row r="9302" spans="9:14" x14ac:dyDescent="0.25">
      <c r="I9302" s="11" t="b">
        <f t="shared" si="451"/>
        <v>0</v>
      </c>
      <c r="M9302" s="17" t="str">
        <f t="shared" si="452"/>
        <v/>
      </c>
      <c r="N9302" s="11" t="str">
        <f t="shared" si="453"/>
        <v/>
      </c>
    </row>
    <row r="9303" spans="9:14" x14ac:dyDescent="0.25">
      <c r="I9303" s="11" t="b">
        <f t="shared" si="451"/>
        <v>0</v>
      </c>
      <c r="M9303" s="17" t="str">
        <f t="shared" si="452"/>
        <v/>
      </c>
      <c r="N9303" s="11" t="str">
        <f t="shared" si="453"/>
        <v/>
      </c>
    </row>
    <row r="9304" spans="9:14" x14ac:dyDescent="0.25">
      <c r="I9304" s="11" t="b">
        <f t="shared" si="451"/>
        <v>0</v>
      </c>
      <c r="M9304" s="17" t="str">
        <f t="shared" si="452"/>
        <v/>
      </c>
      <c r="N9304" s="11" t="str">
        <f t="shared" si="453"/>
        <v/>
      </c>
    </row>
    <row r="9305" spans="9:14" x14ac:dyDescent="0.25">
      <c r="I9305" s="11" t="b">
        <f t="shared" si="451"/>
        <v>0</v>
      </c>
      <c r="M9305" s="17" t="str">
        <f t="shared" si="452"/>
        <v/>
      </c>
      <c r="N9305" s="11" t="str">
        <f t="shared" si="453"/>
        <v/>
      </c>
    </row>
    <row r="9306" spans="9:14" x14ac:dyDescent="0.25">
      <c r="I9306" s="11" t="b">
        <f t="shared" si="451"/>
        <v>0</v>
      </c>
      <c r="M9306" s="17" t="str">
        <f t="shared" si="452"/>
        <v/>
      </c>
      <c r="N9306" s="11" t="str">
        <f t="shared" si="453"/>
        <v/>
      </c>
    </row>
    <row r="9307" spans="9:14" x14ac:dyDescent="0.25">
      <c r="I9307" s="11" t="b">
        <f t="shared" si="451"/>
        <v>0</v>
      </c>
      <c r="M9307" s="17" t="str">
        <f t="shared" si="452"/>
        <v/>
      </c>
      <c r="N9307" s="11" t="str">
        <f t="shared" si="453"/>
        <v/>
      </c>
    </row>
    <row r="9308" spans="9:14" x14ac:dyDescent="0.25">
      <c r="I9308" s="11" t="b">
        <f t="shared" si="451"/>
        <v>0</v>
      </c>
      <c r="M9308" s="17" t="str">
        <f t="shared" si="452"/>
        <v/>
      </c>
      <c r="N9308" s="11" t="str">
        <f t="shared" si="453"/>
        <v/>
      </c>
    </row>
    <row r="9309" spans="9:14" x14ac:dyDescent="0.25">
      <c r="I9309" s="11" t="b">
        <f t="shared" ref="I9309:I9372" si="454">IF(AND(G9309="MERCADO PAGO",A9309="FATURAMENTO"),1,IF(AND(OR(G9309="MERCADO PAGO",G9309="pix mercado pago",G9309= "débito automático mercado pago", G9309= "boleto mercado pago"),A9309="DESPESAS"),4,IF(AND(G9309="SAFRA",A9309="FATURAMENTO"),2,IF(AND(OR(G9309="SAFRA",G9309="PIX SAFRA", G9309="DÉBITO AUTOMÁTICO SAFRA", G9309= "BOLETO SAFRA", G9309= "transferência safra"), A9309="DESPESAS"),5,IF(AND(G9309="espécie",A9309="FATURAMENTO"),3,IF(AND(G9309="espécie",A9309="DESPESAS"),6))))))</f>
        <v>0</v>
      </c>
      <c r="M9309" s="17" t="str">
        <f t="shared" si="452"/>
        <v/>
      </c>
      <c r="N9309" s="11" t="str">
        <f t="shared" si="453"/>
        <v/>
      </c>
    </row>
    <row r="9310" spans="9:14" x14ac:dyDescent="0.25">
      <c r="I9310" s="11" t="b">
        <f t="shared" si="454"/>
        <v>0</v>
      </c>
      <c r="M9310" s="17" t="str">
        <f t="shared" si="452"/>
        <v/>
      </c>
      <c r="N9310" s="11" t="str">
        <f t="shared" si="453"/>
        <v/>
      </c>
    </row>
    <row r="9311" spans="9:14" x14ac:dyDescent="0.25">
      <c r="I9311" s="11" t="b">
        <f t="shared" si="454"/>
        <v>0</v>
      </c>
      <c r="M9311" s="17" t="str">
        <f t="shared" si="452"/>
        <v/>
      </c>
      <c r="N9311" s="11" t="str">
        <f t="shared" si="453"/>
        <v/>
      </c>
    </row>
    <row r="9312" spans="9:14" x14ac:dyDescent="0.25">
      <c r="I9312" s="11" t="b">
        <f t="shared" si="454"/>
        <v>0</v>
      </c>
      <c r="M9312" s="17" t="str">
        <f t="shared" si="452"/>
        <v/>
      </c>
      <c r="N9312" s="11" t="str">
        <f t="shared" si="453"/>
        <v/>
      </c>
    </row>
    <row r="9313" spans="9:14" x14ac:dyDescent="0.25">
      <c r="I9313" s="11" t="b">
        <f t="shared" si="454"/>
        <v>0</v>
      </c>
      <c r="M9313" s="17" t="str">
        <f t="shared" si="452"/>
        <v/>
      </c>
      <c r="N9313" s="11" t="str">
        <f t="shared" si="453"/>
        <v/>
      </c>
    </row>
    <row r="9314" spans="9:14" x14ac:dyDescent="0.25">
      <c r="I9314" s="11" t="b">
        <f t="shared" si="454"/>
        <v>0</v>
      </c>
      <c r="M9314" s="17" t="str">
        <f t="shared" si="452"/>
        <v/>
      </c>
      <c r="N9314" s="11" t="str">
        <f t="shared" si="453"/>
        <v/>
      </c>
    </row>
    <row r="9315" spans="9:14" x14ac:dyDescent="0.25">
      <c r="I9315" s="11" t="b">
        <f t="shared" si="454"/>
        <v>0</v>
      </c>
      <c r="M9315" s="17" t="str">
        <f t="shared" si="452"/>
        <v/>
      </c>
      <c r="N9315" s="11" t="str">
        <f t="shared" si="453"/>
        <v/>
      </c>
    </row>
    <row r="9316" spans="9:14" x14ac:dyDescent="0.25">
      <c r="I9316" s="11" t="b">
        <f t="shared" si="454"/>
        <v>0</v>
      </c>
      <c r="M9316" s="17" t="str">
        <f t="shared" si="452"/>
        <v/>
      </c>
      <c r="N9316" s="11" t="str">
        <f t="shared" si="453"/>
        <v/>
      </c>
    </row>
    <row r="9317" spans="9:14" x14ac:dyDescent="0.25">
      <c r="I9317" s="11" t="b">
        <f t="shared" si="454"/>
        <v>0</v>
      </c>
      <c r="M9317" s="17" t="str">
        <f t="shared" si="452"/>
        <v/>
      </c>
      <c r="N9317" s="11" t="str">
        <f t="shared" si="453"/>
        <v/>
      </c>
    </row>
    <row r="9318" spans="9:14" x14ac:dyDescent="0.25">
      <c r="I9318" s="11" t="b">
        <f t="shared" si="454"/>
        <v>0</v>
      </c>
      <c r="M9318" s="17" t="str">
        <f t="shared" si="452"/>
        <v/>
      </c>
      <c r="N9318" s="11" t="str">
        <f t="shared" si="453"/>
        <v/>
      </c>
    </row>
    <row r="9319" spans="9:14" x14ac:dyDescent="0.25">
      <c r="I9319" s="11" t="b">
        <f t="shared" si="454"/>
        <v>0</v>
      </c>
      <c r="M9319" s="17" t="str">
        <f t="shared" si="452"/>
        <v/>
      </c>
      <c r="N9319" s="11" t="str">
        <f t="shared" si="453"/>
        <v/>
      </c>
    </row>
    <row r="9320" spans="9:14" x14ac:dyDescent="0.25">
      <c r="I9320" s="11" t="b">
        <f t="shared" si="454"/>
        <v>0</v>
      </c>
      <c r="M9320" s="17" t="str">
        <f t="shared" si="452"/>
        <v/>
      </c>
      <c r="N9320" s="11" t="str">
        <f t="shared" si="453"/>
        <v/>
      </c>
    </row>
    <row r="9321" spans="9:14" x14ac:dyDescent="0.25">
      <c r="I9321" s="11" t="b">
        <f t="shared" si="454"/>
        <v>0</v>
      </c>
      <c r="M9321" s="17" t="str">
        <f t="shared" si="452"/>
        <v/>
      </c>
      <c r="N9321" s="11" t="str">
        <f t="shared" si="453"/>
        <v/>
      </c>
    </row>
    <row r="9322" spans="9:14" x14ac:dyDescent="0.25">
      <c r="I9322" s="11" t="b">
        <f t="shared" si="454"/>
        <v>0</v>
      </c>
      <c r="M9322" s="17" t="str">
        <f t="shared" si="452"/>
        <v/>
      </c>
      <c r="N9322" s="11" t="str">
        <f t="shared" si="453"/>
        <v/>
      </c>
    </row>
    <row r="9323" spans="9:14" x14ac:dyDescent="0.25">
      <c r="I9323" s="11" t="b">
        <f t="shared" si="454"/>
        <v>0</v>
      </c>
      <c r="M9323" s="17" t="str">
        <f t="shared" si="452"/>
        <v/>
      </c>
      <c r="N9323" s="11" t="str">
        <f t="shared" si="453"/>
        <v/>
      </c>
    </row>
    <row r="9324" spans="9:14" x14ac:dyDescent="0.25">
      <c r="I9324" s="11" t="b">
        <f t="shared" si="454"/>
        <v>0</v>
      </c>
      <c r="M9324" s="17" t="str">
        <f t="shared" si="452"/>
        <v/>
      </c>
      <c r="N9324" s="11" t="str">
        <f t="shared" si="453"/>
        <v/>
      </c>
    </row>
    <row r="9325" spans="9:14" x14ac:dyDescent="0.25">
      <c r="I9325" s="11" t="b">
        <f t="shared" si="454"/>
        <v>0</v>
      </c>
      <c r="M9325" s="17" t="str">
        <f t="shared" si="452"/>
        <v/>
      </c>
      <c r="N9325" s="11" t="str">
        <f t="shared" si="453"/>
        <v/>
      </c>
    </row>
    <row r="9326" spans="9:14" x14ac:dyDescent="0.25">
      <c r="I9326" s="11" t="b">
        <f t="shared" si="454"/>
        <v>0</v>
      </c>
      <c r="M9326" s="17" t="str">
        <f t="shared" si="452"/>
        <v/>
      </c>
      <c r="N9326" s="11" t="str">
        <f t="shared" si="453"/>
        <v/>
      </c>
    </row>
    <row r="9327" spans="9:14" x14ac:dyDescent="0.25">
      <c r="I9327" s="11" t="b">
        <f t="shared" si="454"/>
        <v>0</v>
      </c>
      <c r="M9327" s="17" t="str">
        <f t="shared" si="452"/>
        <v/>
      </c>
      <c r="N9327" s="11" t="str">
        <f t="shared" si="453"/>
        <v/>
      </c>
    </row>
    <row r="9328" spans="9:14" x14ac:dyDescent="0.25">
      <c r="I9328" s="11" t="b">
        <f t="shared" si="454"/>
        <v>0</v>
      </c>
      <c r="M9328" s="17" t="str">
        <f t="shared" si="452"/>
        <v/>
      </c>
      <c r="N9328" s="11" t="str">
        <f t="shared" si="453"/>
        <v/>
      </c>
    </row>
    <row r="9329" spans="9:14" x14ac:dyDescent="0.25">
      <c r="I9329" s="11" t="b">
        <f t="shared" si="454"/>
        <v>0</v>
      </c>
      <c r="M9329" s="17" t="str">
        <f t="shared" si="452"/>
        <v/>
      </c>
      <c r="N9329" s="11" t="str">
        <f t="shared" si="453"/>
        <v/>
      </c>
    </row>
    <row r="9330" spans="9:14" x14ac:dyDescent="0.25">
      <c r="I9330" s="11" t="b">
        <f t="shared" si="454"/>
        <v>0</v>
      </c>
      <c r="M9330" s="17" t="str">
        <f t="shared" si="452"/>
        <v/>
      </c>
      <c r="N9330" s="11" t="str">
        <f t="shared" si="453"/>
        <v/>
      </c>
    </row>
    <row r="9331" spans="9:14" x14ac:dyDescent="0.25">
      <c r="I9331" s="11" t="b">
        <f t="shared" si="454"/>
        <v>0</v>
      </c>
      <c r="M9331" s="17" t="str">
        <f t="shared" si="452"/>
        <v/>
      </c>
      <c r="N9331" s="11" t="str">
        <f t="shared" si="453"/>
        <v/>
      </c>
    </row>
    <row r="9332" spans="9:14" x14ac:dyDescent="0.25">
      <c r="I9332" s="11" t="b">
        <f t="shared" si="454"/>
        <v>0</v>
      </c>
      <c r="M9332" s="17" t="str">
        <f t="shared" si="452"/>
        <v/>
      </c>
      <c r="N9332" s="11" t="str">
        <f t="shared" si="453"/>
        <v/>
      </c>
    </row>
    <row r="9333" spans="9:14" x14ac:dyDescent="0.25">
      <c r="I9333" s="11" t="b">
        <f t="shared" si="454"/>
        <v>0</v>
      </c>
      <c r="M9333" s="17" t="str">
        <f t="shared" si="452"/>
        <v/>
      </c>
      <c r="N9333" s="11" t="str">
        <f t="shared" si="453"/>
        <v/>
      </c>
    </row>
    <row r="9334" spans="9:14" x14ac:dyDescent="0.25">
      <c r="I9334" s="11" t="b">
        <f t="shared" si="454"/>
        <v>0</v>
      </c>
      <c r="M9334" s="17" t="str">
        <f t="shared" si="452"/>
        <v/>
      </c>
      <c r="N9334" s="11" t="str">
        <f t="shared" si="453"/>
        <v/>
      </c>
    </row>
    <row r="9335" spans="9:14" x14ac:dyDescent="0.25">
      <c r="I9335" s="11" t="b">
        <f t="shared" si="454"/>
        <v>0</v>
      </c>
      <c r="M9335" s="17" t="str">
        <f t="shared" si="452"/>
        <v/>
      </c>
      <c r="N9335" s="11" t="str">
        <f t="shared" si="453"/>
        <v/>
      </c>
    </row>
    <row r="9336" spans="9:14" x14ac:dyDescent="0.25">
      <c r="I9336" s="11" t="b">
        <f t="shared" si="454"/>
        <v>0</v>
      </c>
      <c r="M9336" s="17" t="str">
        <f t="shared" si="452"/>
        <v/>
      </c>
      <c r="N9336" s="11" t="str">
        <f t="shared" si="453"/>
        <v/>
      </c>
    </row>
    <row r="9337" spans="9:14" x14ac:dyDescent="0.25">
      <c r="I9337" s="11" t="b">
        <f t="shared" si="454"/>
        <v>0</v>
      </c>
      <c r="M9337" s="17" t="str">
        <f t="shared" si="452"/>
        <v/>
      </c>
      <c r="N9337" s="11" t="str">
        <f t="shared" si="453"/>
        <v/>
      </c>
    </row>
    <row r="9338" spans="9:14" x14ac:dyDescent="0.25">
      <c r="I9338" s="11" t="b">
        <f t="shared" si="454"/>
        <v>0</v>
      </c>
      <c r="M9338" s="17" t="str">
        <f t="shared" si="452"/>
        <v/>
      </c>
      <c r="N9338" s="11" t="str">
        <f t="shared" si="453"/>
        <v/>
      </c>
    </row>
    <row r="9339" spans="9:14" x14ac:dyDescent="0.25">
      <c r="I9339" s="11" t="b">
        <f t="shared" si="454"/>
        <v>0</v>
      </c>
      <c r="M9339" s="17" t="str">
        <f t="shared" si="452"/>
        <v/>
      </c>
      <c r="N9339" s="11" t="str">
        <f t="shared" si="453"/>
        <v/>
      </c>
    </row>
    <row r="9340" spans="9:14" x14ac:dyDescent="0.25">
      <c r="I9340" s="11" t="b">
        <f t="shared" si="454"/>
        <v>0</v>
      </c>
      <c r="M9340" s="17" t="str">
        <f t="shared" si="452"/>
        <v/>
      </c>
      <c r="N9340" s="11" t="str">
        <f t="shared" si="453"/>
        <v/>
      </c>
    </row>
    <row r="9341" spans="9:14" x14ac:dyDescent="0.25">
      <c r="I9341" s="11" t="b">
        <f t="shared" si="454"/>
        <v>0</v>
      </c>
      <c r="M9341" s="17" t="str">
        <f t="shared" si="452"/>
        <v/>
      </c>
      <c r="N9341" s="11" t="str">
        <f t="shared" si="453"/>
        <v/>
      </c>
    </row>
    <row r="9342" spans="9:14" x14ac:dyDescent="0.25">
      <c r="I9342" s="11" t="b">
        <f t="shared" si="454"/>
        <v>0</v>
      </c>
      <c r="M9342" s="17" t="str">
        <f t="shared" si="452"/>
        <v/>
      </c>
      <c r="N9342" s="11" t="str">
        <f t="shared" si="453"/>
        <v/>
      </c>
    </row>
    <row r="9343" spans="9:14" x14ac:dyDescent="0.25">
      <c r="I9343" s="11" t="b">
        <f t="shared" si="454"/>
        <v>0</v>
      </c>
      <c r="M9343" s="17" t="str">
        <f t="shared" si="452"/>
        <v/>
      </c>
      <c r="N9343" s="11" t="str">
        <f t="shared" si="453"/>
        <v/>
      </c>
    </row>
    <row r="9344" spans="9:14" x14ac:dyDescent="0.25">
      <c r="I9344" s="11" t="b">
        <f t="shared" si="454"/>
        <v>0</v>
      </c>
      <c r="M9344" s="17" t="str">
        <f t="shared" si="452"/>
        <v/>
      </c>
      <c r="N9344" s="11" t="str">
        <f t="shared" si="453"/>
        <v/>
      </c>
    </row>
    <row r="9345" spans="9:14" x14ac:dyDescent="0.25">
      <c r="I9345" s="11" t="b">
        <f t="shared" si="454"/>
        <v>0</v>
      </c>
      <c r="M9345" s="17" t="str">
        <f t="shared" ref="M9345:M9408" si="455">IF(B9345=0, "",M9344+ J9345-K9345)</f>
        <v/>
      </c>
      <c r="N9345" s="11" t="str">
        <f t="shared" ref="N9345:N9408" si="456">IF(B9345=0, "", MONTH(B9345))</f>
        <v/>
      </c>
    </row>
    <row r="9346" spans="9:14" x14ac:dyDescent="0.25">
      <c r="I9346" s="11" t="b">
        <f t="shared" si="454"/>
        <v>0</v>
      </c>
      <c r="M9346" s="17" t="str">
        <f t="shared" si="455"/>
        <v/>
      </c>
      <c r="N9346" s="11" t="str">
        <f t="shared" si="456"/>
        <v/>
      </c>
    </row>
    <row r="9347" spans="9:14" x14ac:dyDescent="0.25">
      <c r="I9347" s="11" t="b">
        <f t="shared" si="454"/>
        <v>0</v>
      </c>
      <c r="M9347" s="17" t="str">
        <f t="shared" si="455"/>
        <v/>
      </c>
      <c r="N9347" s="11" t="str">
        <f t="shared" si="456"/>
        <v/>
      </c>
    </row>
    <row r="9348" spans="9:14" x14ac:dyDescent="0.25">
      <c r="I9348" s="11" t="b">
        <f t="shared" si="454"/>
        <v>0</v>
      </c>
      <c r="M9348" s="17" t="str">
        <f t="shared" si="455"/>
        <v/>
      </c>
      <c r="N9348" s="11" t="str">
        <f t="shared" si="456"/>
        <v/>
      </c>
    </row>
    <row r="9349" spans="9:14" x14ac:dyDescent="0.25">
      <c r="I9349" s="11" t="b">
        <f t="shared" si="454"/>
        <v>0</v>
      </c>
      <c r="M9349" s="17" t="str">
        <f t="shared" si="455"/>
        <v/>
      </c>
      <c r="N9349" s="11" t="str">
        <f t="shared" si="456"/>
        <v/>
      </c>
    </row>
    <row r="9350" spans="9:14" x14ac:dyDescent="0.25">
      <c r="I9350" s="11" t="b">
        <f t="shared" si="454"/>
        <v>0</v>
      </c>
      <c r="M9350" s="17" t="str">
        <f t="shared" si="455"/>
        <v/>
      </c>
      <c r="N9350" s="11" t="str">
        <f t="shared" si="456"/>
        <v/>
      </c>
    </row>
    <row r="9351" spans="9:14" x14ac:dyDescent="0.25">
      <c r="I9351" s="11" t="b">
        <f t="shared" si="454"/>
        <v>0</v>
      </c>
      <c r="M9351" s="17" t="str">
        <f t="shared" si="455"/>
        <v/>
      </c>
      <c r="N9351" s="11" t="str">
        <f t="shared" si="456"/>
        <v/>
      </c>
    </row>
    <row r="9352" spans="9:14" x14ac:dyDescent="0.25">
      <c r="I9352" s="11" t="b">
        <f t="shared" si="454"/>
        <v>0</v>
      </c>
      <c r="M9352" s="17" t="str">
        <f t="shared" si="455"/>
        <v/>
      </c>
      <c r="N9352" s="11" t="str">
        <f t="shared" si="456"/>
        <v/>
      </c>
    </row>
    <row r="9353" spans="9:14" x14ac:dyDescent="0.25">
      <c r="I9353" s="11" t="b">
        <f t="shared" si="454"/>
        <v>0</v>
      </c>
      <c r="M9353" s="17" t="str">
        <f t="shared" si="455"/>
        <v/>
      </c>
      <c r="N9353" s="11" t="str">
        <f t="shared" si="456"/>
        <v/>
      </c>
    </row>
    <row r="9354" spans="9:14" x14ac:dyDescent="0.25">
      <c r="I9354" s="11" t="b">
        <f t="shared" si="454"/>
        <v>0</v>
      </c>
      <c r="M9354" s="17" t="str">
        <f t="shared" si="455"/>
        <v/>
      </c>
      <c r="N9354" s="11" t="str">
        <f t="shared" si="456"/>
        <v/>
      </c>
    </row>
    <row r="9355" spans="9:14" x14ac:dyDescent="0.25">
      <c r="I9355" s="11" t="b">
        <f t="shared" si="454"/>
        <v>0</v>
      </c>
      <c r="M9355" s="17" t="str">
        <f t="shared" si="455"/>
        <v/>
      </c>
      <c r="N9355" s="11" t="str">
        <f t="shared" si="456"/>
        <v/>
      </c>
    </row>
    <row r="9356" spans="9:14" x14ac:dyDescent="0.25">
      <c r="I9356" s="11" t="b">
        <f t="shared" si="454"/>
        <v>0</v>
      </c>
      <c r="M9356" s="17" t="str">
        <f t="shared" si="455"/>
        <v/>
      </c>
      <c r="N9356" s="11" t="str">
        <f t="shared" si="456"/>
        <v/>
      </c>
    </row>
    <row r="9357" spans="9:14" x14ac:dyDescent="0.25">
      <c r="I9357" s="11" t="b">
        <f t="shared" si="454"/>
        <v>0</v>
      </c>
      <c r="M9357" s="17" t="str">
        <f t="shared" si="455"/>
        <v/>
      </c>
      <c r="N9357" s="11" t="str">
        <f t="shared" si="456"/>
        <v/>
      </c>
    </row>
    <row r="9358" spans="9:14" x14ac:dyDescent="0.25">
      <c r="I9358" s="11" t="b">
        <f t="shared" si="454"/>
        <v>0</v>
      </c>
      <c r="M9358" s="17" t="str">
        <f t="shared" si="455"/>
        <v/>
      </c>
      <c r="N9358" s="11" t="str">
        <f t="shared" si="456"/>
        <v/>
      </c>
    </row>
    <row r="9359" spans="9:14" x14ac:dyDescent="0.25">
      <c r="I9359" s="11" t="b">
        <f t="shared" si="454"/>
        <v>0</v>
      </c>
      <c r="M9359" s="17" t="str">
        <f t="shared" si="455"/>
        <v/>
      </c>
      <c r="N9359" s="11" t="str">
        <f t="shared" si="456"/>
        <v/>
      </c>
    </row>
    <row r="9360" spans="9:14" x14ac:dyDescent="0.25">
      <c r="I9360" s="11" t="b">
        <f t="shared" si="454"/>
        <v>0</v>
      </c>
      <c r="M9360" s="17" t="str">
        <f t="shared" si="455"/>
        <v/>
      </c>
      <c r="N9360" s="11" t="str">
        <f t="shared" si="456"/>
        <v/>
      </c>
    </row>
    <row r="9361" spans="9:14" x14ac:dyDescent="0.25">
      <c r="I9361" s="11" t="b">
        <f t="shared" si="454"/>
        <v>0</v>
      </c>
      <c r="M9361" s="17" t="str">
        <f t="shared" si="455"/>
        <v/>
      </c>
      <c r="N9361" s="11" t="str">
        <f t="shared" si="456"/>
        <v/>
      </c>
    </row>
    <row r="9362" spans="9:14" x14ac:dyDescent="0.25">
      <c r="I9362" s="11" t="b">
        <f t="shared" si="454"/>
        <v>0</v>
      </c>
      <c r="M9362" s="17" t="str">
        <f t="shared" si="455"/>
        <v/>
      </c>
      <c r="N9362" s="11" t="str">
        <f t="shared" si="456"/>
        <v/>
      </c>
    </row>
    <row r="9363" spans="9:14" x14ac:dyDescent="0.25">
      <c r="I9363" s="11" t="b">
        <f t="shared" si="454"/>
        <v>0</v>
      </c>
      <c r="M9363" s="17" t="str">
        <f t="shared" si="455"/>
        <v/>
      </c>
      <c r="N9363" s="11" t="str">
        <f t="shared" si="456"/>
        <v/>
      </c>
    </row>
    <row r="9364" spans="9:14" x14ac:dyDescent="0.25">
      <c r="I9364" s="11" t="b">
        <f t="shared" si="454"/>
        <v>0</v>
      </c>
      <c r="M9364" s="17" t="str">
        <f t="shared" si="455"/>
        <v/>
      </c>
      <c r="N9364" s="11" t="str">
        <f t="shared" si="456"/>
        <v/>
      </c>
    </row>
    <row r="9365" spans="9:14" x14ac:dyDescent="0.25">
      <c r="I9365" s="11" t="b">
        <f t="shared" si="454"/>
        <v>0</v>
      </c>
      <c r="M9365" s="17" t="str">
        <f t="shared" si="455"/>
        <v/>
      </c>
      <c r="N9365" s="11" t="str">
        <f t="shared" si="456"/>
        <v/>
      </c>
    </row>
    <row r="9366" spans="9:14" x14ac:dyDescent="0.25">
      <c r="I9366" s="11" t="b">
        <f t="shared" si="454"/>
        <v>0</v>
      </c>
      <c r="M9366" s="17" t="str">
        <f t="shared" si="455"/>
        <v/>
      </c>
      <c r="N9366" s="11" t="str">
        <f t="shared" si="456"/>
        <v/>
      </c>
    </row>
    <row r="9367" spans="9:14" x14ac:dyDescent="0.25">
      <c r="I9367" s="11" t="b">
        <f t="shared" si="454"/>
        <v>0</v>
      </c>
      <c r="M9367" s="17" t="str">
        <f t="shared" si="455"/>
        <v/>
      </c>
      <c r="N9367" s="11" t="str">
        <f t="shared" si="456"/>
        <v/>
      </c>
    </row>
    <row r="9368" spans="9:14" x14ac:dyDescent="0.25">
      <c r="I9368" s="11" t="b">
        <f t="shared" si="454"/>
        <v>0</v>
      </c>
      <c r="M9368" s="17" t="str">
        <f t="shared" si="455"/>
        <v/>
      </c>
      <c r="N9368" s="11" t="str">
        <f t="shared" si="456"/>
        <v/>
      </c>
    </row>
    <row r="9369" spans="9:14" x14ac:dyDescent="0.25">
      <c r="I9369" s="11" t="b">
        <f t="shared" si="454"/>
        <v>0</v>
      </c>
      <c r="M9369" s="17" t="str">
        <f t="shared" si="455"/>
        <v/>
      </c>
      <c r="N9369" s="11" t="str">
        <f t="shared" si="456"/>
        <v/>
      </c>
    </row>
    <row r="9370" spans="9:14" x14ac:dyDescent="0.25">
      <c r="I9370" s="11" t="b">
        <f t="shared" si="454"/>
        <v>0</v>
      </c>
      <c r="M9370" s="17" t="str">
        <f t="shared" si="455"/>
        <v/>
      </c>
      <c r="N9370" s="11" t="str">
        <f t="shared" si="456"/>
        <v/>
      </c>
    </row>
    <row r="9371" spans="9:14" x14ac:dyDescent="0.25">
      <c r="I9371" s="11" t="b">
        <f t="shared" si="454"/>
        <v>0</v>
      </c>
      <c r="M9371" s="17" t="str">
        <f t="shared" si="455"/>
        <v/>
      </c>
      <c r="N9371" s="11" t="str">
        <f t="shared" si="456"/>
        <v/>
      </c>
    </row>
    <row r="9372" spans="9:14" x14ac:dyDescent="0.25">
      <c r="I9372" s="11" t="b">
        <f t="shared" si="454"/>
        <v>0</v>
      </c>
      <c r="M9372" s="17" t="str">
        <f t="shared" si="455"/>
        <v/>
      </c>
      <c r="N9372" s="11" t="str">
        <f t="shared" si="456"/>
        <v/>
      </c>
    </row>
    <row r="9373" spans="9:14" x14ac:dyDescent="0.25">
      <c r="I9373" s="11" t="b">
        <f t="shared" ref="I9373:I9436" si="457">IF(AND(G9373="MERCADO PAGO",A9373="FATURAMENTO"),1,IF(AND(OR(G9373="MERCADO PAGO",G9373="pix mercado pago",G9373= "débito automático mercado pago", G9373= "boleto mercado pago"),A9373="DESPESAS"),4,IF(AND(G9373="SAFRA",A9373="FATURAMENTO"),2,IF(AND(OR(G9373="SAFRA",G9373="PIX SAFRA", G9373="DÉBITO AUTOMÁTICO SAFRA", G9373= "BOLETO SAFRA", G9373= "transferência safra"), A9373="DESPESAS"),5,IF(AND(G9373="espécie",A9373="FATURAMENTO"),3,IF(AND(G9373="espécie",A9373="DESPESAS"),6))))))</f>
        <v>0</v>
      </c>
      <c r="M9373" s="17" t="str">
        <f t="shared" si="455"/>
        <v/>
      </c>
      <c r="N9373" s="11" t="str">
        <f t="shared" si="456"/>
        <v/>
      </c>
    </row>
    <row r="9374" spans="9:14" x14ac:dyDescent="0.25">
      <c r="I9374" s="11" t="b">
        <f t="shared" si="457"/>
        <v>0</v>
      </c>
      <c r="M9374" s="17" t="str">
        <f t="shared" si="455"/>
        <v/>
      </c>
      <c r="N9374" s="11" t="str">
        <f t="shared" si="456"/>
        <v/>
      </c>
    </row>
    <row r="9375" spans="9:14" x14ac:dyDescent="0.25">
      <c r="I9375" s="11" t="b">
        <f t="shared" si="457"/>
        <v>0</v>
      </c>
      <c r="M9375" s="17" t="str">
        <f t="shared" si="455"/>
        <v/>
      </c>
      <c r="N9375" s="11" t="str">
        <f t="shared" si="456"/>
        <v/>
      </c>
    </row>
    <row r="9376" spans="9:14" x14ac:dyDescent="0.25">
      <c r="I9376" s="11" t="b">
        <f t="shared" si="457"/>
        <v>0</v>
      </c>
      <c r="M9376" s="17" t="str">
        <f t="shared" si="455"/>
        <v/>
      </c>
      <c r="N9376" s="11" t="str">
        <f t="shared" si="456"/>
        <v/>
      </c>
    </row>
    <row r="9377" spans="9:14" x14ac:dyDescent="0.25">
      <c r="I9377" s="11" t="b">
        <f t="shared" si="457"/>
        <v>0</v>
      </c>
      <c r="M9377" s="17" t="str">
        <f t="shared" si="455"/>
        <v/>
      </c>
      <c r="N9377" s="11" t="str">
        <f t="shared" si="456"/>
        <v/>
      </c>
    </row>
    <row r="9378" spans="9:14" x14ac:dyDescent="0.25">
      <c r="I9378" s="11" t="b">
        <f t="shared" si="457"/>
        <v>0</v>
      </c>
      <c r="M9378" s="17" t="str">
        <f t="shared" si="455"/>
        <v/>
      </c>
      <c r="N9378" s="11" t="str">
        <f t="shared" si="456"/>
        <v/>
      </c>
    </row>
    <row r="9379" spans="9:14" x14ac:dyDescent="0.25">
      <c r="I9379" s="11" t="b">
        <f t="shared" si="457"/>
        <v>0</v>
      </c>
      <c r="M9379" s="17" t="str">
        <f t="shared" si="455"/>
        <v/>
      </c>
      <c r="N9379" s="11" t="str">
        <f t="shared" si="456"/>
        <v/>
      </c>
    </row>
    <row r="9380" spans="9:14" x14ac:dyDescent="0.25">
      <c r="I9380" s="11" t="b">
        <f t="shared" si="457"/>
        <v>0</v>
      </c>
      <c r="M9380" s="17" t="str">
        <f t="shared" si="455"/>
        <v/>
      </c>
      <c r="N9380" s="11" t="str">
        <f t="shared" si="456"/>
        <v/>
      </c>
    </row>
    <row r="9381" spans="9:14" x14ac:dyDescent="0.25">
      <c r="I9381" s="11" t="b">
        <f t="shared" si="457"/>
        <v>0</v>
      </c>
      <c r="M9381" s="17" t="str">
        <f t="shared" si="455"/>
        <v/>
      </c>
      <c r="N9381" s="11" t="str">
        <f t="shared" si="456"/>
        <v/>
      </c>
    </row>
    <row r="9382" spans="9:14" x14ac:dyDescent="0.25">
      <c r="I9382" s="11" t="b">
        <f t="shared" si="457"/>
        <v>0</v>
      </c>
      <c r="M9382" s="17" t="str">
        <f t="shared" si="455"/>
        <v/>
      </c>
      <c r="N9382" s="11" t="str">
        <f t="shared" si="456"/>
        <v/>
      </c>
    </row>
    <row r="9383" spans="9:14" x14ac:dyDescent="0.25">
      <c r="I9383" s="11" t="b">
        <f t="shared" si="457"/>
        <v>0</v>
      </c>
      <c r="M9383" s="17" t="str">
        <f t="shared" si="455"/>
        <v/>
      </c>
      <c r="N9383" s="11" t="str">
        <f t="shared" si="456"/>
        <v/>
      </c>
    </row>
    <row r="9384" spans="9:14" x14ac:dyDescent="0.25">
      <c r="I9384" s="11" t="b">
        <f t="shared" si="457"/>
        <v>0</v>
      </c>
      <c r="M9384" s="17" t="str">
        <f t="shared" si="455"/>
        <v/>
      </c>
      <c r="N9384" s="11" t="str">
        <f t="shared" si="456"/>
        <v/>
      </c>
    </row>
    <row r="9385" spans="9:14" x14ac:dyDescent="0.25">
      <c r="I9385" s="11" t="b">
        <f t="shared" si="457"/>
        <v>0</v>
      </c>
      <c r="M9385" s="17" t="str">
        <f t="shared" si="455"/>
        <v/>
      </c>
      <c r="N9385" s="11" t="str">
        <f t="shared" si="456"/>
        <v/>
      </c>
    </row>
    <row r="9386" spans="9:14" x14ac:dyDescent="0.25">
      <c r="I9386" s="11" t="b">
        <f t="shared" si="457"/>
        <v>0</v>
      </c>
      <c r="M9386" s="17" t="str">
        <f t="shared" si="455"/>
        <v/>
      </c>
      <c r="N9386" s="11" t="str">
        <f t="shared" si="456"/>
        <v/>
      </c>
    </row>
    <row r="9387" spans="9:14" x14ac:dyDescent="0.25">
      <c r="I9387" s="11" t="b">
        <f t="shared" si="457"/>
        <v>0</v>
      </c>
      <c r="M9387" s="17" t="str">
        <f t="shared" si="455"/>
        <v/>
      </c>
      <c r="N9387" s="11" t="str">
        <f t="shared" si="456"/>
        <v/>
      </c>
    </row>
    <row r="9388" spans="9:14" x14ac:dyDescent="0.25">
      <c r="I9388" s="11" t="b">
        <f t="shared" si="457"/>
        <v>0</v>
      </c>
      <c r="M9388" s="17" t="str">
        <f t="shared" si="455"/>
        <v/>
      </c>
      <c r="N9388" s="11" t="str">
        <f t="shared" si="456"/>
        <v/>
      </c>
    </row>
    <row r="9389" spans="9:14" x14ac:dyDescent="0.25">
      <c r="I9389" s="11" t="b">
        <f t="shared" si="457"/>
        <v>0</v>
      </c>
      <c r="M9389" s="17" t="str">
        <f t="shared" si="455"/>
        <v/>
      </c>
      <c r="N9389" s="11" t="str">
        <f t="shared" si="456"/>
        <v/>
      </c>
    </row>
    <row r="9390" spans="9:14" x14ac:dyDescent="0.25">
      <c r="I9390" s="11" t="b">
        <f t="shared" si="457"/>
        <v>0</v>
      </c>
      <c r="M9390" s="17" t="str">
        <f t="shared" si="455"/>
        <v/>
      </c>
      <c r="N9390" s="11" t="str">
        <f t="shared" si="456"/>
        <v/>
      </c>
    </row>
    <row r="9391" spans="9:14" x14ac:dyDescent="0.25">
      <c r="I9391" s="11" t="b">
        <f t="shared" si="457"/>
        <v>0</v>
      </c>
      <c r="M9391" s="17" t="str">
        <f t="shared" si="455"/>
        <v/>
      </c>
      <c r="N9391" s="11" t="str">
        <f t="shared" si="456"/>
        <v/>
      </c>
    </row>
    <row r="9392" spans="9:14" x14ac:dyDescent="0.25">
      <c r="I9392" s="11" t="b">
        <f t="shared" si="457"/>
        <v>0</v>
      </c>
      <c r="M9392" s="17" t="str">
        <f t="shared" si="455"/>
        <v/>
      </c>
      <c r="N9392" s="11" t="str">
        <f t="shared" si="456"/>
        <v/>
      </c>
    </row>
    <row r="9393" spans="9:14" x14ac:dyDescent="0.25">
      <c r="I9393" s="11" t="b">
        <f t="shared" si="457"/>
        <v>0</v>
      </c>
      <c r="M9393" s="17" t="str">
        <f t="shared" si="455"/>
        <v/>
      </c>
      <c r="N9393" s="11" t="str">
        <f t="shared" si="456"/>
        <v/>
      </c>
    </row>
    <row r="9394" spans="9:14" x14ac:dyDescent="0.25">
      <c r="I9394" s="11" t="b">
        <f t="shared" si="457"/>
        <v>0</v>
      </c>
      <c r="M9394" s="17" t="str">
        <f t="shared" si="455"/>
        <v/>
      </c>
      <c r="N9394" s="11" t="str">
        <f t="shared" si="456"/>
        <v/>
      </c>
    </row>
    <row r="9395" spans="9:14" x14ac:dyDescent="0.25">
      <c r="I9395" s="11" t="b">
        <f t="shared" si="457"/>
        <v>0</v>
      </c>
      <c r="M9395" s="17" t="str">
        <f t="shared" si="455"/>
        <v/>
      </c>
      <c r="N9395" s="11" t="str">
        <f t="shared" si="456"/>
        <v/>
      </c>
    </row>
    <row r="9396" spans="9:14" x14ac:dyDescent="0.25">
      <c r="I9396" s="11" t="b">
        <f t="shared" si="457"/>
        <v>0</v>
      </c>
      <c r="M9396" s="17" t="str">
        <f t="shared" si="455"/>
        <v/>
      </c>
      <c r="N9396" s="11" t="str">
        <f t="shared" si="456"/>
        <v/>
      </c>
    </row>
    <row r="9397" spans="9:14" x14ac:dyDescent="0.25">
      <c r="I9397" s="11" t="b">
        <f t="shared" si="457"/>
        <v>0</v>
      </c>
      <c r="M9397" s="17" t="str">
        <f t="shared" si="455"/>
        <v/>
      </c>
      <c r="N9397" s="11" t="str">
        <f t="shared" si="456"/>
        <v/>
      </c>
    </row>
    <row r="9398" spans="9:14" x14ac:dyDescent="0.25">
      <c r="I9398" s="11" t="b">
        <f t="shared" si="457"/>
        <v>0</v>
      </c>
      <c r="M9398" s="17" t="str">
        <f t="shared" si="455"/>
        <v/>
      </c>
      <c r="N9398" s="11" t="str">
        <f t="shared" si="456"/>
        <v/>
      </c>
    </row>
    <row r="9399" spans="9:14" x14ac:dyDescent="0.25">
      <c r="I9399" s="11" t="b">
        <f t="shared" si="457"/>
        <v>0</v>
      </c>
      <c r="M9399" s="17" t="str">
        <f t="shared" si="455"/>
        <v/>
      </c>
      <c r="N9399" s="11" t="str">
        <f t="shared" si="456"/>
        <v/>
      </c>
    </row>
    <row r="9400" spans="9:14" x14ac:dyDescent="0.25">
      <c r="I9400" s="11" t="b">
        <f t="shared" si="457"/>
        <v>0</v>
      </c>
      <c r="M9400" s="17" t="str">
        <f t="shared" si="455"/>
        <v/>
      </c>
      <c r="N9400" s="11" t="str">
        <f t="shared" si="456"/>
        <v/>
      </c>
    </row>
    <row r="9401" spans="9:14" x14ac:dyDescent="0.25">
      <c r="I9401" s="11" t="b">
        <f t="shared" si="457"/>
        <v>0</v>
      </c>
      <c r="M9401" s="17" t="str">
        <f t="shared" si="455"/>
        <v/>
      </c>
      <c r="N9401" s="11" t="str">
        <f t="shared" si="456"/>
        <v/>
      </c>
    </row>
    <row r="9402" spans="9:14" x14ac:dyDescent="0.25">
      <c r="I9402" s="11" t="b">
        <f t="shared" si="457"/>
        <v>0</v>
      </c>
      <c r="M9402" s="17" t="str">
        <f t="shared" si="455"/>
        <v/>
      </c>
      <c r="N9402" s="11" t="str">
        <f t="shared" si="456"/>
        <v/>
      </c>
    </row>
    <row r="9403" spans="9:14" x14ac:dyDescent="0.25">
      <c r="I9403" s="11" t="b">
        <f t="shared" si="457"/>
        <v>0</v>
      </c>
      <c r="M9403" s="17" t="str">
        <f t="shared" si="455"/>
        <v/>
      </c>
      <c r="N9403" s="11" t="str">
        <f t="shared" si="456"/>
        <v/>
      </c>
    </row>
    <row r="9404" spans="9:14" x14ac:dyDescent="0.25">
      <c r="I9404" s="11" t="b">
        <f t="shared" si="457"/>
        <v>0</v>
      </c>
      <c r="M9404" s="17" t="str">
        <f t="shared" si="455"/>
        <v/>
      </c>
      <c r="N9404" s="11" t="str">
        <f t="shared" si="456"/>
        <v/>
      </c>
    </row>
    <row r="9405" spans="9:14" x14ac:dyDescent="0.25">
      <c r="I9405" s="11" t="b">
        <f t="shared" si="457"/>
        <v>0</v>
      </c>
      <c r="M9405" s="17" t="str">
        <f t="shared" si="455"/>
        <v/>
      </c>
      <c r="N9405" s="11" t="str">
        <f t="shared" si="456"/>
        <v/>
      </c>
    </row>
    <row r="9406" spans="9:14" x14ac:dyDescent="0.25">
      <c r="I9406" s="11" t="b">
        <f t="shared" si="457"/>
        <v>0</v>
      </c>
      <c r="M9406" s="17" t="str">
        <f t="shared" si="455"/>
        <v/>
      </c>
      <c r="N9406" s="11" t="str">
        <f t="shared" si="456"/>
        <v/>
      </c>
    </row>
    <row r="9407" spans="9:14" x14ac:dyDescent="0.25">
      <c r="I9407" s="11" t="b">
        <f t="shared" si="457"/>
        <v>0</v>
      </c>
      <c r="M9407" s="17" t="str">
        <f t="shared" si="455"/>
        <v/>
      </c>
      <c r="N9407" s="11" t="str">
        <f t="shared" si="456"/>
        <v/>
      </c>
    </row>
    <row r="9408" spans="9:14" x14ac:dyDescent="0.25">
      <c r="I9408" s="11" t="b">
        <f t="shared" si="457"/>
        <v>0</v>
      </c>
      <c r="M9408" s="17" t="str">
        <f t="shared" si="455"/>
        <v/>
      </c>
      <c r="N9408" s="11" t="str">
        <f t="shared" si="456"/>
        <v/>
      </c>
    </row>
    <row r="9409" spans="9:14" x14ac:dyDescent="0.25">
      <c r="I9409" s="11" t="b">
        <f t="shared" si="457"/>
        <v>0</v>
      </c>
      <c r="M9409" s="17" t="str">
        <f t="shared" ref="M9409:M9472" si="458">IF(B9409=0, "",M9408+ J9409-K9409)</f>
        <v/>
      </c>
      <c r="N9409" s="11" t="str">
        <f t="shared" ref="N9409:N9472" si="459">IF(B9409=0, "", MONTH(B9409))</f>
        <v/>
      </c>
    </row>
    <row r="9410" spans="9:14" x14ac:dyDescent="0.25">
      <c r="I9410" s="11" t="b">
        <f t="shared" si="457"/>
        <v>0</v>
      </c>
      <c r="M9410" s="17" t="str">
        <f t="shared" si="458"/>
        <v/>
      </c>
      <c r="N9410" s="11" t="str">
        <f t="shared" si="459"/>
        <v/>
      </c>
    </row>
    <row r="9411" spans="9:14" x14ac:dyDescent="0.25">
      <c r="I9411" s="11" t="b">
        <f t="shared" si="457"/>
        <v>0</v>
      </c>
      <c r="M9411" s="17" t="str">
        <f t="shared" si="458"/>
        <v/>
      </c>
      <c r="N9411" s="11" t="str">
        <f t="shared" si="459"/>
        <v/>
      </c>
    </row>
    <row r="9412" spans="9:14" x14ac:dyDescent="0.25">
      <c r="I9412" s="11" t="b">
        <f t="shared" si="457"/>
        <v>0</v>
      </c>
      <c r="M9412" s="17" t="str">
        <f t="shared" si="458"/>
        <v/>
      </c>
      <c r="N9412" s="11" t="str">
        <f t="shared" si="459"/>
        <v/>
      </c>
    </row>
    <row r="9413" spans="9:14" x14ac:dyDescent="0.25">
      <c r="I9413" s="11" t="b">
        <f t="shared" si="457"/>
        <v>0</v>
      </c>
      <c r="M9413" s="17" t="str">
        <f t="shared" si="458"/>
        <v/>
      </c>
      <c r="N9413" s="11" t="str">
        <f t="shared" si="459"/>
        <v/>
      </c>
    </row>
    <row r="9414" spans="9:14" x14ac:dyDescent="0.25">
      <c r="I9414" s="11" t="b">
        <f t="shared" si="457"/>
        <v>0</v>
      </c>
      <c r="M9414" s="17" t="str">
        <f t="shared" si="458"/>
        <v/>
      </c>
      <c r="N9414" s="11" t="str">
        <f t="shared" si="459"/>
        <v/>
      </c>
    </row>
    <row r="9415" spans="9:14" x14ac:dyDescent="0.25">
      <c r="I9415" s="11" t="b">
        <f t="shared" si="457"/>
        <v>0</v>
      </c>
      <c r="M9415" s="17" t="str">
        <f t="shared" si="458"/>
        <v/>
      </c>
      <c r="N9415" s="11" t="str">
        <f t="shared" si="459"/>
        <v/>
      </c>
    </row>
    <row r="9416" spans="9:14" x14ac:dyDescent="0.25">
      <c r="I9416" s="11" t="b">
        <f t="shared" si="457"/>
        <v>0</v>
      </c>
      <c r="M9416" s="17" t="str">
        <f t="shared" si="458"/>
        <v/>
      </c>
      <c r="N9416" s="11" t="str">
        <f t="shared" si="459"/>
        <v/>
      </c>
    </row>
    <row r="9417" spans="9:14" x14ac:dyDescent="0.25">
      <c r="I9417" s="11" t="b">
        <f t="shared" si="457"/>
        <v>0</v>
      </c>
      <c r="M9417" s="17" t="str">
        <f t="shared" si="458"/>
        <v/>
      </c>
      <c r="N9417" s="11" t="str">
        <f t="shared" si="459"/>
        <v/>
      </c>
    </row>
    <row r="9418" spans="9:14" x14ac:dyDescent="0.25">
      <c r="I9418" s="11" t="b">
        <f t="shared" si="457"/>
        <v>0</v>
      </c>
      <c r="M9418" s="17" t="str">
        <f t="shared" si="458"/>
        <v/>
      </c>
      <c r="N9418" s="11" t="str">
        <f t="shared" si="459"/>
        <v/>
      </c>
    </row>
    <row r="9419" spans="9:14" x14ac:dyDescent="0.25">
      <c r="I9419" s="11" t="b">
        <f t="shared" si="457"/>
        <v>0</v>
      </c>
      <c r="M9419" s="17" t="str">
        <f t="shared" si="458"/>
        <v/>
      </c>
      <c r="N9419" s="11" t="str">
        <f t="shared" si="459"/>
        <v/>
      </c>
    </row>
    <row r="9420" spans="9:14" x14ac:dyDescent="0.25">
      <c r="I9420" s="11" t="b">
        <f t="shared" si="457"/>
        <v>0</v>
      </c>
      <c r="M9420" s="17" t="str">
        <f t="shared" si="458"/>
        <v/>
      </c>
      <c r="N9420" s="11" t="str">
        <f t="shared" si="459"/>
        <v/>
      </c>
    </row>
    <row r="9421" spans="9:14" x14ac:dyDescent="0.25">
      <c r="I9421" s="11" t="b">
        <f t="shared" si="457"/>
        <v>0</v>
      </c>
      <c r="M9421" s="17" t="str">
        <f t="shared" si="458"/>
        <v/>
      </c>
      <c r="N9421" s="11" t="str">
        <f t="shared" si="459"/>
        <v/>
      </c>
    </row>
    <row r="9422" spans="9:14" x14ac:dyDescent="0.25">
      <c r="I9422" s="11" t="b">
        <f t="shared" si="457"/>
        <v>0</v>
      </c>
      <c r="M9422" s="17" t="str">
        <f t="shared" si="458"/>
        <v/>
      </c>
      <c r="N9422" s="11" t="str">
        <f t="shared" si="459"/>
        <v/>
      </c>
    </row>
    <row r="9423" spans="9:14" x14ac:dyDescent="0.25">
      <c r="I9423" s="11" t="b">
        <f t="shared" si="457"/>
        <v>0</v>
      </c>
      <c r="M9423" s="17" t="str">
        <f t="shared" si="458"/>
        <v/>
      </c>
      <c r="N9423" s="11" t="str">
        <f t="shared" si="459"/>
        <v/>
      </c>
    </row>
    <row r="9424" spans="9:14" x14ac:dyDescent="0.25">
      <c r="I9424" s="11" t="b">
        <f t="shared" si="457"/>
        <v>0</v>
      </c>
      <c r="M9424" s="17" t="str">
        <f t="shared" si="458"/>
        <v/>
      </c>
      <c r="N9424" s="11" t="str">
        <f t="shared" si="459"/>
        <v/>
      </c>
    </row>
    <row r="9425" spans="9:14" x14ac:dyDescent="0.25">
      <c r="I9425" s="11" t="b">
        <f t="shared" si="457"/>
        <v>0</v>
      </c>
      <c r="M9425" s="17" t="str">
        <f t="shared" si="458"/>
        <v/>
      </c>
      <c r="N9425" s="11" t="str">
        <f t="shared" si="459"/>
        <v/>
      </c>
    </row>
    <row r="9426" spans="9:14" x14ac:dyDescent="0.25">
      <c r="I9426" s="11" t="b">
        <f t="shared" si="457"/>
        <v>0</v>
      </c>
      <c r="M9426" s="17" t="str">
        <f t="shared" si="458"/>
        <v/>
      </c>
      <c r="N9426" s="11" t="str">
        <f t="shared" si="459"/>
        <v/>
      </c>
    </row>
    <row r="9427" spans="9:14" x14ac:dyDescent="0.25">
      <c r="I9427" s="11" t="b">
        <f t="shared" si="457"/>
        <v>0</v>
      </c>
      <c r="M9427" s="17" t="str">
        <f t="shared" si="458"/>
        <v/>
      </c>
      <c r="N9427" s="11" t="str">
        <f t="shared" si="459"/>
        <v/>
      </c>
    </row>
    <row r="9428" spans="9:14" x14ac:dyDescent="0.25">
      <c r="I9428" s="11" t="b">
        <f t="shared" si="457"/>
        <v>0</v>
      </c>
      <c r="M9428" s="17" t="str">
        <f t="shared" si="458"/>
        <v/>
      </c>
      <c r="N9428" s="11" t="str">
        <f t="shared" si="459"/>
        <v/>
      </c>
    </row>
    <row r="9429" spans="9:14" x14ac:dyDescent="0.25">
      <c r="I9429" s="11" t="b">
        <f t="shared" si="457"/>
        <v>0</v>
      </c>
      <c r="M9429" s="17" t="str">
        <f t="shared" si="458"/>
        <v/>
      </c>
      <c r="N9429" s="11" t="str">
        <f t="shared" si="459"/>
        <v/>
      </c>
    </row>
    <row r="9430" spans="9:14" x14ac:dyDescent="0.25">
      <c r="I9430" s="11" t="b">
        <f t="shared" si="457"/>
        <v>0</v>
      </c>
      <c r="M9430" s="17" t="str">
        <f t="shared" si="458"/>
        <v/>
      </c>
      <c r="N9430" s="11" t="str">
        <f t="shared" si="459"/>
        <v/>
      </c>
    </row>
    <row r="9431" spans="9:14" x14ac:dyDescent="0.25">
      <c r="I9431" s="11" t="b">
        <f t="shared" si="457"/>
        <v>0</v>
      </c>
      <c r="M9431" s="17" t="str">
        <f t="shared" si="458"/>
        <v/>
      </c>
      <c r="N9431" s="11" t="str">
        <f t="shared" si="459"/>
        <v/>
      </c>
    </row>
    <row r="9432" spans="9:14" x14ac:dyDescent="0.25">
      <c r="I9432" s="11" t="b">
        <f t="shared" si="457"/>
        <v>0</v>
      </c>
      <c r="M9432" s="17" t="str">
        <f t="shared" si="458"/>
        <v/>
      </c>
      <c r="N9432" s="11" t="str">
        <f t="shared" si="459"/>
        <v/>
      </c>
    </row>
    <row r="9433" spans="9:14" x14ac:dyDescent="0.25">
      <c r="I9433" s="11" t="b">
        <f t="shared" si="457"/>
        <v>0</v>
      </c>
      <c r="M9433" s="17" t="str">
        <f t="shared" si="458"/>
        <v/>
      </c>
      <c r="N9433" s="11" t="str">
        <f t="shared" si="459"/>
        <v/>
      </c>
    </row>
    <row r="9434" spans="9:14" x14ac:dyDescent="0.25">
      <c r="I9434" s="11" t="b">
        <f t="shared" si="457"/>
        <v>0</v>
      </c>
      <c r="M9434" s="17" t="str">
        <f t="shared" si="458"/>
        <v/>
      </c>
      <c r="N9434" s="11" t="str">
        <f t="shared" si="459"/>
        <v/>
      </c>
    </row>
    <row r="9435" spans="9:14" x14ac:dyDescent="0.25">
      <c r="I9435" s="11" t="b">
        <f t="shared" si="457"/>
        <v>0</v>
      </c>
      <c r="M9435" s="17" t="str">
        <f t="shared" si="458"/>
        <v/>
      </c>
      <c r="N9435" s="11" t="str">
        <f t="shared" si="459"/>
        <v/>
      </c>
    </row>
    <row r="9436" spans="9:14" x14ac:dyDescent="0.25">
      <c r="I9436" s="11" t="b">
        <f t="shared" si="457"/>
        <v>0</v>
      </c>
      <c r="M9436" s="17" t="str">
        <f t="shared" si="458"/>
        <v/>
      </c>
      <c r="N9436" s="11" t="str">
        <f t="shared" si="459"/>
        <v/>
      </c>
    </row>
    <row r="9437" spans="9:14" x14ac:dyDescent="0.25">
      <c r="I9437" s="11" t="b">
        <f t="shared" ref="I9437:I9500" si="460">IF(AND(G9437="MERCADO PAGO",A9437="FATURAMENTO"),1,IF(AND(OR(G9437="MERCADO PAGO",G9437="pix mercado pago",G9437= "débito automático mercado pago", G9437= "boleto mercado pago"),A9437="DESPESAS"),4,IF(AND(G9437="SAFRA",A9437="FATURAMENTO"),2,IF(AND(OR(G9437="SAFRA",G9437="PIX SAFRA", G9437="DÉBITO AUTOMÁTICO SAFRA", G9437= "BOLETO SAFRA", G9437= "transferência safra"), A9437="DESPESAS"),5,IF(AND(G9437="espécie",A9437="FATURAMENTO"),3,IF(AND(G9437="espécie",A9437="DESPESAS"),6))))))</f>
        <v>0</v>
      </c>
      <c r="M9437" s="17" t="str">
        <f t="shared" si="458"/>
        <v/>
      </c>
      <c r="N9437" s="11" t="str">
        <f t="shared" si="459"/>
        <v/>
      </c>
    </row>
    <row r="9438" spans="9:14" x14ac:dyDescent="0.25">
      <c r="I9438" s="11" t="b">
        <f t="shared" si="460"/>
        <v>0</v>
      </c>
      <c r="M9438" s="17" t="str">
        <f t="shared" si="458"/>
        <v/>
      </c>
      <c r="N9438" s="11" t="str">
        <f t="shared" si="459"/>
        <v/>
      </c>
    </row>
    <row r="9439" spans="9:14" x14ac:dyDescent="0.25">
      <c r="I9439" s="11" t="b">
        <f t="shared" si="460"/>
        <v>0</v>
      </c>
      <c r="M9439" s="17" t="str">
        <f t="shared" si="458"/>
        <v/>
      </c>
      <c r="N9439" s="11" t="str">
        <f t="shared" si="459"/>
        <v/>
      </c>
    </row>
    <row r="9440" spans="9:14" x14ac:dyDescent="0.25">
      <c r="I9440" s="11" t="b">
        <f t="shared" si="460"/>
        <v>0</v>
      </c>
      <c r="M9440" s="17" t="str">
        <f t="shared" si="458"/>
        <v/>
      </c>
      <c r="N9440" s="11" t="str">
        <f t="shared" si="459"/>
        <v/>
      </c>
    </row>
    <row r="9441" spans="9:14" x14ac:dyDescent="0.25">
      <c r="I9441" s="11" t="b">
        <f t="shared" si="460"/>
        <v>0</v>
      </c>
      <c r="M9441" s="17" t="str">
        <f t="shared" si="458"/>
        <v/>
      </c>
      <c r="N9441" s="11" t="str">
        <f t="shared" si="459"/>
        <v/>
      </c>
    </row>
    <row r="9442" spans="9:14" x14ac:dyDescent="0.25">
      <c r="I9442" s="11" t="b">
        <f t="shared" si="460"/>
        <v>0</v>
      </c>
      <c r="M9442" s="17" t="str">
        <f t="shared" si="458"/>
        <v/>
      </c>
      <c r="N9442" s="11" t="str">
        <f t="shared" si="459"/>
        <v/>
      </c>
    </row>
    <row r="9443" spans="9:14" x14ac:dyDescent="0.25">
      <c r="I9443" s="11" t="b">
        <f t="shared" si="460"/>
        <v>0</v>
      </c>
      <c r="M9443" s="17" t="str">
        <f t="shared" si="458"/>
        <v/>
      </c>
      <c r="N9443" s="11" t="str">
        <f t="shared" si="459"/>
        <v/>
      </c>
    </row>
    <row r="9444" spans="9:14" x14ac:dyDescent="0.25">
      <c r="I9444" s="11" t="b">
        <f t="shared" si="460"/>
        <v>0</v>
      </c>
      <c r="M9444" s="17" t="str">
        <f t="shared" si="458"/>
        <v/>
      </c>
      <c r="N9444" s="11" t="str">
        <f t="shared" si="459"/>
        <v/>
      </c>
    </row>
    <row r="9445" spans="9:14" x14ac:dyDescent="0.25">
      <c r="I9445" s="11" t="b">
        <f t="shared" si="460"/>
        <v>0</v>
      </c>
      <c r="M9445" s="17" t="str">
        <f t="shared" si="458"/>
        <v/>
      </c>
      <c r="N9445" s="11" t="str">
        <f t="shared" si="459"/>
        <v/>
      </c>
    </row>
    <row r="9446" spans="9:14" x14ac:dyDescent="0.25">
      <c r="I9446" s="11" t="b">
        <f t="shared" si="460"/>
        <v>0</v>
      </c>
      <c r="M9446" s="17" t="str">
        <f t="shared" si="458"/>
        <v/>
      </c>
      <c r="N9446" s="11" t="str">
        <f t="shared" si="459"/>
        <v/>
      </c>
    </row>
    <row r="9447" spans="9:14" x14ac:dyDescent="0.25">
      <c r="I9447" s="11" t="b">
        <f t="shared" si="460"/>
        <v>0</v>
      </c>
      <c r="M9447" s="17" t="str">
        <f t="shared" si="458"/>
        <v/>
      </c>
      <c r="N9447" s="11" t="str">
        <f t="shared" si="459"/>
        <v/>
      </c>
    </row>
    <row r="9448" spans="9:14" x14ac:dyDescent="0.25">
      <c r="I9448" s="11" t="b">
        <f t="shared" si="460"/>
        <v>0</v>
      </c>
      <c r="M9448" s="17" t="str">
        <f t="shared" si="458"/>
        <v/>
      </c>
      <c r="N9448" s="11" t="str">
        <f t="shared" si="459"/>
        <v/>
      </c>
    </row>
    <row r="9449" spans="9:14" x14ac:dyDescent="0.25">
      <c r="I9449" s="11" t="b">
        <f t="shared" si="460"/>
        <v>0</v>
      </c>
      <c r="M9449" s="17" t="str">
        <f t="shared" si="458"/>
        <v/>
      </c>
      <c r="N9449" s="11" t="str">
        <f t="shared" si="459"/>
        <v/>
      </c>
    </row>
    <row r="9450" spans="9:14" x14ac:dyDescent="0.25">
      <c r="I9450" s="11" t="b">
        <f t="shared" si="460"/>
        <v>0</v>
      </c>
      <c r="M9450" s="17" t="str">
        <f t="shared" si="458"/>
        <v/>
      </c>
      <c r="N9450" s="11" t="str">
        <f t="shared" si="459"/>
        <v/>
      </c>
    </row>
    <row r="9451" spans="9:14" x14ac:dyDescent="0.25">
      <c r="I9451" s="11" t="b">
        <f t="shared" si="460"/>
        <v>0</v>
      </c>
      <c r="M9451" s="17" t="str">
        <f t="shared" si="458"/>
        <v/>
      </c>
      <c r="N9451" s="11" t="str">
        <f t="shared" si="459"/>
        <v/>
      </c>
    </row>
    <row r="9452" spans="9:14" x14ac:dyDescent="0.25">
      <c r="I9452" s="11" t="b">
        <f t="shared" si="460"/>
        <v>0</v>
      </c>
      <c r="M9452" s="17" t="str">
        <f t="shared" si="458"/>
        <v/>
      </c>
      <c r="N9452" s="11" t="str">
        <f t="shared" si="459"/>
        <v/>
      </c>
    </row>
    <row r="9453" spans="9:14" x14ac:dyDescent="0.25">
      <c r="I9453" s="11" t="b">
        <f t="shared" si="460"/>
        <v>0</v>
      </c>
      <c r="M9453" s="17" t="str">
        <f t="shared" si="458"/>
        <v/>
      </c>
      <c r="N9453" s="11" t="str">
        <f t="shared" si="459"/>
        <v/>
      </c>
    </row>
    <row r="9454" spans="9:14" x14ac:dyDescent="0.25">
      <c r="I9454" s="11" t="b">
        <f t="shared" si="460"/>
        <v>0</v>
      </c>
      <c r="M9454" s="17" t="str">
        <f t="shared" si="458"/>
        <v/>
      </c>
      <c r="N9454" s="11" t="str">
        <f t="shared" si="459"/>
        <v/>
      </c>
    </row>
    <row r="9455" spans="9:14" x14ac:dyDescent="0.25">
      <c r="I9455" s="11" t="b">
        <f t="shared" si="460"/>
        <v>0</v>
      </c>
      <c r="M9455" s="17" t="str">
        <f t="shared" si="458"/>
        <v/>
      </c>
      <c r="N9455" s="11" t="str">
        <f t="shared" si="459"/>
        <v/>
      </c>
    </row>
    <row r="9456" spans="9:14" x14ac:dyDescent="0.25">
      <c r="I9456" s="11" t="b">
        <f t="shared" si="460"/>
        <v>0</v>
      </c>
      <c r="M9456" s="17" t="str">
        <f t="shared" si="458"/>
        <v/>
      </c>
      <c r="N9456" s="11" t="str">
        <f t="shared" si="459"/>
        <v/>
      </c>
    </row>
    <row r="9457" spans="9:14" x14ac:dyDescent="0.25">
      <c r="I9457" s="11" t="b">
        <f t="shared" si="460"/>
        <v>0</v>
      </c>
      <c r="M9457" s="17" t="str">
        <f t="shared" si="458"/>
        <v/>
      </c>
      <c r="N9457" s="11" t="str">
        <f t="shared" si="459"/>
        <v/>
      </c>
    </row>
    <row r="9458" spans="9:14" x14ac:dyDescent="0.25">
      <c r="I9458" s="11" t="b">
        <f t="shared" si="460"/>
        <v>0</v>
      </c>
      <c r="M9458" s="17" t="str">
        <f t="shared" si="458"/>
        <v/>
      </c>
      <c r="N9458" s="11" t="str">
        <f t="shared" si="459"/>
        <v/>
      </c>
    </row>
    <row r="9459" spans="9:14" x14ac:dyDescent="0.25">
      <c r="I9459" s="11" t="b">
        <f t="shared" si="460"/>
        <v>0</v>
      </c>
      <c r="M9459" s="17" t="str">
        <f t="shared" si="458"/>
        <v/>
      </c>
      <c r="N9459" s="11" t="str">
        <f t="shared" si="459"/>
        <v/>
      </c>
    </row>
    <row r="9460" spans="9:14" x14ac:dyDescent="0.25">
      <c r="I9460" s="11" t="b">
        <f t="shared" si="460"/>
        <v>0</v>
      </c>
      <c r="M9460" s="17" t="str">
        <f t="shared" si="458"/>
        <v/>
      </c>
      <c r="N9460" s="11" t="str">
        <f t="shared" si="459"/>
        <v/>
      </c>
    </row>
    <row r="9461" spans="9:14" x14ac:dyDescent="0.25">
      <c r="I9461" s="11" t="b">
        <f t="shared" si="460"/>
        <v>0</v>
      </c>
      <c r="M9461" s="17" t="str">
        <f t="shared" si="458"/>
        <v/>
      </c>
      <c r="N9461" s="11" t="str">
        <f t="shared" si="459"/>
        <v/>
      </c>
    </row>
    <row r="9462" spans="9:14" x14ac:dyDescent="0.25">
      <c r="I9462" s="11" t="b">
        <f t="shared" si="460"/>
        <v>0</v>
      </c>
      <c r="M9462" s="17" t="str">
        <f t="shared" si="458"/>
        <v/>
      </c>
      <c r="N9462" s="11" t="str">
        <f t="shared" si="459"/>
        <v/>
      </c>
    </row>
    <row r="9463" spans="9:14" x14ac:dyDescent="0.25">
      <c r="I9463" s="11" t="b">
        <f t="shared" si="460"/>
        <v>0</v>
      </c>
      <c r="M9463" s="17" t="str">
        <f t="shared" si="458"/>
        <v/>
      </c>
      <c r="N9463" s="11" t="str">
        <f t="shared" si="459"/>
        <v/>
      </c>
    </row>
    <row r="9464" spans="9:14" x14ac:dyDescent="0.25">
      <c r="I9464" s="11" t="b">
        <f t="shared" si="460"/>
        <v>0</v>
      </c>
      <c r="M9464" s="17" t="str">
        <f t="shared" si="458"/>
        <v/>
      </c>
      <c r="N9464" s="11" t="str">
        <f t="shared" si="459"/>
        <v/>
      </c>
    </row>
    <row r="9465" spans="9:14" x14ac:dyDescent="0.25">
      <c r="I9465" s="11" t="b">
        <f t="shared" si="460"/>
        <v>0</v>
      </c>
      <c r="M9465" s="17" t="str">
        <f t="shared" si="458"/>
        <v/>
      </c>
      <c r="N9465" s="11" t="str">
        <f t="shared" si="459"/>
        <v/>
      </c>
    </row>
    <row r="9466" spans="9:14" x14ac:dyDescent="0.25">
      <c r="I9466" s="11" t="b">
        <f t="shared" si="460"/>
        <v>0</v>
      </c>
      <c r="M9466" s="17" t="str">
        <f t="shared" si="458"/>
        <v/>
      </c>
      <c r="N9466" s="11" t="str">
        <f t="shared" si="459"/>
        <v/>
      </c>
    </row>
    <row r="9467" spans="9:14" x14ac:dyDescent="0.25">
      <c r="I9467" s="11" t="b">
        <f t="shared" si="460"/>
        <v>0</v>
      </c>
      <c r="M9467" s="17" t="str">
        <f t="shared" si="458"/>
        <v/>
      </c>
      <c r="N9467" s="11" t="str">
        <f t="shared" si="459"/>
        <v/>
      </c>
    </row>
    <row r="9468" spans="9:14" x14ac:dyDescent="0.25">
      <c r="I9468" s="11" t="b">
        <f t="shared" si="460"/>
        <v>0</v>
      </c>
      <c r="M9468" s="17" t="str">
        <f t="shared" si="458"/>
        <v/>
      </c>
      <c r="N9468" s="11" t="str">
        <f t="shared" si="459"/>
        <v/>
      </c>
    </row>
    <row r="9469" spans="9:14" x14ac:dyDescent="0.25">
      <c r="I9469" s="11" t="b">
        <f t="shared" si="460"/>
        <v>0</v>
      </c>
      <c r="M9469" s="17" t="str">
        <f t="shared" si="458"/>
        <v/>
      </c>
      <c r="N9469" s="11" t="str">
        <f t="shared" si="459"/>
        <v/>
      </c>
    </row>
    <row r="9470" spans="9:14" x14ac:dyDescent="0.25">
      <c r="I9470" s="11" t="b">
        <f t="shared" si="460"/>
        <v>0</v>
      </c>
      <c r="M9470" s="17" t="str">
        <f t="shared" si="458"/>
        <v/>
      </c>
      <c r="N9470" s="11" t="str">
        <f t="shared" si="459"/>
        <v/>
      </c>
    </row>
    <row r="9471" spans="9:14" x14ac:dyDescent="0.25">
      <c r="I9471" s="11" t="b">
        <f t="shared" si="460"/>
        <v>0</v>
      </c>
      <c r="M9471" s="17" t="str">
        <f t="shared" si="458"/>
        <v/>
      </c>
      <c r="N9471" s="11" t="str">
        <f t="shared" si="459"/>
        <v/>
      </c>
    </row>
    <row r="9472" spans="9:14" x14ac:dyDescent="0.25">
      <c r="I9472" s="11" t="b">
        <f t="shared" si="460"/>
        <v>0</v>
      </c>
      <c r="M9472" s="17" t="str">
        <f t="shared" si="458"/>
        <v/>
      </c>
      <c r="N9472" s="11" t="str">
        <f t="shared" si="459"/>
        <v/>
      </c>
    </row>
    <row r="9473" spans="9:14" x14ac:dyDescent="0.25">
      <c r="I9473" s="11" t="b">
        <f t="shared" si="460"/>
        <v>0</v>
      </c>
      <c r="M9473" s="17" t="str">
        <f t="shared" ref="M9473:M9536" si="461">IF(B9473=0, "",M9472+ J9473-K9473)</f>
        <v/>
      </c>
      <c r="N9473" s="11" t="str">
        <f t="shared" ref="N9473:N9536" si="462">IF(B9473=0, "", MONTH(B9473))</f>
        <v/>
      </c>
    </row>
    <row r="9474" spans="9:14" x14ac:dyDescent="0.25">
      <c r="I9474" s="11" t="b">
        <f t="shared" si="460"/>
        <v>0</v>
      </c>
      <c r="M9474" s="17" t="str">
        <f t="shared" si="461"/>
        <v/>
      </c>
      <c r="N9474" s="11" t="str">
        <f t="shared" si="462"/>
        <v/>
      </c>
    </row>
    <row r="9475" spans="9:14" x14ac:dyDescent="0.25">
      <c r="I9475" s="11" t="b">
        <f t="shared" si="460"/>
        <v>0</v>
      </c>
      <c r="M9475" s="17" t="str">
        <f t="shared" si="461"/>
        <v/>
      </c>
      <c r="N9475" s="11" t="str">
        <f t="shared" si="462"/>
        <v/>
      </c>
    </row>
    <row r="9476" spans="9:14" x14ac:dyDescent="0.25">
      <c r="I9476" s="11" t="b">
        <f t="shared" si="460"/>
        <v>0</v>
      </c>
      <c r="M9476" s="17" t="str">
        <f t="shared" si="461"/>
        <v/>
      </c>
      <c r="N9476" s="11" t="str">
        <f t="shared" si="462"/>
        <v/>
      </c>
    </row>
    <row r="9477" spans="9:14" x14ac:dyDescent="0.25">
      <c r="I9477" s="11" t="b">
        <f t="shared" si="460"/>
        <v>0</v>
      </c>
      <c r="M9477" s="17" t="str">
        <f t="shared" si="461"/>
        <v/>
      </c>
      <c r="N9477" s="11" t="str">
        <f t="shared" si="462"/>
        <v/>
      </c>
    </row>
    <row r="9478" spans="9:14" x14ac:dyDescent="0.25">
      <c r="I9478" s="11" t="b">
        <f t="shared" si="460"/>
        <v>0</v>
      </c>
      <c r="M9478" s="17" t="str">
        <f t="shared" si="461"/>
        <v/>
      </c>
      <c r="N9478" s="11" t="str">
        <f t="shared" si="462"/>
        <v/>
      </c>
    </row>
    <row r="9479" spans="9:14" x14ac:dyDescent="0.25">
      <c r="I9479" s="11" t="b">
        <f t="shared" si="460"/>
        <v>0</v>
      </c>
      <c r="M9479" s="17" t="str">
        <f t="shared" si="461"/>
        <v/>
      </c>
      <c r="N9479" s="11" t="str">
        <f t="shared" si="462"/>
        <v/>
      </c>
    </row>
    <row r="9480" spans="9:14" x14ac:dyDescent="0.25">
      <c r="I9480" s="11" t="b">
        <f t="shared" si="460"/>
        <v>0</v>
      </c>
      <c r="M9480" s="17" t="str">
        <f t="shared" si="461"/>
        <v/>
      </c>
      <c r="N9480" s="11" t="str">
        <f t="shared" si="462"/>
        <v/>
      </c>
    </row>
    <row r="9481" spans="9:14" x14ac:dyDescent="0.25">
      <c r="I9481" s="11" t="b">
        <f t="shared" si="460"/>
        <v>0</v>
      </c>
      <c r="M9481" s="17" t="str">
        <f t="shared" si="461"/>
        <v/>
      </c>
      <c r="N9481" s="11" t="str">
        <f t="shared" si="462"/>
        <v/>
      </c>
    </row>
    <row r="9482" spans="9:14" x14ac:dyDescent="0.25">
      <c r="I9482" s="11" t="b">
        <f t="shared" si="460"/>
        <v>0</v>
      </c>
      <c r="M9482" s="17" t="str">
        <f t="shared" si="461"/>
        <v/>
      </c>
      <c r="N9482" s="11" t="str">
        <f t="shared" si="462"/>
        <v/>
      </c>
    </row>
    <row r="9483" spans="9:14" x14ac:dyDescent="0.25">
      <c r="I9483" s="11" t="b">
        <f t="shared" si="460"/>
        <v>0</v>
      </c>
      <c r="M9483" s="17" t="str">
        <f t="shared" si="461"/>
        <v/>
      </c>
      <c r="N9483" s="11" t="str">
        <f t="shared" si="462"/>
        <v/>
      </c>
    </row>
    <row r="9484" spans="9:14" x14ac:dyDescent="0.25">
      <c r="I9484" s="11" t="b">
        <f t="shared" si="460"/>
        <v>0</v>
      </c>
      <c r="M9484" s="17" t="str">
        <f t="shared" si="461"/>
        <v/>
      </c>
      <c r="N9484" s="11" t="str">
        <f t="shared" si="462"/>
        <v/>
      </c>
    </row>
    <row r="9485" spans="9:14" x14ac:dyDescent="0.25">
      <c r="I9485" s="11" t="b">
        <f t="shared" si="460"/>
        <v>0</v>
      </c>
      <c r="M9485" s="17" t="str">
        <f t="shared" si="461"/>
        <v/>
      </c>
      <c r="N9485" s="11" t="str">
        <f t="shared" si="462"/>
        <v/>
      </c>
    </row>
    <row r="9486" spans="9:14" x14ac:dyDescent="0.25">
      <c r="I9486" s="11" t="b">
        <f t="shared" si="460"/>
        <v>0</v>
      </c>
      <c r="M9486" s="17" t="str">
        <f t="shared" si="461"/>
        <v/>
      </c>
      <c r="N9486" s="11" t="str">
        <f t="shared" si="462"/>
        <v/>
      </c>
    </row>
    <row r="9487" spans="9:14" x14ac:dyDescent="0.25">
      <c r="I9487" s="11" t="b">
        <f t="shared" si="460"/>
        <v>0</v>
      </c>
      <c r="M9487" s="17" t="str">
        <f t="shared" si="461"/>
        <v/>
      </c>
      <c r="N9487" s="11" t="str">
        <f t="shared" si="462"/>
        <v/>
      </c>
    </row>
    <row r="9488" spans="9:14" x14ac:dyDescent="0.25">
      <c r="I9488" s="11" t="b">
        <f t="shared" si="460"/>
        <v>0</v>
      </c>
      <c r="M9488" s="17" t="str">
        <f t="shared" si="461"/>
        <v/>
      </c>
      <c r="N9488" s="11" t="str">
        <f t="shared" si="462"/>
        <v/>
      </c>
    </row>
    <row r="9489" spans="9:14" x14ac:dyDescent="0.25">
      <c r="I9489" s="11" t="b">
        <f t="shared" si="460"/>
        <v>0</v>
      </c>
      <c r="M9489" s="17" t="str">
        <f t="shared" si="461"/>
        <v/>
      </c>
      <c r="N9489" s="11" t="str">
        <f t="shared" si="462"/>
        <v/>
      </c>
    </row>
    <row r="9490" spans="9:14" x14ac:dyDescent="0.25">
      <c r="I9490" s="11" t="b">
        <f t="shared" si="460"/>
        <v>0</v>
      </c>
      <c r="M9490" s="17" t="str">
        <f t="shared" si="461"/>
        <v/>
      </c>
      <c r="N9490" s="11" t="str">
        <f t="shared" si="462"/>
        <v/>
      </c>
    </row>
    <row r="9491" spans="9:14" x14ac:dyDescent="0.25">
      <c r="I9491" s="11" t="b">
        <f t="shared" si="460"/>
        <v>0</v>
      </c>
      <c r="M9491" s="17" t="str">
        <f t="shared" si="461"/>
        <v/>
      </c>
      <c r="N9491" s="11" t="str">
        <f t="shared" si="462"/>
        <v/>
      </c>
    </row>
    <row r="9492" spans="9:14" x14ac:dyDescent="0.25">
      <c r="I9492" s="11" t="b">
        <f t="shared" si="460"/>
        <v>0</v>
      </c>
      <c r="M9492" s="17" t="str">
        <f t="shared" si="461"/>
        <v/>
      </c>
      <c r="N9492" s="11" t="str">
        <f t="shared" si="462"/>
        <v/>
      </c>
    </row>
    <row r="9493" spans="9:14" x14ac:dyDescent="0.25">
      <c r="I9493" s="11" t="b">
        <f t="shared" si="460"/>
        <v>0</v>
      </c>
      <c r="M9493" s="17" t="str">
        <f t="shared" si="461"/>
        <v/>
      </c>
      <c r="N9493" s="11" t="str">
        <f t="shared" si="462"/>
        <v/>
      </c>
    </row>
    <row r="9494" spans="9:14" x14ac:dyDescent="0.25">
      <c r="I9494" s="11" t="b">
        <f t="shared" si="460"/>
        <v>0</v>
      </c>
      <c r="M9494" s="17" t="str">
        <f t="shared" si="461"/>
        <v/>
      </c>
      <c r="N9494" s="11" t="str">
        <f t="shared" si="462"/>
        <v/>
      </c>
    </row>
    <row r="9495" spans="9:14" x14ac:dyDescent="0.25">
      <c r="I9495" s="11" t="b">
        <f t="shared" si="460"/>
        <v>0</v>
      </c>
      <c r="M9495" s="17" t="str">
        <f t="shared" si="461"/>
        <v/>
      </c>
      <c r="N9495" s="11" t="str">
        <f t="shared" si="462"/>
        <v/>
      </c>
    </row>
    <row r="9496" spans="9:14" x14ac:dyDescent="0.25">
      <c r="I9496" s="11" t="b">
        <f t="shared" si="460"/>
        <v>0</v>
      </c>
      <c r="M9496" s="17" t="str">
        <f t="shared" si="461"/>
        <v/>
      </c>
      <c r="N9496" s="11" t="str">
        <f t="shared" si="462"/>
        <v/>
      </c>
    </row>
    <row r="9497" spans="9:14" x14ac:dyDescent="0.25">
      <c r="I9497" s="11" t="b">
        <f t="shared" si="460"/>
        <v>0</v>
      </c>
      <c r="M9497" s="17" t="str">
        <f t="shared" si="461"/>
        <v/>
      </c>
      <c r="N9497" s="11" t="str">
        <f t="shared" si="462"/>
        <v/>
      </c>
    </row>
    <row r="9498" spans="9:14" x14ac:dyDescent="0.25">
      <c r="I9498" s="11" t="b">
        <f t="shared" si="460"/>
        <v>0</v>
      </c>
      <c r="M9498" s="17" t="str">
        <f t="shared" si="461"/>
        <v/>
      </c>
      <c r="N9498" s="11" t="str">
        <f t="shared" si="462"/>
        <v/>
      </c>
    </row>
    <row r="9499" spans="9:14" x14ac:dyDescent="0.25">
      <c r="I9499" s="11" t="b">
        <f t="shared" si="460"/>
        <v>0</v>
      </c>
      <c r="M9499" s="17" t="str">
        <f t="shared" si="461"/>
        <v/>
      </c>
      <c r="N9499" s="11" t="str">
        <f t="shared" si="462"/>
        <v/>
      </c>
    </row>
    <row r="9500" spans="9:14" x14ac:dyDescent="0.25">
      <c r="I9500" s="11" t="b">
        <f t="shared" si="460"/>
        <v>0</v>
      </c>
      <c r="M9500" s="17" t="str">
        <f t="shared" si="461"/>
        <v/>
      </c>
      <c r="N9500" s="11" t="str">
        <f t="shared" si="462"/>
        <v/>
      </c>
    </row>
    <row r="9501" spans="9:14" x14ac:dyDescent="0.25">
      <c r="I9501" s="11" t="b">
        <f t="shared" ref="I9501:I9564" si="463">IF(AND(G9501="MERCADO PAGO",A9501="FATURAMENTO"),1,IF(AND(OR(G9501="MERCADO PAGO",G9501="pix mercado pago",G9501= "débito automático mercado pago", G9501= "boleto mercado pago"),A9501="DESPESAS"),4,IF(AND(G9501="SAFRA",A9501="FATURAMENTO"),2,IF(AND(OR(G9501="SAFRA",G9501="PIX SAFRA", G9501="DÉBITO AUTOMÁTICO SAFRA", G9501= "BOLETO SAFRA", G9501= "transferência safra"), A9501="DESPESAS"),5,IF(AND(G9501="espécie",A9501="FATURAMENTO"),3,IF(AND(G9501="espécie",A9501="DESPESAS"),6))))))</f>
        <v>0</v>
      </c>
      <c r="M9501" s="17" t="str">
        <f t="shared" si="461"/>
        <v/>
      </c>
      <c r="N9501" s="11" t="str">
        <f t="shared" si="462"/>
        <v/>
      </c>
    </row>
    <row r="9502" spans="9:14" x14ac:dyDescent="0.25">
      <c r="I9502" s="11" t="b">
        <f t="shared" si="463"/>
        <v>0</v>
      </c>
      <c r="M9502" s="17" t="str">
        <f t="shared" si="461"/>
        <v/>
      </c>
      <c r="N9502" s="11" t="str">
        <f t="shared" si="462"/>
        <v/>
      </c>
    </row>
    <row r="9503" spans="9:14" x14ac:dyDescent="0.25">
      <c r="I9503" s="11" t="b">
        <f t="shared" si="463"/>
        <v>0</v>
      </c>
      <c r="M9503" s="17" t="str">
        <f t="shared" si="461"/>
        <v/>
      </c>
      <c r="N9503" s="11" t="str">
        <f t="shared" si="462"/>
        <v/>
      </c>
    </row>
    <row r="9504" spans="9:14" x14ac:dyDescent="0.25">
      <c r="I9504" s="11" t="b">
        <f t="shared" si="463"/>
        <v>0</v>
      </c>
      <c r="M9504" s="17" t="str">
        <f t="shared" si="461"/>
        <v/>
      </c>
      <c r="N9504" s="11" t="str">
        <f t="shared" si="462"/>
        <v/>
      </c>
    </row>
    <row r="9505" spans="9:14" x14ac:dyDescent="0.25">
      <c r="I9505" s="11" t="b">
        <f t="shared" si="463"/>
        <v>0</v>
      </c>
      <c r="M9505" s="17" t="str">
        <f t="shared" si="461"/>
        <v/>
      </c>
      <c r="N9505" s="11" t="str">
        <f t="shared" si="462"/>
        <v/>
      </c>
    </row>
    <row r="9506" spans="9:14" x14ac:dyDescent="0.25">
      <c r="I9506" s="11" t="b">
        <f t="shared" si="463"/>
        <v>0</v>
      </c>
      <c r="M9506" s="17" t="str">
        <f t="shared" si="461"/>
        <v/>
      </c>
      <c r="N9506" s="11" t="str">
        <f t="shared" si="462"/>
        <v/>
      </c>
    </row>
    <row r="9507" spans="9:14" x14ac:dyDescent="0.25">
      <c r="I9507" s="11" t="b">
        <f t="shared" si="463"/>
        <v>0</v>
      </c>
      <c r="M9507" s="17" t="str">
        <f t="shared" si="461"/>
        <v/>
      </c>
      <c r="N9507" s="11" t="str">
        <f t="shared" si="462"/>
        <v/>
      </c>
    </row>
    <row r="9508" spans="9:14" x14ac:dyDescent="0.25">
      <c r="I9508" s="11" t="b">
        <f t="shared" si="463"/>
        <v>0</v>
      </c>
      <c r="M9508" s="17" t="str">
        <f t="shared" si="461"/>
        <v/>
      </c>
      <c r="N9508" s="11" t="str">
        <f t="shared" si="462"/>
        <v/>
      </c>
    </row>
    <row r="9509" spans="9:14" x14ac:dyDescent="0.25">
      <c r="I9509" s="11" t="b">
        <f t="shared" si="463"/>
        <v>0</v>
      </c>
      <c r="M9509" s="17" t="str">
        <f t="shared" si="461"/>
        <v/>
      </c>
      <c r="N9509" s="11" t="str">
        <f t="shared" si="462"/>
        <v/>
      </c>
    </row>
    <row r="9510" spans="9:14" x14ac:dyDescent="0.25">
      <c r="I9510" s="11" t="b">
        <f t="shared" si="463"/>
        <v>0</v>
      </c>
      <c r="M9510" s="17" t="str">
        <f t="shared" si="461"/>
        <v/>
      </c>
      <c r="N9510" s="11" t="str">
        <f t="shared" si="462"/>
        <v/>
      </c>
    </row>
    <row r="9511" spans="9:14" x14ac:dyDescent="0.25">
      <c r="I9511" s="11" t="b">
        <f t="shared" si="463"/>
        <v>0</v>
      </c>
      <c r="M9511" s="17" t="str">
        <f t="shared" si="461"/>
        <v/>
      </c>
      <c r="N9511" s="11" t="str">
        <f t="shared" si="462"/>
        <v/>
      </c>
    </row>
    <row r="9512" spans="9:14" x14ac:dyDescent="0.25">
      <c r="I9512" s="11" t="b">
        <f t="shared" si="463"/>
        <v>0</v>
      </c>
      <c r="M9512" s="17" t="str">
        <f t="shared" si="461"/>
        <v/>
      </c>
      <c r="N9512" s="11" t="str">
        <f t="shared" si="462"/>
        <v/>
      </c>
    </row>
    <row r="9513" spans="9:14" x14ac:dyDescent="0.25">
      <c r="I9513" s="11" t="b">
        <f t="shared" si="463"/>
        <v>0</v>
      </c>
      <c r="M9513" s="17" t="str">
        <f t="shared" si="461"/>
        <v/>
      </c>
      <c r="N9513" s="11" t="str">
        <f t="shared" si="462"/>
        <v/>
      </c>
    </row>
    <row r="9514" spans="9:14" x14ac:dyDescent="0.25">
      <c r="I9514" s="11" t="b">
        <f t="shared" si="463"/>
        <v>0</v>
      </c>
      <c r="M9514" s="17" t="str">
        <f t="shared" si="461"/>
        <v/>
      </c>
      <c r="N9514" s="11" t="str">
        <f t="shared" si="462"/>
        <v/>
      </c>
    </row>
    <row r="9515" spans="9:14" x14ac:dyDescent="0.25">
      <c r="I9515" s="11" t="b">
        <f t="shared" si="463"/>
        <v>0</v>
      </c>
      <c r="M9515" s="17" t="str">
        <f t="shared" si="461"/>
        <v/>
      </c>
      <c r="N9515" s="11" t="str">
        <f t="shared" si="462"/>
        <v/>
      </c>
    </row>
    <row r="9516" spans="9:14" x14ac:dyDescent="0.25">
      <c r="I9516" s="11" t="b">
        <f t="shared" si="463"/>
        <v>0</v>
      </c>
      <c r="M9516" s="17" t="str">
        <f t="shared" si="461"/>
        <v/>
      </c>
      <c r="N9516" s="11" t="str">
        <f t="shared" si="462"/>
        <v/>
      </c>
    </row>
    <row r="9517" spans="9:14" x14ac:dyDescent="0.25">
      <c r="I9517" s="11" t="b">
        <f t="shared" si="463"/>
        <v>0</v>
      </c>
      <c r="M9517" s="17" t="str">
        <f t="shared" si="461"/>
        <v/>
      </c>
      <c r="N9517" s="11" t="str">
        <f t="shared" si="462"/>
        <v/>
      </c>
    </row>
    <row r="9518" spans="9:14" x14ac:dyDescent="0.25">
      <c r="I9518" s="11" t="b">
        <f t="shared" si="463"/>
        <v>0</v>
      </c>
      <c r="M9518" s="17" t="str">
        <f t="shared" si="461"/>
        <v/>
      </c>
      <c r="N9518" s="11" t="str">
        <f t="shared" si="462"/>
        <v/>
      </c>
    </row>
    <row r="9519" spans="9:14" x14ac:dyDescent="0.25">
      <c r="I9519" s="11" t="b">
        <f t="shared" si="463"/>
        <v>0</v>
      </c>
      <c r="M9519" s="17" t="str">
        <f t="shared" si="461"/>
        <v/>
      </c>
      <c r="N9519" s="11" t="str">
        <f t="shared" si="462"/>
        <v/>
      </c>
    </row>
    <row r="9520" spans="9:14" x14ac:dyDescent="0.25">
      <c r="I9520" s="11" t="b">
        <f t="shared" si="463"/>
        <v>0</v>
      </c>
      <c r="M9520" s="17" t="str">
        <f t="shared" si="461"/>
        <v/>
      </c>
      <c r="N9520" s="11" t="str">
        <f t="shared" si="462"/>
        <v/>
      </c>
    </row>
    <row r="9521" spans="9:14" x14ac:dyDescent="0.25">
      <c r="I9521" s="11" t="b">
        <f t="shared" si="463"/>
        <v>0</v>
      </c>
      <c r="M9521" s="17" t="str">
        <f t="shared" si="461"/>
        <v/>
      </c>
      <c r="N9521" s="11" t="str">
        <f t="shared" si="462"/>
        <v/>
      </c>
    </row>
    <row r="9522" spans="9:14" x14ac:dyDescent="0.25">
      <c r="I9522" s="11" t="b">
        <f t="shared" si="463"/>
        <v>0</v>
      </c>
      <c r="M9522" s="17" t="str">
        <f t="shared" si="461"/>
        <v/>
      </c>
      <c r="N9522" s="11" t="str">
        <f t="shared" si="462"/>
        <v/>
      </c>
    </row>
    <row r="9523" spans="9:14" x14ac:dyDescent="0.25">
      <c r="I9523" s="11" t="b">
        <f t="shared" si="463"/>
        <v>0</v>
      </c>
      <c r="M9523" s="17" t="str">
        <f t="shared" si="461"/>
        <v/>
      </c>
      <c r="N9523" s="11" t="str">
        <f t="shared" si="462"/>
        <v/>
      </c>
    </row>
    <row r="9524" spans="9:14" x14ac:dyDescent="0.25">
      <c r="I9524" s="11" t="b">
        <f t="shared" si="463"/>
        <v>0</v>
      </c>
      <c r="M9524" s="17" t="str">
        <f t="shared" si="461"/>
        <v/>
      </c>
      <c r="N9524" s="11" t="str">
        <f t="shared" si="462"/>
        <v/>
      </c>
    </row>
    <row r="9525" spans="9:14" x14ac:dyDescent="0.25">
      <c r="I9525" s="11" t="b">
        <f t="shared" si="463"/>
        <v>0</v>
      </c>
      <c r="M9525" s="17" t="str">
        <f t="shared" si="461"/>
        <v/>
      </c>
      <c r="N9525" s="11" t="str">
        <f t="shared" si="462"/>
        <v/>
      </c>
    </row>
    <row r="9526" spans="9:14" x14ac:dyDescent="0.25">
      <c r="I9526" s="11" t="b">
        <f t="shared" si="463"/>
        <v>0</v>
      </c>
      <c r="M9526" s="17" t="str">
        <f t="shared" si="461"/>
        <v/>
      </c>
      <c r="N9526" s="11" t="str">
        <f t="shared" si="462"/>
        <v/>
      </c>
    </row>
    <row r="9527" spans="9:14" x14ac:dyDescent="0.25">
      <c r="I9527" s="11" t="b">
        <f t="shared" si="463"/>
        <v>0</v>
      </c>
      <c r="M9527" s="17" t="str">
        <f t="shared" si="461"/>
        <v/>
      </c>
      <c r="N9527" s="11" t="str">
        <f t="shared" si="462"/>
        <v/>
      </c>
    </row>
    <row r="9528" spans="9:14" x14ac:dyDescent="0.25">
      <c r="I9528" s="11" t="b">
        <f t="shared" si="463"/>
        <v>0</v>
      </c>
      <c r="M9528" s="17" t="str">
        <f t="shared" si="461"/>
        <v/>
      </c>
      <c r="N9528" s="11" t="str">
        <f t="shared" si="462"/>
        <v/>
      </c>
    </row>
    <row r="9529" spans="9:14" x14ac:dyDescent="0.25">
      <c r="I9529" s="11" t="b">
        <f t="shared" si="463"/>
        <v>0</v>
      </c>
      <c r="M9529" s="17" t="str">
        <f t="shared" si="461"/>
        <v/>
      </c>
      <c r="N9529" s="11" t="str">
        <f t="shared" si="462"/>
        <v/>
      </c>
    </row>
    <row r="9530" spans="9:14" x14ac:dyDescent="0.25">
      <c r="I9530" s="11" t="b">
        <f t="shared" si="463"/>
        <v>0</v>
      </c>
      <c r="M9530" s="17" t="str">
        <f t="shared" si="461"/>
        <v/>
      </c>
      <c r="N9530" s="11" t="str">
        <f t="shared" si="462"/>
        <v/>
      </c>
    </row>
    <row r="9531" spans="9:14" x14ac:dyDescent="0.25">
      <c r="I9531" s="11" t="b">
        <f t="shared" si="463"/>
        <v>0</v>
      </c>
      <c r="M9531" s="17" t="str">
        <f t="shared" si="461"/>
        <v/>
      </c>
      <c r="N9531" s="11" t="str">
        <f t="shared" si="462"/>
        <v/>
      </c>
    </row>
    <row r="9532" spans="9:14" x14ac:dyDescent="0.25">
      <c r="I9532" s="11" t="b">
        <f t="shared" si="463"/>
        <v>0</v>
      </c>
      <c r="M9532" s="17" t="str">
        <f t="shared" si="461"/>
        <v/>
      </c>
      <c r="N9532" s="11" t="str">
        <f t="shared" si="462"/>
        <v/>
      </c>
    </row>
    <row r="9533" spans="9:14" x14ac:dyDescent="0.25">
      <c r="I9533" s="11" t="b">
        <f t="shared" si="463"/>
        <v>0</v>
      </c>
      <c r="M9533" s="17" t="str">
        <f t="shared" si="461"/>
        <v/>
      </c>
      <c r="N9533" s="11" t="str">
        <f t="shared" si="462"/>
        <v/>
      </c>
    </row>
    <row r="9534" spans="9:14" x14ac:dyDescent="0.25">
      <c r="I9534" s="11" t="b">
        <f t="shared" si="463"/>
        <v>0</v>
      </c>
      <c r="M9534" s="17" t="str">
        <f t="shared" si="461"/>
        <v/>
      </c>
      <c r="N9534" s="11" t="str">
        <f t="shared" si="462"/>
        <v/>
      </c>
    </row>
    <row r="9535" spans="9:14" x14ac:dyDescent="0.25">
      <c r="I9535" s="11" t="b">
        <f t="shared" si="463"/>
        <v>0</v>
      </c>
      <c r="M9535" s="17" t="str">
        <f t="shared" si="461"/>
        <v/>
      </c>
      <c r="N9535" s="11" t="str">
        <f t="shared" si="462"/>
        <v/>
      </c>
    </row>
    <row r="9536" spans="9:14" x14ac:dyDescent="0.25">
      <c r="I9536" s="11" t="b">
        <f t="shared" si="463"/>
        <v>0</v>
      </c>
      <c r="M9536" s="17" t="str">
        <f t="shared" si="461"/>
        <v/>
      </c>
      <c r="N9536" s="11" t="str">
        <f t="shared" si="462"/>
        <v/>
      </c>
    </row>
    <row r="9537" spans="9:14" x14ac:dyDescent="0.25">
      <c r="I9537" s="11" t="b">
        <f t="shared" si="463"/>
        <v>0</v>
      </c>
      <c r="M9537" s="17" t="str">
        <f t="shared" ref="M9537:M9600" si="464">IF(B9537=0, "",M9536+ J9537-K9537)</f>
        <v/>
      </c>
      <c r="N9537" s="11" t="str">
        <f t="shared" ref="N9537:N9600" si="465">IF(B9537=0, "", MONTH(B9537))</f>
        <v/>
      </c>
    </row>
    <row r="9538" spans="9:14" x14ac:dyDescent="0.25">
      <c r="I9538" s="11" t="b">
        <f t="shared" si="463"/>
        <v>0</v>
      </c>
      <c r="M9538" s="17" t="str">
        <f t="shared" si="464"/>
        <v/>
      </c>
      <c r="N9538" s="11" t="str">
        <f t="shared" si="465"/>
        <v/>
      </c>
    </row>
    <row r="9539" spans="9:14" x14ac:dyDescent="0.25">
      <c r="I9539" s="11" t="b">
        <f t="shared" si="463"/>
        <v>0</v>
      </c>
      <c r="M9539" s="17" t="str">
        <f t="shared" si="464"/>
        <v/>
      </c>
      <c r="N9539" s="11" t="str">
        <f t="shared" si="465"/>
        <v/>
      </c>
    </row>
    <row r="9540" spans="9:14" x14ac:dyDescent="0.25">
      <c r="I9540" s="11" t="b">
        <f t="shared" si="463"/>
        <v>0</v>
      </c>
      <c r="M9540" s="17" t="str">
        <f t="shared" si="464"/>
        <v/>
      </c>
      <c r="N9540" s="11" t="str">
        <f t="shared" si="465"/>
        <v/>
      </c>
    </row>
    <row r="9541" spans="9:14" x14ac:dyDescent="0.25">
      <c r="I9541" s="11" t="b">
        <f t="shared" si="463"/>
        <v>0</v>
      </c>
      <c r="M9541" s="17" t="str">
        <f t="shared" si="464"/>
        <v/>
      </c>
      <c r="N9541" s="11" t="str">
        <f t="shared" si="465"/>
        <v/>
      </c>
    </row>
    <row r="9542" spans="9:14" x14ac:dyDescent="0.25">
      <c r="I9542" s="11" t="b">
        <f t="shared" si="463"/>
        <v>0</v>
      </c>
      <c r="M9542" s="17" t="str">
        <f t="shared" si="464"/>
        <v/>
      </c>
      <c r="N9542" s="11" t="str">
        <f t="shared" si="465"/>
        <v/>
      </c>
    </row>
    <row r="9543" spans="9:14" x14ac:dyDescent="0.25">
      <c r="I9543" s="11" t="b">
        <f t="shared" si="463"/>
        <v>0</v>
      </c>
      <c r="M9543" s="17" t="str">
        <f t="shared" si="464"/>
        <v/>
      </c>
      <c r="N9543" s="11" t="str">
        <f t="shared" si="465"/>
        <v/>
      </c>
    </row>
    <row r="9544" spans="9:14" x14ac:dyDescent="0.25">
      <c r="I9544" s="11" t="b">
        <f t="shared" si="463"/>
        <v>0</v>
      </c>
      <c r="M9544" s="17" t="str">
        <f t="shared" si="464"/>
        <v/>
      </c>
      <c r="N9544" s="11" t="str">
        <f t="shared" si="465"/>
        <v/>
      </c>
    </row>
    <row r="9545" spans="9:14" x14ac:dyDescent="0.25">
      <c r="I9545" s="11" t="b">
        <f t="shared" si="463"/>
        <v>0</v>
      </c>
      <c r="M9545" s="17" t="str">
        <f t="shared" si="464"/>
        <v/>
      </c>
      <c r="N9545" s="11" t="str">
        <f t="shared" si="465"/>
        <v/>
      </c>
    </row>
    <row r="9546" spans="9:14" x14ac:dyDescent="0.25">
      <c r="I9546" s="11" t="b">
        <f t="shared" si="463"/>
        <v>0</v>
      </c>
      <c r="M9546" s="17" t="str">
        <f t="shared" si="464"/>
        <v/>
      </c>
      <c r="N9546" s="11" t="str">
        <f t="shared" si="465"/>
        <v/>
      </c>
    </row>
    <row r="9547" spans="9:14" x14ac:dyDescent="0.25">
      <c r="I9547" s="11" t="b">
        <f t="shared" si="463"/>
        <v>0</v>
      </c>
      <c r="M9547" s="17" t="str">
        <f t="shared" si="464"/>
        <v/>
      </c>
      <c r="N9547" s="11" t="str">
        <f t="shared" si="465"/>
        <v/>
      </c>
    </row>
    <row r="9548" spans="9:14" x14ac:dyDescent="0.25">
      <c r="I9548" s="11" t="b">
        <f t="shared" si="463"/>
        <v>0</v>
      </c>
      <c r="M9548" s="17" t="str">
        <f t="shared" si="464"/>
        <v/>
      </c>
      <c r="N9548" s="11" t="str">
        <f t="shared" si="465"/>
        <v/>
      </c>
    </row>
    <row r="9549" spans="9:14" x14ac:dyDescent="0.25">
      <c r="I9549" s="11" t="b">
        <f t="shared" si="463"/>
        <v>0</v>
      </c>
      <c r="M9549" s="17" t="str">
        <f t="shared" si="464"/>
        <v/>
      </c>
      <c r="N9549" s="11" t="str">
        <f t="shared" si="465"/>
        <v/>
      </c>
    </row>
    <row r="9550" spans="9:14" x14ac:dyDescent="0.25">
      <c r="I9550" s="11" t="b">
        <f t="shared" si="463"/>
        <v>0</v>
      </c>
      <c r="M9550" s="17" t="str">
        <f t="shared" si="464"/>
        <v/>
      </c>
      <c r="N9550" s="11" t="str">
        <f t="shared" si="465"/>
        <v/>
      </c>
    </row>
    <row r="9551" spans="9:14" x14ac:dyDescent="0.25">
      <c r="I9551" s="11" t="b">
        <f t="shared" si="463"/>
        <v>0</v>
      </c>
      <c r="M9551" s="17" t="str">
        <f t="shared" si="464"/>
        <v/>
      </c>
      <c r="N9551" s="11" t="str">
        <f t="shared" si="465"/>
        <v/>
      </c>
    </row>
    <row r="9552" spans="9:14" x14ac:dyDescent="0.25">
      <c r="I9552" s="11" t="b">
        <f t="shared" si="463"/>
        <v>0</v>
      </c>
      <c r="M9552" s="17" t="str">
        <f t="shared" si="464"/>
        <v/>
      </c>
      <c r="N9552" s="11" t="str">
        <f t="shared" si="465"/>
        <v/>
      </c>
    </row>
    <row r="9553" spans="9:14" x14ac:dyDescent="0.25">
      <c r="I9553" s="11" t="b">
        <f t="shared" si="463"/>
        <v>0</v>
      </c>
      <c r="M9553" s="17" t="str">
        <f t="shared" si="464"/>
        <v/>
      </c>
      <c r="N9553" s="11" t="str">
        <f t="shared" si="465"/>
        <v/>
      </c>
    </row>
    <row r="9554" spans="9:14" x14ac:dyDescent="0.25">
      <c r="I9554" s="11" t="b">
        <f t="shared" si="463"/>
        <v>0</v>
      </c>
      <c r="M9554" s="17" t="str">
        <f t="shared" si="464"/>
        <v/>
      </c>
      <c r="N9554" s="11" t="str">
        <f t="shared" si="465"/>
        <v/>
      </c>
    </row>
    <row r="9555" spans="9:14" x14ac:dyDescent="0.25">
      <c r="I9555" s="11" t="b">
        <f t="shared" si="463"/>
        <v>0</v>
      </c>
      <c r="M9555" s="17" t="str">
        <f t="shared" si="464"/>
        <v/>
      </c>
      <c r="N9555" s="11" t="str">
        <f t="shared" si="465"/>
        <v/>
      </c>
    </row>
    <row r="9556" spans="9:14" x14ac:dyDescent="0.25">
      <c r="I9556" s="11" t="b">
        <f t="shared" si="463"/>
        <v>0</v>
      </c>
      <c r="M9556" s="17" t="str">
        <f t="shared" si="464"/>
        <v/>
      </c>
      <c r="N9556" s="11" t="str">
        <f t="shared" si="465"/>
        <v/>
      </c>
    </row>
    <row r="9557" spans="9:14" x14ac:dyDescent="0.25">
      <c r="I9557" s="11" t="b">
        <f t="shared" si="463"/>
        <v>0</v>
      </c>
      <c r="M9557" s="17" t="str">
        <f t="shared" si="464"/>
        <v/>
      </c>
      <c r="N9557" s="11" t="str">
        <f t="shared" si="465"/>
        <v/>
      </c>
    </row>
    <row r="9558" spans="9:14" x14ac:dyDescent="0.25">
      <c r="I9558" s="11" t="b">
        <f t="shared" si="463"/>
        <v>0</v>
      </c>
      <c r="M9558" s="17" t="str">
        <f t="shared" si="464"/>
        <v/>
      </c>
      <c r="N9558" s="11" t="str">
        <f t="shared" si="465"/>
        <v/>
      </c>
    </row>
    <row r="9559" spans="9:14" x14ac:dyDescent="0.25">
      <c r="I9559" s="11" t="b">
        <f t="shared" si="463"/>
        <v>0</v>
      </c>
      <c r="M9559" s="17" t="str">
        <f t="shared" si="464"/>
        <v/>
      </c>
      <c r="N9559" s="11" t="str">
        <f t="shared" si="465"/>
        <v/>
      </c>
    </row>
    <row r="9560" spans="9:14" x14ac:dyDescent="0.25">
      <c r="I9560" s="11" t="b">
        <f t="shared" si="463"/>
        <v>0</v>
      </c>
      <c r="M9560" s="17" t="str">
        <f t="shared" si="464"/>
        <v/>
      </c>
      <c r="N9560" s="11" t="str">
        <f t="shared" si="465"/>
        <v/>
      </c>
    </row>
    <row r="9561" spans="9:14" x14ac:dyDescent="0.25">
      <c r="I9561" s="11" t="b">
        <f t="shared" si="463"/>
        <v>0</v>
      </c>
      <c r="M9561" s="17" t="str">
        <f t="shared" si="464"/>
        <v/>
      </c>
      <c r="N9561" s="11" t="str">
        <f t="shared" si="465"/>
        <v/>
      </c>
    </row>
    <row r="9562" spans="9:14" x14ac:dyDescent="0.25">
      <c r="I9562" s="11" t="b">
        <f t="shared" si="463"/>
        <v>0</v>
      </c>
      <c r="M9562" s="17" t="str">
        <f t="shared" si="464"/>
        <v/>
      </c>
      <c r="N9562" s="11" t="str">
        <f t="shared" si="465"/>
        <v/>
      </c>
    </row>
    <row r="9563" spans="9:14" x14ac:dyDescent="0.25">
      <c r="I9563" s="11" t="b">
        <f t="shared" si="463"/>
        <v>0</v>
      </c>
      <c r="M9563" s="17" t="str">
        <f t="shared" si="464"/>
        <v/>
      </c>
      <c r="N9563" s="11" t="str">
        <f t="shared" si="465"/>
        <v/>
      </c>
    </row>
    <row r="9564" spans="9:14" x14ac:dyDescent="0.25">
      <c r="I9564" s="11" t="b">
        <f t="shared" si="463"/>
        <v>0</v>
      </c>
      <c r="M9564" s="17" t="str">
        <f t="shared" si="464"/>
        <v/>
      </c>
      <c r="N9564" s="11" t="str">
        <f t="shared" si="465"/>
        <v/>
      </c>
    </row>
    <row r="9565" spans="9:14" x14ac:dyDescent="0.25">
      <c r="I9565" s="11" t="b">
        <f t="shared" ref="I9565:I9628" si="466">IF(AND(G9565="MERCADO PAGO",A9565="FATURAMENTO"),1,IF(AND(OR(G9565="MERCADO PAGO",G9565="pix mercado pago",G9565= "débito automático mercado pago", G9565= "boleto mercado pago"),A9565="DESPESAS"),4,IF(AND(G9565="SAFRA",A9565="FATURAMENTO"),2,IF(AND(OR(G9565="SAFRA",G9565="PIX SAFRA", G9565="DÉBITO AUTOMÁTICO SAFRA", G9565= "BOLETO SAFRA", G9565= "transferência safra"), A9565="DESPESAS"),5,IF(AND(G9565="espécie",A9565="FATURAMENTO"),3,IF(AND(G9565="espécie",A9565="DESPESAS"),6))))))</f>
        <v>0</v>
      </c>
      <c r="M9565" s="17" t="str">
        <f t="shared" si="464"/>
        <v/>
      </c>
      <c r="N9565" s="11" t="str">
        <f t="shared" si="465"/>
        <v/>
      </c>
    </row>
    <row r="9566" spans="9:14" x14ac:dyDescent="0.25">
      <c r="I9566" s="11" t="b">
        <f t="shared" si="466"/>
        <v>0</v>
      </c>
      <c r="M9566" s="17" t="str">
        <f t="shared" si="464"/>
        <v/>
      </c>
      <c r="N9566" s="11" t="str">
        <f t="shared" si="465"/>
        <v/>
      </c>
    </row>
    <row r="9567" spans="9:14" x14ac:dyDescent="0.25">
      <c r="I9567" s="11" t="b">
        <f t="shared" si="466"/>
        <v>0</v>
      </c>
      <c r="M9567" s="17" t="str">
        <f t="shared" si="464"/>
        <v/>
      </c>
      <c r="N9567" s="11" t="str">
        <f t="shared" si="465"/>
        <v/>
      </c>
    </row>
    <row r="9568" spans="9:14" x14ac:dyDescent="0.25">
      <c r="I9568" s="11" t="b">
        <f t="shared" si="466"/>
        <v>0</v>
      </c>
      <c r="M9568" s="17" t="str">
        <f t="shared" si="464"/>
        <v/>
      </c>
      <c r="N9568" s="11" t="str">
        <f t="shared" si="465"/>
        <v/>
      </c>
    </row>
    <row r="9569" spans="9:14" x14ac:dyDescent="0.25">
      <c r="I9569" s="11" t="b">
        <f t="shared" si="466"/>
        <v>0</v>
      </c>
      <c r="M9569" s="17" t="str">
        <f t="shared" si="464"/>
        <v/>
      </c>
      <c r="N9569" s="11" t="str">
        <f t="shared" si="465"/>
        <v/>
      </c>
    </row>
    <row r="9570" spans="9:14" x14ac:dyDescent="0.25">
      <c r="I9570" s="11" t="b">
        <f t="shared" si="466"/>
        <v>0</v>
      </c>
      <c r="M9570" s="17" t="str">
        <f t="shared" si="464"/>
        <v/>
      </c>
      <c r="N9570" s="11" t="str">
        <f t="shared" si="465"/>
        <v/>
      </c>
    </row>
    <row r="9571" spans="9:14" x14ac:dyDescent="0.25">
      <c r="I9571" s="11" t="b">
        <f t="shared" si="466"/>
        <v>0</v>
      </c>
      <c r="M9571" s="17" t="str">
        <f t="shared" si="464"/>
        <v/>
      </c>
      <c r="N9571" s="11" t="str">
        <f t="shared" si="465"/>
        <v/>
      </c>
    </row>
    <row r="9572" spans="9:14" x14ac:dyDescent="0.25">
      <c r="I9572" s="11" t="b">
        <f t="shared" si="466"/>
        <v>0</v>
      </c>
      <c r="M9572" s="17" t="str">
        <f t="shared" si="464"/>
        <v/>
      </c>
      <c r="N9572" s="11" t="str">
        <f t="shared" si="465"/>
        <v/>
      </c>
    </row>
    <row r="9573" spans="9:14" x14ac:dyDescent="0.25">
      <c r="I9573" s="11" t="b">
        <f t="shared" si="466"/>
        <v>0</v>
      </c>
      <c r="M9573" s="17" t="str">
        <f t="shared" si="464"/>
        <v/>
      </c>
      <c r="N9573" s="11" t="str">
        <f t="shared" si="465"/>
        <v/>
      </c>
    </row>
    <row r="9574" spans="9:14" x14ac:dyDescent="0.25">
      <c r="I9574" s="11" t="b">
        <f t="shared" si="466"/>
        <v>0</v>
      </c>
      <c r="M9574" s="17" t="str">
        <f t="shared" si="464"/>
        <v/>
      </c>
      <c r="N9574" s="11" t="str">
        <f t="shared" si="465"/>
        <v/>
      </c>
    </row>
    <row r="9575" spans="9:14" x14ac:dyDescent="0.25">
      <c r="I9575" s="11" t="b">
        <f t="shared" si="466"/>
        <v>0</v>
      </c>
      <c r="M9575" s="17" t="str">
        <f t="shared" si="464"/>
        <v/>
      </c>
      <c r="N9575" s="11" t="str">
        <f t="shared" si="465"/>
        <v/>
      </c>
    </row>
    <row r="9576" spans="9:14" x14ac:dyDescent="0.25">
      <c r="I9576" s="11" t="b">
        <f t="shared" si="466"/>
        <v>0</v>
      </c>
      <c r="M9576" s="17" t="str">
        <f t="shared" si="464"/>
        <v/>
      </c>
      <c r="N9576" s="11" t="str">
        <f t="shared" si="465"/>
        <v/>
      </c>
    </row>
    <row r="9577" spans="9:14" x14ac:dyDescent="0.25">
      <c r="I9577" s="11" t="b">
        <f t="shared" si="466"/>
        <v>0</v>
      </c>
      <c r="M9577" s="17" t="str">
        <f t="shared" si="464"/>
        <v/>
      </c>
      <c r="N9577" s="11" t="str">
        <f t="shared" si="465"/>
        <v/>
      </c>
    </row>
    <row r="9578" spans="9:14" x14ac:dyDescent="0.25">
      <c r="I9578" s="11" t="b">
        <f t="shared" si="466"/>
        <v>0</v>
      </c>
      <c r="M9578" s="17" t="str">
        <f t="shared" si="464"/>
        <v/>
      </c>
      <c r="N9578" s="11" t="str">
        <f t="shared" si="465"/>
        <v/>
      </c>
    </row>
    <row r="9579" spans="9:14" x14ac:dyDescent="0.25">
      <c r="I9579" s="11" t="b">
        <f t="shared" si="466"/>
        <v>0</v>
      </c>
      <c r="M9579" s="17" t="str">
        <f t="shared" si="464"/>
        <v/>
      </c>
      <c r="N9579" s="11" t="str">
        <f t="shared" si="465"/>
        <v/>
      </c>
    </row>
    <row r="9580" spans="9:14" x14ac:dyDescent="0.25">
      <c r="I9580" s="11" t="b">
        <f t="shared" si="466"/>
        <v>0</v>
      </c>
      <c r="M9580" s="17" t="str">
        <f t="shared" si="464"/>
        <v/>
      </c>
      <c r="N9580" s="11" t="str">
        <f t="shared" si="465"/>
        <v/>
      </c>
    </row>
    <row r="9581" spans="9:14" x14ac:dyDescent="0.25">
      <c r="I9581" s="11" t="b">
        <f t="shared" si="466"/>
        <v>0</v>
      </c>
      <c r="M9581" s="17" t="str">
        <f t="shared" si="464"/>
        <v/>
      </c>
      <c r="N9581" s="11" t="str">
        <f t="shared" si="465"/>
        <v/>
      </c>
    </row>
    <row r="9582" spans="9:14" x14ac:dyDescent="0.25">
      <c r="I9582" s="11" t="b">
        <f t="shared" si="466"/>
        <v>0</v>
      </c>
      <c r="M9582" s="17" t="str">
        <f t="shared" si="464"/>
        <v/>
      </c>
      <c r="N9582" s="11" t="str">
        <f t="shared" si="465"/>
        <v/>
      </c>
    </row>
    <row r="9583" spans="9:14" x14ac:dyDescent="0.25">
      <c r="I9583" s="11" t="b">
        <f t="shared" si="466"/>
        <v>0</v>
      </c>
      <c r="M9583" s="17" t="str">
        <f t="shared" si="464"/>
        <v/>
      </c>
      <c r="N9583" s="11" t="str">
        <f t="shared" si="465"/>
        <v/>
      </c>
    </row>
    <row r="9584" spans="9:14" x14ac:dyDescent="0.25">
      <c r="I9584" s="11" t="b">
        <f t="shared" si="466"/>
        <v>0</v>
      </c>
      <c r="M9584" s="17" t="str">
        <f t="shared" si="464"/>
        <v/>
      </c>
      <c r="N9584" s="11" t="str">
        <f t="shared" si="465"/>
        <v/>
      </c>
    </row>
    <row r="9585" spans="9:14" x14ac:dyDescent="0.25">
      <c r="I9585" s="11" t="b">
        <f t="shared" si="466"/>
        <v>0</v>
      </c>
      <c r="M9585" s="17" t="str">
        <f t="shared" si="464"/>
        <v/>
      </c>
      <c r="N9585" s="11" t="str">
        <f t="shared" si="465"/>
        <v/>
      </c>
    </row>
    <row r="9586" spans="9:14" x14ac:dyDescent="0.25">
      <c r="I9586" s="11" t="b">
        <f t="shared" si="466"/>
        <v>0</v>
      </c>
      <c r="M9586" s="17" t="str">
        <f t="shared" si="464"/>
        <v/>
      </c>
      <c r="N9586" s="11" t="str">
        <f t="shared" si="465"/>
        <v/>
      </c>
    </row>
    <row r="9587" spans="9:14" x14ac:dyDescent="0.25">
      <c r="I9587" s="11" t="b">
        <f t="shared" si="466"/>
        <v>0</v>
      </c>
      <c r="M9587" s="17" t="str">
        <f t="shared" si="464"/>
        <v/>
      </c>
      <c r="N9587" s="11" t="str">
        <f t="shared" si="465"/>
        <v/>
      </c>
    </row>
    <row r="9588" spans="9:14" x14ac:dyDescent="0.25">
      <c r="I9588" s="11" t="b">
        <f t="shared" si="466"/>
        <v>0</v>
      </c>
      <c r="M9588" s="17" t="str">
        <f t="shared" si="464"/>
        <v/>
      </c>
      <c r="N9588" s="11" t="str">
        <f t="shared" si="465"/>
        <v/>
      </c>
    </row>
    <row r="9589" spans="9:14" x14ac:dyDescent="0.25">
      <c r="I9589" s="11" t="b">
        <f t="shared" si="466"/>
        <v>0</v>
      </c>
      <c r="M9589" s="17" t="str">
        <f t="shared" si="464"/>
        <v/>
      </c>
      <c r="N9589" s="11" t="str">
        <f t="shared" si="465"/>
        <v/>
      </c>
    </row>
    <row r="9590" spans="9:14" x14ac:dyDescent="0.25">
      <c r="I9590" s="11" t="b">
        <f t="shared" si="466"/>
        <v>0</v>
      </c>
      <c r="M9590" s="17" t="str">
        <f t="shared" si="464"/>
        <v/>
      </c>
      <c r="N9590" s="11" t="str">
        <f t="shared" si="465"/>
        <v/>
      </c>
    </row>
    <row r="9591" spans="9:14" x14ac:dyDescent="0.25">
      <c r="I9591" s="11" t="b">
        <f t="shared" si="466"/>
        <v>0</v>
      </c>
      <c r="M9591" s="17" t="str">
        <f t="shared" si="464"/>
        <v/>
      </c>
      <c r="N9591" s="11" t="str">
        <f t="shared" si="465"/>
        <v/>
      </c>
    </row>
    <row r="9592" spans="9:14" x14ac:dyDescent="0.25">
      <c r="I9592" s="11" t="b">
        <f t="shared" si="466"/>
        <v>0</v>
      </c>
      <c r="M9592" s="17" t="str">
        <f t="shared" si="464"/>
        <v/>
      </c>
      <c r="N9592" s="11" t="str">
        <f t="shared" si="465"/>
        <v/>
      </c>
    </row>
    <row r="9593" spans="9:14" x14ac:dyDescent="0.25">
      <c r="I9593" s="11" t="b">
        <f t="shared" si="466"/>
        <v>0</v>
      </c>
      <c r="M9593" s="17" t="str">
        <f t="shared" si="464"/>
        <v/>
      </c>
      <c r="N9593" s="11" t="str">
        <f t="shared" si="465"/>
        <v/>
      </c>
    </row>
    <row r="9594" spans="9:14" x14ac:dyDescent="0.25">
      <c r="I9594" s="11" t="b">
        <f t="shared" si="466"/>
        <v>0</v>
      </c>
      <c r="M9594" s="17" t="str">
        <f t="shared" si="464"/>
        <v/>
      </c>
      <c r="N9594" s="11" t="str">
        <f t="shared" si="465"/>
        <v/>
      </c>
    </row>
    <row r="9595" spans="9:14" x14ac:dyDescent="0.25">
      <c r="I9595" s="11" t="b">
        <f t="shared" si="466"/>
        <v>0</v>
      </c>
      <c r="M9595" s="17" t="str">
        <f t="shared" si="464"/>
        <v/>
      </c>
      <c r="N9595" s="11" t="str">
        <f t="shared" si="465"/>
        <v/>
      </c>
    </row>
    <row r="9596" spans="9:14" x14ac:dyDescent="0.25">
      <c r="I9596" s="11" t="b">
        <f t="shared" si="466"/>
        <v>0</v>
      </c>
      <c r="M9596" s="17" t="str">
        <f t="shared" si="464"/>
        <v/>
      </c>
      <c r="N9596" s="11" t="str">
        <f t="shared" si="465"/>
        <v/>
      </c>
    </row>
    <row r="9597" spans="9:14" x14ac:dyDescent="0.25">
      <c r="I9597" s="11" t="b">
        <f t="shared" si="466"/>
        <v>0</v>
      </c>
      <c r="M9597" s="17" t="str">
        <f t="shared" si="464"/>
        <v/>
      </c>
      <c r="N9597" s="11" t="str">
        <f t="shared" si="465"/>
        <v/>
      </c>
    </row>
    <row r="9598" spans="9:14" x14ac:dyDescent="0.25">
      <c r="I9598" s="11" t="b">
        <f t="shared" si="466"/>
        <v>0</v>
      </c>
      <c r="M9598" s="17" t="str">
        <f t="shared" si="464"/>
        <v/>
      </c>
      <c r="N9598" s="11" t="str">
        <f t="shared" si="465"/>
        <v/>
      </c>
    </row>
    <row r="9599" spans="9:14" x14ac:dyDescent="0.25">
      <c r="I9599" s="11" t="b">
        <f t="shared" si="466"/>
        <v>0</v>
      </c>
      <c r="M9599" s="17" t="str">
        <f t="shared" si="464"/>
        <v/>
      </c>
      <c r="N9599" s="11" t="str">
        <f t="shared" si="465"/>
        <v/>
      </c>
    </row>
    <row r="9600" spans="9:14" x14ac:dyDescent="0.25">
      <c r="I9600" s="11" t="b">
        <f t="shared" si="466"/>
        <v>0</v>
      </c>
      <c r="M9600" s="17" t="str">
        <f t="shared" si="464"/>
        <v/>
      </c>
      <c r="N9600" s="11" t="str">
        <f t="shared" si="465"/>
        <v/>
      </c>
    </row>
    <row r="9601" spans="9:14" x14ac:dyDescent="0.25">
      <c r="I9601" s="11" t="b">
        <f t="shared" si="466"/>
        <v>0</v>
      </c>
      <c r="M9601" s="17" t="str">
        <f t="shared" ref="M9601:M9664" si="467">IF(B9601=0, "",M9600+ J9601-K9601)</f>
        <v/>
      </c>
      <c r="N9601" s="11" t="str">
        <f t="shared" ref="N9601:N9664" si="468">IF(B9601=0, "", MONTH(B9601))</f>
        <v/>
      </c>
    </row>
    <row r="9602" spans="9:14" x14ac:dyDescent="0.25">
      <c r="I9602" s="11" t="b">
        <f t="shared" si="466"/>
        <v>0</v>
      </c>
      <c r="M9602" s="17" t="str">
        <f t="shared" si="467"/>
        <v/>
      </c>
      <c r="N9602" s="11" t="str">
        <f t="shared" si="468"/>
        <v/>
      </c>
    </row>
    <row r="9603" spans="9:14" x14ac:dyDescent="0.25">
      <c r="I9603" s="11" t="b">
        <f t="shared" si="466"/>
        <v>0</v>
      </c>
      <c r="M9603" s="17" t="str">
        <f t="shared" si="467"/>
        <v/>
      </c>
      <c r="N9603" s="11" t="str">
        <f t="shared" si="468"/>
        <v/>
      </c>
    </row>
    <row r="9604" spans="9:14" x14ac:dyDescent="0.25">
      <c r="I9604" s="11" t="b">
        <f t="shared" si="466"/>
        <v>0</v>
      </c>
      <c r="M9604" s="17" t="str">
        <f t="shared" si="467"/>
        <v/>
      </c>
      <c r="N9604" s="11" t="str">
        <f t="shared" si="468"/>
        <v/>
      </c>
    </row>
    <row r="9605" spans="9:14" x14ac:dyDescent="0.25">
      <c r="I9605" s="11" t="b">
        <f t="shared" si="466"/>
        <v>0</v>
      </c>
      <c r="M9605" s="17" t="str">
        <f t="shared" si="467"/>
        <v/>
      </c>
      <c r="N9605" s="11" t="str">
        <f t="shared" si="468"/>
        <v/>
      </c>
    </row>
    <row r="9606" spans="9:14" x14ac:dyDescent="0.25">
      <c r="I9606" s="11" t="b">
        <f t="shared" si="466"/>
        <v>0</v>
      </c>
      <c r="M9606" s="17" t="str">
        <f t="shared" si="467"/>
        <v/>
      </c>
      <c r="N9606" s="11" t="str">
        <f t="shared" si="468"/>
        <v/>
      </c>
    </row>
    <row r="9607" spans="9:14" x14ac:dyDescent="0.25">
      <c r="I9607" s="11" t="b">
        <f t="shared" si="466"/>
        <v>0</v>
      </c>
      <c r="M9607" s="17" t="str">
        <f t="shared" si="467"/>
        <v/>
      </c>
      <c r="N9607" s="11" t="str">
        <f t="shared" si="468"/>
        <v/>
      </c>
    </row>
    <row r="9608" spans="9:14" x14ac:dyDescent="0.25">
      <c r="I9608" s="11" t="b">
        <f t="shared" si="466"/>
        <v>0</v>
      </c>
      <c r="M9608" s="17" t="str">
        <f t="shared" si="467"/>
        <v/>
      </c>
      <c r="N9608" s="11" t="str">
        <f t="shared" si="468"/>
        <v/>
      </c>
    </row>
    <row r="9609" spans="9:14" x14ac:dyDescent="0.25">
      <c r="I9609" s="11" t="b">
        <f t="shared" si="466"/>
        <v>0</v>
      </c>
      <c r="M9609" s="17" t="str">
        <f t="shared" si="467"/>
        <v/>
      </c>
      <c r="N9609" s="11" t="str">
        <f t="shared" si="468"/>
        <v/>
      </c>
    </row>
    <row r="9610" spans="9:14" x14ac:dyDescent="0.25">
      <c r="I9610" s="11" t="b">
        <f t="shared" si="466"/>
        <v>0</v>
      </c>
      <c r="M9610" s="17" t="str">
        <f t="shared" si="467"/>
        <v/>
      </c>
      <c r="N9610" s="11" t="str">
        <f t="shared" si="468"/>
        <v/>
      </c>
    </row>
    <row r="9611" spans="9:14" x14ac:dyDescent="0.25">
      <c r="I9611" s="11" t="b">
        <f t="shared" si="466"/>
        <v>0</v>
      </c>
      <c r="M9611" s="17" t="str">
        <f t="shared" si="467"/>
        <v/>
      </c>
      <c r="N9611" s="11" t="str">
        <f t="shared" si="468"/>
        <v/>
      </c>
    </row>
    <row r="9612" spans="9:14" x14ac:dyDescent="0.25">
      <c r="I9612" s="11" t="b">
        <f t="shared" si="466"/>
        <v>0</v>
      </c>
      <c r="M9612" s="17" t="str">
        <f t="shared" si="467"/>
        <v/>
      </c>
      <c r="N9612" s="11" t="str">
        <f t="shared" si="468"/>
        <v/>
      </c>
    </row>
    <row r="9613" spans="9:14" x14ac:dyDescent="0.25">
      <c r="I9613" s="11" t="b">
        <f t="shared" si="466"/>
        <v>0</v>
      </c>
      <c r="M9613" s="17" t="str">
        <f t="shared" si="467"/>
        <v/>
      </c>
      <c r="N9613" s="11" t="str">
        <f t="shared" si="468"/>
        <v/>
      </c>
    </row>
    <row r="9614" spans="9:14" x14ac:dyDescent="0.25">
      <c r="I9614" s="11" t="b">
        <f t="shared" si="466"/>
        <v>0</v>
      </c>
      <c r="M9614" s="17" t="str">
        <f t="shared" si="467"/>
        <v/>
      </c>
      <c r="N9614" s="11" t="str">
        <f t="shared" si="468"/>
        <v/>
      </c>
    </row>
    <row r="9615" spans="9:14" x14ac:dyDescent="0.25">
      <c r="I9615" s="11" t="b">
        <f t="shared" si="466"/>
        <v>0</v>
      </c>
      <c r="M9615" s="17" t="str">
        <f t="shared" si="467"/>
        <v/>
      </c>
      <c r="N9615" s="11" t="str">
        <f t="shared" si="468"/>
        <v/>
      </c>
    </row>
    <row r="9616" spans="9:14" x14ac:dyDescent="0.25">
      <c r="I9616" s="11" t="b">
        <f t="shared" si="466"/>
        <v>0</v>
      </c>
      <c r="M9616" s="17" t="str">
        <f t="shared" si="467"/>
        <v/>
      </c>
      <c r="N9616" s="11" t="str">
        <f t="shared" si="468"/>
        <v/>
      </c>
    </row>
    <row r="9617" spans="9:14" x14ac:dyDescent="0.25">
      <c r="I9617" s="11" t="b">
        <f t="shared" si="466"/>
        <v>0</v>
      </c>
      <c r="M9617" s="17" t="str">
        <f t="shared" si="467"/>
        <v/>
      </c>
      <c r="N9617" s="11" t="str">
        <f t="shared" si="468"/>
        <v/>
      </c>
    </row>
    <row r="9618" spans="9:14" x14ac:dyDescent="0.25">
      <c r="I9618" s="11" t="b">
        <f t="shared" si="466"/>
        <v>0</v>
      </c>
      <c r="M9618" s="17" t="str">
        <f t="shared" si="467"/>
        <v/>
      </c>
      <c r="N9618" s="11" t="str">
        <f t="shared" si="468"/>
        <v/>
      </c>
    </row>
    <row r="9619" spans="9:14" x14ac:dyDescent="0.25">
      <c r="I9619" s="11" t="b">
        <f t="shared" si="466"/>
        <v>0</v>
      </c>
      <c r="M9619" s="17" t="str">
        <f t="shared" si="467"/>
        <v/>
      </c>
      <c r="N9619" s="11" t="str">
        <f t="shared" si="468"/>
        <v/>
      </c>
    </row>
    <row r="9620" spans="9:14" x14ac:dyDescent="0.25">
      <c r="I9620" s="11" t="b">
        <f t="shared" si="466"/>
        <v>0</v>
      </c>
      <c r="M9620" s="17" t="str">
        <f t="shared" si="467"/>
        <v/>
      </c>
      <c r="N9620" s="11" t="str">
        <f t="shared" si="468"/>
        <v/>
      </c>
    </row>
    <row r="9621" spans="9:14" x14ac:dyDescent="0.25">
      <c r="I9621" s="11" t="b">
        <f t="shared" si="466"/>
        <v>0</v>
      </c>
      <c r="M9621" s="17" t="str">
        <f t="shared" si="467"/>
        <v/>
      </c>
      <c r="N9621" s="11" t="str">
        <f t="shared" si="468"/>
        <v/>
      </c>
    </row>
    <row r="9622" spans="9:14" x14ac:dyDescent="0.25">
      <c r="I9622" s="11" t="b">
        <f t="shared" si="466"/>
        <v>0</v>
      </c>
      <c r="M9622" s="17" t="str">
        <f t="shared" si="467"/>
        <v/>
      </c>
      <c r="N9622" s="11" t="str">
        <f t="shared" si="468"/>
        <v/>
      </c>
    </row>
    <row r="9623" spans="9:14" x14ac:dyDescent="0.25">
      <c r="I9623" s="11" t="b">
        <f t="shared" si="466"/>
        <v>0</v>
      </c>
      <c r="M9623" s="17" t="str">
        <f t="shared" si="467"/>
        <v/>
      </c>
      <c r="N9623" s="11" t="str">
        <f t="shared" si="468"/>
        <v/>
      </c>
    </row>
    <row r="9624" spans="9:14" x14ac:dyDescent="0.25">
      <c r="I9624" s="11" t="b">
        <f t="shared" si="466"/>
        <v>0</v>
      </c>
      <c r="M9624" s="17" t="str">
        <f t="shared" si="467"/>
        <v/>
      </c>
      <c r="N9624" s="11" t="str">
        <f t="shared" si="468"/>
        <v/>
      </c>
    </row>
    <row r="9625" spans="9:14" x14ac:dyDescent="0.25">
      <c r="I9625" s="11" t="b">
        <f t="shared" si="466"/>
        <v>0</v>
      </c>
      <c r="M9625" s="17" t="str">
        <f t="shared" si="467"/>
        <v/>
      </c>
      <c r="N9625" s="11" t="str">
        <f t="shared" si="468"/>
        <v/>
      </c>
    </row>
    <row r="9626" spans="9:14" x14ac:dyDescent="0.25">
      <c r="I9626" s="11" t="b">
        <f t="shared" si="466"/>
        <v>0</v>
      </c>
      <c r="M9626" s="17" t="str">
        <f t="shared" si="467"/>
        <v/>
      </c>
      <c r="N9626" s="11" t="str">
        <f t="shared" si="468"/>
        <v/>
      </c>
    </row>
    <row r="9627" spans="9:14" x14ac:dyDescent="0.25">
      <c r="I9627" s="11" t="b">
        <f t="shared" si="466"/>
        <v>0</v>
      </c>
      <c r="M9627" s="17" t="str">
        <f t="shared" si="467"/>
        <v/>
      </c>
      <c r="N9627" s="11" t="str">
        <f t="shared" si="468"/>
        <v/>
      </c>
    </row>
    <row r="9628" spans="9:14" x14ac:dyDescent="0.25">
      <c r="I9628" s="11" t="b">
        <f t="shared" si="466"/>
        <v>0</v>
      </c>
      <c r="M9628" s="17" t="str">
        <f t="shared" si="467"/>
        <v/>
      </c>
      <c r="N9628" s="11" t="str">
        <f t="shared" si="468"/>
        <v/>
      </c>
    </row>
    <row r="9629" spans="9:14" x14ac:dyDescent="0.25">
      <c r="I9629" s="11" t="b">
        <f t="shared" ref="I9629:I9692" si="469">IF(AND(G9629="MERCADO PAGO",A9629="FATURAMENTO"),1,IF(AND(OR(G9629="MERCADO PAGO",G9629="pix mercado pago",G9629= "débito automático mercado pago", G9629= "boleto mercado pago"),A9629="DESPESAS"),4,IF(AND(G9629="SAFRA",A9629="FATURAMENTO"),2,IF(AND(OR(G9629="SAFRA",G9629="PIX SAFRA", G9629="DÉBITO AUTOMÁTICO SAFRA", G9629= "BOLETO SAFRA", G9629= "transferência safra"), A9629="DESPESAS"),5,IF(AND(G9629="espécie",A9629="FATURAMENTO"),3,IF(AND(G9629="espécie",A9629="DESPESAS"),6))))))</f>
        <v>0</v>
      </c>
      <c r="M9629" s="17" t="str">
        <f t="shared" si="467"/>
        <v/>
      </c>
      <c r="N9629" s="11" t="str">
        <f t="shared" si="468"/>
        <v/>
      </c>
    </row>
    <row r="9630" spans="9:14" x14ac:dyDescent="0.25">
      <c r="I9630" s="11" t="b">
        <f t="shared" si="469"/>
        <v>0</v>
      </c>
      <c r="M9630" s="17" t="str">
        <f t="shared" si="467"/>
        <v/>
      </c>
      <c r="N9630" s="11" t="str">
        <f t="shared" si="468"/>
        <v/>
      </c>
    </row>
    <row r="9631" spans="9:14" x14ac:dyDescent="0.25">
      <c r="I9631" s="11" t="b">
        <f t="shared" si="469"/>
        <v>0</v>
      </c>
      <c r="M9631" s="17" t="str">
        <f t="shared" si="467"/>
        <v/>
      </c>
      <c r="N9631" s="11" t="str">
        <f t="shared" si="468"/>
        <v/>
      </c>
    </row>
    <row r="9632" spans="9:14" x14ac:dyDescent="0.25">
      <c r="I9632" s="11" t="b">
        <f t="shared" si="469"/>
        <v>0</v>
      </c>
      <c r="M9632" s="17" t="str">
        <f t="shared" si="467"/>
        <v/>
      </c>
      <c r="N9632" s="11" t="str">
        <f t="shared" si="468"/>
        <v/>
      </c>
    </row>
    <row r="9633" spans="9:14" x14ac:dyDescent="0.25">
      <c r="I9633" s="11" t="b">
        <f t="shared" si="469"/>
        <v>0</v>
      </c>
      <c r="M9633" s="17" t="str">
        <f t="shared" si="467"/>
        <v/>
      </c>
      <c r="N9633" s="11" t="str">
        <f t="shared" si="468"/>
        <v/>
      </c>
    </row>
    <row r="9634" spans="9:14" x14ac:dyDescent="0.25">
      <c r="I9634" s="11" t="b">
        <f t="shared" si="469"/>
        <v>0</v>
      </c>
      <c r="M9634" s="17" t="str">
        <f t="shared" si="467"/>
        <v/>
      </c>
      <c r="N9634" s="11" t="str">
        <f t="shared" si="468"/>
        <v/>
      </c>
    </row>
    <row r="9635" spans="9:14" x14ac:dyDescent="0.25">
      <c r="I9635" s="11" t="b">
        <f t="shared" si="469"/>
        <v>0</v>
      </c>
      <c r="M9635" s="17" t="str">
        <f t="shared" si="467"/>
        <v/>
      </c>
      <c r="N9635" s="11" t="str">
        <f t="shared" si="468"/>
        <v/>
      </c>
    </row>
    <row r="9636" spans="9:14" x14ac:dyDescent="0.25">
      <c r="I9636" s="11" t="b">
        <f t="shared" si="469"/>
        <v>0</v>
      </c>
      <c r="M9636" s="17" t="str">
        <f t="shared" si="467"/>
        <v/>
      </c>
      <c r="N9636" s="11" t="str">
        <f t="shared" si="468"/>
        <v/>
      </c>
    </row>
    <row r="9637" spans="9:14" x14ac:dyDescent="0.25">
      <c r="I9637" s="11" t="b">
        <f t="shared" si="469"/>
        <v>0</v>
      </c>
      <c r="M9637" s="17" t="str">
        <f t="shared" si="467"/>
        <v/>
      </c>
      <c r="N9637" s="11" t="str">
        <f t="shared" si="468"/>
        <v/>
      </c>
    </row>
    <row r="9638" spans="9:14" x14ac:dyDescent="0.25">
      <c r="I9638" s="11" t="b">
        <f t="shared" si="469"/>
        <v>0</v>
      </c>
      <c r="M9638" s="17" t="str">
        <f t="shared" si="467"/>
        <v/>
      </c>
      <c r="N9638" s="11" t="str">
        <f t="shared" si="468"/>
        <v/>
      </c>
    </row>
    <row r="9639" spans="9:14" x14ac:dyDescent="0.25">
      <c r="I9639" s="11" t="b">
        <f t="shared" si="469"/>
        <v>0</v>
      </c>
      <c r="M9639" s="17" t="str">
        <f t="shared" si="467"/>
        <v/>
      </c>
      <c r="N9639" s="11" t="str">
        <f t="shared" si="468"/>
        <v/>
      </c>
    </row>
    <row r="9640" spans="9:14" x14ac:dyDescent="0.25">
      <c r="I9640" s="11" t="b">
        <f t="shared" si="469"/>
        <v>0</v>
      </c>
      <c r="M9640" s="17" t="str">
        <f t="shared" si="467"/>
        <v/>
      </c>
      <c r="N9640" s="11" t="str">
        <f t="shared" si="468"/>
        <v/>
      </c>
    </row>
    <row r="9641" spans="9:14" x14ac:dyDescent="0.25">
      <c r="I9641" s="11" t="b">
        <f t="shared" si="469"/>
        <v>0</v>
      </c>
      <c r="M9641" s="17" t="str">
        <f t="shared" si="467"/>
        <v/>
      </c>
      <c r="N9641" s="11" t="str">
        <f t="shared" si="468"/>
        <v/>
      </c>
    </row>
    <row r="9642" spans="9:14" x14ac:dyDescent="0.25">
      <c r="I9642" s="11" t="b">
        <f t="shared" si="469"/>
        <v>0</v>
      </c>
      <c r="M9642" s="17" t="str">
        <f t="shared" si="467"/>
        <v/>
      </c>
      <c r="N9642" s="11" t="str">
        <f t="shared" si="468"/>
        <v/>
      </c>
    </row>
    <row r="9643" spans="9:14" x14ac:dyDescent="0.25">
      <c r="I9643" s="11" t="b">
        <f t="shared" si="469"/>
        <v>0</v>
      </c>
      <c r="M9643" s="17" t="str">
        <f t="shared" si="467"/>
        <v/>
      </c>
      <c r="N9643" s="11" t="str">
        <f t="shared" si="468"/>
        <v/>
      </c>
    </row>
    <row r="9644" spans="9:14" x14ac:dyDescent="0.25">
      <c r="I9644" s="11" t="b">
        <f t="shared" si="469"/>
        <v>0</v>
      </c>
      <c r="M9644" s="17" t="str">
        <f t="shared" si="467"/>
        <v/>
      </c>
      <c r="N9644" s="11" t="str">
        <f t="shared" si="468"/>
        <v/>
      </c>
    </row>
    <row r="9645" spans="9:14" x14ac:dyDescent="0.25">
      <c r="I9645" s="11" t="b">
        <f t="shared" si="469"/>
        <v>0</v>
      </c>
      <c r="M9645" s="17" t="str">
        <f t="shared" si="467"/>
        <v/>
      </c>
      <c r="N9645" s="11" t="str">
        <f t="shared" si="468"/>
        <v/>
      </c>
    </row>
    <row r="9646" spans="9:14" x14ac:dyDescent="0.25">
      <c r="I9646" s="11" t="b">
        <f t="shared" si="469"/>
        <v>0</v>
      </c>
      <c r="M9646" s="17" t="str">
        <f t="shared" si="467"/>
        <v/>
      </c>
      <c r="N9646" s="11" t="str">
        <f t="shared" si="468"/>
        <v/>
      </c>
    </row>
    <row r="9647" spans="9:14" x14ac:dyDescent="0.25">
      <c r="I9647" s="11" t="b">
        <f t="shared" si="469"/>
        <v>0</v>
      </c>
      <c r="M9647" s="17" t="str">
        <f t="shared" si="467"/>
        <v/>
      </c>
      <c r="N9647" s="11" t="str">
        <f t="shared" si="468"/>
        <v/>
      </c>
    </row>
    <row r="9648" spans="9:14" x14ac:dyDescent="0.25">
      <c r="I9648" s="11" t="b">
        <f t="shared" si="469"/>
        <v>0</v>
      </c>
      <c r="M9648" s="17" t="str">
        <f t="shared" si="467"/>
        <v/>
      </c>
      <c r="N9648" s="11" t="str">
        <f t="shared" si="468"/>
        <v/>
      </c>
    </row>
    <row r="9649" spans="9:14" x14ac:dyDescent="0.25">
      <c r="I9649" s="11" t="b">
        <f t="shared" si="469"/>
        <v>0</v>
      </c>
      <c r="M9649" s="17" t="str">
        <f t="shared" si="467"/>
        <v/>
      </c>
      <c r="N9649" s="11" t="str">
        <f t="shared" si="468"/>
        <v/>
      </c>
    </row>
    <row r="9650" spans="9:14" x14ac:dyDescent="0.25">
      <c r="I9650" s="11" t="b">
        <f t="shared" si="469"/>
        <v>0</v>
      </c>
      <c r="M9650" s="17" t="str">
        <f t="shared" si="467"/>
        <v/>
      </c>
      <c r="N9650" s="11" t="str">
        <f t="shared" si="468"/>
        <v/>
      </c>
    </row>
    <row r="9651" spans="9:14" x14ac:dyDescent="0.25">
      <c r="I9651" s="11" t="b">
        <f t="shared" si="469"/>
        <v>0</v>
      </c>
      <c r="M9651" s="17" t="str">
        <f t="shared" si="467"/>
        <v/>
      </c>
      <c r="N9651" s="11" t="str">
        <f t="shared" si="468"/>
        <v/>
      </c>
    </row>
    <row r="9652" spans="9:14" x14ac:dyDescent="0.25">
      <c r="I9652" s="11" t="b">
        <f t="shared" si="469"/>
        <v>0</v>
      </c>
      <c r="M9652" s="17" t="str">
        <f t="shared" si="467"/>
        <v/>
      </c>
      <c r="N9652" s="11" t="str">
        <f t="shared" si="468"/>
        <v/>
      </c>
    </row>
    <row r="9653" spans="9:14" x14ac:dyDescent="0.25">
      <c r="I9653" s="11" t="b">
        <f t="shared" si="469"/>
        <v>0</v>
      </c>
      <c r="M9653" s="17" t="str">
        <f t="shared" si="467"/>
        <v/>
      </c>
      <c r="N9653" s="11" t="str">
        <f t="shared" si="468"/>
        <v/>
      </c>
    </row>
    <row r="9654" spans="9:14" x14ac:dyDescent="0.25">
      <c r="I9654" s="11" t="b">
        <f t="shared" si="469"/>
        <v>0</v>
      </c>
      <c r="M9654" s="17" t="str">
        <f t="shared" si="467"/>
        <v/>
      </c>
      <c r="N9654" s="11" t="str">
        <f t="shared" si="468"/>
        <v/>
      </c>
    </row>
    <row r="9655" spans="9:14" x14ac:dyDescent="0.25">
      <c r="I9655" s="11" t="b">
        <f t="shared" si="469"/>
        <v>0</v>
      </c>
      <c r="M9655" s="17" t="str">
        <f t="shared" si="467"/>
        <v/>
      </c>
      <c r="N9655" s="11" t="str">
        <f t="shared" si="468"/>
        <v/>
      </c>
    </row>
    <row r="9656" spans="9:14" x14ac:dyDescent="0.25">
      <c r="I9656" s="11" t="b">
        <f t="shared" si="469"/>
        <v>0</v>
      </c>
      <c r="M9656" s="17" t="str">
        <f t="shared" si="467"/>
        <v/>
      </c>
      <c r="N9656" s="11" t="str">
        <f t="shared" si="468"/>
        <v/>
      </c>
    </row>
    <row r="9657" spans="9:14" x14ac:dyDescent="0.25">
      <c r="I9657" s="11" t="b">
        <f t="shared" si="469"/>
        <v>0</v>
      </c>
      <c r="M9657" s="17" t="str">
        <f t="shared" si="467"/>
        <v/>
      </c>
      <c r="N9657" s="11" t="str">
        <f t="shared" si="468"/>
        <v/>
      </c>
    </row>
    <row r="9658" spans="9:14" x14ac:dyDescent="0.25">
      <c r="I9658" s="11" t="b">
        <f t="shared" si="469"/>
        <v>0</v>
      </c>
      <c r="M9658" s="17" t="str">
        <f t="shared" si="467"/>
        <v/>
      </c>
      <c r="N9658" s="11" t="str">
        <f t="shared" si="468"/>
        <v/>
      </c>
    </row>
    <row r="9659" spans="9:14" x14ac:dyDescent="0.25">
      <c r="I9659" s="11" t="b">
        <f t="shared" si="469"/>
        <v>0</v>
      </c>
      <c r="M9659" s="17" t="str">
        <f t="shared" si="467"/>
        <v/>
      </c>
      <c r="N9659" s="11" t="str">
        <f t="shared" si="468"/>
        <v/>
      </c>
    </row>
    <row r="9660" spans="9:14" x14ac:dyDescent="0.25">
      <c r="I9660" s="11" t="b">
        <f t="shared" si="469"/>
        <v>0</v>
      </c>
      <c r="M9660" s="17" t="str">
        <f t="shared" si="467"/>
        <v/>
      </c>
      <c r="N9660" s="11" t="str">
        <f t="shared" si="468"/>
        <v/>
      </c>
    </row>
    <row r="9661" spans="9:14" x14ac:dyDescent="0.25">
      <c r="I9661" s="11" t="b">
        <f t="shared" si="469"/>
        <v>0</v>
      </c>
      <c r="M9661" s="17" t="str">
        <f t="shared" si="467"/>
        <v/>
      </c>
      <c r="N9661" s="11" t="str">
        <f t="shared" si="468"/>
        <v/>
      </c>
    </row>
    <row r="9662" spans="9:14" x14ac:dyDescent="0.25">
      <c r="I9662" s="11" t="b">
        <f t="shared" si="469"/>
        <v>0</v>
      </c>
      <c r="M9662" s="17" t="str">
        <f t="shared" si="467"/>
        <v/>
      </c>
      <c r="N9662" s="11" t="str">
        <f t="shared" si="468"/>
        <v/>
      </c>
    </row>
    <row r="9663" spans="9:14" x14ac:dyDescent="0.25">
      <c r="I9663" s="11" t="b">
        <f t="shared" si="469"/>
        <v>0</v>
      </c>
      <c r="M9663" s="17" t="str">
        <f t="shared" si="467"/>
        <v/>
      </c>
      <c r="N9663" s="11" t="str">
        <f t="shared" si="468"/>
        <v/>
      </c>
    </row>
    <row r="9664" spans="9:14" x14ac:dyDescent="0.25">
      <c r="I9664" s="11" t="b">
        <f t="shared" si="469"/>
        <v>0</v>
      </c>
      <c r="M9664" s="17" t="str">
        <f t="shared" si="467"/>
        <v/>
      </c>
      <c r="N9664" s="11" t="str">
        <f t="shared" si="468"/>
        <v/>
      </c>
    </row>
    <row r="9665" spans="9:14" x14ac:dyDescent="0.25">
      <c r="I9665" s="11" t="b">
        <f t="shared" si="469"/>
        <v>0</v>
      </c>
      <c r="M9665" s="17" t="str">
        <f t="shared" ref="M9665:M9728" si="470">IF(B9665=0, "",M9664+ J9665-K9665)</f>
        <v/>
      </c>
      <c r="N9665" s="11" t="str">
        <f t="shared" ref="N9665:N9728" si="471">IF(B9665=0, "", MONTH(B9665))</f>
        <v/>
      </c>
    </row>
    <row r="9666" spans="9:14" x14ac:dyDescent="0.25">
      <c r="I9666" s="11" t="b">
        <f t="shared" si="469"/>
        <v>0</v>
      </c>
      <c r="M9666" s="17" t="str">
        <f t="shared" si="470"/>
        <v/>
      </c>
      <c r="N9666" s="11" t="str">
        <f t="shared" si="471"/>
        <v/>
      </c>
    </row>
    <row r="9667" spans="9:14" x14ac:dyDescent="0.25">
      <c r="I9667" s="11" t="b">
        <f t="shared" si="469"/>
        <v>0</v>
      </c>
      <c r="M9667" s="17" t="str">
        <f t="shared" si="470"/>
        <v/>
      </c>
      <c r="N9667" s="11" t="str">
        <f t="shared" si="471"/>
        <v/>
      </c>
    </row>
    <row r="9668" spans="9:14" x14ac:dyDescent="0.25">
      <c r="I9668" s="11" t="b">
        <f t="shared" si="469"/>
        <v>0</v>
      </c>
      <c r="M9668" s="17" t="str">
        <f t="shared" si="470"/>
        <v/>
      </c>
      <c r="N9668" s="11" t="str">
        <f t="shared" si="471"/>
        <v/>
      </c>
    </row>
    <row r="9669" spans="9:14" x14ac:dyDescent="0.25">
      <c r="I9669" s="11" t="b">
        <f t="shared" si="469"/>
        <v>0</v>
      </c>
      <c r="M9669" s="17" t="str">
        <f t="shared" si="470"/>
        <v/>
      </c>
      <c r="N9669" s="11" t="str">
        <f t="shared" si="471"/>
        <v/>
      </c>
    </row>
    <row r="9670" spans="9:14" x14ac:dyDescent="0.25">
      <c r="I9670" s="11" t="b">
        <f t="shared" si="469"/>
        <v>0</v>
      </c>
      <c r="M9670" s="17" t="str">
        <f t="shared" si="470"/>
        <v/>
      </c>
      <c r="N9670" s="11" t="str">
        <f t="shared" si="471"/>
        <v/>
      </c>
    </row>
    <row r="9671" spans="9:14" x14ac:dyDescent="0.25">
      <c r="I9671" s="11" t="b">
        <f t="shared" si="469"/>
        <v>0</v>
      </c>
      <c r="M9671" s="17" t="str">
        <f t="shared" si="470"/>
        <v/>
      </c>
      <c r="N9671" s="11" t="str">
        <f t="shared" si="471"/>
        <v/>
      </c>
    </row>
    <row r="9672" spans="9:14" x14ac:dyDescent="0.25">
      <c r="I9672" s="11" t="b">
        <f t="shared" si="469"/>
        <v>0</v>
      </c>
      <c r="M9672" s="17" t="str">
        <f t="shared" si="470"/>
        <v/>
      </c>
      <c r="N9672" s="11" t="str">
        <f t="shared" si="471"/>
        <v/>
      </c>
    </row>
    <row r="9673" spans="9:14" x14ac:dyDescent="0.25">
      <c r="I9673" s="11" t="b">
        <f t="shared" si="469"/>
        <v>0</v>
      </c>
      <c r="M9673" s="17" t="str">
        <f t="shared" si="470"/>
        <v/>
      </c>
      <c r="N9673" s="11" t="str">
        <f t="shared" si="471"/>
        <v/>
      </c>
    </row>
    <row r="9674" spans="9:14" x14ac:dyDescent="0.25">
      <c r="I9674" s="11" t="b">
        <f t="shared" si="469"/>
        <v>0</v>
      </c>
      <c r="M9674" s="17" t="str">
        <f t="shared" si="470"/>
        <v/>
      </c>
      <c r="N9674" s="11" t="str">
        <f t="shared" si="471"/>
        <v/>
      </c>
    </row>
    <row r="9675" spans="9:14" x14ac:dyDescent="0.25">
      <c r="I9675" s="11" t="b">
        <f t="shared" si="469"/>
        <v>0</v>
      </c>
      <c r="M9675" s="17" t="str">
        <f t="shared" si="470"/>
        <v/>
      </c>
      <c r="N9675" s="11" t="str">
        <f t="shared" si="471"/>
        <v/>
      </c>
    </row>
    <row r="9676" spans="9:14" x14ac:dyDescent="0.25">
      <c r="I9676" s="11" t="b">
        <f t="shared" si="469"/>
        <v>0</v>
      </c>
      <c r="M9676" s="17" t="str">
        <f t="shared" si="470"/>
        <v/>
      </c>
      <c r="N9676" s="11" t="str">
        <f t="shared" si="471"/>
        <v/>
      </c>
    </row>
    <row r="9677" spans="9:14" x14ac:dyDescent="0.25">
      <c r="I9677" s="11" t="b">
        <f t="shared" si="469"/>
        <v>0</v>
      </c>
      <c r="M9677" s="17" t="str">
        <f t="shared" si="470"/>
        <v/>
      </c>
      <c r="N9677" s="11" t="str">
        <f t="shared" si="471"/>
        <v/>
      </c>
    </row>
    <row r="9678" spans="9:14" x14ac:dyDescent="0.25">
      <c r="I9678" s="11" t="b">
        <f t="shared" si="469"/>
        <v>0</v>
      </c>
      <c r="M9678" s="17" t="str">
        <f t="shared" si="470"/>
        <v/>
      </c>
      <c r="N9678" s="11" t="str">
        <f t="shared" si="471"/>
        <v/>
      </c>
    </row>
    <row r="9679" spans="9:14" x14ac:dyDescent="0.25">
      <c r="I9679" s="11" t="b">
        <f t="shared" si="469"/>
        <v>0</v>
      </c>
      <c r="M9679" s="17" t="str">
        <f t="shared" si="470"/>
        <v/>
      </c>
      <c r="N9679" s="11" t="str">
        <f t="shared" si="471"/>
        <v/>
      </c>
    </row>
    <row r="9680" spans="9:14" x14ac:dyDescent="0.25">
      <c r="I9680" s="11" t="b">
        <f t="shared" si="469"/>
        <v>0</v>
      </c>
      <c r="M9680" s="17" t="str">
        <f t="shared" si="470"/>
        <v/>
      </c>
      <c r="N9680" s="11" t="str">
        <f t="shared" si="471"/>
        <v/>
      </c>
    </row>
    <row r="9681" spans="9:14" x14ac:dyDescent="0.25">
      <c r="I9681" s="11" t="b">
        <f t="shared" si="469"/>
        <v>0</v>
      </c>
      <c r="M9681" s="17" t="str">
        <f t="shared" si="470"/>
        <v/>
      </c>
      <c r="N9681" s="11" t="str">
        <f t="shared" si="471"/>
        <v/>
      </c>
    </row>
    <row r="9682" spans="9:14" x14ac:dyDescent="0.25">
      <c r="I9682" s="11" t="b">
        <f t="shared" si="469"/>
        <v>0</v>
      </c>
      <c r="M9682" s="17" t="str">
        <f t="shared" si="470"/>
        <v/>
      </c>
      <c r="N9682" s="11" t="str">
        <f t="shared" si="471"/>
        <v/>
      </c>
    </row>
    <row r="9683" spans="9:14" x14ac:dyDescent="0.25">
      <c r="I9683" s="11" t="b">
        <f t="shared" si="469"/>
        <v>0</v>
      </c>
      <c r="M9683" s="17" t="str">
        <f t="shared" si="470"/>
        <v/>
      </c>
      <c r="N9683" s="11" t="str">
        <f t="shared" si="471"/>
        <v/>
      </c>
    </row>
    <row r="9684" spans="9:14" x14ac:dyDescent="0.25">
      <c r="I9684" s="11" t="b">
        <f t="shared" si="469"/>
        <v>0</v>
      </c>
      <c r="M9684" s="17" t="str">
        <f t="shared" si="470"/>
        <v/>
      </c>
      <c r="N9684" s="11" t="str">
        <f t="shared" si="471"/>
        <v/>
      </c>
    </row>
    <row r="9685" spans="9:14" x14ac:dyDescent="0.25">
      <c r="I9685" s="11" t="b">
        <f t="shared" si="469"/>
        <v>0</v>
      </c>
      <c r="M9685" s="17" t="str">
        <f t="shared" si="470"/>
        <v/>
      </c>
      <c r="N9685" s="11" t="str">
        <f t="shared" si="471"/>
        <v/>
      </c>
    </row>
    <row r="9686" spans="9:14" x14ac:dyDescent="0.25">
      <c r="I9686" s="11" t="b">
        <f t="shared" si="469"/>
        <v>0</v>
      </c>
      <c r="M9686" s="17" t="str">
        <f t="shared" si="470"/>
        <v/>
      </c>
      <c r="N9686" s="11" t="str">
        <f t="shared" si="471"/>
        <v/>
      </c>
    </row>
    <row r="9687" spans="9:14" x14ac:dyDescent="0.25">
      <c r="I9687" s="11" t="b">
        <f t="shared" si="469"/>
        <v>0</v>
      </c>
      <c r="M9687" s="17" t="str">
        <f t="shared" si="470"/>
        <v/>
      </c>
      <c r="N9687" s="11" t="str">
        <f t="shared" si="471"/>
        <v/>
      </c>
    </row>
    <row r="9688" spans="9:14" x14ac:dyDescent="0.25">
      <c r="I9688" s="11" t="b">
        <f t="shared" si="469"/>
        <v>0</v>
      </c>
      <c r="M9688" s="17" t="str">
        <f t="shared" si="470"/>
        <v/>
      </c>
      <c r="N9688" s="11" t="str">
        <f t="shared" si="471"/>
        <v/>
      </c>
    </row>
    <row r="9689" spans="9:14" x14ac:dyDescent="0.25">
      <c r="I9689" s="11" t="b">
        <f t="shared" si="469"/>
        <v>0</v>
      </c>
      <c r="M9689" s="17" t="str">
        <f t="shared" si="470"/>
        <v/>
      </c>
      <c r="N9689" s="11" t="str">
        <f t="shared" si="471"/>
        <v/>
      </c>
    </row>
    <row r="9690" spans="9:14" x14ac:dyDescent="0.25">
      <c r="I9690" s="11" t="b">
        <f t="shared" si="469"/>
        <v>0</v>
      </c>
      <c r="M9690" s="17" t="str">
        <f t="shared" si="470"/>
        <v/>
      </c>
      <c r="N9690" s="11" t="str">
        <f t="shared" si="471"/>
        <v/>
      </c>
    </row>
    <row r="9691" spans="9:14" x14ac:dyDescent="0.25">
      <c r="I9691" s="11" t="b">
        <f t="shared" si="469"/>
        <v>0</v>
      </c>
      <c r="M9691" s="17" t="str">
        <f t="shared" si="470"/>
        <v/>
      </c>
      <c r="N9691" s="11" t="str">
        <f t="shared" si="471"/>
        <v/>
      </c>
    </row>
    <row r="9692" spans="9:14" x14ac:dyDescent="0.25">
      <c r="I9692" s="11" t="b">
        <f t="shared" si="469"/>
        <v>0</v>
      </c>
      <c r="M9692" s="17" t="str">
        <f t="shared" si="470"/>
        <v/>
      </c>
      <c r="N9692" s="11" t="str">
        <f t="shared" si="471"/>
        <v/>
      </c>
    </row>
    <row r="9693" spans="9:14" x14ac:dyDescent="0.25">
      <c r="I9693" s="11" t="b">
        <f t="shared" ref="I9693:I9756" si="472">IF(AND(G9693="MERCADO PAGO",A9693="FATURAMENTO"),1,IF(AND(OR(G9693="MERCADO PAGO",G9693="pix mercado pago",G9693= "débito automático mercado pago", G9693= "boleto mercado pago"),A9693="DESPESAS"),4,IF(AND(G9693="SAFRA",A9693="FATURAMENTO"),2,IF(AND(OR(G9693="SAFRA",G9693="PIX SAFRA", G9693="DÉBITO AUTOMÁTICO SAFRA", G9693= "BOLETO SAFRA", G9693= "transferência safra"), A9693="DESPESAS"),5,IF(AND(G9693="espécie",A9693="FATURAMENTO"),3,IF(AND(G9693="espécie",A9693="DESPESAS"),6))))))</f>
        <v>0</v>
      </c>
      <c r="M9693" s="17" t="str">
        <f t="shared" si="470"/>
        <v/>
      </c>
      <c r="N9693" s="11" t="str">
        <f t="shared" si="471"/>
        <v/>
      </c>
    </row>
    <row r="9694" spans="9:14" x14ac:dyDescent="0.25">
      <c r="I9694" s="11" t="b">
        <f t="shared" si="472"/>
        <v>0</v>
      </c>
      <c r="M9694" s="17" t="str">
        <f t="shared" si="470"/>
        <v/>
      </c>
      <c r="N9694" s="11" t="str">
        <f t="shared" si="471"/>
        <v/>
      </c>
    </row>
    <row r="9695" spans="9:14" x14ac:dyDescent="0.25">
      <c r="I9695" s="11" t="b">
        <f t="shared" si="472"/>
        <v>0</v>
      </c>
      <c r="M9695" s="17" t="str">
        <f t="shared" si="470"/>
        <v/>
      </c>
      <c r="N9695" s="11" t="str">
        <f t="shared" si="471"/>
        <v/>
      </c>
    </row>
    <row r="9696" spans="9:14" x14ac:dyDescent="0.25">
      <c r="I9696" s="11" t="b">
        <f t="shared" si="472"/>
        <v>0</v>
      </c>
      <c r="M9696" s="17" t="str">
        <f t="shared" si="470"/>
        <v/>
      </c>
      <c r="N9696" s="11" t="str">
        <f t="shared" si="471"/>
        <v/>
      </c>
    </row>
    <row r="9697" spans="9:14" x14ac:dyDescent="0.25">
      <c r="I9697" s="11" t="b">
        <f t="shared" si="472"/>
        <v>0</v>
      </c>
      <c r="M9697" s="17" t="str">
        <f t="shared" si="470"/>
        <v/>
      </c>
      <c r="N9697" s="11" t="str">
        <f t="shared" si="471"/>
        <v/>
      </c>
    </row>
    <row r="9698" spans="9:14" x14ac:dyDescent="0.25">
      <c r="I9698" s="11" t="b">
        <f t="shared" si="472"/>
        <v>0</v>
      </c>
      <c r="M9698" s="17" t="str">
        <f t="shared" si="470"/>
        <v/>
      </c>
      <c r="N9698" s="11" t="str">
        <f t="shared" si="471"/>
        <v/>
      </c>
    </row>
    <row r="9699" spans="9:14" x14ac:dyDescent="0.25">
      <c r="I9699" s="11" t="b">
        <f t="shared" si="472"/>
        <v>0</v>
      </c>
      <c r="M9699" s="17" t="str">
        <f t="shared" si="470"/>
        <v/>
      </c>
      <c r="N9699" s="11" t="str">
        <f t="shared" si="471"/>
        <v/>
      </c>
    </row>
    <row r="9700" spans="9:14" x14ac:dyDescent="0.25">
      <c r="I9700" s="11" t="b">
        <f t="shared" si="472"/>
        <v>0</v>
      </c>
      <c r="M9700" s="17" t="str">
        <f t="shared" si="470"/>
        <v/>
      </c>
      <c r="N9700" s="11" t="str">
        <f t="shared" si="471"/>
        <v/>
      </c>
    </row>
    <row r="9701" spans="9:14" x14ac:dyDescent="0.25">
      <c r="I9701" s="11" t="b">
        <f t="shared" si="472"/>
        <v>0</v>
      </c>
      <c r="M9701" s="17" t="str">
        <f t="shared" si="470"/>
        <v/>
      </c>
      <c r="N9701" s="11" t="str">
        <f t="shared" si="471"/>
        <v/>
      </c>
    </row>
    <row r="9702" spans="9:14" x14ac:dyDescent="0.25">
      <c r="I9702" s="11" t="b">
        <f t="shared" si="472"/>
        <v>0</v>
      </c>
      <c r="M9702" s="17" t="str">
        <f t="shared" si="470"/>
        <v/>
      </c>
      <c r="N9702" s="11" t="str">
        <f t="shared" si="471"/>
        <v/>
      </c>
    </row>
    <row r="9703" spans="9:14" x14ac:dyDescent="0.25">
      <c r="I9703" s="11" t="b">
        <f t="shared" si="472"/>
        <v>0</v>
      </c>
      <c r="M9703" s="17" t="str">
        <f t="shared" si="470"/>
        <v/>
      </c>
      <c r="N9703" s="11" t="str">
        <f t="shared" si="471"/>
        <v/>
      </c>
    </row>
    <row r="9704" spans="9:14" x14ac:dyDescent="0.25">
      <c r="I9704" s="11" t="b">
        <f t="shared" si="472"/>
        <v>0</v>
      </c>
      <c r="M9704" s="17" t="str">
        <f t="shared" si="470"/>
        <v/>
      </c>
      <c r="N9704" s="11" t="str">
        <f t="shared" si="471"/>
        <v/>
      </c>
    </row>
    <row r="9705" spans="9:14" x14ac:dyDescent="0.25">
      <c r="I9705" s="11" t="b">
        <f t="shared" si="472"/>
        <v>0</v>
      </c>
      <c r="M9705" s="17" t="str">
        <f t="shared" si="470"/>
        <v/>
      </c>
      <c r="N9705" s="11" t="str">
        <f t="shared" si="471"/>
        <v/>
      </c>
    </row>
    <row r="9706" spans="9:14" x14ac:dyDescent="0.25">
      <c r="I9706" s="11" t="b">
        <f t="shared" si="472"/>
        <v>0</v>
      </c>
      <c r="M9706" s="17" t="str">
        <f t="shared" si="470"/>
        <v/>
      </c>
      <c r="N9706" s="11" t="str">
        <f t="shared" si="471"/>
        <v/>
      </c>
    </row>
    <row r="9707" spans="9:14" x14ac:dyDescent="0.25">
      <c r="I9707" s="11" t="b">
        <f t="shared" si="472"/>
        <v>0</v>
      </c>
      <c r="M9707" s="17" t="str">
        <f t="shared" si="470"/>
        <v/>
      </c>
      <c r="N9707" s="11" t="str">
        <f t="shared" si="471"/>
        <v/>
      </c>
    </row>
    <row r="9708" spans="9:14" x14ac:dyDescent="0.25">
      <c r="I9708" s="11" t="b">
        <f t="shared" si="472"/>
        <v>0</v>
      </c>
      <c r="M9708" s="17" t="str">
        <f t="shared" si="470"/>
        <v/>
      </c>
      <c r="N9708" s="11" t="str">
        <f t="shared" si="471"/>
        <v/>
      </c>
    </row>
    <row r="9709" spans="9:14" x14ac:dyDescent="0.25">
      <c r="I9709" s="11" t="b">
        <f t="shared" si="472"/>
        <v>0</v>
      </c>
      <c r="M9709" s="17" t="str">
        <f t="shared" si="470"/>
        <v/>
      </c>
      <c r="N9709" s="11" t="str">
        <f t="shared" si="471"/>
        <v/>
      </c>
    </row>
    <row r="9710" spans="9:14" x14ac:dyDescent="0.25">
      <c r="I9710" s="11" t="b">
        <f t="shared" si="472"/>
        <v>0</v>
      </c>
      <c r="M9710" s="17" t="str">
        <f t="shared" si="470"/>
        <v/>
      </c>
      <c r="N9710" s="11" t="str">
        <f t="shared" si="471"/>
        <v/>
      </c>
    </row>
    <row r="9711" spans="9:14" x14ac:dyDescent="0.25">
      <c r="I9711" s="11" t="b">
        <f t="shared" si="472"/>
        <v>0</v>
      </c>
      <c r="M9711" s="17" t="str">
        <f t="shared" si="470"/>
        <v/>
      </c>
      <c r="N9711" s="11" t="str">
        <f t="shared" si="471"/>
        <v/>
      </c>
    </row>
    <row r="9712" spans="9:14" x14ac:dyDescent="0.25">
      <c r="I9712" s="11" t="b">
        <f t="shared" si="472"/>
        <v>0</v>
      </c>
      <c r="M9712" s="17" t="str">
        <f t="shared" si="470"/>
        <v/>
      </c>
      <c r="N9712" s="11" t="str">
        <f t="shared" si="471"/>
        <v/>
      </c>
    </row>
    <row r="9713" spans="9:14" x14ac:dyDescent="0.25">
      <c r="I9713" s="11" t="b">
        <f t="shared" si="472"/>
        <v>0</v>
      </c>
      <c r="M9713" s="17" t="str">
        <f t="shared" si="470"/>
        <v/>
      </c>
      <c r="N9713" s="11" t="str">
        <f t="shared" si="471"/>
        <v/>
      </c>
    </row>
    <row r="9714" spans="9:14" x14ac:dyDescent="0.25">
      <c r="I9714" s="11" t="b">
        <f t="shared" si="472"/>
        <v>0</v>
      </c>
      <c r="M9714" s="17" t="str">
        <f t="shared" si="470"/>
        <v/>
      </c>
      <c r="N9714" s="11" t="str">
        <f t="shared" si="471"/>
        <v/>
      </c>
    </row>
    <row r="9715" spans="9:14" x14ac:dyDescent="0.25">
      <c r="I9715" s="11" t="b">
        <f t="shared" si="472"/>
        <v>0</v>
      </c>
      <c r="M9715" s="17" t="str">
        <f t="shared" si="470"/>
        <v/>
      </c>
      <c r="N9715" s="11" t="str">
        <f t="shared" si="471"/>
        <v/>
      </c>
    </row>
    <row r="9716" spans="9:14" x14ac:dyDescent="0.25">
      <c r="I9716" s="11" t="b">
        <f t="shared" si="472"/>
        <v>0</v>
      </c>
      <c r="M9716" s="17" t="str">
        <f t="shared" si="470"/>
        <v/>
      </c>
      <c r="N9716" s="11" t="str">
        <f t="shared" si="471"/>
        <v/>
      </c>
    </row>
    <row r="9717" spans="9:14" x14ac:dyDescent="0.25">
      <c r="I9717" s="11" t="b">
        <f t="shared" si="472"/>
        <v>0</v>
      </c>
      <c r="M9717" s="17" t="str">
        <f t="shared" si="470"/>
        <v/>
      </c>
      <c r="N9717" s="11" t="str">
        <f t="shared" si="471"/>
        <v/>
      </c>
    </row>
    <row r="9718" spans="9:14" x14ac:dyDescent="0.25">
      <c r="I9718" s="11" t="b">
        <f t="shared" si="472"/>
        <v>0</v>
      </c>
      <c r="M9718" s="17" t="str">
        <f t="shared" si="470"/>
        <v/>
      </c>
      <c r="N9718" s="11" t="str">
        <f t="shared" si="471"/>
        <v/>
      </c>
    </row>
    <row r="9719" spans="9:14" x14ac:dyDescent="0.25">
      <c r="I9719" s="11" t="b">
        <f t="shared" si="472"/>
        <v>0</v>
      </c>
      <c r="M9719" s="17" t="str">
        <f t="shared" si="470"/>
        <v/>
      </c>
      <c r="N9719" s="11" t="str">
        <f t="shared" si="471"/>
        <v/>
      </c>
    </row>
    <row r="9720" spans="9:14" x14ac:dyDescent="0.25">
      <c r="I9720" s="11" t="b">
        <f t="shared" si="472"/>
        <v>0</v>
      </c>
      <c r="M9720" s="17" t="str">
        <f t="shared" si="470"/>
        <v/>
      </c>
      <c r="N9720" s="11" t="str">
        <f t="shared" si="471"/>
        <v/>
      </c>
    </row>
    <row r="9721" spans="9:14" x14ac:dyDescent="0.25">
      <c r="I9721" s="11" t="b">
        <f t="shared" si="472"/>
        <v>0</v>
      </c>
      <c r="M9721" s="17" t="str">
        <f t="shared" si="470"/>
        <v/>
      </c>
      <c r="N9721" s="11" t="str">
        <f t="shared" si="471"/>
        <v/>
      </c>
    </row>
    <row r="9722" spans="9:14" x14ac:dyDescent="0.25">
      <c r="I9722" s="11" t="b">
        <f t="shared" si="472"/>
        <v>0</v>
      </c>
      <c r="M9722" s="17" t="str">
        <f t="shared" si="470"/>
        <v/>
      </c>
      <c r="N9722" s="11" t="str">
        <f t="shared" si="471"/>
        <v/>
      </c>
    </row>
    <row r="9723" spans="9:14" x14ac:dyDescent="0.25">
      <c r="I9723" s="11" t="b">
        <f t="shared" si="472"/>
        <v>0</v>
      </c>
      <c r="M9723" s="17" t="str">
        <f t="shared" si="470"/>
        <v/>
      </c>
      <c r="N9723" s="11" t="str">
        <f t="shared" si="471"/>
        <v/>
      </c>
    </row>
    <row r="9724" spans="9:14" x14ac:dyDescent="0.25">
      <c r="I9724" s="11" t="b">
        <f t="shared" si="472"/>
        <v>0</v>
      </c>
      <c r="M9724" s="17" t="str">
        <f t="shared" si="470"/>
        <v/>
      </c>
      <c r="N9724" s="11" t="str">
        <f t="shared" si="471"/>
        <v/>
      </c>
    </row>
    <row r="9725" spans="9:14" x14ac:dyDescent="0.25">
      <c r="I9725" s="11" t="b">
        <f t="shared" si="472"/>
        <v>0</v>
      </c>
      <c r="M9725" s="17" t="str">
        <f t="shared" si="470"/>
        <v/>
      </c>
      <c r="N9725" s="11" t="str">
        <f t="shared" si="471"/>
        <v/>
      </c>
    </row>
    <row r="9726" spans="9:14" x14ac:dyDescent="0.25">
      <c r="I9726" s="11" t="b">
        <f t="shared" si="472"/>
        <v>0</v>
      </c>
      <c r="M9726" s="17" t="str">
        <f t="shared" si="470"/>
        <v/>
      </c>
      <c r="N9726" s="11" t="str">
        <f t="shared" si="471"/>
        <v/>
      </c>
    </row>
    <row r="9727" spans="9:14" x14ac:dyDescent="0.25">
      <c r="I9727" s="11" t="b">
        <f t="shared" si="472"/>
        <v>0</v>
      </c>
      <c r="M9727" s="17" t="str">
        <f t="shared" si="470"/>
        <v/>
      </c>
      <c r="N9727" s="11" t="str">
        <f t="shared" si="471"/>
        <v/>
      </c>
    </row>
    <row r="9728" spans="9:14" x14ac:dyDescent="0.25">
      <c r="I9728" s="11" t="b">
        <f t="shared" si="472"/>
        <v>0</v>
      </c>
      <c r="M9728" s="17" t="str">
        <f t="shared" si="470"/>
        <v/>
      </c>
      <c r="N9728" s="11" t="str">
        <f t="shared" si="471"/>
        <v/>
      </c>
    </row>
    <row r="9729" spans="9:14" x14ac:dyDescent="0.25">
      <c r="I9729" s="11" t="b">
        <f t="shared" si="472"/>
        <v>0</v>
      </c>
      <c r="M9729" s="17" t="str">
        <f t="shared" ref="M9729:M9792" si="473">IF(B9729=0, "",M9728+ J9729-K9729)</f>
        <v/>
      </c>
      <c r="N9729" s="11" t="str">
        <f t="shared" ref="N9729:N9792" si="474">IF(B9729=0, "", MONTH(B9729))</f>
        <v/>
      </c>
    </row>
    <row r="9730" spans="9:14" x14ac:dyDescent="0.25">
      <c r="I9730" s="11" t="b">
        <f t="shared" si="472"/>
        <v>0</v>
      </c>
      <c r="M9730" s="17" t="str">
        <f t="shared" si="473"/>
        <v/>
      </c>
      <c r="N9730" s="11" t="str">
        <f t="shared" si="474"/>
        <v/>
      </c>
    </row>
    <row r="9731" spans="9:14" x14ac:dyDescent="0.25">
      <c r="I9731" s="11" t="b">
        <f t="shared" si="472"/>
        <v>0</v>
      </c>
      <c r="M9731" s="17" t="str">
        <f t="shared" si="473"/>
        <v/>
      </c>
      <c r="N9731" s="11" t="str">
        <f t="shared" si="474"/>
        <v/>
      </c>
    </row>
    <row r="9732" spans="9:14" x14ac:dyDescent="0.25">
      <c r="I9732" s="11" t="b">
        <f t="shared" si="472"/>
        <v>0</v>
      </c>
      <c r="M9732" s="17" t="str">
        <f t="shared" si="473"/>
        <v/>
      </c>
      <c r="N9732" s="11" t="str">
        <f t="shared" si="474"/>
        <v/>
      </c>
    </row>
    <row r="9733" spans="9:14" x14ac:dyDescent="0.25">
      <c r="I9733" s="11" t="b">
        <f t="shared" si="472"/>
        <v>0</v>
      </c>
      <c r="M9733" s="17" t="str">
        <f t="shared" si="473"/>
        <v/>
      </c>
      <c r="N9733" s="11" t="str">
        <f t="shared" si="474"/>
        <v/>
      </c>
    </row>
    <row r="9734" spans="9:14" x14ac:dyDescent="0.25">
      <c r="I9734" s="11" t="b">
        <f t="shared" si="472"/>
        <v>0</v>
      </c>
      <c r="M9734" s="17" t="str">
        <f t="shared" si="473"/>
        <v/>
      </c>
      <c r="N9734" s="11" t="str">
        <f t="shared" si="474"/>
        <v/>
      </c>
    </row>
    <row r="9735" spans="9:14" x14ac:dyDescent="0.25">
      <c r="I9735" s="11" t="b">
        <f t="shared" si="472"/>
        <v>0</v>
      </c>
      <c r="M9735" s="17" t="str">
        <f t="shared" si="473"/>
        <v/>
      </c>
      <c r="N9735" s="11" t="str">
        <f t="shared" si="474"/>
        <v/>
      </c>
    </row>
    <row r="9736" spans="9:14" x14ac:dyDescent="0.25">
      <c r="I9736" s="11" t="b">
        <f t="shared" si="472"/>
        <v>0</v>
      </c>
      <c r="M9736" s="17" t="str">
        <f t="shared" si="473"/>
        <v/>
      </c>
      <c r="N9736" s="11" t="str">
        <f t="shared" si="474"/>
        <v/>
      </c>
    </row>
    <row r="9737" spans="9:14" x14ac:dyDescent="0.25">
      <c r="I9737" s="11" t="b">
        <f t="shared" si="472"/>
        <v>0</v>
      </c>
      <c r="M9737" s="17" t="str">
        <f t="shared" si="473"/>
        <v/>
      </c>
      <c r="N9737" s="11" t="str">
        <f t="shared" si="474"/>
        <v/>
      </c>
    </row>
    <row r="9738" spans="9:14" x14ac:dyDescent="0.25">
      <c r="I9738" s="11" t="b">
        <f t="shared" si="472"/>
        <v>0</v>
      </c>
      <c r="M9738" s="17" t="str">
        <f t="shared" si="473"/>
        <v/>
      </c>
      <c r="N9738" s="11" t="str">
        <f t="shared" si="474"/>
        <v/>
      </c>
    </row>
    <row r="9739" spans="9:14" x14ac:dyDescent="0.25">
      <c r="I9739" s="11" t="b">
        <f t="shared" si="472"/>
        <v>0</v>
      </c>
      <c r="M9739" s="17" t="str">
        <f t="shared" si="473"/>
        <v/>
      </c>
      <c r="N9739" s="11" t="str">
        <f t="shared" si="474"/>
        <v/>
      </c>
    </row>
    <row r="9740" spans="9:14" x14ac:dyDescent="0.25">
      <c r="I9740" s="11" t="b">
        <f t="shared" si="472"/>
        <v>0</v>
      </c>
      <c r="M9740" s="17" t="str">
        <f t="shared" si="473"/>
        <v/>
      </c>
      <c r="N9740" s="11" t="str">
        <f t="shared" si="474"/>
        <v/>
      </c>
    </row>
    <row r="9741" spans="9:14" x14ac:dyDescent="0.25">
      <c r="I9741" s="11" t="b">
        <f t="shared" si="472"/>
        <v>0</v>
      </c>
      <c r="M9741" s="17" t="str">
        <f t="shared" si="473"/>
        <v/>
      </c>
      <c r="N9741" s="11" t="str">
        <f t="shared" si="474"/>
        <v/>
      </c>
    </row>
    <row r="9742" spans="9:14" x14ac:dyDescent="0.25">
      <c r="I9742" s="11" t="b">
        <f t="shared" si="472"/>
        <v>0</v>
      </c>
      <c r="M9742" s="17" t="str">
        <f t="shared" si="473"/>
        <v/>
      </c>
      <c r="N9742" s="11" t="str">
        <f t="shared" si="474"/>
        <v/>
      </c>
    </row>
    <row r="9743" spans="9:14" x14ac:dyDescent="0.25">
      <c r="I9743" s="11" t="b">
        <f t="shared" si="472"/>
        <v>0</v>
      </c>
      <c r="M9743" s="17" t="str">
        <f t="shared" si="473"/>
        <v/>
      </c>
      <c r="N9743" s="11" t="str">
        <f t="shared" si="474"/>
        <v/>
      </c>
    </row>
    <row r="9744" spans="9:14" x14ac:dyDescent="0.25">
      <c r="I9744" s="11" t="b">
        <f t="shared" si="472"/>
        <v>0</v>
      </c>
      <c r="M9744" s="17" t="str">
        <f t="shared" si="473"/>
        <v/>
      </c>
      <c r="N9744" s="11" t="str">
        <f t="shared" si="474"/>
        <v/>
      </c>
    </row>
    <row r="9745" spans="9:14" x14ac:dyDescent="0.25">
      <c r="I9745" s="11" t="b">
        <f t="shared" si="472"/>
        <v>0</v>
      </c>
      <c r="M9745" s="17" t="str">
        <f t="shared" si="473"/>
        <v/>
      </c>
      <c r="N9745" s="11" t="str">
        <f t="shared" si="474"/>
        <v/>
      </c>
    </row>
    <row r="9746" spans="9:14" x14ac:dyDescent="0.25">
      <c r="I9746" s="11" t="b">
        <f t="shared" si="472"/>
        <v>0</v>
      </c>
      <c r="M9746" s="17" t="str">
        <f t="shared" si="473"/>
        <v/>
      </c>
      <c r="N9746" s="11" t="str">
        <f t="shared" si="474"/>
        <v/>
      </c>
    </row>
    <row r="9747" spans="9:14" x14ac:dyDescent="0.25">
      <c r="I9747" s="11" t="b">
        <f t="shared" si="472"/>
        <v>0</v>
      </c>
      <c r="M9747" s="17" t="str">
        <f t="shared" si="473"/>
        <v/>
      </c>
      <c r="N9747" s="11" t="str">
        <f t="shared" si="474"/>
        <v/>
      </c>
    </row>
    <row r="9748" spans="9:14" x14ac:dyDescent="0.25">
      <c r="I9748" s="11" t="b">
        <f t="shared" si="472"/>
        <v>0</v>
      </c>
      <c r="M9748" s="17" t="str">
        <f t="shared" si="473"/>
        <v/>
      </c>
      <c r="N9748" s="11" t="str">
        <f t="shared" si="474"/>
        <v/>
      </c>
    </row>
    <row r="9749" spans="9:14" x14ac:dyDescent="0.25">
      <c r="I9749" s="11" t="b">
        <f t="shared" si="472"/>
        <v>0</v>
      </c>
      <c r="M9749" s="17" t="str">
        <f t="shared" si="473"/>
        <v/>
      </c>
      <c r="N9749" s="11" t="str">
        <f t="shared" si="474"/>
        <v/>
      </c>
    </row>
    <row r="9750" spans="9:14" x14ac:dyDescent="0.25">
      <c r="I9750" s="11" t="b">
        <f t="shared" si="472"/>
        <v>0</v>
      </c>
      <c r="M9750" s="17" t="str">
        <f t="shared" si="473"/>
        <v/>
      </c>
      <c r="N9750" s="11" t="str">
        <f t="shared" si="474"/>
        <v/>
      </c>
    </row>
    <row r="9751" spans="9:14" x14ac:dyDescent="0.25">
      <c r="I9751" s="11" t="b">
        <f t="shared" si="472"/>
        <v>0</v>
      </c>
      <c r="M9751" s="17" t="str">
        <f t="shared" si="473"/>
        <v/>
      </c>
      <c r="N9751" s="11" t="str">
        <f t="shared" si="474"/>
        <v/>
      </c>
    </row>
    <row r="9752" spans="9:14" x14ac:dyDescent="0.25">
      <c r="I9752" s="11" t="b">
        <f t="shared" si="472"/>
        <v>0</v>
      </c>
      <c r="M9752" s="17" t="str">
        <f t="shared" si="473"/>
        <v/>
      </c>
      <c r="N9752" s="11" t="str">
        <f t="shared" si="474"/>
        <v/>
      </c>
    </row>
    <row r="9753" spans="9:14" x14ac:dyDescent="0.25">
      <c r="I9753" s="11" t="b">
        <f t="shared" si="472"/>
        <v>0</v>
      </c>
      <c r="M9753" s="17" t="str">
        <f t="shared" si="473"/>
        <v/>
      </c>
      <c r="N9753" s="11" t="str">
        <f t="shared" si="474"/>
        <v/>
      </c>
    </row>
    <row r="9754" spans="9:14" x14ac:dyDescent="0.25">
      <c r="I9754" s="11" t="b">
        <f t="shared" si="472"/>
        <v>0</v>
      </c>
      <c r="M9754" s="17" t="str">
        <f t="shared" si="473"/>
        <v/>
      </c>
      <c r="N9754" s="11" t="str">
        <f t="shared" si="474"/>
        <v/>
      </c>
    </row>
    <row r="9755" spans="9:14" x14ac:dyDescent="0.25">
      <c r="I9755" s="11" t="b">
        <f t="shared" si="472"/>
        <v>0</v>
      </c>
      <c r="M9755" s="17" t="str">
        <f t="shared" si="473"/>
        <v/>
      </c>
      <c r="N9755" s="11" t="str">
        <f t="shared" si="474"/>
        <v/>
      </c>
    </row>
    <row r="9756" spans="9:14" x14ac:dyDescent="0.25">
      <c r="I9756" s="11" t="b">
        <f t="shared" si="472"/>
        <v>0</v>
      </c>
      <c r="M9756" s="17" t="str">
        <f t="shared" si="473"/>
        <v/>
      </c>
      <c r="N9756" s="11" t="str">
        <f t="shared" si="474"/>
        <v/>
      </c>
    </row>
    <row r="9757" spans="9:14" x14ac:dyDescent="0.25">
      <c r="I9757" s="11" t="b">
        <f t="shared" ref="I9757:I9820" si="475">IF(AND(G9757="MERCADO PAGO",A9757="FATURAMENTO"),1,IF(AND(OR(G9757="MERCADO PAGO",G9757="pix mercado pago",G9757= "débito automático mercado pago", G9757= "boleto mercado pago"),A9757="DESPESAS"),4,IF(AND(G9757="SAFRA",A9757="FATURAMENTO"),2,IF(AND(OR(G9757="SAFRA",G9757="PIX SAFRA", G9757="DÉBITO AUTOMÁTICO SAFRA", G9757= "BOLETO SAFRA", G9757= "transferência safra"), A9757="DESPESAS"),5,IF(AND(G9757="espécie",A9757="FATURAMENTO"),3,IF(AND(G9757="espécie",A9757="DESPESAS"),6))))))</f>
        <v>0</v>
      </c>
      <c r="M9757" s="17" t="str">
        <f t="shared" si="473"/>
        <v/>
      </c>
      <c r="N9757" s="11" t="str">
        <f t="shared" si="474"/>
        <v/>
      </c>
    </row>
    <row r="9758" spans="9:14" x14ac:dyDescent="0.25">
      <c r="I9758" s="11" t="b">
        <f t="shared" si="475"/>
        <v>0</v>
      </c>
      <c r="M9758" s="17" t="str">
        <f t="shared" si="473"/>
        <v/>
      </c>
      <c r="N9758" s="11" t="str">
        <f t="shared" si="474"/>
        <v/>
      </c>
    </row>
    <row r="9759" spans="9:14" x14ac:dyDescent="0.25">
      <c r="I9759" s="11" t="b">
        <f t="shared" si="475"/>
        <v>0</v>
      </c>
      <c r="M9759" s="17" t="str">
        <f t="shared" si="473"/>
        <v/>
      </c>
      <c r="N9759" s="11" t="str">
        <f t="shared" si="474"/>
        <v/>
      </c>
    </row>
    <row r="9760" spans="9:14" x14ac:dyDescent="0.25">
      <c r="I9760" s="11" t="b">
        <f t="shared" si="475"/>
        <v>0</v>
      </c>
      <c r="M9760" s="17" t="str">
        <f t="shared" si="473"/>
        <v/>
      </c>
      <c r="N9760" s="11" t="str">
        <f t="shared" si="474"/>
        <v/>
      </c>
    </row>
    <row r="9761" spans="9:14" x14ac:dyDescent="0.25">
      <c r="I9761" s="11" t="b">
        <f t="shared" si="475"/>
        <v>0</v>
      </c>
      <c r="M9761" s="17" t="str">
        <f t="shared" si="473"/>
        <v/>
      </c>
      <c r="N9761" s="11" t="str">
        <f t="shared" si="474"/>
        <v/>
      </c>
    </row>
    <row r="9762" spans="9:14" x14ac:dyDescent="0.25">
      <c r="I9762" s="11" t="b">
        <f t="shared" si="475"/>
        <v>0</v>
      </c>
      <c r="M9762" s="17" t="str">
        <f t="shared" si="473"/>
        <v/>
      </c>
      <c r="N9762" s="11" t="str">
        <f t="shared" si="474"/>
        <v/>
      </c>
    </row>
    <row r="9763" spans="9:14" x14ac:dyDescent="0.25">
      <c r="I9763" s="11" t="b">
        <f t="shared" si="475"/>
        <v>0</v>
      </c>
      <c r="M9763" s="17" t="str">
        <f t="shared" si="473"/>
        <v/>
      </c>
      <c r="N9763" s="11" t="str">
        <f t="shared" si="474"/>
        <v/>
      </c>
    </row>
    <row r="9764" spans="9:14" x14ac:dyDescent="0.25">
      <c r="I9764" s="11" t="b">
        <f t="shared" si="475"/>
        <v>0</v>
      </c>
      <c r="M9764" s="17" t="str">
        <f t="shared" si="473"/>
        <v/>
      </c>
      <c r="N9764" s="11" t="str">
        <f t="shared" si="474"/>
        <v/>
      </c>
    </row>
    <row r="9765" spans="9:14" x14ac:dyDescent="0.25">
      <c r="I9765" s="11" t="b">
        <f t="shared" si="475"/>
        <v>0</v>
      </c>
      <c r="M9765" s="17" t="str">
        <f t="shared" si="473"/>
        <v/>
      </c>
      <c r="N9765" s="11" t="str">
        <f t="shared" si="474"/>
        <v/>
      </c>
    </row>
    <row r="9766" spans="9:14" x14ac:dyDescent="0.25">
      <c r="I9766" s="11" t="b">
        <f t="shared" si="475"/>
        <v>0</v>
      </c>
      <c r="M9766" s="17" t="str">
        <f t="shared" si="473"/>
        <v/>
      </c>
      <c r="N9766" s="11" t="str">
        <f t="shared" si="474"/>
        <v/>
      </c>
    </row>
    <row r="9767" spans="9:14" x14ac:dyDescent="0.25">
      <c r="I9767" s="11" t="b">
        <f t="shared" si="475"/>
        <v>0</v>
      </c>
      <c r="M9767" s="17" t="str">
        <f t="shared" si="473"/>
        <v/>
      </c>
      <c r="N9767" s="11" t="str">
        <f t="shared" si="474"/>
        <v/>
      </c>
    </row>
    <row r="9768" spans="9:14" x14ac:dyDescent="0.25">
      <c r="I9768" s="11" t="b">
        <f t="shared" si="475"/>
        <v>0</v>
      </c>
      <c r="M9768" s="17" t="str">
        <f t="shared" si="473"/>
        <v/>
      </c>
      <c r="N9768" s="11" t="str">
        <f t="shared" si="474"/>
        <v/>
      </c>
    </row>
    <row r="9769" spans="9:14" x14ac:dyDescent="0.25">
      <c r="I9769" s="11" t="b">
        <f t="shared" si="475"/>
        <v>0</v>
      </c>
      <c r="M9769" s="17" t="str">
        <f t="shared" si="473"/>
        <v/>
      </c>
      <c r="N9769" s="11" t="str">
        <f t="shared" si="474"/>
        <v/>
      </c>
    </row>
    <row r="9770" spans="9:14" x14ac:dyDescent="0.25">
      <c r="I9770" s="11" t="b">
        <f t="shared" si="475"/>
        <v>0</v>
      </c>
      <c r="M9770" s="17" t="str">
        <f t="shared" si="473"/>
        <v/>
      </c>
      <c r="N9770" s="11" t="str">
        <f t="shared" si="474"/>
        <v/>
      </c>
    </row>
    <row r="9771" spans="9:14" x14ac:dyDescent="0.25">
      <c r="I9771" s="11" t="b">
        <f t="shared" si="475"/>
        <v>0</v>
      </c>
      <c r="M9771" s="17" t="str">
        <f t="shared" si="473"/>
        <v/>
      </c>
      <c r="N9771" s="11" t="str">
        <f t="shared" si="474"/>
        <v/>
      </c>
    </row>
    <row r="9772" spans="9:14" x14ac:dyDescent="0.25">
      <c r="I9772" s="11" t="b">
        <f t="shared" si="475"/>
        <v>0</v>
      </c>
      <c r="M9772" s="17" t="str">
        <f t="shared" si="473"/>
        <v/>
      </c>
      <c r="N9772" s="11" t="str">
        <f t="shared" si="474"/>
        <v/>
      </c>
    </row>
    <row r="9773" spans="9:14" x14ac:dyDescent="0.25">
      <c r="I9773" s="11" t="b">
        <f t="shared" si="475"/>
        <v>0</v>
      </c>
      <c r="M9773" s="17" t="str">
        <f t="shared" si="473"/>
        <v/>
      </c>
      <c r="N9773" s="11" t="str">
        <f t="shared" si="474"/>
        <v/>
      </c>
    </row>
    <row r="9774" spans="9:14" x14ac:dyDescent="0.25">
      <c r="I9774" s="11" t="b">
        <f t="shared" si="475"/>
        <v>0</v>
      </c>
      <c r="M9774" s="17" t="str">
        <f t="shared" si="473"/>
        <v/>
      </c>
      <c r="N9774" s="11" t="str">
        <f t="shared" si="474"/>
        <v/>
      </c>
    </row>
    <row r="9775" spans="9:14" x14ac:dyDescent="0.25">
      <c r="I9775" s="11" t="b">
        <f t="shared" si="475"/>
        <v>0</v>
      </c>
      <c r="M9775" s="17" t="str">
        <f t="shared" si="473"/>
        <v/>
      </c>
      <c r="N9775" s="11" t="str">
        <f t="shared" si="474"/>
        <v/>
      </c>
    </row>
    <row r="9776" spans="9:14" x14ac:dyDescent="0.25">
      <c r="I9776" s="11" t="b">
        <f t="shared" si="475"/>
        <v>0</v>
      </c>
      <c r="M9776" s="17" t="str">
        <f t="shared" si="473"/>
        <v/>
      </c>
      <c r="N9776" s="11" t="str">
        <f t="shared" si="474"/>
        <v/>
      </c>
    </row>
    <row r="9777" spans="9:14" x14ac:dyDescent="0.25">
      <c r="I9777" s="11" t="b">
        <f t="shared" si="475"/>
        <v>0</v>
      </c>
      <c r="M9777" s="17" t="str">
        <f t="shared" si="473"/>
        <v/>
      </c>
      <c r="N9777" s="11" t="str">
        <f t="shared" si="474"/>
        <v/>
      </c>
    </row>
    <row r="9778" spans="9:14" x14ac:dyDescent="0.25">
      <c r="I9778" s="11" t="b">
        <f t="shared" si="475"/>
        <v>0</v>
      </c>
      <c r="M9778" s="17" t="str">
        <f t="shared" si="473"/>
        <v/>
      </c>
      <c r="N9778" s="11" t="str">
        <f t="shared" si="474"/>
        <v/>
      </c>
    </row>
    <row r="9779" spans="9:14" x14ac:dyDescent="0.25">
      <c r="I9779" s="11" t="b">
        <f t="shared" si="475"/>
        <v>0</v>
      </c>
      <c r="M9779" s="17" t="str">
        <f t="shared" si="473"/>
        <v/>
      </c>
      <c r="N9779" s="11" t="str">
        <f t="shared" si="474"/>
        <v/>
      </c>
    </row>
    <row r="9780" spans="9:14" x14ac:dyDescent="0.25">
      <c r="I9780" s="11" t="b">
        <f t="shared" si="475"/>
        <v>0</v>
      </c>
      <c r="M9780" s="17" t="str">
        <f t="shared" si="473"/>
        <v/>
      </c>
      <c r="N9780" s="11" t="str">
        <f t="shared" si="474"/>
        <v/>
      </c>
    </row>
    <row r="9781" spans="9:14" x14ac:dyDescent="0.25">
      <c r="I9781" s="11" t="b">
        <f t="shared" si="475"/>
        <v>0</v>
      </c>
      <c r="M9781" s="17" t="str">
        <f t="shared" si="473"/>
        <v/>
      </c>
      <c r="N9781" s="11" t="str">
        <f t="shared" si="474"/>
        <v/>
      </c>
    </row>
    <row r="9782" spans="9:14" x14ac:dyDescent="0.25">
      <c r="I9782" s="11" t="b">
        <f t="shared" si="475"/>
        <v>0</v>
      </c>
      <c r="M9782" s="17" t="str">
        <f t="shared" si="473"/>
        <v/>
      </c>
      <c r="N9782" s="11" t="str">
        <f t="shared" si="474"/>
        <v/>
      </c>
    </row>
    <row r="9783" spans="9:14" x14ac:dyDescent="0.25">
      <c r="I9783" s="11" t="b">
        <f t="shared" si="475"/>
        <v>0</v>
      </c>
      <c r="M9783" s="17" t="str">
        <f t="shared" si="473"/>
        <v/>
      </c>
      <c r="N9783" s="11" t="str">
        <f t="shared" si="474"/>
        <v/>
      </c>
    </row>
    <row r="9784" spans="9:14" x14ac:dyDescent="0.25">
      <c r="I9784" s="11" t="b">
        <f t="shared" si="475"/>
        <v>0</v>
      </c>
      <c r="M9784" s="17" t="str">
        <f t="shared" si="473"/>
        <v/>
      </c>
      <c r="N9784" s="11" t="str">
        <f t="shared" si="474"/>
        <v/>
      </c>
    </row>
    <row r="9785" spans="9:14" x14ac:dyDescent="0.25">
      <c r="I9785" s="11" t="b">
        <f t="shared" si="475"/>
        <v>0</v>
      </c>
      <c r="M9785" s="17" t="str">
        <f t="shared" si="473"/>
        <v/>
      </c>
      <c r="N9785" s="11" t="str">
        <f t="shared" si="474"/>
        <v/>
      </c>
    </row>
    <row r="9786" spans="9:14" x14ac:dyDescent="0.25">
      <c r="I9786" s="11" t="b">
        <f t="shared" si="475"/>
        <v>0</v>
      </c>
      <c r="M9786" s="17" t="str">
        <f t="shared" si="473"/>
        <v/>
      </c>
      <c r="N9786" s="11" t="str">
        <f t="shared" si="474"/>
        <v/>
      </c>
    </row>
    <row r="9787" spans="9:14" x14ac:dyDescent="0.25">
      <c r="I9787" s="11" t="b">
        <f t="shared" si="475"/>
        <v>0</v>
      </c>
      <c r="M9787" s="17" t="str">
        <f t="shared" si="473"/>
        <v/>
      </c>
      <c r="N9787" s="11" t="str">
        <f t="shared" si="474"/>
        <v/>
      </c>
    </row>
    <row r="9788" spans="9:14" x14ac:dyDescent="0.25">
      <c r="I9788" s="11" t="b">
        <f t="shared" si="475"/>
        <v>0</v>
      </c>
      <c r="M9788" s="17" t="str">
        <f t="shared" si="473"/>
        <v/>
      </c>
      <c r="N9788" s="11" t="str">
        <f t="shared" si="474"/>
        <v/>
      </c>
    </row>
    <row r="9789" spans="9:14" x14ac:dyDescent="0.25">
      <c r="I9789" s="11" t="b">
        <f t="shared" si="475"/>
        <v>0</v>
      </c>
      <c r="M9789" s="17" t="str">
        <f t="shared" si="473"/>
        <v/>
      </c>
      <c r="N9789" s="11" t="str">
        <f t="shared" si="474"/>
        <v/>
      </c>
    </row>
    <row r="9790" spans="9:14" x14ac:dyDescent="0.25">
      <c r="I9790" s="11" t="b">
        <f t="shared" si="475"/>
        <v>0</v>
      </c>
      <c r="M9790" s="17" t="str">
        <f t="shared" si="473"/>
        <v/>
      </c>
      <c r="N9790" s="11" t="str">
        <f t="shared" si="474"/>
        <v/>
      </c>
    </row>
    <row r="9791" spans="9:14" x14ac:dyDescent="0.25">
      <c r="I9791" s="11" t="b">
        <f t="shared" si="475"/>
        <v>0</v>
      </c>
      <c r="M9791" s="17" t="str">
        <f t="shared" si="473"/>
        <v/>
      </c>
      <c r="N9791" s="11" t="str">
        <f t="shared" si="474"/>
        <v/>
      </c>
    </row>
    <row r="9792" spans="9:14" x14ac:dyDescent="0.25">
      <c r="I9792" s="11" t="b">
        <f t="shared" si="475"/>
        <v>0</v>
      </c>
      <c r="M9792" s="17" t="str">
        <f t="shared" si="473"/>
        <v/>
      </c>
      <c r="N9792" s="11" t="str">
        <f t="shared" si="474"/>
        <v/>
      </c>
    </row>
    <row r="9793" spans="9:14" x14ac:dyDescent="0.25">
      <c r="I9793" s="11" t="b">
        <f t="shared" si="475"/>
        <v>0</v>
      </c>
      <c r="M9793" s="17" t="str">
        <f t="shared" ref="M9793:M9856" si="476">IF(B9793=0, "",M9792+ J9793-K9793)</f>
        <v/>
      </c>
      <c r="N9793" s="11" t="str">
        <f t="shared" ref="N9793:N9856" si="477">IF(B9793=0, "", MONTH(B9793))</f>
        <v/>
      </c>
    </row>
    <row r="9794" spans="9:14" x14ac:dyDescent="0.25">
      <c r="I9794" s="11" t="b">
        <f t="shared" si="475"/>
        <v>0</v>
      </c>
      <c r="M9794" s="17" t="str">
        <f t="shared" si="476"/>
        <v/>
      </c>
      <c r="N9794" s="11" t="str">
        <f t="shared" si="477"/>
        <v/>
      </c>
    </row>
    <row r="9795" spans="9:14" x14ac:dyDescent="0.25">
      <c r="I9795" s="11" t="b">
        <f t="shared" si="475"/>
        <v>0</v>
      </c>
      <c r="M9795" s="17" t="str">
        <f t="shared" si="476"/>
        <v/>
      </c>
      <c r="N9795" s="11" t="str">
        <f t="shared" si="477"/>
        <v/>
      </c>
    </row>
    <row r="9796" spans="9:14" x14ac:dyDescent="0.25">
      <c r="I9796" s="11" t="b">
        <f t="shared" si="475"/>
        <v>0</v>
      </c>
      <c r="M9796" s="17" t="str">
        <f t="shared" si="476"/>
        <v/>
      </c>
      <c r="N9796" s="11" t="str">
        <f t="shared" si="477"/>
        <v/>
      </c>
    </row>
    <row r="9797" spans="9:14" x14ac:dyDescent="0.25">
      <c r="I9797" s="11" t="b">
        <f t="shared" si="475"/>
        <v>0</v>
      </c>
      <c r="M9797" s="17" t="str">
        <f t="shared" si="476"/>
        <v/>
      </c>
      <c r="N9797" s="11" t="str">
        <f t="shared" si="477"/>
        <v/>
      </c>
    </row>
    <row r="9798" spans="9:14" x14ac:dyDescent="0.25">
      <c r="I9798" s="11" t="b">
        <f t="shared" si="475"/>
        <v>0</v>
      </c>
      <c r="M9798" s="17" t="str">
        <f t="shared" si="476"/>
        <v/>
      </c>
      <c r="N9798" s="11" t="str">
        <f t="shared" si="477"/>
        <v/>
      </c>
    </row>
    <row r="9799" spans="9:14" x14ac:dyDescent="0.25">
      <c r="I9799" s="11" t="b">
        <f t="shared" si="475"/>
        <v>0</v>
      </c>
      <c r="M9799" s="17" t="str">
        <f t="shared" si="476"/>
        <v/>
      </c>
      <c r="N9799" s="11" t="str">
        <f t="shared" si="477"/>
        <v/>
      </c>
    </row>
    <row r="9800" spans="9:14" x14ac:dyDescent="0.25">
      <c r="I9800" s="11" t="b">
        <f t="shared" si="475"/>
        <v>0</v>
      </c>
      <c r="M9800" s="17" t="str">
        <f t="shared" si="476"/>
        <v/>
      </c>
      <c r="N9800" s="11" t="str">
        <f t="shared" si="477"/>
        <v/>
      </c>
    </row>
    <row r="9801" spans="9:14" x14ac:dyDescent="0.25">
      <c r="I9801" s="11" t="b">
        <f t="shared" si="475"/>
        <v>0</v>
      </c>
      <c r="M9801" s="17" t="str">
        <f t="shared" si="476"/>
        <v/>
      </c>
      <c r="N9801" s="11" t="str">
        <f t="shared" si="477"/>
        <v/>
      </c>
    </row>
    <row r="9802" spans="9:14" x14ac:dyDescent="0.25">
      <c r="I9802" s="11" t="b">
        <f t="shared" si="475"/>
        <v>0</v>
      </c>
      <c r="M9802" s="17" t="str">
        <f t="shared" si="476"/>
        <v/>
      </c>
      <c r="N9802" s="11" t="str">
        <f t="shared" si="477"/>
        <v/>
      </c>
    </row>
    <row r="9803" spans="9:14" x14ac:dyDescent="0.25">
      <c r="I9803" s="11" t="b">
        <f t="shared" si="475"/>
        <v>0</v>
      </c>
      <c r="M9803" s="17" t="str">
        <f t="shared" si="476"/>
        <v/>
      </c>
      <c r="N9803" s="11" t="str">
        <f t="shared" si="477"/>
        <v/>
      </c>
    </row>
    <row r="9804" spans="9:14" x14ac:dyDescent="0.25">
      <c r="I9804" s="11" t="b">
        <f t="shared" si="475"/>
        <v>0</v>
      </c>
      <c r="M9804" s="17" t="str">
        <f t="shared" si="476"/>
        <v/>
      </c>
      <c r="N9804" s="11" t="str">
        <f t="shared" si="477"/>
        <v/>
      </c>
    </row>
    <row r="9805" spans="9:14" x14ac:dyDescent="0.25">
      <c r="I9805" s="11" t="b">
        <f t="shared" si="475"/>
        <v>0</v>
      </c>
      <c r="M9805" s="17" t="str">
        <f t="shared" si="476"/>
        <v/>
      </c>
      <c r="N9805" s="11" t="str">
        <f t="shared" si="477"/>
        <v/>
      </c>
    </row>
    <row r="9806" spans="9:14" x14ac:dyDescent="0.25">
      <c r="I9806" s="11" t="b">
        <f t="shared" si="475"/>
        <v>0</v>
      </c>
      <c r="M9806" s="17" t="str">
        <f t="shared" si="476"/>
        <v/>
      </c>
      <c r="N9806" s="11" t="str">
        <f t="shared" si="477"/>
        <v/>
      </c>
    </row>
    <row r="9807" spans="9:14" x14ac:dyDescent="0.25">
      <c r="I9807" s="11" t="b">
        <f t="shared" si="475"/>
        <v>0</v>
      </c>
      <c r="M9807" s="17" t="str">
        <f t="shared" si="476"/>
        <v/>
      </c>
      <c r="N9807" s="11" t="str">
        <f t="shared" si="477"/>
        <v/>
      </c>
    </row>
    <row r="9808" spans="9:14" x14ac:dyDescent="0.25">
      <c r="I9808" s="11" t="b">
        <f t="shared" si="475"/>
        <v>0</v>
      </c>
      <c r="M9808" s="17" t="str">
        <f t="shared" si="476"/>
        <v/>
      </c>
      <c r="N9808" s="11" t="str">
        <f t="shared" si="477"/>
        <v/>
      </c>
    </row>
    <row r="9809" spans="9:14" x14ac:dyDescent="0.25">
      <c r="I9809" s="11" t="b">
        <f t="shared" si="475"/>
        <v>0</v>
      </c>
      <c r="M9809" s="17" t="str">
        <f t="shared" si="476"/>
        <v/>
      </c>
      <c r="N9809" s="11" t="str">
        <f t="shared" si="477"/>
        <v/>
      </c>
    </row>
    <row r="9810" spans="9:14" x14ac:dyDescent="0.25">
      <c r="I9810" s="11" t="b">
        <f t="shared" si="475"/>
        <v>0</v>
      </c>
      <c r="M9810" s="17" t="str">
        <f t="shared" si="476"/>
        <v/>
      </c>
      <c r="N9810" s="11" t="str">
        <f t="shared" si="477"/>
        <v/>
      </c>
    </row>
    <row r="9811" spans="9:14" x14ac:dyDescent="0.25">
      <c r="I9811" s="11" t="b">
        <f t="shared" si="475"/>
        <v>0</v>
      </c>
      <c r="M9811" s="17" t="str">
        <f t="shared" si="476"/>
        <v/>
      </c>
      <c r="N9811" s="11" t="str">
        <f t="shared" si="477"/>
        <v/>
      </c>
    </row>
    <row r="9812" spans="9:14" x14ac:dyDescent="0.25">
      <c r="I9812" s="11" t="b">
        <f t="shared" si="475"/>
        <v>0</v>
      </c>
      <c r="M9812" s="17" t="str">
        <f t="shared" si="476"/>
        <v/>
      </c>
      <c r="N9812" s="11" t="str">
        <f t="shared" si="477"/>
        <v/>
      </c>
    </row>
    <row r="9813" spans="9:14" x14ac:dyDescent="0.25">
      <c r="I9813" s="11" t="b">
        <f t="shared" si="475"/>
        <v>0</v>
      </c>
      <c r="M9813" s="17" t="str">
        <f t="shared" si="476"/>
        <v/>
      </c>
      <c r="N9813" s="11" t="str">
        <f t="shared" si="477"/>
        <v/>
      </c>
    </row>
    <row r="9814" spans="9:14" x14ac:dyDescent="0.25">
      <c r="I9814" s="11" t="b">
        <f t="shared" si="475"/>
        <v>0</v>
      </c>
      <c r="M9814" s="17" t="str">
        <f t="shared" si="476"/>
        <v/>
      </c>
      <c r="N9814" s="11" t="str">
        <f t="shared" si="477"/>
        <v/>
      </c>
    </row>
    <row r="9815" spans="9:14" x14ac:dyDescent="0.25">
      <c r="I9815" s="11" t="b">
        <f t="shared" si="475"/>
        <v>0</v>
      </c>
      <c r="M9815" s="17" t="str">
        <f t="shared" si="476"/>
        <v/>
      </c>
      <c r="N9815" s="11" t="str">
        <f t="shared" si="477"/>
        <v/>
      </c>
    </row>
    <row r="9816" spans="9:14" x14ac:dyDescent="0.25">
      <c r="I9816" s="11" t="b">
        <f t="shared" si="475"/>
        <v>0</v>
      </c>
      <c r="M9816" s="17" t="str">
        <f t="shared" si="476"/>
        <v/>
      </c>
      <c r="N9816" s="11" t="str">
        <f t="shared" si="477"/>
        <v/>
      </c>
    </row>
    <row r="9817" spans="9:14" x14ac:dyDescent="0.25">
      <c r="I9817" s="11" t="b">
        <f t="shared" si="475"/>
        <v>0</v>
      </c>
      <c r="M9817" s="17" t="str">
        <f t="shared" si="476"/>
        <v/>
      </c>
      <c r="N9817" s="11" t="str">
        <f t="shared" si="477"/>
        <v/>
      </c>
    </row>
    <row r="9818" spans="9:14" x14ac:dyDescent="0.25">
      <c r="I9818" s="11" t="b">
        <f t="shared" si="475"/>
        <v>0</v>
      </c>
      <c r="M9818" s="17" t="str">
        <f t="shared" si="476"/>
        <v/>
      </c>
      <c r="N9818" s="11" t="str">
        <f t="shared" si="477"/>
        <v/>
      </c>
    </row>
    <row r="9819" spans="9:14" x14ac:dyDescent="0.25">
      <c r="I9819" s="11" t="b">
        <f t="shared" si="475"/>
        <v>0</v>
      </c>
      <c r="M9819" s="17" t="str">
        <f t="shared" si="476"/>
        <v/>
      </c>
      <c r="N9819" s="11" t="str">
        <f t="shared" si="477"/>
        <v/>
      </c>
    </row>
    <row r="9820" spans="9:14" x14ac:dyDescent="0.25">
      <c r="I9820" s="11" t="b">
        <f t="shared" si="475"/>
        <v>0</v>
      </c>
      <c r="M9820" s="17" t="str">
        <f t="shared" si="476"/>
        <v/>
      </c>
      <c r="N9820" s="11" t="str">
        <f t="shared" si="477"/>
        <v/>
      </c>
    </row>
    <row r="9821" spans="9:14" x14ac:dyDescent="0.25">
      <c r="I9821" s="11" t="b">
        <f t="shared" ref="I9821:I9884" si="478">IF(AND(G9821="MERCADO PAGO",A9821="FATURAMENTO"),1,IF(AND(OR(G9821="MERCADO PAGO",G9821="pix mercado pago",G9821= "débito automático mercado pago", G9821= "boleto mercado pago"),A9821="DESPESAS"),4,IF(AND(G9821="SAFRA",A9821="FATURAMENTO"),2,IF(AND(OR(G9821="SAFRA",G9821="PIX SAFRA", G9821="DÉBITO AUTOMÁTICO SAFRA", G9821= "BOLETO SAFRA", G9821= "transferência safra"), A9821="DESPESAS"),5,IF(AND(G9821="espécie",A9821="FATURAMENTO"),3,IF(AND(G9821="espécie",A9821="DESPESAS"),6))))))</f>
        <v>0</v>
      </c>
      <c r="M9821" s="17" t="str">
        <f t="shared" si="476"/>
        <v/>
      </c>
      <c r="N9821" s="11" t="str">
        <f t="shared" si="477"/>
        <v/>
      </c>
    </row>
    <row r="9822" spans="9:14" x14ac:dyDescent="0.25">
      <c r="I9822" s="11" t="b">
        <f t="shared" si="478"/>
        <v>0</v>
      </c>
      <c r="M9822" s="17" t="str">
        <f t="shared" si="476"/>
        <v/>
      </c>
      <c r="N9822" s="11" t="str">
        <f t="shared" si="477"/>
        <v/>
      </c>
    </row>
    <row r="9823" spans="9:14" x14ac:dyDescent="0.25">
      <c r="I9823" s="11" t="b">
        <f t="shared" si="478"/>
        <v>0</v>
      </c>
      <c r="M9823" s="17" t="str">
        <f t="shared" si="476"/>
        <v/>
      </c>
      <c r="N9823" s="11" t="str">
        <f t="shared" si="477"/>
        <v/>
      </c>
    </row>
    <row r="9824" spans="9:14" x14ac:dyDescent="0.25">
      <c r="I9824" s="11" t="b">
        <f t="shared" si="478"/>
        <v>0</v>
      </c>
      <c r="M9824" s="17" t="str">
        <f t="shared" si="476"/>
        <v/>
      </c>
      <c r="N9824" s="11" t="str">
        <f t="shared" si="477"/>
        <v/>
      </c>
    </row>
    <row r="9825" spans="9:14" x14ac:dyDescent="0.25">
      <c r="I9825" s="11" t="b">
        <f t="shared" si="478"/>
        <v>0</v>
      </c>
      <c r="M9825" s="17" t="str">
        <f t="shared" si="476"/>
        <v/>
      </c>
      <c r="N9825" s="11" t="str">
        <f t="shared" si="477"/>
        <v/>
      </c>
    </row>
    <row r="9826" spans="9:14" x14ac:dyDescent="0.25">
      <c r="I9826" s="11" t="b">
        <f t="shared" si="478"/>
        <v>0</v>
      </c>
      <c r="M9826" s="17" t="str">
        <f t="shared" si="476"/>
        <v/>
      </c>
      <c r="N9826" s="11" t="str">
        <f t="shared" si="477"/>
        <v/>
      </c>
    </row>
    <row r="9827" spans="9:14" x14ac:dyDescent="0.25">
      <c r="I9827" s="11" t="b">
        <f t="shared" si="478"/>
        <v>0</v>
      </c>
      <c r="M9827" s="17" t="str">
        <f t="shared" si="476"/>
        <v/>
      </c>
      <c r="N9827" s="11" t="str">
        <f t="shared" si="477"/>
        <v/>
      </c>
    </row>
    <row r="9828" spans="9:14" x14ac:dyDescent="0.25">
      <c r="I9828" s="11" t="b">
        <f t="shared" si="478"/>
        <v>0</v>
      </c>
      <c r="M9828" s="17" t="str">
        <f t="shared" si="476"/>
        <v/>
      </c>
      <c r="N9828" s="11" t="str">
        <f t="shared" si="477"/>
        <v/>
      </c>
    </row>
    <row r="9829" spans="9:14" x14ac:dyDescent="0.25">
      <c r="I9829" s="11" t="b">
        <f t="shared" si="478"/>
        <v>0</v>
      </c>
      <c r="M9829" s="17" t="str">
        <f t="shared" si="476"/>
        <v/>
      </c>
      <c r="N9829" s="11" t="str">
        <f t="shared" si="477"/>
        <v/>
      </c>
    </row>
    <row r="9830" spans="9:14" x14ac:dyDescent="0.25">
      <c r="I9830" s="11" t="b">
        <f t="shared" si="478"/>
        <v>0</v>
      </c>
      <c r="M9830" s="17" t="str">
        <f t="shared" si="476"/>
        <v/>
      </c>
      <c r="N9830" s="11" t="str">
        <f t="shared" si="477"/>
        <v/>
      </c>
    </row>
    <row r="9831" spans="9:14" x14ac:dyDescent="0.25">
      <c r="I9831" s="11" t="b">
        <f t="shared" si="478"/>
        <v>0</v>
      </c>
      <c r="M9831" s="17" t="str">
        <f t="shared" si="476"/>
        <v/>
      </c>
      <c r="N9831" s="11" t="str">
        <f t="shared" si="477"/>
        <v/>
      </c>
    </row>
    <row r="9832" spans="9:14" x14ac:dyDescent="0.25">
      <c r="I9832" s="11" t="b">
        <f t="shared" si="478"/>
        <v>0</v>
      </c>
      <c r="M9832" s="17" t="str">
        <f t="shared" si="476"/>
        <v/>
      </c>
      <c r="N9832" s="11" t="str">
        <f t="shared" si="477"/>
        <v/>
      </c>
    </row>
    <row r="9833" spans="9:14" x14ac:dyDescent="0.25">
      <c r="I9833" s="11" t="b">
        <f t="shared" si="478"/>
        <v>0</v>
      </c>
      <c r="M9833" s="17" t="str">
        <f t="shared" si="476"/>
        <v/>
      </c>
      <c r="N9833" s="11" t="str">
        <f t="shared" si="477"/>
        <v/>
      </c>
    </row>
    <row r="9834" spans="9:14" x14ac:dyDescent="0.25">
      <c r="I9834" s="11" t="b">
        <f t="shared" si="478"/>
        <v>0</v>
      </c>
      <c r="M9834" s="17" t="str">
        <f t="shared" si="476"/>
        <v/>
      </c>
      <c r="N9834" s="11" t="str">
        <f t="shared" si="477"/>
        <v/>
      </c>
    </row>
    <row r="9835" spans="9:14" x14ac:dyDescent="0.25">
      <c r="I9835" s="11" t="b">
        <f t="shared" si="478"/>
        <v>0</v>
      </c>
      <c r="M9835" s="17" t="str">
        <f t="shared" si="476"/>
        <v/>
      </c>
      <c r="N9835" s="11" t="str">
        <f t="shared" si="477"/>
        <v/>
      </c>
    </row>
    <row r="9836" spans="9:14" x14ac:dyDescent="0.25">
      <c r="I9836" s="11" t="b">
        <f t="shared" si="478"/>
        <v>0</v>
      </c>
      <c r="M9836" s="17" t="str">
        <f t="shared" si="476"/>
        <v/>
      </c>
      <c r="N9836" s="11" t="str">
        <f t="shared" si="477"/>
        <v/>
      </c>
    </row>
    <row r="9837" spans="9:14" x14ac:dyDescent="0.25">
      <c r="I9837" s="11" t="b">
        <f t="shared" si="478"/>
        <v>0</v>
      </c>
      <c r="M9837" s="17" t="str">
        <f t="shared" si="476"/>
        <v/>
      </c>
      <c r="N9837" s="11" t="str">
        <f t="shared" si="477"/>
        <v/>
      </c>
    </row>
    <row r="9838" spans="9:14" x14ac:dyDescent="0.25">
      <c r="I9838" s="11" t="b">
        <f t="shared" si="478"/>
        <v>0</v>
      </c>
      <c r="M9838" s="17" t="str">
        <f t="shared" si="476"/>
        <v/>
      </c>
      <c r="N9838" s="11" t="str">
        <f t="shared" si="477"/>
        <v/>
      </c>
    </row>
    <row r="9839" spans="9:14" x14ac:dyDescent="0.25">
      <c r="I9839" s="11" t="b">
        <f t="shared" si="478"/>
        <v>0</v>
      </c>
      <c r="M9839" s="17" t="str">
        <f t="shared" si="476"/>
        <v/>
      </c>
      <c r="N9839" s="11" t="str">
        <f t="shared" si="477"/>
        <v/>
      </c>
    </row>
    <row r="9840" spans="9:14" x14ac:dyDescent="0.25">
      <c r="I9840" s="11" t="b">
        <f t="shared" si="478"/>
        <v>0</v>
      </c>
      <c r="M9840" s="17" t="str">
        <f t="shared" si="476"/>
        <v/>
      </c>
      <c r="N9840" s="11" t="str">
        <f t="shared" si="477"/>
        <v/>
      </c>
    </row>
    <row r="9841" spans="9:14" x14ac:dyDescent="0.25">
      <c r="I9841" s="11" t="b">
        <f t="shared" si="478"/>
        <v>0</v>
      </c>
      <c r="M9841" s="17" t="str">
        <f t="shared" si="476"/>
        <v/>
      </c>
      <c r="N9841" s="11" t="str">
        <f t="shared" si="477"/>
        <v/>
      </c>
    </row>
    <row r="9842" spans="9:14" x14ac:dyDescent="0.25">
      <c r="I9842" s="11" t="b">
        <f t="shared" si="478"/>
        <v>0</v>
      </c>
      <c r="M9842" s="17" t="str">
        <f t="shared" si="476"/>
        <v/>
      </c>
      <c r="N9842" s="11" t="str">
        <f t="shared" si="477"/>
        <v/>
      </c>
    </row>
    <row r="9843" spans="9:14" x14ac:dyDescent="0.25">
      <c r="I9843" s="11" t="b">
        <f t="shared" si="478"/>
        <v>0</v>
      </c>
      <c r="M9843" s="17" t="str">
        <f t="shared" si="476"/>
        <v/>
      </c>
      <c r="N9843" s="11" t="str">
        <f t="shared" si="477"/>
        <v/>
      </c>
    </row>
    <row r="9844" spans="9:14" x14ac:dyDescent="0.25">
      <c r="I9844" s="11" t="b">
        <f t="shared" si="478"/>
        <v>0</v>
      </c>
      <c r="M9844" s="17" t="str">
        <f t="shared" si="476"/>
        <v/>
      </c>
      <c r="N9844" s="11" t="str">
        <f t="shared" si="477"/>
        <v/>
      </c>
    </row>
    <row r="9845" spans="9:14" x14ac:dyDescent="0.25">
      <c r="I9845" s="11" t="b">
        <f t="shared" si="478"/>
        <v>0</v>
      </c>
      <c r="M9845" s="17" t="str">
        <f t="shared" si="476"/>
        <v/>
      </c>
      <c r="N9845" s="11" t="str">
        <f t="shared" si="477"/>
        <v/>
      </c>
    </row>
    <row r="9846" spans="9:14" x14ac:dyDescent="0.25">
      <c r="I9846" s="11" t="b">
        <f t="shared" si="478"/>
        <v>0</v>
      </c>
      <c r="M9846" s="17" t="str">
        <f t="shared" si="476"/>
        <v/>
      </c>
      <c r="N9846" s="11" t="str">
        <f t="shared" si="477"/>
        <v/>
      </c>
    </row>
    <row r="9847" spans="9:14" x14ac:dyDescent="0.25">
      <c r="I9847" s="11" t="b">
        <f t="shared" si="478"/>
        <v>0</v>
      </c>
      <c r="M9847" s="17" t="str">
        <f t="shared" si="476"/>
        <v/>
      </c>
      <c r="N9847" s="11" t="str">
        <f t="shared" si="477"/>
        <v/>
      </c>
    </row>
    <row r="9848" spans="9:14" x14ac:dyDescent="0.25">
      <c r="I9848" s="11" t="b">
        <f t="shared" si="478"/>
        <v>0</v>
      </c>
      <c r="M9848" s="17" t="str">
        <f t="shared" si="476"/>
        <v/>
      </c>
      <c r="N9848" s="11" t="str">
        <f t="shared" si="477"/>
        <v/>
      </c>
    </row>
    <row r="9849" spans="9:14" x14ac:dyDescent="0.25">
      <c r="I9849" s="11" t="b">
        <f t="shared" si="478"/>
        <v>0</v>
      </c>
      <c r="M9849" s="17" t="str">
        <f t="shared" si="476"/>
        <v/>
      </c>
      <c r="N9849" s="11" t="str">
        <f t="shared" si="477"/>
        <v/>
      </c>
    </row>
    <row r="9850" spans="9:14" x14ac:dyDescent="0.25">
      <c r="I9850" s="11" t="b">
        <f t="shared" si="478"/>
        <v>0</v>
      </c>
      <c r="M9850" s="17" t="str">
        <f t="shared" si="476"/>
        <v/>
      </c>
      <c r="N9850" s="11" t="str">
        <f t="shared" si="477"/>
        <v/>
      </c>
    </row>
    <row r="9851" spans="9:14" x14ac:dyDescent="0.25">
      <c r="I9851" s="11" t="b">
        <f t="shared" si="478"/>
        <v>0</v>
      </c>
      <c r="M9851" s="17" t="str">
        <f t="shared" si="476"/>
        <v/>
      </c>
      <c r="N9851" s="11" t="str">
        <f t="shared" si="477"/>
        <v/>
      </c>
    </row>
    <row r="9852" spans="9:14" x14ac:dyDescent="0.25">
      <c r="I9852" s="11" t="b">
        <f t="shared" si="478"/>
        <v>0</v>
      </c>
      <c r="M9852" s="17" t="str">
        <f t="shared" si="476"/>
        <v/>
      </c>
      <c r="N9852" s="11" t="str">
        <f t="shared" si="477"/>
        <v/>
      </c>
    </row>
    <row r="9853" spans="9:14" x14ac:dyDescent="0.25">
      <c r="I9853" s="11" t="b">
        <f t="shared" si="478"/>
        <v>0</v>
      </c>
      <c r="M9853" s="17" t="str">
        <f t="shared" si="476"/>
        <v/>
      </c>
      <c r="N9853" s="11" t="str">
        <f t="shared" si="477"/>
        <v/>
      </c>
    </row>
    <row r="9854" spans="9:14" x14ac:dyDescent="0.25">
      <c r="I9854" s="11" t="b">
        <f t="shared" si="478"/>
        <v>0</v>
      </c>
      <c r="M9854" s="17" t="str">
        <f t="shared" si="476"/>
        <v/>
      </c>
      <c r="N9854" s="11" t="str">
        <f t="shared" si="477"/>
        <v/>
      </c>
    </row>
    <row r="9855" spans="9:14" x14ac:dyDescent="0.25">
      <c r="I9855" s="11" t="b">
        <f t="shared" si="478"/>
        <v>0</v>
      </c>
      <c r="M9855" s="17" t="str">
        <f t="shared" si="476"/>
        <v/>
      </c>
      <c r="N9855" s="11" t="str">
        <f t="shared" si="477"/>
        <v/>
      </c>
    </row>
    <row r="9856" spans="9:14" x14ac:dyDescent="0.25">
      <c r="I9856" s="11" t="b">
        <f t="shared" si="478"/>
        <v>0</v>
      </c>
      <c r="M9856" s="17" t="str">
        <f t="shared" si="476"/>
        <v/>
      </c>
      <c r="N9856" s="11" t="str">
        <f t="shared" si="477"/>
        <v/>
      </c>
    </row>
    <row r="9857" spans="9:14" x14ac:dyDescent="0.25">
      <c r="I9857" s="11" t="b">
        <f t="shared" si="478"/>
        <v>0</v>
      </c>
      <c r="M9857" s="17" t="str">
        <f t="shared" ref="M9857:M9920" si="479">IF(B9857=0, "",M9856+ J9857-K9857)</f>
        <v/>
      </c>
      <c r="N9857" s="11" t="str">
        <f t="shared" ref="N9857:N9920" si="480">IF(B9857=0, "", MONTH(B9857))</f>
        <v/>
      </c>
    </row>
    <row r="9858" spans="9:14" x14ac:dyDescent="0.25">
      <c r="I9858" s="11" t="b">
        <f t="shared" si="478"/>
        <v>0</v>
      </c>
      <c r="M9858" s="17" t="str">
        <f t="shared" si="479"/>
        <v/>
      </c>
      <c r="N9858" s="11" t="str">
        <f t="shared" si="480"/>
        <v/>
      </c>
    </row>
    <row r="9859" spans="9:14" x14ac:dyDescent="0.25">
      <c r="I9859" s="11" t="b">
        <f t="shared" si="478"/>
        <v>0</v>
      </c>
      <c r="M9859" s="17" t="str">
        <f t="shared" si="479"/>
        <v/>
      </c>
      <c r="N9859" s="11" t="str">
        <f t="shared" si="480"/>
        <v/>
      </c>
    </row>
    <row r="9860" spans="9:14" x14ac:dyDescent="0.25">
      <c r="I9860" s="11" t="b">
        <f t="shared" si="478"/>
        <v>0</v>
      </c>
      <c r="M9860" s="17" t="str">
        <f t="shared" si="479"/>
        <v/>
      </c>
      <c r="N9860" s="11" t="str">
        <f t="shared" si="480"/>
        <v/>
      </c>
    </row>
    <row r="9861" spans="9:14" x14ac:dyDescent="0.25">
      <c r="I9861" s="11" t="b">
        <f t="shared" si="478"/>
        <v>0</v>
      </c>
      <c r="M9861" s="17" t="str">
        <f t="shared" si="479"/>
        <v/>
      </c>
      <c r="N9861" s="11" t="str">
        <f t="shared" si="480"/>
        <v/>
      </c>
    </row>
    <row r="9862" spans="9:14" x14ac:dyDescent="0.25">
      <c r="I9862" s="11" t="b">
        <f t="shared" si="478"/>
        <v>0</v>
      </c>
      <c r="M9862" s="17" t="str">
        <f t="shared" si="479"/>
        <v/>
      </c>
      <c r="N9862" s="11" t="str">
        <f t="shared" si="480"/>
        <v/>
      </c>
    </row>
    <row r="9863" spans="9:14" x14ac:dyDescent="0.25">
      <c r="I9863" s="11" t="b">
        <f t="shared" si="478"/>
        <v>0</v>
      </c>
      <c r="M9863" s="17" t="str">
        <f t="shared" si="479"/>
        <v/>
      </c>
      <c r="N9863" s="11" t="str">
        <f t="shared" si="480"/>
        <v/>
      </c>
    </row>
    <row r="9864" spans="9:14" x14ac:dyDescent="0.25">
      <c r="I9864" s="11" t="b">
        <f t="shared" si="478"/>
        <v>0</v>
      </c>
      <c r="M9864" s="17" t="str">
        <f t="shared" si="479"/>
        <v/>
      </c>
      <c r="N9864" s="11" t="str">
        <f t="shared" si="480"/>
        <v/>
      </c>
    </row>
    <row r="9865" spans="9:14" x14ac:dyDescent="0.25">
      <c r="I9865" s="11" t="b">
        <f t="shared" si="478"/>
        <v>0</v>
      </c>
      <c r="M9865" s="17" t="str">
        <f t="shared" si="479"/>
        <v/>
      </c>
      <c r="N9865" s="11" t="str">
        <f t="shared" si="480"/>
        <v/>
      </c>
    </row>
    <row r="9866" spans="9:14" x14ac:dyDescent="0.25">
      <c r="I9866" s="11" t="b">
        <f t="shared" si="478"/>
        <v>0</v>
      </c>
      <c r="M9866" s="17" t="str">
        <f t="shared" si="479"/>
        <v/>
      </c>
      <c r="N9866" s="11" t="str">
        <f t="shared" si="480"/>
        <v/>
      </c>
    </row>
    <row r="9867" spans="9:14" x14ac:dyDescent="0.25">
      <c r="I9867" s="11" t="b">
        <f t="shared" si="478"/>
        <v>0</v>
      </c>
      <c r="M9867" s="17" t="str">
        <f t="shared" si="479"/>
        <v/>
      </c>
      <c r="N9867" s="11" t="str">
        <f t="shared" si="480"/>
        <v/>
      </c>
    </row>
    <row r="9868" spans="9:14" x14ac:dyDescent="0.25">
      <c r="I9868" s="11" t="b">
        <f t="shared" si="478"/>
        <v>0</v>
      </c>
      <c r="M9868" s="17" t="str">
        <f t="shared" si="479"/>
        <v/>
      </c>
      <c r="N9868" s="11" t="str">
        <f t="shared" si="480"/>
        <v/>
      </c>
    </row>
    <row r="9869" spans="9:14" x14ac:dyDescent="0.25">
      <c r="I9869" s="11" t="b">
        <f t="shared" si="478"/>
        <v>0</v>
      </c>
      <c r="M9869" s="17" t="str">
        <f t="shared" si="479"/>
        <v/>
      </c>
      <c r="N9869" s="11" t="str">
        <f t="shared" si="480"/>
        <v/>
      </c>
    </row>
    <row r="9870" spans="9:14" x14ac:dyDescent="0.25">
      <c r="I9870" s="11" t="b">
        <f t="shared" si="478"/>
        <v>0</v>
      </c>
      <c r="M9870" s="17" t="str">
        <f t="shared" si="479"/>
        <v/>
      </c>
      <c r="N9870" s="11" t="str">
        <f t="shared" si="480"/>
        <v/>
      </c>
    </row>
    <row r="9871" spans="9:14" x14ac:dyDescent="0.25">
      <c r="I9871" s="11" t="b">
        <f t="shared" si="478"/>
        <v>0</v>
      </c>
      <c r="M9871" s="17" t="str">
        <f t="shared" si="479"/>
        <v/>
      </c>
      <c r="N9871" s="11" t="str">
        <f t="shared" si="480"/>
        <v/>
      </c>
    </row>
    <row r="9872" spans="9:14" x14ac:dyDescent="0.25">
      <c r="I9872" s="11" t="b">
        <f t="shared" si="478"/>
        <v>0</v>
      </c>
      <c r="M9872" s="17" t="str">
        <f t="shared" si="479"/>
        <v/>
      </c>
      <c r="N9872" s="11" t="str">
        <f t="shared" si="480"/>
        <v/>
      </c>
    </row>
    <row r="9873" spans="9:14" x14ac:dyDescent="0.25">
      <c r="I9873" s="11" t="b">
        <f t="shared" si="478"/>
        <v>0</v>
      </c>
      <c r="M9873" s="17" t="str">
        <f t="shared" si="479"/>
        <v/>
      </c>
      <c r="N9873" s="11" t="str">
        <f t="shared" si="480"/>
        <v/>
      </c>
    </row>
    <row r="9874" spans="9:14" x14ac:dyDescent="0.25">
      <c r="I9874" s="11" t="b">
        <f t="shared" si="478"/>
        <v>0</v>
      </c>
      <c r="M9874" s="17" t="str">
        <f t="shared" si="479"/>
        <v/>
      </c>
      <c r="N9874" s="11" t="str">
        <f t="shared" si="480"/>
        <v/>
      </c>
    </row>
    <row r="9875" spans="9:14" x14ac:dyDescent="0.25">
      <c r="I9875" s="11" t="b">
        <f t="shared" si="478"/>
        <v>0</v>
      </c>
      <c r="M9875" s="17" t="str">
        <f t="shared" si="479"/>
        <v/>
      </c>
      <c r="N9875" s="11" t="str">
        <f t="shared" si="480"/>
        <v/>
      </c>
    </row>
    <row r="9876" spans="9:14" x14ac:dyDescent="0.25">
      <c r="I9876" s="11" t="b">
        <f t="shared" si="478"/>
        <v>0</v>
      </c>
      <c r="M9876" s="17" t="str">
        <f t="shared" si="479"/>
        <v/>
      </c>
      <c r="N9876" s="11" t="str">
        <f t="shared" si="480"/>
        <v/>
      </c>
    </row>
    <row r="9877" spans="9:14" x14ac:dyDescent="0.25">
      <c r="I9877" s="11" t="b">
        <f t="shared" si="478"/>
        <v>0</v>
      </c>
      <c r="M9877" s="17" t="str">
        <f t="shared" si="479"/>
        <v/>
      </c>
      <c r="N9877" s="11" t="str">
        <f t="shared" si="480"/>
        <v/>
      </c>
    </row>
    <row r="9878" spans="9:14" x14ac:dyDescent="0.25">
      <c r="I9878" s="11" t="b">
        <f t="shared" si="478"/>
        <v>0</v>
      </c>
      <c r="M9878" s="17" t="str">
        <f t="shared" si="479"/>
        <v/>
      </c>
      <c r="N9878" s="11" t="str">
        <f t="shared" si="480"/>
        <v/>
      </c>
    </row>
    <row r="9879" spans="9:14" x14ac:dyDescent="0.25">
      <c r="I9879" s="11" t="b">
        <f t="shared" si="478"/>
        <v>0</v>
      </c>
      <c r="M9879" s="17" t="str">
        <f t="shared" si="479"/>
        <v/>
      </c>
      <c r="N9879" s="11" t="str">
        <f t="shared" si="480"/>
        <v/>
      </c>
    </row>
    <row r="9880" spans="9:14" x14ac:dyDescent="0.25">
      <c r="I9880" s="11" t="b">
        <f t="shared" si="478"/>
        <v>0</v>
      </c>
      <c r="M9880" s="17" t="str">
        <f t="shared" si="479"/>
        <v/>
      </c>
      <c r="N9880" s="11" t="str">
        <f t="shared" si="480"/>
        <v/>
      </c>
    </row>
    <row r="9881" spans="9:14" x14ac:dyDescent="0.25">
      <c r="I9881" s="11" t="b">
        <f t="shared" si="478"/>
        <v>0</v>
      </c>
      <c r="M9881" s="17" t="str">
        <f t="shared" si="479"/>
        <v/>
      </c>
      <c r="N9881" s="11" t="str">
        <f t="shared" si="480"/>
        <v/>
      </c>
    </row>
    <row r="9882" spans="9:14" x14ac:dyDescent="0.25">
      <c r="I9882" s="11" t="b">
        <f t="shared" si="478"/>
        <v>0</v>
      </c>
      <c r="M9882" s="17" t="str">
        <f t="shared" si="479"/>
        <v/>
      </c>
      <c r="N9882" s="11" t="str">
        <f t="shared" si="480"/>
        <v/>
      </c>
    </row>
    <row r="9883" spans="9:14" x14ac:dyDescent="0.25">
      <c r="I9883" s="11" t="b">
        <f t="shared" si="478"/>
        <v>0</v>
      </c>
      <c r="M9883" s="17" t="str">
        <f t="shared" si="479"/>
        <v/>
      </c>
      <c r="N9883" s="11" t="str">
        <f t="shared" si="480"/>
        <v/>
      </c>
    </row>
    <row r="9884" spans="9:14" x14ac:dyDescent="0.25">
      <c r="I9884" s="11" t="b">
        <f t="shared" si="478"/>
        <v>0</v>
      </c>
      <c r="M9884" s="17" t="str">
        <f t="shared" si="479"/>
        <v/>
      </c>
      <c r="N9884" s="11" t="str">
        <f t="shared" si="480"/>
        <v/>
      </c>
    </row>
    <row r="9885" spans="9:14" x14ac:dyDescent="0.25">
      <c r="I9885" s="11" t="b">
        <f t="shared" ref="I9885:I9948" si="481">IF(AND(G9885="MERCADO PAGO",A9885="FATURAMENTO"),1,IF(AND(OR(G9885="MERCADO PAGO",G9885="pix mercado pago",G9885= "débito automático mercado pago", G9885= "boleto mercado pago"),A9885="DESPESAS"),4,IF(AND(G9885="SAFRA",A9885="FATURAMENTO"),2,IF(AND(OR(G9885="SAFRA",G9885="PIX SAFRA", G9885="DÉBITO AUTOMÁTICO SAFRA", G9885= "BOLETO SAFRA", G9885= "transferência safra"), A9885="DESPESAS"),5,IF(AND(G9885="espécie",A9885="FATURAMENTO"),3,IF(AND(G9885="espécie",A9885="DESPESAS"),6))))))</f>
        <v>0</v>
      </c>
      <c r="M9885" s="17" t="str">
        <f t="shared" si="479"/>
        <v/>
      </c>
      <c r="N9885" s="11" t="str">
        <f t="shared" si="480"/>
        <v/>
      </c>
    </row>
    <row r="9886" spans="9:14" x14ac:dyDescent="0.25">
      <c r="I9886" s="11" t="b">
        <f t="shared" si="481"/>
        <v>0</v>
      </c>
      <c r="M9886" s="17" t="str">
        <f t="shared" si="479"/>
        <v/>
      </c>
      <c r="N9886" s="11" t="str">
        <f t="shared" si="480"/>
        <v/>
      </c>
    </row>
    <row r="9887" spans="9:14" x14ac:dyDescent="0.25">
      <c r="I9887" s="11" t="b">
        <f t="shared" si="481"/>
        <v>0</v>
      </c>
      <c r="M9887" s="17" t="str">
        <f t="shared" si="479"/>
        <v/>
      </c>
      <c r="N9887" s="11" t="str">
        <f t="shared" si="480"/>
        <v/>
      </c>
    </row>
    <row r="9888" spans="9:14" x14ac:dyDescent="0.25">
      <c r="I9888" s="11" t="b">
        <f t="shared" si="481"/>
        <v>0</v>
      </c>
      <c r="M9888" s="17" t="str">
        <f t="shared" si="479"/>
        <v/>
      </c>
      <c r="N9888" s="11" t="str">
        <f t="shared" si="480"/>
        <v/>
      </c>
    </row>
    <row r="9889" spans="9:14" x14ac:dyDescent="0.25">
      <c r="I9889" s="11" t="b">
        <f t="shared" si="481"/>
        <v>0</v>
      </c>
      <c r="M9889" s="17" t="str">
        <f t="shared" si="479"/>
        <v/>
      </c>
      <c r="N9889" s="11" t="str">
        <f t="shared" si="480"/>
        <v/>
      </c>
    </row>
    <row r="9890" spans="9:14" x14ac:dyDescent="0.25">
      <c r="I9890" s="11" t="b">
        <f t="shared" si="481"/>
        <v>0</v>
      </c>
      <c r="M9890" s="17" t="str">
        <f t="shared" si="479"/>
        <v/>
      </c>
      <c r="N9890" s="11" t="str">
        <f t="shared" si="480"/>
        <v/>
      </c>
    </row>
    <row r="9891" spans="9:14" x14ac:dyDescent="0.25">
      <c r="I9891" s="11" t="b">
        <f t="shared" si="481"/>
        <v>0</v>
      </c>
      <c r="M9891" s="17" t="str">
        <f t="shared" si="479"/>
        <v/>
      </c>
      <c r="N9891" s="11" t="str">
        <f t="shared" si="480"/>
        <v/>
      </c>
    </row>
    <row r="9892" spans="9:14" x14ac:dyDescent="0.25">
      <c r="I9892" s="11" t="b">
        <f t="shared" si="481"/>
        <v>0</v>
      </c>
      <c r="M9892" s="17" t="str">
        <f t="shared" si="479"/>
        <v/>
      </c>
      <c r="N9892" s="11" t="str">
        <f t="shared" si="480"/>
        <v/>
      </c>
    </row>
    <row r="9893" spans="9:14" x14ac:dyDescent="0.25">
      <c r="I9893" s="11" t="b">
        <f t="shared" si="481"/>
        <v>0</v>
      </c>
      <c r="M9893" s="17" t="str">
        <f t="shared" si="479"/>
        <v/>
      </c>
      <c r="N9893" s="11" t="str">
        <f t="shared" si="480"/>
        <v/>
      </c>
    </row>
    <row r="9894" spans="9:14" x14ac:dyDescent="0.25">
      <c r="I9894" s="11" t="b">
        <f t="shared" si="481"/>
        <v>0</v>
      </c>
      <c r="M9894" s="17" t="str">
        <f t="shared" si="479"/>
        <v/>
      </c>
      <c r="N9894" s="11" t="str">
        <f t="shared" si="480"/>
        <v/>
      </c>
    </row>
    <row r="9895" spans="9:14" x14ac:dyDescent="0.25">
      <c r="I9895" s="11" t="b">
        <f t="shared" si="481"/>
        <v>0</v>
      </c>
      <c r="M9895" s="17" t="str">
        <f t="shared" si="479"/>
        <v/>
      </c>
      <c r="N9895" s="11" t="str">
        <f t="shared" si="480"/>
        <v/>
      </c>
    </row>
    <row r="9896" spans="9:14" x14ac:dyDescent="0.25">
      <c r="I9896" s="11" t="b">
        <f t="shared" si="481"/>
        <v>0</v>
      </c>
      <c r="M9896" s="17" t="str">
        <f t="shared" si="479"/>
        <v/>
      </c>
      <c r="N9896" s="11" t="str">
        <f t="shared" si="480"/>
        <v/>
      </c>
    </row>
    <row r="9897" spans="9:14" x14ac:dyDescent="0.25">
      <c r="I9897" s="11" t="b">
        <f t="shared" si="481"/>
        <v>0</v>
      </c>
      <c r="M9897" s="17" t="str">
        <f t="shared" si="479"/>
        <v/>
      </c>
      <c r="N9897" s="11" t="str">
        <f t="shared" si="480"/>
        <v/>
      </c>
    </row>
    <row r="9898" spans="9:14" x14ac:dyDescent="0.25">
      <c r="I9898" s="11" t="b">
        <f t="shared" si="481"/>
        <v>0</v>
      </c>
      <c r="M9898" s="17" t="str">
        <f t="shared" si="479"/>
        <v/>
      </c>
      <c r="N9898" s="11" t="str">
        <f t="shared" si="480"/>
        <v/>
      </c>
    </row>
    <row r="9899" spans="9:14" x14ac:dyDescent="0.25">
      <c r="I9899" s="11" t="b">
        <f t="shared" si="481"/>
        <v>0</v>
      </c>
      <c r="M9899" s="17" t="str">
        <f t="shared" si="479"/>
        <v/>
      </c>
      <c r="N9899" s="11" t="str">
        <f t="shared" si="480"/>
        <v/>
      </c>
    </row>
    <row r="9900" spans="9:14" x14ac:dyDescent="0.25">
      <c r="I9900" s="11" t="b">
        <f t="shared" si="481"/>
        <v>0</v>
      </c>
      <c r="M9900" s="17" t="str">
        <f t="shared" si="479"/>
        <v/>
      </c>
      <c r="N9900" s="11" t="str">
        <f t="shared" si="480"/>
        <v/>
      </c>
    </row>
    <row r="9901" spans="9:14" x14ac:dyDescent="0.25">
      <c r="I9901" s="11" t="b">
        <f t="shared" si="481"/>
        <v>0</v>
      </c>
      <c r="M9901" s="17" t="str">
        <f t="shared" si="479"/>
        <v/>
      </c>
      <c r="N9901" s="11" t="str">
        <f t="shared" si="480"/>
        <v/>
      </c>
    </row>
    <row r="9902" spans="9:14" x14ac:dyDescent="0.25">
      <c r="I9902" s="11" t="b">
        <f t="shared" si="481"/>
        <v>0</v>
      </c>
      <c r="M9902" s="17" t="str">
        <f t="shared" si="479"/>
        <v/>
      </c>
      <c r="N9902" s="11" t="str">
        <f t="shared" si="480"/>
        <v/>
      </c>
    </row>
    <row r="9903" spans="9:14" x14ac:dyDescent="0.25">
      <c r="I9903" s="11" t="b">
        <f t="shared" si="481"/>
        <v>0</v>
      </c>
      <c r="M9903" s="17" t="str">
        <f t="shared" si="479"/>
        <v/>
      </c>
      <c r="N9903" s="11" t="str">
        <f t="shared" si="480"/>
        <v/>
      </c>
    </row>
    <row r="9904" spans="9:14" x14ac:dyDescent="0.25">
      <c r="I9904" s="11" t="b">
        <f t="shared" si="481"/>
        <v>0</v>
      </c>
      <c r="M9904" s="17" t="str">
        <f t="shared" si="479"/>
        <v/>
      </c>
      <c r="N9904" s="11" t="str">
        <f t="shared" si="480"/>
        <v/>
      </c>
    </row>
    <row r="9905" spans="9:14" x14ac:dyDescent="0.25">
      <c r="I9905" s="11" t="b">
        <f t="shared" si="481"/>
        <v>0</v>
      </c>
      <c r="M9905" s="17" t="str">
        <f t="shared" si="479"/>
        <v/>
      </c>
      <c r="N9905" s="11" t="str">
        <f t="shared" si="480"/>
        <v/>
      </c>
    </row>
    <row r="9906" spans="9:14" x14ac:dyDescent="0.25">
      <c r="I9906" s="11" t="b">
        <f t="shared" si="481"/>
        <v>0</v>
      </c>
      <c r="M9906" s="17" t="str">
        <f t="shared" si="479"/>
        <v/>
      </c>
      <c r="N9906" s="11" t="str">
        <f t="shared" si="480"/>
        <v/>
      </c>
    </row>
    <row r="9907" spans="9:14" x14ac:dyDescent="0.25">
      <c r="I9907" s="11" t="b">
        <f t="shared" si="481"/>
        <v>0</v>
      </c>
      <c r="M9907" s="17" t="str">
        <f t="shared" si="479"/>
        <v/>
      </c>
      <c r="N9907" s="11" t="str">
        <f t="shared" si="480"/>
        <v/>
      </c>
    </row>
    <row r="9908" spans="9:14" x14ac:dyDescent="0.25">
      <c r="I9908" s="11" t="b">
        <f t="shared" si="481"/>
        <v>0</v>
      </c>
      <c r="M9908" s="17" t="str">
        <f t="shared" si="479"/>
        <v/>
      </c>
      <c r="N9908" s="11" t="str">
        <f t="shared" si="480"/>
        <v/>
      </c>
    </row>
    <row r="9909" spans="9:14" x14ac:dyDescent="0.25">
      <c r="I9909" s="11" t="b">
        <f t="shared" si="481"/>
        <v>0</v>
      </c>
      <c r="M9909" s="17" t="str">
        <f t="shared" si="479"/>
        <v/>
      </c>
      <c r="N9909" s="11" t="str">
        <f t="shared" si="480"/>
        <v/>
      </c>
    </row>
    <row r="9910" spans="9:14" x14ac:dyDescent="0.25">
      <c r="I9910" s="11" t="b">
        <f t="shared" si="481"/>
        <v>0</v>
      </c>
      <c r="M9910" s="17" t="str">
        <f t="shared" si="479"/>
        <v/>
      </c>
      <c r="N9910" s="11" t="str">
        <f t="shared" si="480"/>
        <v/>
      </c>
    </row>
    <row r="9911" spans="9:14" x14ac:dyDescent="0.25">
      <c r="I9911" s="11" t="b">
        <f t="shared" si="481"/>
        <v>0</v>
      </c>
      <c r="M9911" s="17" t="str">
        <f t="shared" si="479"/>
        <v/>
      </c>
      <c r="N9911" s="11" t="str">
        <f t="shared" si="480"/>
        <v/>
      </c>
    </row>
    <row r="9912" spans="9:14" x14ac:dyDescent="0.25">
      <c r="I9912" s="11" t="b">
        <f t="shared" si="481"/>
        <v>0</v>
      </c>
      <c r="M9912" s="17" t="str">
        <f t="shared" si="479"/>
        <v/>
      </c>
      <c r="N9912" s="11" t="str">
        <f t="shared" si="480"/>
        <v/>
      </c>
    </row>
    <row r="9913" spans="9:14" x14ac:dyDescent="0.25">
      <c r="I9913" s="11" t="b">
        <f t="shared" si="481"/>
        <v>0</v>
      </c>
      <c r="M9913" s="17" t="str">
        <f t="shared" si="479"/>
        <v/>
      </c>
      <c r="N9913" s="11" t="str">
        <f t="shared" si="480"/>
        <v/>
      </c>
    </row>
    <row r="9914" spans="9:14" x14ac:dyDescent="0.25">
      <c r="I9914" s="11" t="b">
        <f t="shared" si="481"/>
        <v>0</v>
      </c>
      <c r="M9914" s="17" t="str">
        <f t="shared" si="479"/>
        <v/>
      </c>
      <c r="N9914" s="11" t="str">
        <f t="shared" si="480"/>
        <v/>
      </c>
    </row>
    <row r="9915" spans="9:14" x14ac:dyDescent="0.25">
      <c r="I9915" s="11" t="b">
        <f t="shared" si="481"/>
        <v>0</v>
      </c>
      <c r="M9915" s="17" t="str">
        <f t="shared" si="479"/>
        <v/>
      </c>
      <c r="N9915" s="11" t="str">
        <f t="shared" si="480"/>
        <v/>
      </c>
    </row>
    <row r="9916" spans="9:14" x14ac:dyDescent="0.25">
      <c r="I9916" s="11" t="b">
        <f t="shared" si="481"/>
        <v>0</v>
      </c>
      <c r="M9916" s="17" t="str">
        <f t="shared" si="479"/>
        <v/>
      </c>
      <c r="N9916" s="11" t="str">
        <f t="shared" si="480"/>
        <v/>
      </c>
    </row>
    <row r="9917" spans="9:14" x14ac:dyDescent="0.25">
      <c r="I9917" s="11" t="b">
        <f t="shared" si="481"/>
        <v>0</v>
      </c>
      <c r="M9917" s="17" t="str">
        <f t="shared" si="479"/>
        <v/>
      </c>
      <c r="N9917" s="11" t="str">
        <f t="shared" si="480"/>
        <v/>
      </c>
    </row>
    <row r="9918" spans="9:14" x14ac:dyDescent="0.25">
      <c r="I9918" s="11" t="b">
        <f t="shared" si="481"/>
        <v>0</v>
      </c>
      <c r="M9918" s="17" t="str">
        <f t="shared" si="479"/>
        <v/>
      </c>
      <c r="N9918" s="11" t="str">
        <f t="shared" si="480"/>
        <v/>
      </c>
    </row>
    <row r="9919" spans="9:14" x14ac:dyDescent="0.25">
      <c r="I9919" s="11" t="b">
        <f t="shared" si="481"/>
        <v>0</v>
      </c>
      <c r="M9919" s="17" t="str">
        <f t="shared" si="479"/>
        <v/>
      </c>
      <c r="N9919" s="11" t="str">
        <f t="shared" si="480"/>
        <v/>
      </c>
    </row>
    <row r="9920" spans="9:14" x14ac:dyDescent="0.25">
      <c r="I9920" s="11" t="b">
        <f t="shared" si="481"/>
        <v>0</v>
      </c>
      <c r="M9920" s="17" t="str">
        <f t="shared" si="479"/>
        <v/>
      </c>
      <c r="N9920" s="11" t="str">
        <f t="shared" si="480"/>
        <v/>
      </c>
    </row>
    <row r="9921" spans="9:14" x14ac:dyDescent="0.25">
      <c r="I9921" s="11" t="b">
        <f t="shared" si="481"/>
        <v>0</v>
      </c>
      <c r="M9921" s="17" t="str">
        <f t="shared" ref="M9921:M9984" si="482">IF(B9921=0, "",M9920+ J9921-K9921)</f>
        <v/>
      </c>
      <c r="N9921" s="11" t="str">
        <f t="shared" ref="N9921:N9984" si="483">IF(B9921=0, "", MONTH(B9921))</f>
        <v/>
      </c>
    </row>
    <row r="9922" spans="9:14" x14ac:dyDescent="0.25">
      <c r="I9922" s="11" t="b">
        <f t="shared" si="481"/>
        <v>0</v>
      </c>
      <c r="M9922" s="17" t="str">
        <f t="shared" si="482"/>
        <v/>
      </c>
      <c r="N9922" s="11" t="str">
        <f t="shared" si="483"/>
        <v/>
      </c>
    </row>
    <row r="9923" spans="9:14" x14ac:dyDescent="0.25">
      <c r="I9923" s="11" t="b">
        <f t="shared" si="481"/>
        <v>0</v>
      </c>
      <c r="M9923" s="17" t="str">
        <f t="shared" si="482"/>
        <v/>
      </c>
      <c r="N9923" s="11" t="str">
        <f t="shared" si="483"/>
        <v/>
      </c>
    </row>
    <row r="9924" spans="9:14" x14ac:dyDescent="0.25">
      <c r="I9924" s="11" t="b">
        <f t="shared" si="481"/>
        <v>0</v>
      </c>
      <c r="M9924" s="17" t="str">
        <f t="shared" si="482"/>
        <v/>
      </c>
      <c r="N9924" s="11" t="str">
        <f t="shared" si="483"/>
        <v/>
      </c>
    </row>
    <row r="9925" spans="9:14" x14ac:dyDescent="0.25">
      <c r="I9925" s="11" t="b">
        <f t="shared" si="481"/>
        <v>0</v>
      </c>
      <c r="M9925" s="17" t="str">
        <f t="shared" si="482"/>
        <v/>
      </c>
      <c r="N9925" s="11" t="str">
        <f t="shared" si="483"/>
        <v/>
      </c>
    </row>
    <row r="9926" spans="9:14" x14ac:dyDescent="0.25">
      <c r="I9926" s="11" t="b">
        <f t="shared" si="481"/>
        <v>0</v>
      </c>
      <c r="M9926" s="17" t="str">
        <f t="shared" si="482"/>
        <v/>
      </c>
      <c r="N9926" s="11" t="str">
        <f t="shared" si="483"/>
        <v/>
      </c>
    </row>
    <row r="9927" spans="9:14" x14ac:dyDescent="0.25">
      <c r="I9927" s="11" t="b">
        <f t="shared" si="481"/>
        <v>0</v>
      </c>
      <c r="M9927" s="17" t="str">
        <f t="shared" si="482"/>
        <v/>
      </c>
      <c r="N9927" s="11" t="str">
        <f t="shared" si="483"/>
        <v/>
      </c>
    </row>
    <row r="9928" spans="9:14" x14ac:dyDescent="0.25">
      <c r="I9928" s="11" t="b">
        <f t="shared" si="481"/>
        <v>0</v>
      </c>
      <c r="M9928" s="17" t="str">
        <f t="shared" si="482"/>
        <v/>
      </c>
      <c r="N9928" s="11" t="str">
        <f t="shared" si="483"/>
        <v/>
      </c>
    </row>
    <row r="9929" spans="9:14" x14ac:dyDescent="0.25">
      <c r="I9929" s="11" t="b">
        <f t="shared" si="481"/>
        <v>0</v>
      </c>
      <c r="M9929" s="17" t="str">
        <f t="shared" si="482"/>
        <v/>
      </c>
      <c r="N9929" s="11" t="str">
        <f t="shared" si="483"/>
        <v/>
      </c>
    </row>
    <row r="9930" spans="9:14" x14ac:dyDescent="0.25">
      <c r="I9930" s="11" t="b">
        <f t="shared" si="481"/>
        <v>0</v>
      </c>
      <c r="M9930" s="17" t="str">
        <f t="shared" si="482"/>
        <v/>
      </c>
      <c r="N9930" s="11" t="str">
        <f t="shared" si="483"/>
        <v/>
      </c>
    </row>
    <row r="9931" spans="9:14" x14ac:dyDescent="0.25">
      <c r="I9931" s="11" t="b">
        <f t="shared" si="481"/>
        <v>0</v>
      </c>
      <c r="M9931" s="17" t="str">
        <f t="shared" si="482"/>
        <v/>
      </c>
      <c r="N9931" s="11" t="str">
        <f t="shared" si="483"/>
        <v/>
      </c>
    </row>
    <row r="9932" spans="9:14" x14ac:dyDescent="0.25">
      <c r="I9932" s="11" t="b">
        <f t="shared" si="481"/>
        <v>0</v>
      </c>
      <c r="M9932" s="17" t="str">
        <f t="shared" si="482"/>
        <v/>
      </c>
      <c r="N9932" s="11" t="str">
        <f t="shared" si="483"/>
        <v/>
      </c>
    </row>
    <row r="9933" spans="9:14" x14ac:dyDescent="0.25">
      <c r="I9933" s="11" t="b">
        <f t="shared" si="481"/>
        <v>0</v>
      </c>
      <c r="M9933" s="17" t="str">
        <f t="shared" si="482"/>
        <v/>
      </c>
      <c r="N9933" s="11" t="str">
        <f t="shared" si="483"/>
        <v/>
      </c>
    </row>
    <row r="9934" spans="9:14" x14ac:dyDescent="0.25">
      <c r="I9934" s="11" t="b">
        <f t="shared" si="481"/>
        <v>0</v>
      </c>
      <c r="M9934" s="17" t="str">
        <f t="shared" si="482"/>
        <v/>
      </c>
      <c r="N9934" s="11" t="str">
        <f t="shared" si="483"/>
        <v/>
      </c>
    </row>
    <row r="9935" spans="9:14" x14ac:dyDescent="0.25">
      <c r="I9935" s="11" t="b">
        <f t="shared" si="481"/>
        <v>0</v>
      </c>
      <c r="M9935" s="17" t="str">
        <f t="shared" si="482"/>
        <v/>
      </c>
      <c r="N9935" s="11" t="str">
        <f t="shared" si="483"/>
        <v/>
      </c>
    </row>
    <row r="9936" spans="9:14" x14ac:dyDescent="0.25">
      <c r="I9936" s="11" t="b">
        <f t="shared" si="481"/>
        <v>0</v>
      </c>
      <c r="M9936" s="17" t="str">
        <f t="shared" si="482"/>
        <v/>
      </c>
      <c r="N9936" s="11" t="str">
        <f t="shared" si="483"/>
        <v/>
      </c>
    </row>
    <row r="9937" spans="9:14" x14ac:dyDescent="0.25">
      <c r="I9937" s="11" t="b">
        <f t="shared" si="481"/>
        <v>0</v>
      </c>
      <c r="M9937" s="17" t="str">
        <f t="shared" si="482"/>
        <v/>
      </c>
      <c r="N9937" s="11" t="str">
        <f t="shared" si="483"/>
        <v/>
      </c>
    </row>
    <row r="9938" spans="9:14" x14ac:dyDescent="0.25">
      <c r="I9938" s="11" t="b">
        <f t="shared" si="481"/>
        <v>0</v>
      </c>
      <c r="M9938" s="17" t="str">
        <f t="shared" si="482"/>
        <v/>
      </c>
      <c r="N9938" s="11" t="str">
        <f t="shared" si="483"/>
        <v/>
      </c>
    </row>
    <row r="9939" spans="9:14" x14ac:dyDescent="0.25">
      <c r="I9939" s="11" t="b">
        <f t="shared" si="481"/>
        <v>0</v>
      </c>
      <c r="M9939" s="17" t="str">
        <f t="shared" si="482"/>
        <v/>
      </c>
      <c r="N9939" s="11" t="str">
        <f t="shared" si="483"/>
        <v/>
      </c>
    </row>
    <row r="9940" spans="9:14" x14ac:dyDescent="0.25">
      <c r="I9940" s="11" t="b">
        <f t="shared" si="481"/>
        <v>0</v>
      </c>
      <c r="M9940" s="17" t="str">
        <f t="shared" si="482"/>
        <v/>
      </c>
      <c r="N9940" s="11" t="str">
        <f t="shared" si="483"/>
        <v/>
      </c>
    </row>
    <row r="9941" spans="9:14" x14ac:dyDescent="0.25">
      <c r="I9941" s="11" t="b">
        <f t="shared" si="481"/>
        <v>0</v>
      </c>
      <c r="M9941" s="17" t="str">
        <f t="shared" si="482"/>
        <v/>
      </c>
      <c r="N9941" s="11" t="str">
        <f t="shared" si="483"/>
        <v/>
      </c>
    </row>
    <row r="9942" spans="9:14" x14ac:dyDescent="0.25">
      <c r="I9942" s="11" t="b">
        <f t="shared" si="481"/>
        <v>0</v>
      </c>
      <c r="M9942" s="17" t="str">
        <f t="shared" si="482"/>
        <v/>
      </c>
      <c r="N9942" s="11" t="str">
        <f t="shared" si="483"/>
        <v/>
      </c>
    </row>
    <row r="9943" spans="9:14" x14ac:dyDescent="0.25">
      <c r="I9943" s="11" t="b">
        <f t="shared" si="481"/>
        <v>0</v>
      </c>
      <c r="M9943" s="17" t="str">
        <f t="shared" si="482"/>
        <v/>
      </c>
      <c r="N9943" s="11" t="str">
        <f t="shared" si="483"/>
        <v/>
      </c>
    </row>
    <row r="9944" spans="9:14" x14ac:dyDescent="0.25">
      <c r="I9944" s="11" t="b">
        <f t="shared" si="481"/>
        <v>0</v>
      </c>
      <c r="M9944" s="17" t="str">
        <f t="shared" si="482"/>
        <v/>
      </c>
      <c r="N9944" s="11" t="str">
        <f t="shared" si="483"/>
        <v/>
      </c>
    </row>
    <row r="9945" spans="9:14" x14ac:dyDescent="0.25">
      <c r="I9945" s="11" t="b">
        <f t="shared" si="481"/>
        <v>0</v>
      </c>
      <c r="M9945" s="17" t="str">
        <f t="shared" si="482"/>
        <v/>
      </c>
      <c r="N9945" s="11" t="str">
        <f t="shared" si="483"/>
        <v/>
      </c>
    </row>
    <row r="9946" spans="9:14" x14ac:dyDescent="0.25">
      <c r="I9946" s="11" t="b">
        <f t="shared" si="481"/>
        <v>0</v>
      </c>
      <c r="M9946" s="17" t="str">
        <f t="shared" si="482"/>
        <v/>
      </c>
      <c r="N9946" s="11" t="str">
        <f t="shared" si="483"/>
        <v/>
      </c>
    </row>
    <row r="9947" spans="9:14" x14ac:dyDescent="0.25">
      <c r="I9947" s="11" t="b">
        <f t="shared" si="481"/>
        <v>0</v>
      </c>
      <c r="M9947" s="17" t="str">
        <f t="shared" si="482"/>
        <v/>
      </c>
      <c r="N9947" s="11" t="str">
        <f t="shared" si="483"/>
        <v/>
      </c>
    </row>
    <row r="9948" spans="9:14" x14ac:dyDescent="0.25">
      <c r="I9948" s="11" t="b">
        <f t="shared" si="481"/>
        <v>0</v>
      </c>
      <c r="M9948" s="17" t="str">
        <f t="shared" si="482"/>
        <v/>
      </c>
      <c r="N9948" s="11" t="str">
        <f t="shared" si="483"/>
        <v/>
      </c>
    </row>
    <row r="9949" spans="9:14" x14ac:dyDescent="0.25">
      <c r="I9949" s="11" t="b">
        <f t="shared" ref="I9949:I10012" si="484">IF(AND(G9949="MERCADO PAGO",A9949="FATURAMENTO"),1,IF(AND(OR(G9949="MERCADO PAGO",G9949="pix mercado pago",G9949= "débito automático mercado pago", G9949= "boleto mercado pago"),A9949="DESPESAS"),4,IF(AND(G9949="SAFRA",A9949="FATURAMENTO"),2,IF(AND(OR(G9949="SAFRA",G9949="PIX SAFRA", G9949="DÉBITO AUTOMÁTICO SAFRA", G9949= "BOLETO SAFRA", G9949= "transferência safra"), A9949="DESPESAS"),5,IF(AND(G9949="espécie",A9949="FATURAMENTO"),3,IF(AND(G9949="espécie",A9949="DESPESAS"),6))))))</f>
        <v>0</v>
      </c>
      <c r="M9949" s="17" t="str">
        <f t="shared" si="482"/>
        <v/>
      </c>
      <c r="N9949" s="11" t="str">
        <f t="shared" si="483"/>
        <v/>
      </c>
    </row>
    <row r="9950" spans="9:14" x14ac:dyDescent="0.25">
      <c r="I9950" s="11" t="b">
        <f t="shared" si="484"/>
        <v>0</v>
      </c>
      <c r="M9950" s="17" t="str">
        <f t="shared" si="482"/>
        <v/>
      </c>
      <c r="N9950" s="11" t="str">
        <f t="shared" si="483"/>
        <v/>
      </c>
    </row>
    <row r="9951" spans="9:14" x14ac:dyDescent="0.25">
      <c r="I9951" s="11" t="b">
        <f t="shared" si="484"/>
        <v>0</v>
      </c>
      <c r="M9951" s="17" t="str">
        <f t="shared" si="482"/>
        <v/>
      </c>
      <c r="N9951" s="11" t="str">
        <f t="shared" si="483"/>
        <v/>
      </c>
    </row>
    <row r="9952" spans="9:14" x14ac:dyDescent="0.25">
      <c r="I9952" s="11" t="b">
        <f t="shared" si="484"/>
        <v>0</v>
      </c>
      <c r="M9952" s="17" t="str">
        <f t="shared" si="482"/>
        <v/>
      </c>
      <c r="N9952" s="11" t="str">
        <f t="shared" si="483"/>
        <v/>
      </c>
    </row>
    <row r="9953" spans="9:14" x14ac:dyDescent="0.25">
      <c r="I9953" s="11" t="b">
        <f t="shared" si="484"/>
        <v>0</v>
      </c>
      <c r="M9953" s="17" t="str">
        <f t="shared" si="482"/>
        <v/>
      </c>
      <c r="N9953" s="11" t="str">
        <f t="shared" si="483"/>
        <v/>
      </c>
    </row>
    <row r="9954" spans="9:14" x14ac:dyDescent="0.25">
      <c r="I9954" s="11" t="b">
        <f t="shared" si="484"/>
        <v>0</v>
      </c>
      <c r="M9954" s="17" t="str">
        <f t="shared" si="482"/>
        <v/>
      </c>
      <c r="N9954" s="11" t="str">
        <f t="shared" si="483"/>
        <v/>
      </c>
    </row>
    <row r="9955" spans="9:14" x14ac:dyDescent="0.25">
      <c r="I9955" s="11" t="b">
        <f t="shared" si="484"/>
        <v>0</v>
      </c>
      <c r="M9955" s="17" t="str">
        <f t="shared" si="482"/>
        <v/>
      </c>
      <c r="N9955" s="11" t="str">
        <f t="shared" si="483"/>
        <v/>
      </c>
    </row>
    <row r="9956" spans="9:14" x14ac:dyDescent="0.25">
      <c r="I9956" s="11" t="b">
        <f t="shared" si="484"/>
        <v>0</v>
      </c>
      <c r="M9956" s="17" t="str">
        <f t="shared" si="482"/>
        <v/>
      </c>
      <c r="N9956" s="11" t="str">
        <f t="shared" si="483"/>
        <v/>
      </c>
    </row>
    <row r="9957" spans="9:14" x14ac:dyDescent="0.25">
      <c r="I9957" s="11" t="b">
        <f t="shared" si="484"/>
        <v>0</v>
      </c>
      <c r="M9957" s="17" t="str">
        <f t="shared" si="482"/>
        <v/>
      </c>
      <c r="N9957" s="11" t="str">
        <f t="shared" si="483"/>
        <v/>
      </c>
    </row>
    <row r="9958" spans="9:14" x14ac:dyDescent="0.25">
      <c r="I9958" s="11" t="b">
        <f t="shared" si="484"/>
        <v>0</v>
      </c>
      <c r="M9958" s="17" t="str">
        <f t="shared" si="482"/>
        <v/>
      </c>
      <c r="N9958" s="11" t="str">
        <f t="shared" si="483"/>
        <v/>
      </c>
    </row>
    <row r="9959" spans="9:14" x14ac:dyDescent="0.25">
      <c r="I9959" s="11" t="b">
        <f t="shared" si="484"/>
        <v>0</v>
      </c>
      <c r="M9959" s="17" t="str">
        <f t="shared" si="482"/>
        <v/>
      </c>
      <c r="N9959" s="11" t="str">
        <f t="shared" si="483"/>
        <v/>
      </c>
    </row>
    <row r="9960" spans="9:14" x14ac:dyDescent="0.25">
      <c r="I9960" s="11" t="b">
        <f t="shared" si="484"/>
        <v>0</v>
      </c>
      <c r="M9960" s="17" t="str">
        <f t="shared" si="482"/>
        <v/>
      </c>
      <c r="N9960" s="11" t="str">
        <f t="shared" si="483"/>
        <v/>
      </c>
    </row>
    <row r="9961" spans="9:14" x14ac:dyDescent="0.25">
      <c r="I9961" s="11" t="b">
        <f t="shared" si="484"/>
        <v>0</v>
      </c>
      <c r="M9961" s="17" t="str">
        <f t="shared" si="482"/>
        <v/>
      </c>
      <c r="N9961" s="11" t="str">
        <f t="shared" si="483"/>
        <v/>
      </c>
    </row>
    <row r="9962" spans="9:14" x14ac:dyDescent="0.25">
      <c r="I9962" s="11" t="b">
        <f t="shared" si="484"/>
        <v>0</v>
      </c>
      <c r="M9962" s="17" t="str">
        <f t="shared" si="482"/>
        <v/>
      </c>
      <c r="N9962" s="11" t="str">
        <f t="shared" si="483"/>
        <v/>
      </c>
    </row>
    <row r="9963" spans="9:14" x14ac:dyDescent="0.25">
      <c r="I9963" s="11" t="b">
        <f t="shared" si="484"/>
        <v>0</v>
      </c>
      <c r="M9963" s="17" t="str">
        <f t="shared" si="482"/>
        <v/>
      </c>
      <c r="N9963" s="11" t="str">
        <f t="shared" si="483"/>
        <v/>
      </c>
    </row>
    <row r="9964" spans="9:14" x14ac:dyDescent="0.25">
      <c r="I9964" s="11" t="b">
        <f t="shared" si="484"/>
        <v>0</v>
      </c>
      <c r="M9964" s="17" t="str">
        <f t="shared" si="482"/>
        <v/>
      </c>
      <c r="N9964" s="11" t="str">
        <f t="shared" si="483"/>
        <v/>
      </c>
    </row>
    <row r="9965" spans="9:14" x14ac:dyDescent="0.25">
      <c r="I9965" s="11" t="b">
        <f t="shared" si="484"/>
        <v>0</v>
      </c>
      <c r="M9965" s="17" t="str">
        <f t="shared" si="482"/>
        <v/>
      </c>
      <c r="N9965" s="11" t="str">
        <f t="shared" si="483"/>
        <v/>
      </c>
    </row>
    <row r="9966" spans="9:14" x14ac:dyDescent="0.25">
      <c r="I9966" s="11" t="b">
        <f t="shared" si="484"/>
        <v>0</v>
      </c>
      <c r="M9966" s="17" t="str">
        <f t="shared" si="482"/>
        <v/>
      </c>
      <c r="N9966" s="11" t="str">
        <f t="shared" si="483"/>
        <v/>
      </c>
    </row>
    <row r="9967" spans="9:14" x14ac:dyDescent="0.25">
      <c r="I9967" s="11" t="b">
        <f t="shared" si="484"/>
        <v>0</v>
      </c>
      <c r="M9967" s="17" t="str">
        <f t="shared" si="482"/>
        <v/>
      </c>
      <c r="N9967" s="11" t="str">
        <f t="shared" si="483"/>
        <v/>
      </c>
    </row>
    <row r="9968" spans="9:14" x14ac:dyDescent="0.25">
      <c r="I9968" s="11" t="b">
        <f t="shared" si="484"/>
        <v>0</v>
      </c>
      <c r="M9968" s="17" t="str">
        <f t="shared" si="482"/>
        <v/>
      </c>
      <c r="N9968" s="11" t="str">
        <f t="shared" si="483"/>
        <v/>
      </c>
    </row>
    <row r="9969" spans="9:14" x14ac:dyDescent="0.25">
      <c r="I9969" s="11" t="b">
        <f t="shared" si="484"/>
        <v>0</v>
      </c>
      <c r="M9969" s="17" t="str">
        <f t="shared" si="482"/>
        <v/>
      </c>
      <c r="N9969" s="11" t="str">
        <f t="shared" si="483"/>
        <v/>
      </c>
    </row>
    <row r="9970" spans="9:14" x14ac:dyDescent="0.25">
      <c r="I9970" s="11" t="b">
        <f t="shared" si="484"/>
        <v>0</v>
      </c>
      <c r="M9970" s="17" t="str">
        <f t="shared" si="482"/>
        <v/>
      </c>
      <c r="N9970" s="11" t="str">
        <f t="shared" si="483"/>
        <v/>
      </c>
    </row>
    <row r="9971" spans="9:14" x14ac:dyDescent="0.25">
      <c r="I9971" s="11" t="b">
        <f t="shared" si="484"/>
        <v>0</v>
      </c>
      <c r="M9971" s="17" t="str">
        <f t="shared" si="482"/>
        <v/>
      </c>
      <c r="N9971" s="11" t="str">
        <f t="shared" si="483"/>
        <v/>
      </c>
    </row>
    <row r="9972" spans="9:14" x14ac:dyDescent="0.25">
      <c r="I9972" s="11" t="b">
        <f t="shared" si="484"/>
        <v>0</v>
      </c>
      <c r="M9972" s="17" t="str">
        <f t="shared" si="482"/>
        <v/>
      </c>
      <c r="N9972" s="11" t="str">
        <f t="shared" si="483"/>
        <v/>
      </c>
    </row>
    <row r="9973" spans="9:14" x14ac:dyDescent="0.25">
      <c r="I9973" s="11" t="b">
        <f t="shared" si="484"/>
        <v>0</v>
      </c>
      <c r="M9973" s="17" t="str">
        <f t="shared" si="482"/>
        <v/>
      </c>
      <c r="N9973" s="11" t="str">
        <f t="shared" si="483"/>
        <v/>
      </c>
    </row>
    <row r="9974" spans="9:14" x14ac:dyDescent="0.25">
      <c r="I9974" s="11" t="b">
        <f t="shared" si="484"/>
        <v>0</v>
      </c>
      <c r="M9974" s="17" t="str">
        <f t="shared" si="482"/>
        <v/>
      </c>
      <c r="N9974" s="11" t="str">
        <f t="shared" si="483"/>
        <v/>
      </c>
    </row>
    <row r="9975" spans="9:14" x14ac:dyDescent="0.25">
      <c r="I9975" s="11" t="b">
        <f t="shared" si="484"/>
        <v>0</v>
      </c>
      <c r="M9975" s="17" t="str">
        <f t="shared" si="482"/>
        <v/>
      </c>
      <c r="N9975" s="11" t="str">
        <f t="shared" si="483"/>
        <v/>
      </c>
    </row>
    <row r="9976" spans="9:14" x14ac:dyDescent="0.25">
      <c r="I9976" s="11" t="b">
        <f t="shared" si="484"/>
        <v>0</v>
      </c>
      <c r="M9976" s="17" t="str">
        <f t="shared" si="482"/>
        <v/>
      </c>
      <c r="N9976" s="11" t="str">
        <f t="shared" si="483"/>
        <v/>
      </c>
    </row>
    <row r="9977" spans="9:14" x14ac:dyDescent="0.25">
      <c r="I9977" s="11" t="b">
        <f t="shared" si="484"/>
        <v>0</v>
      </c>
      <c r="M9977" s="17" t="str">
        <f t="shared" si="482"/>
        <v/>
      </c>
      <c r="N9977" s="11" t="str">
        <f t="shared" si="483"/>
        <v/>
      </c>
    </row>
    <row r="9978" spans="9:14" x14ac:dyDescent="0.25">
      <c r="I9978" s="11" t="b">
        <f t="shared" si="484"/>
        <v>0</v>
      </c>
      <c r="M9978" s="17" t="str">
        <f t="shared" si="482"/>
        <v/>
      </c>
      <c r="N9978" s="11" t="str">
        <f t="shared" si="483"/>
        <v/>
      </c>
    </row>
    <row r="9979" spans="9:14" x14ac:dyDescent="0.25">
      <c r="I9979" s="11" t="b">
        <f t="shared" si="484"/>
        <v>0</v>
      </c>
      <c r="M9979" s="17" t="str">
        <f t="shared" si="482"/>
        <v/>
      </c>
      <c r="N9979" s="11" t="str">
        <f t="shared" si="483"/>
        <v/>
      </c>
    </row>
    <row r="9980" spans="9:14" x14ac:dyDescent="0.25">
      <c r="I9980" s="11" t="b">
        <f t="shared" si="484"/>
        <v>0</v>
      </c>
      <c r="M9980" s="17" t="str">
        <f t="shared" si="482"/>
        <v/>
      </c>
      <c r="N9980" s="11" t="str">
        <f t="shared" si="483"/>
        <v/>
      </c>
    </row>
    <row r="9981" spans="9:14" x14ac:dyDescent="0.25">
      <c r="I9981" s="11" t="b">
        <f t="shared" si="484"/>
        <v>0</v>
      </c>
      <c r="M9981" s="17" t="str">
        <f t="shared" si="482"/>
        <v/>
      </c>
      <c r="N9981" s="11" t="str">
        <f t="shared" si="483"/>
        <v/>
      </c>
    </row>
    <row r="9982" spans="9:14" x14ac:dyDescent="0.25">
      <c r="I9982" s="11" t="b">
        <f t="shared" si="484"/>
        <v>0</v>
      </c>
      <c r="M9982" s="17" t="str">
        <f t="shared" si="482"/>
        <v/>
      </c>
      <c r="N9982" s="11" t="str">
        <f t="shared" si="483"/>
        <v/>
      </c>
    </row>
    <row r="9983" spans="9:14" x14ac:dyDescent="0.25">
      <c r="I9983" s="11" t="b">
        <f t="shared" si="484"/>
        <v>0</v>
      </c>
      <c r="M9983" s="17" t="str">
        <f t="shared" si="482"/>
        <v/>
      </c>
      <c r="N9983" s="11" t="str">
        <f t="shared" si="483"/>
        <v/>
      </c>
    </row>
    <row r="9984" spans="9:14" x14ac:dyDescent="0.25">
      <c r="I9984" s="11" t="b">
        <f t="shared" si="484"/>
        <v>0</v>
      </c>
      <c r="M9984" s="17" t="str">
        <f t="shared" si="482"/>
        <v/>
      </c>
      <c r="N9984" s="11" t="str">
        <f t="shared" si="483"/>
        <v/>
      </c>
    </row>
    <row r="9985" spans="9:14" x14ac:dyDescent="0.25">
      <c r="I9985" s="11" t="b">
        <f t="shared" si="484"/>
        <v>0</v>
      </c>
      <c r="M9985" s="17" t="str">
        <f t="shared" ref="M9985:M10048" si="485">IF(B9985=0, "",M9984+ J9985-K9985)</f>
        <v/>
      </c>
      <c r="N9985" s="11" t="str">
        <f t="shared" ref="N9985:N10048" si="486">IF(B9985=0, "", MONTH(B9985))</f>
        <v/>
      </c>
    </row>
    <row r="9986" spans="9:14" x14ac:dyDescent="0.25">
      <c r="I9986" s="11" t="b">
        <f t="shared" si="484"/>
        <v>0</v>
      </c>
      <c r="M9986" s="17" t="str">
        <f t="shared" si="485"/>
        <v/>
      </c>
      <c r="N9986" s="11" t="str">
        <f t="shared" si="486"/>
        <v/>
      </c>
    </row>
    <row r="9987" spans="9:14" x14ac:dyDescent="0.25">
      <c r="I9987" s="11" t="b">
        <f t="shared" si="484"/>
        <v>0</v>
      </c>
      <c r="M9987" s="17" t="str">
        <f t="shared" si="485"/>
        <v/>
      </c>
      <c r="N9987" s="11" t="str">
        <f t="shared" si="486"/>
        <v/>
      </c>
    </row>
    <row r="9988" spans="9:14" x14ac:dyDescent="0.25">
      <c r="I9988" s="11" t="b">
        <f t="shared" si="484"/>
        <v>0</v>
      </c>
      <c r="M9988" s="17" t="str">
        <f t="shared" si="485"/>
        <v/>
      </c>
      <c r="N9988" s="11" t="str">
        <f t="shared" si="486"/>
        <v/>
      </c>
    </row>
    <row r="9989" spans="9:14" x14ac:dyDescent="0.25">
      <c r="I9989" s="11" t="b">
        <f t="shared" si="484"/>
        <v>0</v>
      </c>
      <c r="M9989" s="17" t="str">
        <f t="shared" si="485"/>
        <v/>
      </c>
      <c r="N9989" s="11" t="str">
        <f t="shared" si="486"/>
        <v/>
      </c>
    </row>
    <row r="9990" spans="9:14" x14ac:dyDescent="0.25">
      <c r="I9990" s="11" t="b">
        <f t="shared" si="484"/>
        <v>0</v>
      </c>
      <c r="M9990" s="17" t="str">
        <f t="shared" si="485"/>
        <v/>
      </c>
      <c r="N9990" s="11" t="str">
        <f t="shared" si="486"/>
        <v/>
      </c>
    </row>
    <row r="9991" spans="9:14" x14ac:dyDescent="0.25">
      <c r="I9991" s="11" t="b">
        <f t="shared" si="484"/>
        <v>0</v>
      </c>
      <c r="M9991" s="17" t="str">
        <f t="shared" si="485"/>
        <v/>
      </c>
      <c r="N9991" s="11" t="str">
        <f t="shared" si="486"/>
        <v/>
      </c>
    </row>
    <row r="9992" spans="9:14" x14ac:dyDescent="0.25">
      <c r="I9992" s="11" t="b">
        <f t="shared" si="484"/>
        <v>0</v>
      </c>
      <c r="M9992" s="17" t="str">
        <f t="shared" si="485"/>
        <v/>
      </c>
      <c r="N9992" s="11" t="str">
        <f t="shared" si="486"/>
        <v/>
      </c>
    </row>
    <row r="9993" spans="9:14" x14ac:dyDescent="0.25">
      <c r="I9993" s="11" t="b">
        <f t="shared" si="484"/>
        <v>0</v>
      </c>
      <c r="M9993" s="17" t="str">
        <f t="shared" si="485"/>
        <v/>
      </c>
      <c r="N9993" s="11" t="str">
        <f t="shared" si="486"/>
        <v/>
      </c>
    </row>
    <row r="9994" spans="9:14" x14ac:dyDescent="0.25">
      <c r="I9994" s="11" t="b">
        <f t="shared" si="484"/>
        <v>0</v>
      </c>
      <c r="M9994" s="17" t="str">
        <f t="shared" si="485"/>
        <v/>
      </c>
      <c r="N9994" s="11" t="str">
        <f t="shared" si="486"/>
        <v/>
      </c>
    </row>
    <row r="9995" spans="9:14" x14ac:dyDescent="0.25">
      <c r="I9995" s="11" t="b">
        <f t="shared" si="484"/>
        <v>0</v>
      </c>
      <c r="M9995" s="17" t="str">
        <f t="shared" si="485"/>
        <v/>
      </c>
      <c r="N9995" s="11" t="str">
        <f t="shared" si="486"/>
        <v/>
      </c>
    </row>
    <row r="9996" spans="9:14" x14ac:dyDescent="0.25">
      <c r="I9996" s="11" t="b">
        <f t="shared" si="484"/>
        <v>0</v>
      </c>
      <c r="M9996" s="17" t="str">
        <f t="shared" si="485"/>
        <v/>
      </c>
      <c r="N9996" s="11" t="str">
        <f t="shared" si="486"/>
        <v/>
      </c>
    </row>
    <row r="9997" spans="9:14" x14ac:dyDescent="0.25">
      <c r="I9997" s="11" t="b">
        <f t="shared" si="484"/>
        <v>0</v>
      </c>
      <c r="M9997" s="17" t="str">
        <f t="shared" si="485"/>
        <v/>
      </c>
      <c r="N9997" s="11" t="str">
        <f t="shared" si="486"/>
        <v/>
      </c>
    </row>
    <row r="9998" spans="9:14" x14ac:dyDescent="0.25">
      <c r="I9998" s="11" t="b">
        <f t="shared" si="484"/>
        <v>0</v>
      </c>
      <c r="M9998" s="17" t="str">
        <f t="shared" si="485"/>
        <v/>
      </c>
      <c r="N9998" s="11" t="str">
        <f t="shared" si="486"/>
        <v/>
      </c>
    </row>
    <row r="9999" spans="9:14" x14ac:dyDescent="0.25">
      <c r="I9999" s="11" t="b">
        <f t="shared" si="484"/>
        <v>0</v>
      </c>
      <c r="M9999" s="17" t="str">
        <f t="shared" si="485"/>
        <v/>
      </c>
      <c r="N9999" s="11" t="str">
        <f t="shared" si="486"/>
        <v/>
      </c>
    </row>
    <row r="10000" spans="9:14" x14ac:dyDescent="0.25">
      <c r="I10000" s="11" t="b">
        <f t="shared" si="484"/>
        <v>0</v>
      </c>
      <c r="M10000" s="17" t="str">
        <f t="shared" si="485"/>
        <v/>
      </c>
      <c r="N10000" s="11" t="str">
        <f t="shared" si="486"/>
        <v/>
      </c>
    </row>
    <row r="10001" spans="9:14" x14ac:dyDescent="0.25">
      <c r="I10001" s="11" t="b">
        <f t="shared" si="484"/>
        <v>0</v>
      </c>
      <c r="M10001" s="17" t="str">
        <f t="shared" si="485"/>
        <v/>
      </c>
      <c r="N10001" s="11" t="str">
        <f t="shared" si="486"/>
        <v/>
      </c>
    </row>
    <row r="10002" spans="9:14" x14ac:dyDescent="0.25">
      <c r="I10002" s="11" t="b">
        <f t="shared" si="484"/>
        <v>0</v>
      </c>
      <c r="M10002" s="17" t="str">
        <f t="shared" si="485"/>
        <v/>
      </c>
      <c r="N10002" s="11" t="str">
        <f t="shared" si="486"/>
        <v/>
      </c>
    </row>
    <row r="10003" spans="9:14" x14ac:dyDescent="0.25">
      <c r="I10003" s="11" t="b">
        <f t="shared" si="484"/>
        <v>0</v>
      </c>
      <c r="M10003" s="17" t="str">
        <f t="shared" si="485"/>
        <v/>
      </c>
      <c r="N10003" s="11" t="str">
        <f t="shared" si="486"/>
        <v/>
      </c>
    </row>
    <row r="10004" spans="9:14" x14ac:dyDescent="0.25">
      <c r="I10004" s="11" t="b">
        <f t="shared" si="484"/>
        <v>0</v>
      </c>
      <c r="M10004" s="17" t="str">
        <f t="shared" si="485"/>
        <v/>
      </c>
      <c r="N10004" s="11" t="str">
        <f t="shared" si="486"/>
        <v/>
      </c>
    </row>
    <row r="10005" spans="9:14" x14ac:dyDescent="0.25">
      <c r="I10005" s="11" t="b">
        <f t="shared" si="484"/>
        <v>0</v>
      </c>
      <c r="M10005" s="17" t="str">
        <f t="shared" si="485"/>
        <v/>
      </c>
      <c r="N10005" s="11" t="str">
        <f t="shared" si="486"/>
        <v/>
      </c>
    </row>
    <row r="10006" spans="9:14" x14ac:dyDescent="0.25">
      <c r="I10006" s="11" t="b">
        <f t="shared" si="484"/>
        <v>0</v>
      </c>
      <c r="M10006" s="17" t="str">
        <f t="shared" si="485"/>
        <v/>
      </c>
      <c r="N10006" s="11" t="str">
        <f t="shared" si="486"/>
        <v/>
      </c>
    </row>
    <row r="10007" spans="9:14" x14ac:dyDescent="0.25">
      <c r="I10007" s="11" t="b">
        <f t="shared" si="484"/>
        <v>0</v>
      </c>
      <c r="M10007" s="17" t="str">
        <f t="shared" si="485"/>
        <v/>
      </c>
      <c r="N10007" s="11" t="str">
        <f t="shared" si="486"/>
        <v/>
      </c>
    </row>
    <row r="10008" spans="9:14" x14ac:dyDescent="0.25">
      <c r="I10008" s="11" t="b">
        <f t="shared" si="484"/>
        <v>0</v>
      </c>
      <c r="M10008" s="17" t="str">
        <f t="shared" si="485"/>
        <v/>
      </c>
      <c r="N10008" s="11" t="str">
        <f t="shared" si="486"/>
        <v/>
      </c>
    </row>
    <row r="10009" spans="9:14" x14ac:dyDescent="0.25">
      <c r="I10009" s="11" t="b">
        <f t="shared" si="484"/>
        <v>0</v>
      </c>
      <c r="M10009" s="17" t="str">
        <f t="shared" si="485"/>
        <v/>
      </c>
      <c r="N10009" s="11" t="str">
        <f t="shared" si="486"/>
        <v/>
      </c>
    </row>
    <row r="10010" spans="9:14" x14ac:dyDescent="0.25">
      <c r="I10010" s="11" t="b">
        <f t="shared" si="484"/>
        <v>0</v>
      </c>
      <c r="M10010" s="17" t="str">
        <f t="shared" si="485"/>
        <v/>
      </c>
      <c r="N10010" s="11" t="str">
        <f t="shared" si="486"/>
        <v/>
      </c>
    </row>
    <row r="10011" spans="9:14" x14ac:dyDescent="0.25">
      <c r="I10011" s="11" t="b">
        <f t="shared" si="484"/>
        <v>0</v>
      </c>
      <c r="M10011" s="17" t="str">
        <f t="shared" si="485"/>
        <v/>
      </c>
      <c r="N10011" s="11" t="str">
        <f t="shared" si="486"/>
        <v/>
      </c>
    </row>
    <row r="10012" spans="9:14" x14ac:dyDescent="0.25">
      <c r="I10012" s="11" t="b">
        <f t="shared" si="484"/>
        <v>0</v>
      </c>
      <c r="M10012" s="17" t="str">
        <f t="shared" si="485"/>
        <v/>
      </c>
      <c r="N10012" s="11" t="str">
        <f t="shared" si="486"/>
        <v/>
      </c>
    </row>
    <row r="10013" spans="9:14" x14ac:dyDescent="0.25">
      <c r="I10013" s="11" t="b">
        <f t="shared" ref="I10013:I10076" si="487">IF(AND(G10013="MERCADO PAGO",A10013="FATURAMENTO"),1,IF(AND(OR(G10013="MERCADO PAGO",G10013="pix mercado pago",G10013= "débito automático mercado pago", G10013= "boleto mercado pago"),A10013="DESPESAS"),4,IF(AND(G10013="SAFRA",A10013="FATURAMENTO"),2,IF(AND(OR(G10013="SAFRA",G10013="PIX SAFRA", G10013="DÉBITO AUTOMÁTICO SAFRA", G10013= "BOLETO SAFRA", G10013= "transferência safra"), A10013="DESPESAS"),5,IF(AND(G10013="espécie",A10013="FATURAMENTO"),3,IF(AND(G10013="espécie",A10013="DESPESAS"),6))))))</f>
        <v>0</v>
      </c>
      <c r="M10013" s="17" t="str">
        <f t="shared" si="485"/>
        <v/>
      </c>
      <c r="N10013" s="11" t="str">
        <f t="shared" si="486"/>
        <v/>
      </c>
    </row>
    <row r="10014" spans="9:14" x14ac:dyDescent="0.25">
      <c r="I10014" s="11" t="b">
        <f t="shared" si="487"/>
        <v>0</v>
      </c>
      <c r="M10014" s="17" t="str">
        <f t="shared" si="485"/>
        <v/>
      </c>
      <c r="N10014" s="11" t="str">
        <f t="shared" si="486"/>
        <v/>
      </c>
    </row>
    <row r="10015" spans="9:14" x14ac:dyDescent="0.25">
      <c r="I10015" s="11" t="b">
        <f t="shared" si="487"/>
        <v>0</v>
      </c>
      <c r="M10015" s="17" t="str">
        <f t="shared" si="485"/>
        <v/>
      </c>
      <c r="N10015" s="11" t="str">
        <f t="shared" si="486"/>
        <v/>
      </c>
    </row>
    <row r="10016" spans="9:14" x14ac:dyDescent="0.25">
      <c r="I10016" s="11" t="b">
        <f t="shared" si="487"/>
        <v>0</v>
      </c>
      <c r="M10016" s="17" t="str">
        <f t="shared" si="485"/>
        <v/>
      </c>
      <c r="N10016" s="11" t="str">
        <f t="shared" si="486"/>
        <v/>
      </c>
    </row>
    <row r="10017" spans="9:14" x14ac:dyDescent="0.25">
      <c r="I10017" s="11" t="b">
        <f t="shared" si="487"/>
        <v>0</v>
      </c>
      <c r="M10017" s="17" t="str">
        <f t="shared" si="485"/>
        <v/>
      </c>
      <c r="N10017" s="11" t="str">
        <f t="shared" si="486"/>
        <v/>
      </c>
    </row>
    <row r="10018" spans="9:14" x14ac:dyDescent="0.25">
      <c r="I10018" s="11" t="b">
        <f t="shared" si="487"/>
        <v>0</v>
      </c>
      <c r="M10018" s="17" t="str">
        <f t="shared" si="485"/>
        <v/>
      </c>
      <c r="N10018" s="11" t="str">
        <f t="shared" si="486"/>
        <v/>
      </c>
    </row>
    <row r="10019" spans="9:14" x14ac:dyDescent="0.25">
      <c r="I10019" s="11" t="b">
        <f t="shared" si="487"/>
        <v>0</v>
      </c>
      <c r="M10019" s="17" t="str">
        <f t="shared" si="485"/>
        <v/>
      </c>
      <c r="N10019" s="11" t="str">
        <f t="shared" si="486"/>
        <v/>
      </c>
    </row>
    <row r="10020" spans="9:14" x14ac:dyDescent="0.25">
      <c r="I10020" s="11" t="b">
        <f t="shared" si="487"/>
        <v>0</v>
      </c>
      <c r="M10020" s="17" t="str">
        <f t="shared" si="485"/>
        <v/>
      </c>
      <c r="N10020" s="11" t="str">
        <f t="shared" si="486"/>
        <v/>
      </c>
    </row>
    <row r="10021" spans="9:14" x14ac:dyDescent="0.25">
      <c r="I10021" s="11" t="b">
        <f t="shared" si="487"/>
        <v>0</v>
      </c>
      <c r="M10021" s="17" t="str">
        <f t="shared" si="485"/>
        <v/>
      </c>
      <c r="N10021" s="11" t="str">
        <f t="shared" si="486"/>
        <v/>
      </c>
    </row>
    <row r="10022" spans="9:14" x14ac:dyDescent="0.25">
      <c r="I10022" s="11" t="b">
        <f t="shared" si="487"/>
        <v>0</v>
      </c>
      <c r="M10022" s="17" t="str">
        <f t="shared" si="485"/>
        <v/>
      </c>
      <c r="N10022" s="11" t="str">
        <f t="shared" si="486"/>
        <v/>
      </c>
    </row>
    <row r="10023" spans="9:14" x14ac:dyDescent="0.25">
      <c r="I10023" s="11" t="b">
        <f t="shared" si="487"/>
        <v>0</v>
      </c>
      <c r="M10023" s="17" t="str">
        <f t="shared" si="485"/>
        <v/>
      </c>
      <c r="N10023" s="11" t="str">
        <f t="shared" si="486"/>
        <v/>
      </c>
    </row>
    <row r="10024" spans="9:14" x14ac:dyDescent="0.25">
      <c r="I10024" s="11" t="b">
        <f t="shared" si="487"/>
        <v>0</v>
      </c>
      <c r="M10024" s="17" t="str">
        <f t="shared" si="485"/>
        <v/>
      </c>
      <c r="N10024" s="11" t="str">
        <f t="shared" si="486"/>
        <v/>
      </c>
    </row>
    <row r="10025" spans="9:14" x14ac:dyDescent="0.25">
      <c r="I10025" s="11" t="b">
        <f t="shared" si="487"/>
        <v>0</v>
      </c>
      <c r="M10025" s="17" t="str">
        <f t="shared" si="485"/>
        <v/>
      </c>
      <c r="N10025" s="11" t="str">
        <f t="shared" si="486"/>
        <v/>
      </c>
    </row>
    <row r="10026" spans="9:14" x14ac:dyDescent="0.25">
      <c r="I10026" s="11" t="b">
        <f t="shared" si="487"/>
        <v>0</v>
      </c>
      <c r="M10026" s="17" t="str">
        <f t="shared" si="485"/>
        <v/>
      </c>
      <c r="N10026" s="11" t="str">
        <f t="shared" si="486"/>
        <v/>
      </c>
    </row>
    <row r="10027" spans="9:14" x14ac:dyDescent="0.25">
      <c r="I10027" s="11" t="b">
        <f t="shared" si="487"/>
        <v>0</v>
      </c>
      <c r="M10027" s="17" t="str">
        <f t="shared" si="485"/>
        <v/>
      </c>
      <c r="N10027" s="11" t="str">
        <f t="shared" si="486"/>
        <v/>
      </c>
    </row>
    <row r="10028" spans="9:14" x14ac:dyDescent="0.25">
      <c r="I10028" s="11" t="b">
        <f t="shared" si="487"/>
        <v>0</v>
      </c>
      <c r="M10028" s="17" t="str">
        <f t="shared" si="485"/>
        <v/>
      </c>
      <c r="N10028" s="11" t="str">
        <f t="shared" si="486"/>
        <v/>
      </c>
    </row>
    <row r="10029" spans="9:14" x14ac:dyDescent="0.25">
      <c r="I10029" s="11" t="b">
        <f t="shared" si="487"/>
        <v>0</v>
      </c>
      <c r="M10029" s="17" t="str">
        <f t="shared" si="485"/>
        <v/>
      </c>
      <c r="N10029" s="11" t="str">
        <f t="shared" si="486"/>
        <v/>
      </c>
    </row>
    <row r="10030" spans="9:14" x14ac:dyDescent="0.25">
      <c r="I10030" s="11" t="b">
        <f t="shared" si="487"/>
        <v>0</v>
      </c>
      <c r="M10030" s="17" t="str">
        <f t="shared" si="485"/>
        <v/>
      </c>
      <c r="N10030" s="11" t="str">
        <f t="shared" si="486"/>
        <v/>
      </c>
    </row>
    <row r="10031" spans="9:14" x14ac:dyDescent="0.25">
      <c r="I10031" s="11" t="b">
        <f t="shared" si="487"/>
        <v>0</v>
      </c>
      <c r="M10031" s="17" t="str">
        <f t="shared" si="485"/>
        <v/>
      </c>
      <c r="N10031" s="11" t="str">
        <f t="shared" si="486"/>
        <v/>
      </c>
    </row>
    <row r="10032" spans="9:14" x14ac:dyDescent="0.25">
      <c r="I10032" s="11" t="b">
        <f t="shared" si="487"/>
        <v>0</v>
      </c>
      <c r="M10032" s="17" t="str">
        <f t="shared" si="485"/>
        <v/>
      </c>
      <c r="N10032" s="11" t="str">
        <f t="shared" si="486"/>
        <v/>
      </c>
    </row>
    <row r="10033" spans="9:14" x14ac:dyDescent="0.25">
      <c r="I10033" s="11" t="b">
        <f t="shared" si="487"/>
        <v>0</v>
      </c>
      <c r="M10033" s="17" t="str">
        <f t="shared" si="485"/>
        <v/>
      </c>
      <c r="N10033" s="11" t="str">
        <f t="shared" si="486"/>
        <v/>
      </c>
    </row>
    <row r="10034" spans="9:14" x14ac:dyDescent="0.25">
      <c r="I10034" s="11" t="b">
        <f t="shared" si="487"/>
        <v>0</v>
      </c>
      <c r="M10034" s="17" t="str">
        <f t="shared" si="485"/>
        <v/>
      </c>
      <c r="N10034" s="11" t="str">
        <f t="shared" si="486"/>
        <v/>
      </c>
    </row>
    <row r="10035" spans="9:14" x14ac:dyDescent="0.25">
      <c r="I10035" s="11" t="b">
        <f t="shared" si="487"/>
        <v>0</v>
      </c>
      <c r="M10035" s="17" t="str">
        <f t="shared" si="485"/>
        <v/>
      </c>
      <c r="N10035" s="11" t="str">
        <f t="shared" si="486"/>
        <v/>
      </c>
    </row>
    <row r="10036" spans="9:14" x14ac:dyDescent="0.25">
      <c r="I10036" s="11" t="b">
        <f t="shared" si="487"/>
        <v>0</v>
      </c>
      <c r="M10036" s="17" t="str">
        <f t="shared" si="485"/>
        <v/>
      </c>
      <c r="N10036" s="11" t="str">
        <f t="shared" si="486"/>
        <v/>
      </c>
    </row>
    <row r="10037" spans="9:14" x14ac:dyDescent="0.25">
      <c r="I10037" s="11" t="b">
        <f t="shared" si="487"/>
        <v>0</v>
      </c>
      <c r="M10037" s="17" t="str">
        <f t="shared" si="485"/>
        <v/>
      </c>
      <c r="N10037" s="11" t="str">
        <f t="shared" si="486"/>
        <v/>
      </c>
    </row>
    <row r="10038" spans="9:14" x14ac:dyDescent="0.25">
      <c r="I10038" s="11" t="b">
        <f t="shared" si="487"/>
        <v>0</v>
      </c>
      <c r="M10038" s="17" t="str">
        <f t="shared" si="485"/>
        <v/>
      </c>
      <c r="N10038" s="11" t="str">
        <f t="shared" si="486"/>
        <v/>
      </c>
    </row>
    <row r="10039" spans="9:14" x14ac:dyDescent="0.25">
      <c r="I10039" s="11" t="b">
        <f t="shared" si="487"/>
        <v>0</v>
      </c>
      <c r="M10039" s="17" t="str">
        <f t="shared" si="485"/>
        <v/>
      </c>
      <c r="N10039" s="11" t="str">
        <f t="shared" si="486"/>
        <v/>
      </c>
    </row>
    <row r="10040" spans="9:14" x14ac:dyDescent="0.25">
      <c r="I10040" s="11" t="b">
        <f t="shared" si="487"/>
        <v>0</v>
      </c>
      <c r="M10040" s="17" t="str">
        <f t="shared" si="485"/>
        <v/>
      </c>
      <c r="N10040" s="11" t="str">
        <f t="shared" si="486"/>
        <v/>
      </c>
    </row>
    <row r="10041" spans="9:14" x14ac:dyDescent="0.25">
      <c r="I10041" s="11" t="b">
        <f t="shared" si="487"/>
        <v>0</v>
      </c>
      <c r="M10041" s="17" t="str">
        <f t="shared" si="485"/>
        <v/>
      </c>
      <c r="N10041" s="11" t="str">
        <f t="shared" si="486"/>
        <v/>
      </c>
    </row>
    <row r="10042" spans="9:14" x14ac:dyDescent="0.25">
      <c r="I10042" s="11" t="b">
        <f t="shared" si="487"/>
        <v>0</v>
      </c>
      <c r="M10042" s="17" t="str">
        <f t="shared" si="485"/>
        <v/>
      </c>
      <c r="N10042" s="11" t="str">
        <f t="shared" si="486"/>
        <v/>
      </c>
    </row>
    <row r="10043" spans="9:14" x14ac:dyDescent="0.25">
      <c r="I10043" s="11" t="b">
        <f t="shared" si="487"/>
        <v>0</v>
      </c>
      <c r="M10043" s="17" t="str">
        <f t="shared" si="485"/>
        <v/>
      </c>
      <c r="N10043" s="11" t="str">
        <f t="shared" si="486"/>
        <v/>
      </c>
    </row>
    <row r="10044" spans="9:14" x14ac:dyDescent="0.25">
      <c r="I10044" s="11" t="b">
        <f t="shared" si="487"/>
        <v>0</v>
      </c>
      <c r="M10044" s="17" t="str">
        <f t="shared" si="485"/>
        <v/>
      </c>
      <c r="N10044" s="11" t="str">
        <f t="shared" si="486"/>
        <v/>
      </c>
    </row>
    <row r="10045" spans="9:14" x14ac:dyDescent="0.25">
      <c r="I10045" s="11" t="b">
        <f t="shared" si="487"/>
        <v>0</v>
      </c>
      <c r="M10045" s="17" t="str">
        <f t="shared" si="485"/>
        <v/>
      </c>
      <c r="N10045" s="11" t="str">
        <f t="shared" si="486"/>
        <v/>
      </c>
    </row>
    <row r="10046" spans="9:14" x14ac:dyDescent="0.25">
      <c r="I10046" s="11" t="b">
        <f t="shared" si="487"/>
        <v>0</v>
      </c>
      <c r="M10046" s="17" t="str">
        <f t="shared" si="485"/>
        <v/>
      </c>
      <c r="N10046" s="11" t="str">
        <f t="shared" si="486"/>
        <v/>
      </c>
    </row>
    <row r="10047" spans="9:14" x14ac:dyDescent="0.25">
      <c r="I10047" s="11" t="b">
        <f t="shared" si="487"/>
        <v>0</v>
      </c>
      <c r="M10047" s="17" t="str">
        <f t="shared" si="485"/>
        <v/>
      </c>
      <c r="N10047" s="11" t="str">
        <f t="shared" si="486"/>
        <v/>
      </c>
    </row>
    <row r="10048" spans="9:14" x14ac:dyDescent="0.25">
      <c r="I10048" s="11" t="b">
        <f t="shared" si="487"/>
        <v>0</v>
      </c>
      <c r="M10048" s="17" t="str">
        <f t="shared" si="485"/>
        <v/>
      </c>
      <c r="N10048" s="11" t="str">
        <f t="shared" si="486"/>
        <v/>
      </c>
    </row>
    <row r="10049" spans="9:14" x14ac:dyDescent="0.25">
      <c r="I10049" s="11" t="b">
        <f t="shared" si="487"/>
        <v>0</v>
      </c>
      <c r="M10049" s="17" t="str">
        <f t="shared" ref="M10049:M10112" si="488">IF(B10049=0, "",M10048+ J10049-K10049)</f>
        <v/>
      </c>
      <c r="N10049" s="11" t="str">
        <f t="shared" ref="N10049:N10112" si="489">IF(B10049=0, "", MONTH(B10049))</f>
        <v/>
      </c>
    </row>
    <row r="10050" spans="9:14" x14ac:dyDescent="0.25">
      <c r="I10050" s="11" t="b">
        <f t="shared" si="487"/>
        <v>0</v>
      </c>
      <c r="M10050" s="17" t="str">
        <f t="shared" si="488"/>
        <v/>
      </c>
      <c r="N10050" s="11" t="str">
        <f t="shared" si="489"/>
        <v/>
      </c>
    </row>
    <row r="10051" spans="9:14" x14ac:dyDescent="0.25">
      <c r="I10051" s="11" t="b">
        <f t="shared" si="487"/>
        <v>0</v>
      </c>
      <c r="M10051" s="17" t="str">
        <f t="shared" si="488"/>
        <v/>
      </c>
      <c r="N10051" s="11" t="str">
        <f t="shared" si="489"/>
        <v/>
      </c>
    </row>
    <row r="10052" spans="9:14" x14ac:dyDescent="0.25">
      <c r="I10052" s="11" t="b">
        <f t="shared" si="487"/>
        <v>0</v>
      </c>
      <c r="M10052" s="17" t="str">
        <f t="shared" si="488"/>
        <v/>
      </c>
      <c r="N10052" s="11" t="str">
        <f t="shared" si="489"/>
        <v/>
      </c>
    </row>
    <row r="10053" spans="9:14" x14ac:dyDescent="0.25">
      <c r="I10053" s="11" t="b">
        <f t="shared" si="487"/>
        <v>0</v>
      </c>
      <c r="M10053" s="17" t="str">
        <f t="shared" si="488"/>
        <v/>
      </c>
      <c r="N10053" s="11" t="str">
        <f t="shared" si="489"/>
        <v/>
      </c>
    </row>
    <row r="10054" spans="9:14" x14ac:dyDescent="0.25">
      <c r="I10054" s="11" t="b">
        <f t="shared" si="487"/>
        <v>0</v>
      </c>
      <c r="M10054" s="17" t="str">
        <f t="shared" si="488"/>
        <v/>
      </c>
      <c r="N10054" s="11" t="str">
        <f t="shared" si="489"/>
        <v/>
      </c>
    </row>
    <row r="10055" spans="9:14" x14ac:dyDescent="0.25">
      <c r="I10055" s="11" t="b">
        <f t="shared" si="487"/>
        <v>0</v>
      </c>
      <c r="M10055" s="17" t="str">
        <f t="shared" si="488"/>
        <v/>
      </c>
      <c r="N10055" s="11" t="str">
        <f t="shared" si="489"/>
        <v/>
      </c>
    </row>
    <row r="10056" spans="9:14" x14ac:dyDescent="0.25">
      <c r="I10056" s="11" t="b">
        <f t="shared" si="487"/>
        <v>0</v>
      </c>
      <c r="M10056" s="17" t="str">
        <f t="shared" si="488"/>
        <v/>
      </c>
      <c r="N10056" s="11" t="str">
        <f t="shared" si="489"/>
        <v/>
      </c>
    </row>
    <row r="10057" spans="9:14" x14ac:dyDescent="0.25">
      <c r="I10057" s="11" t="b">
        <f t="shared" si="487"/>
        <v>0</v>
      </c>
      <c r="M10057" s="17" t="str">
        <f t="shared" si="488"/>
        <v/>
      </c>
      <c r="N10057" s="11" t="str">
        <f t="shared" si="489"/>
        <v/>
      </c>
    </row>
    <row r="10058" spans="9:14" x14ac:dyDescent="0.25">
      <c r="I10058" s="11" t="b">
        <f t="shared" si="487"/>
        <v>0</v>
      </c>
      <c r="M10058" s="17" t="str">
        <f t="shared" si="488"/>
        <v/>
      </c>
      <c r="N10058" s="11" t="str">
        <f t="shared" si="489"/>
        <v/>
      </c>
    </row>
    <row r="10059" spans="9:14" x14ac:dyDescent="0.25">
      <c r="I10059" s="11" t="b">
        <f t="shared" si="487"/>
        <v>0</v>
      </c>
      <c r="M10059" s="17" t="str">
        <f t="shared" si="488"/>
        <v/>
      </c>
      <c r="N10059" s="11" t="str">
        <f t="shared" si="489"/>
        <v/>
      </c>
    </row>
    <row r="10060" spans="9:14" x14ac:dyDescent="0.25">
      <c r="I10060" s="11" t="b">
        <f t="shared" si="487"/>
        <v>0</v>
      </c>
      <c r="M10060" s="17" t="str">
        <f t="shared" si="488"/>
        <v/>
      </c>
      <c r="N10060" s="11" t="str">
        <f t="shared" si="489"/>
        <v/>
      </c>
    </row>
    <row r="10061" spans="9:14" x14ac:dyDescent="0.25">
      <c r="I10061" s="11" t="b">
        <f t="shared" si="487"/>
        <v>0</v>
      </c>
      <c r="M10061" s="17" t="str">
        <f t="shared" si="488"/>
        <v/>
      </c>
      <c r="N10061" s="11" t="str">
        <f t="shared" si="489"/>
        <v/>
      </c>
    </row>
    <row r="10062" spans="9:14" x14ac:dyDescent="0.25">
      <c r="I10062" s="11" t="b">
        <f t="shared" si="487"/>
        <v>0</v>
      </c>
      <c r="M10062" s="17" t="str">
        <f t="shared" si="488"/>
        <v/>
      </c>
      <c r="N10062" s="11" t="str">
        <f t="shared" si="489"/>
        <v/>
      </c>
    </row>
    <row r="10063" spans="9:14" x14ac:dyDescent="0.25">
      <c r="I10063" s="11" t="b">
        <f t="shared" si="487"/>
        <v>0</v>
      </c>
      <c r="M10063" s="17" t="str">
        <f t="shared" si="488"/>
        <v/>
      </c>
      <c r="N10063" s="11" t="str">
        <f t="shared" si="489"/>
        <v/>
      </c>
    </row>
    <row r="10064" spans="9:14" x14ac:dyDescent="0.25">
      <c r="I10064" s="11" t="b">
        <f t="shared" si="487"/>
        <v>0</v>
      </c>
      <c r="M10064" s="17" t="str">
        <f t="shared" si="488"/>
        <v/>
      </c>
      <c r="N10064" s="11" t="str">
        <f t="shared" si="489"/>
        <v/>
      </c>
    </row>
    <row r="10065" spans="9:14" x14ac:dyDescent="0.25">
      <c r="I10065" s="11" t="b">
        <f t="shared" si="487"/>
        <v>0</v>
      </c>
      <c r="M10065" s="17" t="str">
        <f t="shared" si="488"/>
        <v/>
      </c>
      <c r="N10065" s="11" t="str">
        <f t="shared" si="489"/>
        <v/>
      </c>
    </row>
    <row r="10066" spans="9:14" x14ac:dyDescent="0.25">
      <c r="I10066" s="11" t="b">
        <f t="shared" si="487"/>
        <v>0</v>
      </c>
      <c r="M10066" s="17" t="str">
        <f t="shared" si="488"/>
        <v/>
      </c>
      <c r="N10066" s="11" t="str">
        <f t="shared" si="489"/>
        <v/>
      </c>
    </row>
    <row r="10067" spans="9:14" x14ac:dyDescent="0.25">
      <c r="I10067" s="11" t="b">
        <f t="shared" si="487"/>
        <v>0</v>
      </c>
      <c r="M10067" s="17" t="str">
        <f t="shared" si="488"/>
        <v/>
      </c>
      <c r="N10067" s="11" t="str">
        <f t="shared" si="489"/>
        <v/>
      </c>
    </row>
    <row r="10068" spans="9:14" x14ac:dyDescent="0.25">
      <c r="I10068" s="11" t="b">
        <f t="shared" si="487"/>
        <v>0</v>
      </c>
      <c r="M10068" s="17" t="str">
        <f t="shared" si="488"/>
        <v/>
      </c>
      <c r="N10068" s="11" t="str">
        <f t="shared" si="489"/>
        <v/>
      </c>
    </row>
    <row r="10069" spans="9:14" x14ac:dyDescent="0.25">
      <c r="I10069" s="11" t="b">
        <f t="shared" si="487"/>
        <v>0</v>
      </c>
      <c r="M10069" s="17" t="str">
        <f t="shared" si="488"/>
        <v/>
      </c>
      <c r="N10069" s="11" t="str">
        <f t="shared" si="489"/>
        <v/>
      </c>
    </row>
    <row r="10070" spans="9:14" x14ac:dyDescent="0.25">
      <c r="I10070" s="11" t="b">
        <f t="shared" si="487"/>
        <v>0</v>
      </c>
      <c r="M10070" s="17" t="str">
        <f t="shared" si="488"/>
        <v/>
      </c>
      <c r="N10070" s="11" t="str">
        <f t="shared" si="489"/>
        <v/>
      </c>
    </row>
    <row r="10071" spans="9:14" x14ac:dyDescent="0.25">
      <c r="I10071" s="11" t="b">
        <f t="shared" si="487"/>
        <v>0</v>
      </c>
      <c r="M10071" s="17" t="str">
        <f t="shared" si="488"/>
        <v/>
      </c>
      <c r="N10071" s="11" t="str">
        <f t="shared" si="489"/>
        <v/>
      </c>
    </row>
    <row r="10072" spans="9:14" x14ac:dyDescent="0.25">
      <c r="I10072" s="11" t="b">
        <f t="shared" si="487"/>
        <v>0</v>
      </c>
      <c r="M10072" s="17" t="str">
        <f t="shared" si="488"/>
        <v/>
      </c>
      <c r="N10072" s="11" t="str">
        <f t="shared" si="489"/>
        <v/>
      </c>
    </row>
    <row r="10073" spans="9:14" x14ac:dyDescent="0.25">
      <c r="I10073" s="11" t="b">
        <f t="shared" si="487"/>
        <v>0</v>
      </c>
      <c r="M10073" s="17" t="str">
        <f t="shared" si="488"/>
        <v/>
      </c>
      <c r="N10073" s="11" t="str">
        <f t="shared" si="489"/>
        <v/>
      </c>
    </row>
    <row r="10074" spans="9:14" x14ac:dyDescent="0.25">
      <c r="I10074" s="11" t="b">
        <f t="shared" si="487"/>
        <v>0</v>
      </c>
      <c r="M10074" s="17" t="str">
        <f t="shared" si="488"/>
        <v/>
      </c>
      <c r="N10074" s="11" t="str">
        <f t="shared" si="489"/>
        <v/>
      </c>
    </row>
    <row r="10075" spans="9:14" x14ac:dyDescent="0.25">
      <c r="I10075" s="11" t="b">
        <f t="shared" si="487"/>
        <v>0</v>
      </c>
      <c r="M10075" s="17" t="str">
        <f t="shared" si="488"/>
        <v/>
      </c>
      <c r="N10075" s="11" t="str">
        <f t="shared" si="489"/>
        <v/>
      </c>
    </row>
    <row r="10076" spans="9:14" x14ac:dyDescent="0.25">
      <c r="I10076" s="11" t="b">
        <f t="shared" si="487"/>
        <v>0</v>
      </c>
      <c r="M10076" s="17" t="str">
        <f t="shared" si="488"/>
        <v/>
      </c>
      <c r="N10076" s="11" t="str">
        <f t="shared" si="489"/>
        <v/>
      </c>
    </row>
    <row r="10077" spans="9:14" x14ac:dyDescent="0.25">
      <c r="I10077" s="11" t="b">
        <f t="shared" ref="I10077:I10140" si="490">IF(AND(G10077="MERCADO PAGO",A10077="FATURAMENTO"),1,IF(AND(OR(G10077="MERCADO PAGO",G10077="pix mercado pago",G10077= "débito automático mercado pago", G10077= "boleto mercado pago"),A10077="DESPESAS"),4,IF(AND(G10077="SAFRA",A10077="FATURAMENTO"),2,IF(AND(OR(G10077="SAFRA",G10077="PIX SAFRA", G10077="DÉBITO AUTOMÁTICO SAFRA", G10077= "BOLETO SAFRA", G10077= "transferência safra"), A10077="DESPESAS"),5,IF(AND(G10077="espécie",A10077="FATURAMENTO"),3,IF(AND(G10077="espécie",A10077="DESPESAS"),6))))))</f>
        <v>0</v>
      </c>
      <c r="M10077" s="17" t="str">
        <f t="shared" si="488"/>
        <v/>
      </c>
      <c r="N10077" s="11" t="str">
        <f t="shared" si="489"/>
        <v/>
      </c>
    </row>
    <row r="10078" spans="9:14" x14ac:dyDescent="0.25">
      <c r="I10078" s="11" t="b">
        <f t="shared" si="490"/>
        <v>0</v>
      </c>
      <c r="M10078" s="17" t="str">
        <f t="shared" si="488"/>
        <v/>
      </c>
      <c r="N10078" s="11" t="str">
        <f t="shared" si="489"/>
        <v/>
      </c>
    </row>
    <row r="10079" spans="9:14" x14ac:dyDescent="0.25">
      <c r="I10079" s="11" t="b">
        <f t="shared" si="490"/>
        <v>0</v>
      </c>
      <c r="M10079" s="17" t="str">
        <f t="shared" si="488"/>
        <v/>
      </c>
      <c r="N10079" s="11" t="str">
        <f t="shared" si="489"/>
        <v/>
      </c>
    </row>
    <row r="10080" spans="9:14" x14ac:dyDescent="0.25">
      <c r="I10080" s="11" t="b">
        <f t="shared" si="490"/>
        <v>0</v>
      </c>
      <c r="M10080" s="17" t="str">
        <f t="shared" si="488"/>
        <v/>
      </c>
      <c r="N10080" s="11" t="str">
        <f t="shared" si="489"/>
        <v/>
      </c>
    </row>
    <row r="10081" spans="9:14" x14ac:dyDescent="0.25">
      <c r="I10081" s="11" t="b">
        <f t="shared" si="490"/>
        <v>0</v>
      </c>
      <c r="M10081" s="17" t="str">
        <f t="shared" si="488"/>
        <v/>
      </c>
      <c r="N10081" s="11" t="str">
        <f t="shared" si="489"/>
        <v/>
      </c>
    </row>
    <row r="10082" spans="9:14" x14ac:dyDescent="0.25">
      <c r="I10082" s="11" t="b">
        <f t="shared" si="490"/>
        <v>0</v>
      </c>
      <c r="M10082" s="17" t="str">
        <f t="shared" si="488"/>
        <v/>
      </c>
      <c r="N10082" s="11" t="str">
        <f t="shared" si="489"/>
        <v/>
      </c>
    </row>
    <row r="10083" spans="9:14" x14ac:dyDescent="0.25">
      <c r="I10083" s="11" t="b">
        <f t="shared" si="490"/>
        <v>0</v>
      </c>
      <c r="M10083" s="17" t="str">
        <f t="shared" si="488"/>
        <v/>
      </c>
      <c r="N10083" s="11" t="str">
        <f t="shared" si="489"/>
        <v/>
      </c>
    </row>
    <row r="10084" spans="9:14" x14ac:dyDescent="0.25">
      <c r="I10084" s="11" t="b">
        <f t="shared" si="490"/>
        <v>0</v>
      </c>
      <c r="M10084" s="17" t="str">
        <f t="shared" si="488"/>
        <v/>
      </c>
      <c r="N10084" s="11" t="str">
        <f t="shared" si="489"/>
        <v/>
      </c>
    </row>
    <row r="10085" spans="9:14" x14ac:dyDescent="0.25">
      <c r="I10085" s="11" t="b">
        <f t="shared" si="490"/>
        <v>0</v>
      </c>
      <c r="M10085" s="17" t="str">
        <f t="shared" si="488"/>
        <v/>
      </c>
      <c r="N10085" s="11" t="str">
        <f t="shared" si="489"/>
        <v/>
      </c>
    </row>
    <row r="10086" spans="9:14" x14ac:dyDescent="0.25">
      <c r="I10086" s="11" t="b">
        <f t="shared" si="490"/>
        <v>0</v>
      </c>
      <c r="M10086" s="17" t="str">
        <f t="shared" si="488"/>
        <v/>
      </c>
      <c r="N10086" s="11" t="str">
        <f t="shared" si="489"/>
        <v/>
      </c>
    </row>
    <row r="10087" spans="9:14" x14ac:dyDescent="0.25">
      <c r="I10087" s="11" t="b">
        <f t="shared" si="490"/>
        <v>0</v>
      </c>
      <c r="M10087" s="17" t="str">
        <f t="shared" si="488"/>
        <v/>
      </c>
      <c r="N10087" s="11" t="str">
        <f t="shared" si="489"/>
        <v/>
      </c>
    </row>
    <row r="10088" spans="9:14" x14ac:dyDescent="0.25">
      <c r="I10088" s="11" t="b">
        <f t="shared" si="490"/>
        <v>0</v>
      </c>
      <c r="M10088" s="17" t="str">
        <f t="shared" si="488"/>
        <v/>
      </c>
      <c r="N10088" s="11" t="str">
        <f t="shared" si="489"/>
        <v/>
      </c>
    </row>
    <row r="10089" spans="9:14" x14ac:dyDescent="0.25">
      <c r="I10089" s="11" t="b">
        <f t="shared" si="490"/>
        <v>0</v>
      </c>
      <c r="M10089" s="17" t="str">
        <f t="shared" si="488"/>
        <v/>
      </c>
      <c r="N10089" s="11" t="str">
        <f t="shared" si="489"/>
        <v/>
      </c>
    </row>
    <row r="10090" spans="9:14" x14ac:dyDescent="0.25">
      <c r="I10090" s="11" t="b">
        <f t="shared" si="490"/>
        <v>0</v>
      </c>
      <c r="M10090" s="17" t="str">
        <f t="shared" si="488"/>
        <v/>
      </c>
      <c r="N10090" s="11" t="str">
        <f t="shared" si="489"/>
        <v/>
      </c>
    </row>
    <row r="10091" spans="9:14" x14ac:dyDescent="0.25">
      <c r="I10091" s="11" t="b">
        <f t="shared" si="490"/>
        <v>0</v>
      </c>
      <c r="M10091" s="17" t="str">
        <f t="shared" si="488"/>
        <v/>
      </c>
      <c r="N10091" s="11" t="str">
        <f t="shared" si="489"/>
        <v/>
      </c>
    </row>
    <row r="10092" spans="9:14" x14ac:dyDescent="0.25">
      <c r="I10092" s="11" t="b">
        <f t="shared" si="490"/>
        <v>0</v>
      </c>
      <c r="M10092" s="17" t="str">
        <f t="shared" si="488"/>
        <v/>
      </c>
      <c r="N10092" s="11" t="str">
        <f t="shared" si="489"/>
        <v/>
      </c>
    </row>
    <row r="10093" spans="9:14" x14ac:dyDescent="0.25">
      <c r="I10093" s="11" t="b">
        <f t="shared" si="490"/>
        <v>0</v>
      </c>
      <c r="M10093" s="17" t="str">
        <f t="shared" si="488"/>
        <v/>
      </c>
      <c r="N10093" s="11" t="str">
        <f t="shared" si="489"/>
        <v/>
      </c>
    </row>
    <row r="10094" spans="9:14" x14ac:dyDescent="0.25">
      <c r="I10094" s="11" t="b">
        <f t="shared" si="490"/>
        <v>0</v>
      </c>
      <c r="M10094" s="17" t="str">
        <f t="shared" si="488"/>
        <v/>
      </c>
      <c r="N10094" s="11" t="str">
        <f t="shared" si="489"/>
        <v/>
      </c>
    </row>
    <row r="10095" spans="9:14" x14ac:dyDescent="0.25">
      <c r="I10095" s="11" t="b">
        <f t="shared" si="490"/>
        <v>0</v>
      </c>
      <c r="M10095" s="17" t="str">
        <f t="shared" si="488"/>
        <v/>
      </c>
      <c r="N10095" s="11" t="str">
        <f t="shared" si="489"/>
        <v/>
      </c>
    </row>
    <row r="10096" spans="9:14" x14ac:dyDescent="0.25">
      <c r="I10096" s="11" t="b">
        <f t="shared" si="490"/>
        <v>0</v>
      </c>
      <c r="M10096" s="17" t="str">
        <f t="shared" si="488"/>
        <v/>
      </c>
      <c r="N10096" s="11" t="str">
        <f t="shared" si="489"/>
        <v/>
      </c>
    </row>
    <row r="10097" spans="9:14" x14ac:dyDescent="0.25">
      <c r="I10097" s="11" t="b">
        <f t="shared" si="490"/>
        <v>0</v>
      </c>
      <c r="M10097" s="17" t="str">
        <f t="shared" si="488"/>
        <v/>
      </c>
      <c r="N10097" s="11" t="str">
        <f t="shared" si="489"/>
        <v/>
      </c>
    </row>
    <row r="10098" spans="9:14" x14ac:dyDescent="0.25">
      <c r="I10098" s="11" t="b">
        <f t="shared" si="490"/>
        <v>0</v>
      </c>
      <c r="M10098" s="17" t="str">
        <f t="shared" si="488"/>
        <v/>
      </c>
      <c r="N10098" s="11" t="str">
        <f t="shared" si="489"/>
        <v/>
      </c>
    </row>
    <row r="10099" spans="9:14" x14ac:dyDescent="0.25">
      <c r="I10099" s="11" t="b">
        <f t="shared" si="490"/>
        <v>0</v>
      </c>
      <c r="M10099" s="17" t="str">
        <f t="shared" si="488"/>
        <v/>
      </c>
      <c r="N10099" s="11" t="str">
        <f t="shared" si="489"/>
        <v/>
      </c>
    </row>
    <row r="10100" spans="9:14" x14ac:dyDescent="0.25">
      <c r="I10100" s="11" t="b">
        <f t="shared" si="490"/>
        <v>0</v>
      </c>
      <c r="M10100" s="17" t="str">
        <f t="shared" si="488"/>
        <v/>
      </c>
      <c r="N10100" s="11" t="str">
        <f t="shared" si="489"/>
        <v/>
      </c>
    </row>
    <row r="10101" spans="9:14" x14ac:dyDescent="0.25">
      <c r="I10101" s="11" t="b">
        <f t="shared" si="490"/>
        <v>0</v>
      </c>
      <c r="M10101" s="17" t="str">
        <f t="shared" si="488"/>
        <v/>
      </c>
      <c r="N10101" s="11" t="str">
        <f t="shared" si="489"/>
        <v/>
      </c>
    </row>
    <row r="10102" spans="9:14" x14ac:dyDescent="0.25">
      <c r="I10102" s="11" t="b">
        <f t="shared" si="490"/>
        <v>0</v>
      </c>
      <c r="M10102" s="17" t="str">
        <f t="shared" si="488"/>
        <v/>
      </c>
      <c r="N10102" s="11" t="str">
        <f t="shared" si="489"/>
        <v/>
      </c>
    </row>
    <row r="10103" spans="9:14" x14ac:dyDescent="0.25">
      <c r="I10103" s="11" t="b">
        <f t="shared" si="490"/>
        <v>0</v>
      </c>
      <c r="M10103" s="17" t="str">
        <f t="shared" si="488"/>
        <v/>
      </c>
      <c r="N10103" s="11" t="str">
        <f t="shared" si="489"/>
        <v/>
      </c>
    </row>
    <row r="10104" spans="9:14" x14ac:dyDescent="0.25">
      <c r="I10104" s="11" t="b">
        <f t="shared" si="490"/>
        <v>0</v>
      </c>
      <c r="M10104" s="17" t="str">
        <f t="shared" si="488"/>
        <v/>
      </c>
      <c r="N10104" s="11" t="str">
        <f t="shared" si="489"/>
        <v/>
      </c>
    </row>
    <row r="10105" spans="9:14" x14ac:dyDescent="0.25">
      <c r="I10105" s="11" t="b">
        <f t="shared" si="490"/>
        <v>0</v>
      </c>
      <c r="M10105" s="17" t="str">
        <f t="shared" si="488"/>
        <v/>
      </c>
      <c r="N10105" s="11" t="str">
        <f t="shared" si="489"/>
        <v/>
      </c>
    </row>
    <row r="10106" spans="9:14" x14ac:dyDescent="0.25">
      <c r="I10106" s="11" t="b">
        <f t="shared" si="490"/>
        <v>0</v>
      </c>
      <c r="M10106" s="17" t="str">
        <f t="shared" si="488"/>
        <v/>
      </c>
      <c r="N10106" s="11" t="str">
        <f t="shared" si="489"/>
        <v/>
      </c>
    </row>
    <row r="10107" spans="9:14" x14ac:dyDescent="0.25">
      <c r="I10107" s="11" t="b">
        <f t="shared" si="490"/>
        <v>0</v>
      </c>
      <c r="M10107" s="17" t="str">
        <f t="shared" si="488"/>
        <v/>
      </c>
      <c r="N10107" s="11" t="str">
        <f t="shared" si="489"/>
        <v/>
      </c>
    </row>
    <row r="10108" spans="9:14" x14ac:dyDescent="0.25">
      <c r="I10108" s="11" t="b">
        <f t="shared" si="490"/>
        <v>0</v>
      </c>
      <c r="M10108" s="17" t="str">
        <f t="shared" si="488"/>
        <v/>
      </c>
      <c r="N10108" s="11" t="str">
        <f t="shared" si="489"/>
        <v/>
      </c>
    </row>
    <row r="10109" spans="9:14" x14ac:dyDescent="0.25">
      <c r="I10109" s="11" t="b">
        <f t="shared" si="490"/>
        <v>0</v>
      </c>
      <c r="M10109" s="17" t="str">
        <f t="shared" si="488"/>
        <v/>
      </c>
      <c r="N10109" s="11" t="str">
        <f t="shared" si="489"/>
        <v/>
      </c>
    </row>
    <row r="10110" spans="9:14" x14ac:dyDescent="0.25">
      <c r="I10110" s="11" t="b">
        <f t="shared" si="490"/>
        <v>0</v>
      </c>
      <c r="M10110" s="17" t="str">
        <f t="shared" si="488"/>
        <v/>
      </c>
      <c r="N10110" s="11" t="str">
        <f t="shared" si="489"/>
        <v/>
      </c>
    </row>
    <row r="10111" spans="9:14" x14ac:dyDescent="0.25">
      <c r="I10111" s="11" t="b">
        <f t="shared" si="490"/>
        <v>0</v>
      </c>
      <c r="M10111" s="17" t="str">
        <f t="shared" si="488"/>
        <v/>
      </c>
      <c r="N10111" s="11" t="str">
        <f t="shared" si="489"/>
        <v/>
      </c>
    </row>
    <row r="10112" spans="9:14" x14ac:dyDescent="0.25">
      <c r="I10112" s="11" t="b">
        <f t="shared" si="490"/>
        <v>0</v>
      </c>
      <c r="M10112" s="17" t="str">
        <f t="shared" si="488"/>
        <v/>
      </c>
      <c r="N10112" s="11" t="str">
        <f t="shared" si="489"/>
        <v/>
      </c>
    </row>
    <row r="10113" spans="9:14" x14ac:dyDescent="0.25">
      <c r="I10113" s="11" t="b">
        <f t="shared" si="490"/>
        <v>0</v>
      </c>
      <c r="M10113" s="17" t="str">
        <f t="shared" ref="M10113:M10176" si="491">IF(B10113=0, "",M10112+ J10113-K10113)</f>
        <v/>
      </c>
      <c r="N10113" s="11" t="str">
        <f t="shared" ref="N10113:N10176" si="492">IF(B10113=0, "", MONTH(B10113))</f>
        <v/>
      </c>
    </row>
    <row r="10114" spans="9:14" x14ac:dyDescent="0.25">
      <c r="I10114" s="11" t="b">
        <f t="shared" si="490"/>
        <v>0</v>
      </c>
      <c r="M10114" s="17" t="str">
        <f t="shared" si="491"/>
        <v/>
      </c>
      <c r="N10114" s="11" t="str">
        <f t="shared" si="492"/>
        <v/>
      </c>
    </row>
    <row r="10115" spans="9:14" x14ac:dyDescent="0.25">
      <c r="I10115" s="11" t="b">
        <f t="shared" si="490"/>
        <v>0</v>
      </c>
      <c r="M10115" s="17" t="str">
        <f t="shared" si="491"/>
        <v/>
      </c>
      <c r="N10115" s="11" t="str">
        <f t="shared" si="492"/>
        <v/>
      </c>
    </row>
    <row r="10116" spans="9:14" x14ac:dyDescent="0.25">
      <c r="I10116" s="11" t="b">
        <f t="shared" si="490"/>
        <v>0</v>
      </c>
      <c r="M10116" s="17" t="str">
        <f t="shared" si="491"/>
        <v/>
      </c>
      <c r="N10116" s="11" t="str">
        <f t="shared" si="492"/>
        <v/>
      </c>
    </row>
    <row r="10117" spans="9:14" x14ac:dyDescent="0.25">
      <c r="I10117" s="11" t="b">
        <f t="shared" si="490"/>
        <v>0</v>
      </c>
      <c r="M10117" s="17" t="str">
        <f t="shared" si="491"/>
        <v/>
      </c>
      <c r="N10117" s="11" t="str">
        <f t="shared" si="492"/>
        <v/>
      </c>
    </row>
    <row r="10118" spans="9:14" x14ac:dyDescent="0.25">
      <c r="I10118" s="11" t="b">
        <f t="shared" si="490"/>
        <v>0</v>
      </c>
      <c r="M10118" s="17" t="str">
        <f t="shared" si="491"/>
        <v/>
      </c>
      <c r="N10118" s="11" t="str">
        <f t="shared" si="492"/>
        <v/>
      </c>
    </row>
    <row r="10119" spans="9:14" x14ac:dyDescent="0.25">
      <c r="I10119" s="11" t="b">
        <f t="shared" si="490"/>
        <v>0</v>
      </c>
      <c r="M10119" s="17" t="str">
        <f t="shared" si="491"/>
        <v/>
      </c>
      <c r="N10119" s="11" t="str">
        <f t="shared" si="492"/>
        <v/>
      </c>
    </row>
    <row r="10120" spans="9:14" x14ac:dyDescent="0.25">
      <c r="I10120" s="11" t="b">
        <f t="shared" si="490"/>
        <v>0</v>
      </c>
      <c r="M10120" s="17" t="str">
        <f t="shared" si="491"/>
        <v/>
      </c>
      <c r="N10120" s="11" t="str">
        <f t="shared" si="492"/>
        <v/>
      </c>
    </row>
    <row r="10121" spans="9:14" x14ac:dyDescent="0.25">
      <c r="I10121" s="11" t="b">
        <f t="shared" si="490"/>
        <v>0</v>
      </c>
      <c r="M10121" s="17" t="str">
        <f t="shared" si="491"/>
        <v/>
      </c>
      <c r="N10121" s="11" t="str">
        <f t="shared" si="492"/>
        <v/>
      </c>
    </row>
    <row r="10122" spans="9:14" x14ac:dyDescent="0.25">
      <c r="I10122" s="11" t="b">
        <f t="shared" si="490"/>
        <v>0</v>
      </c>
      <c r="M10122" s="17" t="str">
        <f t="shared" si="491"/>
        <v/>
      </c>
      <c r="N10122" s="11" t="str">
        <f t="shared" si="492"/>
        <v/>
      </c>
    </row>
    <row r="10123" spans="9:14" x14ac:dyDescent="0.25">
      <c r="I10123" s="11" t="b">
        <f t="shared" si="490"/>
        <v>0</v>
      </c>
      <c r="M10123" s="17" t="str">
        <f t="shared" si="491"/>
        <v/>
      </c>
      <c r="N10123" s="11" t="str">
        <f t="shared" si="492"/>
        <v/>
      </c>
    </row>
    <row r="10124" spans="9:14" x14ac:dyDescent="0.25">
      <c r="I10124" s="11" t="b">
        <f t="shared" si="490"/>
        <v>0</v>
      </c>
      <c r="M10124" s="17" t="str">
        <f t="shared" si="491"/>
        <v/>
      </c>
      <c r="N10124" s="11" t="str">
        <f t="shared" si="492"/>
        <v/>
      </c>
    </row>
    <row r="10125" spans="9:14" x14ac:dyDescent="0.25">
      <c r="I10125" s="11" t="b">
        <f t="shared" si="490"/>
        <v>0</v>
      </c>
      <c r="M10125" s="17" t="str">
        <f t="shared" si="491"/>
        <v/>
      </c>
      <c r="N10125" s="11" t="str">
        <f t="shared" si="492"/>
        <v/>
      </c>
    </row>
    <row r="10126" spans="9:14" x14ac:dyDescent="0.25">
      <c r="I10126" s="11" t="b">
        <f t="shared" si="490"/>
        <v>0</v>
      </c>
      <c r="M10126" s="17" t="str">
        <f t="shared" si="491"/>
        <v/>
      </c>
      <c r="N10126" s="11" t="str">
        <f t="shared" si="492"/>
        <v/>
      </c>
    </row>
    <row r="10127" spans="9:14" x14ac:dyDescent="0.25">
      <c r="I10127" s="11" t="b">
        <f t="shared" si="490"/>
        <v>0</v>
      </c>
      <c r="M10127" s="17" t="str">
        <f t="shared" si="491"/>
        <v/>
      </c>
      <c r="N10127" s="11" t="str">
        <f t="shared" si="492"/>
        <v/>
      </c>
    </row>
    <row r="10128" spans="9:14" x14ac:dyDescent="0.25">
      <c r="I10128" s="11" t="b">
        <f t="shared" si="490"/>
        <v>0</v>
      </c>
      <c r="M10128" s="17" t="str">
        <f t="shared" si="491"/>
        <v/>
      </c>
      <c r="N10128" s="11" t="str">
        <f t="shared" si="492"/>
        <v/>
      </c>
    </row>
    <row r="10129" spans="9:14" x14ac:dyDescent="0.25">
      <c r="I10129" s="11" t="b">
        <f t="shared" si="490"/>
        <v>0</v>
      </c>
      <c r="M10129" s="17" t="str">
        <f t="shared" si="491"/>
        <v/>
      </c>
      <c r="N10129" s="11" t="str">
        <f t="shared" si="492"/>
        <v/>
      </c>
    </row>
    <row r="10130" spans="9:14" x14ac:dyDescent="0.25">
      <c r="I10130" s="11" t="b">
        <f t="shared" si="490"/>
        <v>0</v>
      </c>
      <c r="M10130" s="17" t="str">
        <f t="shared" si="491"/>
        <v/>
      </c>
      <c r="N10130" s="11" t="str">
        <f t="shared" si="492"/>
        <v/>
      </c>
    </row>
    <row r="10131" spans="9:14" x14ac:dyDescent="0.25">
      <c r="I10131" s="11" t="b">
        <f t="shared" si="490"/>
        <v>0</v>
      </c>
      <c r="M10131" s="17" t="str">
        <f t="shared" si="491"/>
        <v/>
      </c>
      <c r="N10131" s="11" t="str">
        <f t="shared" si="492"/>
        <v/>
      </c>
    </row>
    <row r="10132" spans="9:14" x14ac:dyDescent="0.25">
      <c r="I10132" s="11" t="b">
        <f t="shared" si="490"/>
        <v>0</v>
      </c>
      <c r="M10132" s="17" t="str">
        <f t="shared" si="491"/>
        <v/>
      </c>
      <c r="N10132" s="11" t="str">
        <f t="shared" si="492"/>
        <v/>
      </c>
    </row>
    <row r="10133" spans="9:14" x14ac:dyDescent="0.25">
      <c r="I10133" s="11" t="b">
        <f t="shared" si="490"/>
        <v>0</v>
      </c>
      <c r="M10133" s="17" t="str">
        <f t="shared" si="491"/>
        <v/>
      </c>
      <c r="N10133" s="11" t="str">
        <f t="shared" si="492"/>
        <v/>
      </c>
    </row>
    <row r="10134" spans="9:14" x14ac:dyDescent="0.25">
      <c r="I10134" s="11" t="b">
        <f t="shared" si="490"/>
        <v>0</v>
      </c>
      <c r="M10134" s="17" t="str">
        <f t="shared" si="491"/>
        <v/>
      </c>
      <c r="N10134" s="11" t="str">
        <f t="shared" si="492"/>
        <v/>
      </c>
    </row>
    <row r="10135" spans="9:14" x14ac:dyDescent="0.25">
      <c r="I10135" s="11" t="b">
        <f t="shared" si="490"/>
        <v>0</v>
      </c>
      <c r="M10135" s="17" t="str">
        <f t="shared" si="491"/>
        <v/>
      </c>
      <c r="N10135" s="11" t="str">
        <f t="shared" si="492"/>
        <v/>
      </c>
    </row>
    <row r="10136" spans="9:14" x14ac:dyDescent="0.25">
      <c r="I10136" s="11" t="b">
        <f t="shared" si="490"/>
        <v>0</v>
      </c>
      <c r="M10136" s="17" t="str">
        <f t="shared" si="491"/>
        <v/>
      </c>
      <c r="N10136" s="11" t="str">
        <f t="shared" si="492"/>
        <v/>
      </c>
    </row>
    <row r="10137" spans="9:14" x14ac:dyDescent="0.25">
      <c r="I10137" s="11" t="b">
        <f t="shared" si="490"/>
        <v>0</v>
      </c>
      <c r="M10137" s="17" t="str">
        <f t="shared" si="491"/>
        <v/>
      </c>
      <c r="N10137" s="11" t="str">
        <f t="shared" si="492"/>
        <v/>
      </c>
    </row>
    <row r="10138" spans="9:14" x14ac:dyDescent="0.25">
      <c r="I10138" s="11" t="b">
        <f t="shared" si="490"/>
        <v>0</v>
      </c>
      <c r="M10138" s="17" t="str">
        <f t="shared" si="491"/>
        <v/>
      </c>
      <c r="N10138" s="11" t="str">
        <f t="shared" si="492"/>
        <v/>
      </c>
    </row>
    <row r="10139" spans="9:14" x14ac:dyDescent="0.25">
      <c r="I10139" s="11" t="b">
        <f t="shared" si="490"/>
        <v>0</v>
      </c>
      <c r="M10139" s="17" t="str">
        <f t="shared" si="491"/>
        <v/>
      </c>
      <c r="N10139" s="11" t="str">
        <f t="shared" si="492"/>
        <v/>
      </c>
    </row>
    <row r="10140" spans="9:14" x14ac:dyDescent="0.25">
      <c r="I10140" s="11" t="b">
        <f t="shared" si="490"/>
        <v>0</v>
      </c>
      <c r="M10140" s="17" t="str">
        <f t="shared" si="491"/>
        <v/>
      </c>
      <c r="N10140" s="11" t="str">
        <f t="shared" si="492"/>
        <v/>
      </c>
    </row>
    <row r="10141" spans="9:14" x14ac:dyDescent="0.25">
      <c r="I10141" s="11" t="b">
        <f t="shared" ref="I10141:I10204" si="493">IF(AND(G10141="MERCADO PAGO",A10141="FATURAMENTO"),1,IF(AND(OR(G10141="MERCADO PAGO",G10141="pix mercado pago",G10141= "débito automático mercado pago", G10141= "boleto mercado pago"),A10141="DESPESAS"),4,IF(AND(G10141="SAFRA",A10141="FATURAMENTO"),2,IF(AND(OR(G10141="SAFRA",G10141="PIX SAFRA", G10141="DÉBITO AUTOMÁTICO SAFRA", G10141= "BOLETO SAFRA", G10141= "transferência safra"), A10141="DESPESAS"),5,IF(AND(G10141="espécie",A10141="FATURAMENTO"),3,IF(AND(G10141="espécie",A10141="DESPESAS"),6))))))</f>
        <v>0</v>
      </c>
      <c r="M10141" s="17" t="str">
        <f t="shared" si="491"/>
        <v/>
      </c>
      <c r="N10141" s="11" t="str">
        <f t="shared" si="492"/>
        <v/>
      </c>
    </row>
    <row r="10142" spans="9:14" x14ac:dyDescent="0.25">
      <c r="I10142" s="11" t="b">
        <f t="shared" si="493"/>
        <v>0</v>
      </c>
      <c r="M10142" s="17" t="str">
        <f t="shared" si="491"/>
        <v/>
      </c>
      <c r="N10142" s="11" t="str">
        <f t="shared" si="492"/>
        <v/>
      </c>
    </row>
    <row r="10143" spans="9:14" x14ac:dyDescent="0.25">
      <c r="I10143" s="11" t="b">
        <f t="shared" si="493"/>
        <v>0</v>
      </c>
      <c r="M10143" s="17" t="str">
        <f t="shared" si="491"/>
        <v/>
      </c>
      <c r="N10143" s="11" t="str">
        <f t="shared" si="492"/>
        <v/>
      </c>
    </row>
    <row r="10144" spans="9:14" x14ac:dyDescent="0.25">
      <c r="I10144" s="11" t="b">
        <f t="shared" si="493"/>
        <v>0</v>
      </c>
      <c r="M10144" s="17" t="str">
        <f t="shared" si="491"/>
        <v/>
      </c>
      <c r="N10144" s="11" t="str">
        <f t="shared" si="492"/>
        <v/>
      </c>
    </row>
    <row r="10145" spans="9:14" x14ac:dyDescent="0.25">
      <c r="I10145" s="11" t="b">
        <f t="shared" si="493"/>
        <v>0</v>
      </c>
      <c r="M10145" s="17" t="str">
        <f t="shared" si="491"/>
        <v/>
      </c>
      <c r="N10145" s="11" t="str">
        <f t="shared" si="492"/>
        <v/>
      </c>
    </row>
    <row r="10146" spans="9:14" x14ac:dyDescent="0.25">
      <c r="I10146" s="11" t="b">
        <f t="shared" si="493"/>
        <v>0</v>
      </c>
      <c r="M10146" s="17" t="str">
        <f t="shared" si="491"/>
        <v/>
      </c>
      <c r="N10146" s="11" t="str">
        <f t="shared" si="492"/>
        <v/>
      </c>
    </row>
    <row r="10147" spans="9:14" x14ac:dyDescent="0.25">
      <c r="I10147" s="11" t="b">
        <f t="shared" si="493"/>
        <v>0</v>
      </c>
      <c r="M10147" s="17" t="str">
        <f t="shared" si="491"/>
        <v/>
      </c>
      <c r="N10147" s="11" t="str">
        <f t="shared" si="492"/>
        <v/>
      </c>
    </row>
    <row r="10148" spans="9:14" x14ac:dyDescent="0.25">
      <c r="I10148" s="11" t="b">
        <f t="shared" si="493"/>
        <v>0</v>
      </c>
      <c r="M10148" s="17" t="str">
        <f t="shared" si="491"/>
        <v/>
      </c>
      <c r="N10148" s="11" t="str">
        <f t="shared" si="492"/>
        <v/>
      </c>
    </row>
    <row r="10149" spans="9:14" x14ac:dyDescent="0.25">
      <c r="I10149" s="11" t="b">
        <f t="shared" si="493"/>
        <v>0</v>
      </c>
      <c r="M10149" s="17" t="str">
        <f t="shared" si="491"/>
        <v/>
      </c>
      <c r="N10149" s="11" t="str">
        <f t="shared" si="492"/>
        <v/>
      </c>
    </row>
    <row r="10150" spans="9:14" x14ac:dyDescent="0.25">
      <c r="I10150" s="11" t="b">
        <f t="shared" si="493"/>
        <v>0</v>
      </c>
      <c r="M10150" s="17" t="str">
        <f t="shared" si="491"/>
        <v/>
      </c>
      <c r="N10150" s="11" t="str">
        <f t="shared" si="492"/>
        <v/>
      </c>
    </row>
    <row r="10151" spans="9:14" x14ac:dyDescent="0.25">
      <c r="I10151" s="11" t="b">
        <f t="shared" si="493"/>
        <v>0</v>
      </c>
      <c r="M10151" s="17" t="str">
        <f t="shared" si="491"/>
        <v/>
      </c>
      <c r="N10151" s="11" t="str">
        <f t="shared" si="492"/>
        <v/>
      </c>
    </row>
    <row r="10152" spans="9:14" x14ac:dyDescent="0.25">
      <c r="I10152" s="11" t="b">
        <f t="shared" si="493"/>
        <v>0</v>
      </c>
      <c r="M10152" s="17" t="str">
        <f t="shared" si="491"/>
        <v/>
      </c>
      <c r="N10152" s="11" t="str">
        <f t="shared" si="492"/>
        <v/>
      </c>
    </row>
    <row r="10153" spans="9:14" x14ac:dyDescent="0.25">
      <c r="I10153" s="11" t="b">
        <f t="shared" si="493"/>
        <v>0</v>
      </c>
      <c r="M10153" s="17" t="str">
        <f t="shared" si="491"/>
        <v/>
      </c>
      <c r="N10153" s="11" t="str">
        <f t="shared" si="492"/>
        <v/>
      </c>
    </row>
    <row r="10154" spans="9:14" x14ac:dyDescent="0.25">
      <c r="I10154" s="11" t="b">
        <f t="shared" si="493"/>
        <v>0</v>
      </c>
      <c r="M10154" s="17" t="str">
        <f t="shared" si="491"/>
        <v/>
      </c>
      <c r="N10154" s="11" t="str">
        <f t="shared" si="492"/>
        <v/>
      </c>
    </row>
    <row r="10155" spans="9:14" x14ac:dyDescent="0.25">
      <c r="I10155" s="11" t="b">
        <f t="shared" si="493"/>
        <v>0</v>
      </c>
      <c r="M10155" s="17" t="str">
        <f t="shared" si="491"/>
        <v/>
      </c>
      <c r="N10155" s="11" t="str">
        <f t="shared" si="492"/>
        <v/>
      </c>
    </row>
    <row r="10156" spans="9:14" x14ac:dyDescent="0.25">
      <c r="I10156" s="11" t="b">
        <f t="shared" si="493"/>
        <v>0</v>
      </c>
      <c r="M10156" s="17" t="str">
        <f t="shared" si="491"/>
        <v/>
      </c>
      <c r="N10156" s="11" t="str">
        <f t="shared" si="492"/>
        <v/>
      </c>
    </row>
    <row r="10157" spans="9:14" x14ac:dyDescent="0.25">
      <c r="I10157" s="11" t="b">
        <f t="shared" si="493"/>
        <v>0</v>
      </c>
      <c r="M10157" s="17" t="str">
        <f t="shared" si="491"/>
        <v/>
      </c>
      <c r="N10157" s="11" t="str">
        <f t="shared" si="492"/>
        <v/>
      </c>
    </row>
    <row r="10158" spans="9:14" x14ac:dyDescent="0.25">
      <c r="I10158" s="11" t="b">
        <f t="shared" si="493"/>
        <v>0</v>
      </c>
      <c r="M10158" s="17" t="str">
        <f t="shared" si="491"/>
        <v/>
      </c>
      <c r="N10158" s="11" t="str">
        <f t="shared" si="492"/>
        <v/>
      </c>
    </row>
    <row r="10159" spans="9:14" x14ac:dyDescent="0.25">
      <c r="I10159" s="11" t="b">
        <f t="shared" si="493"/>
        <v>0</v>
      </c>
      <c r="M10159" s="17" t="str">
        <f t="shared" si="491"/>
        <v/>
      </c>
      <c r="N10159" s="11" t="str">
        <f t="shared" si="492"/>
        <v/>
      </c>
    </row>
    <row r="10160" spans="9:14" x14ac:dyDescent="0.25">
      <c r="I10160" s="11" t="b">
        <f t="shared" si="493"/>
        <v>0</v>
      </c>
      <c r="M10160" s="17" t="str">
        <f t="shared" si="491"/>
        <v/>
      </c>
      <c r="N10160" s="11" t="str">
        <f t="shared" si="492"/>
        <v/>
      </c>
    </row>
    <row r="10161" spans="9:14" x14ac:dyDescent="0.25">
      <c r="I10161" s="11" t="b">
        <f t="shared" si="493"/>
        <v>0</v>
      </c>
      <c r="M10161" s="17" t="str">
        <f t="shared" si="491"/>
        <v/>
      </c>
      <c r="N10161" s="11" t="str">
        <f t="shared" si="492"/>
        <v/>
      </c>
    </row>
    <row r="10162" spans="9:14" x14ac:dyDescent="0.25">
      <c r="I10162" s="11" t="b">
        <f t="shared" si="493"/>
        <v>0</v>
      </c>
      <c r="M10162" s="17" t="str">
        <f t="shared" si="491"/>
        <v/>
      </c>
      <c r="N10162" s="11" t="str">
        <f t="shared" si="492"/>
        <v/>
      </c>
    </row>
    <row r="10163" spans="9:14" x14ac:dyDescent="0.25">
      <c r="I10163" s="11" t="b">
        <f t="shared" si="493"/>
        <v>0</v>
      </c>
      <c r="M10163" s="17" t="str">
        <f t="shared" si="491"/>
        <v/>
      </c>
      <c r="N10163" s="11" t="str">
        <f t="shared" si="492"/>
        <v/>
      </c>
    </row>
    <row r="10164" spans="9:14" x14ac:dyDescent="0.25">
      <c r="I10164" s="11" t="b">
        <f t="shared" si="493"/>
        <v>0</v>
      </c>
      <c r="M10164" s="17" t="str">
        <f t="shared" si="491"/>
        <v/>
      </c>
      <c r="N10164" s="11" t="str">
        <f t="shared" si="492"/>
        <v/>
      </c>
    </row>
    <row r="10165" spans="9:14" x14ac:dyDescent="0.25">
      <c r="I10165" s="11" t="b">
        <f t="shared" si="493"/>
        <v>0</v>
      </c>
      <c r="M10165" s="17" t="str">
        <f t="shared" si="491"/>
        <v/>
      </c>
      <c r="N10165" s="11" t="str">
        <f t="shared" si="492"/>
        <v/>
      </c>
    </row>
    <row r="10166" spans="9:14" x14ac:dyDescent="0.25">
      <c r="I10166" s="11" t="b">
        <f t="shared" si="493"/>
        <v>0</v>
      </c>
      <c r="M10166" s="17" t="str">
        <f t="shared" si="491"/>
        <v/>
      </c>
      <c r="N10166" s="11" t="str">
        <f t="shared" si="492"/>
        <v/>
      </c>
    </row>
    <row r="10167" spans="9:14" x14ac:dyDescent="0.25">
      <c r="I10167" s="11" t="b">
        <f t="shared" si="493"/>
        <v>0</v>
      </c>
      <c r="M10167" s="17" t="str">
        <f t="shared" si="491"/>
        <v/>
      </c>
      <c r="N10167" s="11" t="str">
        <f t="shared" si="492"/>
        <v/>
      </c>
    </row>
    <row r="10168" spans="9:14" x14ac:dyDescent="0.25">
      <c r="I10168" s="11" t="b">
        <f t="shared" si="493"/>
        <v>0</v>
      </c>
      <c r="M10168" s="17" t="str">
        <f t="shared" si="491"/>
        <v/>
      </c>
      <c r="N10168" s="11" t="str">
        <f t="shared" si="492"/>
        <v/>
      </c>
    </row>
    <row r="10169" spans="9:14" x14ac:dyDescent="0.25">
      <c r="I10169" s="11" t="b">
        <f t="shared" si="493"/>
        <v>0</v>
      </c>
      <c r="M10169" s="17" t="str">
        <f t="shared" si="491"/>
        <v/>
      </c>
      <c r="N10169" s="11" t="str">
        <f t="shared" si="492"/>
        <v/>
      </c>
    </row>
    <row r="10170" spans="9:14" x14ac:dyDescent="0.25">
      <c r="I10170" s="11" t="b">
        <f t="shared" si="493"/>
        <v>0</v>
      </c>
      <c r="M10170" s="17" t="str">
        <f t="shared" si="491"/>
        <v/>
      </c>
      <c r="N10170" s="11" t="str">
        <f t="shared" si="492"/>
        <v/>
      </c>
    </row>
    <row r="10171" spans="9:14" x14ac:dyDescent="0.25">
      <c r="I10171" s="11" t="b">
        <f t="shared" si="493"/>
        <v>0</v>
      </c>
      <c r="M10171" s="17" t="str">
        <f t="shared" si="491"/>
        <v/>
      </c>
      <c r="N10171" s="11" t="str">
        <f t="shared" si="492"/>
        <v/>
      </c>
    </row>
    <row r="10172" spans="9:14" x14ac:dyDescent="0.25">
      <c r="I10172" s="11" t="b">
        <f t="shared" si="493"/>
        <v>0</v>
      </c>
      <c r="M10172" s="17" t="str">
        <f t="shared" si="491"/>
        <v/>
      </c>
      <c r="N10172" s="11" t="str">
        <f t="shared" si="492"/>
        <v/>
      </c>
    </row>
    <row r="10173" spans="9:14" x14ac:dyDescent="0.25">
      <c r="I10173" s="11" t="b">
        <f t="shared" si="493"/>
        <v>0</v>
      </c>
      <c r="M10173" s="17" t="str">
        <f t="shared" si="491"/>
        <v/>
      </c>
      <c r="N10173" s="11" t="str">
        <f t="shared" si="492"/>
        <v/>
      </c>
    </row>
    <row r="10174" spans="9:14" x14ac:dyDescent="0.25">
      <c r="I10174" s="11" t="b">
        <f t="shared" si="493"/>
        <v>0</v>
      </c>
      <c r="M10174" s="17" t="str">
        <f t="shared" si="491"/>
        <v/>
      </c>
      <c r="N10174" s="11" t="str">
        <f t="shared" si="492"/>
        <v/>
      </c>
    </row>
    <row r="10175" spans="9:14" x14ac:dyDescent="0.25">
      <c r="I10175" s="11" t="b">
        <f t="shared" si="493"/>
        <v>0</v>
      </c>
      <c r="M10175" s="17" t="str">
        <f t="shared" si="491"/>
        <v/>
      </c>
      <c r="N10175" s="11" t="str">
        <f t="shared" si="492"/>
        <v/>
      </c>
    </row>
    <row r="10176" spans="9:14" x14ac:dyDescent="0.25">
      <c r="I10176" s="11" t="b">
        <f t="shared" si="493"/>
        <v>0</v>
      </c>
      <c r="M10176" s="17" t="str">
        <f t="shared" si="491"/>
        <v/>
      </c>
      <c r="N10176" s="11" t="str">
        <f t="shared" si="492"/>
        <v/>
      </c>
    </row>
    <row r="10177" spans="9:14" x14ac:dyDescent="0.25">
      <c r="I10177" s="11" t="b">
        <f t="shared" si="493"/>
        <v>0</v>
      </c>
      <c r="M10177" s="17" t="str">
        <f t="shared" ref="M10177:M10240" si="494">IF(B10177=0, "",M10176+ J10177-K10177)</f>
        <v/>
      </c>
      <c r="N10177" s="11" t="str">
        <f t="shared" ref="N10177:N10240" si="495">IF(B10177=0, "", MONTH(B10177))</f>
        <v/>
      </c>
    </row>
    <row r="10178" spans="9:14" x14ac:dyDescent="0.25">
      <c r="I10178" s="11" t="b">
        <f t="shared" si="493"/>
        <v>0</v>
      </c>
      <c r="M10178" s="17" t="str">
        <f t="shared" si="494"/>
        <v/>
      </c>
      <c r="N10178" s="11" t="str">
        <f t="shared" si="495"/>
        <v/>
      </c>
    </row>
    <row r="10179" spans="9:14" x14ac:dyDescent="0.25">
      <c r="I10179" s="11" t="b">
        <f t="shared" si="493"/>
        <v>0</v>
      </c>
      <c r="M10179" s="17" t="str">
        <f t="shared" si="494"/>
        <v/>
      </c>
      <c r="N10179" s="11" t="str">
        <f t="shared" si="495"/>
        <v/>
      </c>
    </row>
    <row r="10180" spans="9:14" x14ac:dyDescent="0.25">
      <c r="I10180" s="11" t="b">
        <f t="shared" si="493"/>
        <v>0</v>
      </c>
      <c r="M10180" s="17" t="str">
        <f t="shared" si="494"/>
        <v/>
      </c>
      <c r="N10180" s="11" t="str">
        <f t="shared" si="495"/>
        <v/>
      </c>
    </row>
    <row r="10181" spans="9:14" x14ac:dyDescent="0.25">
      <c r="I10181" s="11" t="b">
        <f t="shared" si="493"/>
        <v>0</v>
      </c>
      <c r="M10181" s="17" t="str">
        <f t="shared" si="494"/>
        <v/>
      </c>
      <c r="N10181" s="11" t="str">
        <f t="shared" si="495"/>
        <v/>
      </c>
    </row>
    <row r="10182" spans="9:14" x14ac:dyDescent="0.25">
      <c r="I10182" s="11" t="b">
        <f t="shared" si="493"/>
        <v>0</v>
      </c>
      <c r="M10182" s="17" t="str">
        <f t="shared" si="494"/>
        <v/>
      </c>
      <c r="N10182" s="11" t="str">
        <f t="shared" si="495"/>
        <v/>
      </c>
    </row>
    <row r="10183" spans="9:14" x14ac:dyDescent="0.25">
      <c r="I10183" s="11" t="b">
        <f t="shared" si="493"/>
        <v>0</v>
      </c>
      <c r="M10183" s="17" t="str">
        <f t="shared" si="494"/>
        <v/>
      </c>
      <c r="N10183" s="11" t="str">
        <f t="shared" si="495"/>
        <v/>
      </c>
    </row>
    <row r="10184" spans="9:14" x14ac:dyDescent="0.25">
      <c r="I10184" s="11" t="b">
        <f t="shared" si="493"/>
        <v>0</v>
      </c>
      <c r="M10184" s="17" t="str">
        <f t="shared" si="494"/>
        <v/>
      </c>
      <c r="N10184" s="11" t="str">
        <f t="shared" si="495"/>
        <v/>
      </c>
    </row>
    <row r="10185" spans="9:14" x14ac:dyDescent="0.25">
      <c r="I10185" s="11" t="b">
        <f t="shared" si="493"/>
        <v>0</v>
      </c>
      <c r="M10185" s="17" t="str">
        <f t="shared" si="494"/>
        <v/>
      </c>
      <c r="N10185" s="11" t="str">
        <f t="shared" si="495"/>
        <v/>
      </c>
    </row>
    <row r="10186" spans="9:14" x14ac:dyDescent="0.25">
      <c r="I10186" s="11" t="b">
        <f t="shared" si="493"/>
        <v>0</v>
      </c>
      <c r="M10186" s="17" t="str">
        <f t="shared" si="494"/>
        <v/>
      </c>
      <c r="N10186" s="11" t="str">
        <f t="shared" si="495"/>
        <v/>
      </c>
    </row>
    <row r="10187" spans="9:14" x14ac:dyDescent="0.25">
      <c r="I10187" s="11" t="b">
        <f t="shared" si="493"/>
        <v>0</v>
      </c>
      <c r="M10187" s="17" t="str">
        <f t="shared" si="494"/>
        <v/>
      </c>
      <c r="N10187" s="11" t="str">
        <f t="shared" si="495"/>
        <v/>
      </c>
    </row>
    <row r="10188" spans="9:14" x14ac:dyDescent="0.25">
      <c r="I10188" s="11" t="b">
        <f t="shared" si="493"/>
        <v>0</v>
      </c>
      <c r="M10188" s="17" t="str">
        <f t="shared" si="494"/>
        <v/>
      </c>
      <c r="N10188" s="11" t="str">
        <f t="shared" si="495"/>
        <v/>
      </c>
    </row>
    <row r="10189" spans="9:14" x14ac:dyDescent="0.25">
      <c r="I10189" s="11" t="b">
        <f t="shared" si="493"/>
        <v>0</v>
      </c>
      <c r="M10189" s="17" t="str">
        <f t="shared" si="494"/>
        <v/>
      </c>
      <c r="N10189" s="11" t="str">
        <f t="shared" si="495"/>
        <v/>
      </c>
    </row>
    <row r="10190" spans="9:14" x14ac:dyDescent="0.25">
      <c r="I10190" s="11" t="b">
        <f t="shared" si="493"/>
        <v>0</v>
      </c>
      <c r="M10190" s="17" t="str">
        <f t="shared" si="494"/>
        <v/>
      </c>
      <c r="N10190" s="11" t="str">
        <f t="shared" si="495"/>
        <v/>
      </c>
    </row>
    <row r="10191" spans="9:14" x14ac:dyDescent="0.25">
      <c r="I10191" s="11" t="b">
        <f t="shared" si="493"/>
        <v>0</v>
      </c>
      <c r="M10191" s="17" t="str">
        <f t="shared" si="494"/>
        <v/>
      </c>
      <c r="N10191" s="11" t="str">
        <f t="shared" si="495"/>
        <v/>
      </c>
    </row>
    <row r="10192" spans="9:14" x14ac:dyDescent="0.25">
      <c r="I10192" s="11" t="b">
        <f t="shared" si="493"/>
        <v>0</v>
      </c>
      <c r="M10192" s="17" t="str">
        <f t="shared" si="494"/>
        <v/>
      </c>
      <c r="N10192" s="11" t="str">
        <f t="shared" si="495"/>
        <v/>
      </c>
    </row>
    <row r="10193" spans="9:14" x14ac:dyDescent="0.25">
      <c r="I10193" s="11" t="b">
        <f t="shared" si="493"/>
        <v>0</v>
      </c>
      <c r="M10193" s="17" t="str">
        <f t="shared" si="494"/>
        <v/>
      </c>
      <c r="N10193" s="11" t="str">
        <f t="shared" si="495"/>
        <v/>
      </c>
    </row>
    <row r="10194" spans="9:14" x14ac:dyDescent="0.25">
      <c r="I10194" s="11" t="b">
        <f t="shared" si="493"/>
        <v>0</v>
      </c>
      <c r="M10194" s="17" t="str">
        <f t="shared" si="494"/>
        <v/>
      </c>
      <c r="N10194" s="11" t="str">
        <f t="shared" si="495"/>
        <v/>
      </c>
    </row>
    <row r="10195" spans="9:14" x14ac:dyDescent="0.25">
      <c r="I10195" s="11" t="b">
        <f t="shared" si="493"/>
        <v>0</v>
      </c>
      <c r="M10195" s="17" t="str">
        <f t="shared" si="494"/>
        <v/>
      </c>
      <c r="N10195" s="11" t="str">
        <f t="shared" si="495"/>
        <v/>
      </c>
    </row>
    <row r="10196" spans="9:14" x14ac:dyDescent="0.25">
      <c r="I10196" s="11" t="b">
        <f t="shared" si="493"/>
        <v>0</v>
      </c>
      <c r="M10196" s="17" t="str">
        <f t="shared" si="494"/>
        <v/>
      </c>
      <c r="N10196" s="11" t="str">
        <f t="shared" si="495"/>
        <v/>
      </c>
    </row>
    <row r="10197" spans="9:14" x14ac:dyDescent="0.25">
      <c r="I10197" s="11" t="b">
        <f t="shared" si="493"/>
        <v>0</v>
      </c>
      <c r="M10197" s="17" t="str">
        <f t="shared" si="494"/>
        <v/>
      </c>
      <c r="N10197" s="11" t="str">
        <f t="shared" si="495"/>
        <v/>
      </c>
    </row>
    <row r="10198" spans="9:14" x14ac:dyDescent="0.25">
      <c r="I10198" s="11" t="b">
        <f t="shared" si="493"/>
        <v>0</v>
      </c>
      <c r="M10198" s="17" t="str">
        <f t="shared" si="494"/>
        <v/>
      </c>
      <c r="N10198" s="11" t="str">
        <f t="shared" si="495"/>
        <v/>
      </c>
    </row>
    <row r="10199" spans="9:14" x14ac:dyDescent="0.25">
      <c r="I10199" s="11" t="b">
        <f t="shared" si="493"/>
        <v>0</v>
      </c>
      <c r="M10199" s="17" t="str">
        <f t="shared" si="494"/>
        <v/>
      </c>
      <c r="N10199" s="11" t="str">
        <f t="shared" si="495"/>
        <v/>
      </c>
    </row>
    <row r="10200" spans="9:14" x14ac:dyDescent="0.25">
      <c r="I10200" s="11" t="b">
        <f t="shared" si="493"/>
        <v>0</v>
      </c>
      <c r="M10200" s="17" t="str">
        <f t="shared" si="494"/>
        <v/>
      </c>
      <c r="N10200" s="11" t="str">
        <f t="shared" si="495"/>
        <v/>
      </c>
    </row>
    <row r="10201" spans="9:14" x14ac:dyDescent="0.25">
      <c r="I10201" s="11" t="b">
        <f t="shared" si="493"/>
        <v>0</v>
      </c>
      <c r="M10201" s="17" t="str">
        <f t="shared" si="494"/>
        <v/>
      </c>
      <c r="N10201" s="11" t="str">
        <f t="shared" si="495"/>
        <v/>
      </c>
    </row>
    <row r="10202" spans="9:14" x14ac:dyDescent="0.25">
      <c r="I10202" s="11" t="b">
        <f t="shared" si="493"/>
        <v>0</v>
      </c>
      <c r="M10202" s="17" t="str">
        <f t="shared" si="494"/>
        <v/>
      </c>
      <c r="N10202" s="11" t="str">
        <f t="shared" si="495"/>
        <v/>
      </c>
    </row>
    <row r="10203" spans="9:14" x14ac:dyDescent="0.25">
      <c r="I10203" s="11" t="b">
        <f t="shared" si="493"/>
        <v>0</v>
      </c>
      <c r="M10203" s="17" t="str">
        <f t="shared" si="494"/>
        <v/>
      </c>
      <c r="N10203" s="11" t="str">
        <f t="shared" si="495"/>
        <v/>
      </c>
    </row>
    <row r="10204" spans="9:14" x14ac:dyDescent="0.25">
      <c r="I10204" s="11" t="b">
        <f t="shared" si="493"/>
        <v>0</v>
      </c>
      <c r="M10204" s="17" t="str">
        <f t="shared" si="494"/>
        <v/>
      </c>
      <c r="N10204" s="11" t="str">
        <f t="shared" si="495"/>
        <v/>
      </c>
    </row>
    <row r="10205" spans="9:14" x14ac:dyDescent="0.25">
      <c r="I10205" s="11" t="b">
        <f t="shared" ref="I10205:I10268" si="496">IF(AND(G10205="MERCADO PAGO",A10205="FATURAMENTO"),1,IF(AND(OR(G10205="MERCADO PAGO",G10205="pix mercado pago",G10205= "débito automático mercado pago", G10205= "boleto mercado pago"),A10205="DESPESAS"),4,IF(AND(G10205="SAFRA",A10205="FATURAMENTO"),2,IF(AND(OR(G10205="SAFRA",G10205="PIX SAFRA", G10205="DÉBITO AUTOMÁTICO SAFRA", G10205= "BOLETO SAFRA", G10205= "transferência safra"), A10205="DESPESAS"),5,IF(AND(G10205="espécie",A10205="FATURAMENTO"),3,IF(AND(G10205="espécie",A10205="DESPESAS"),6))))))</f>
        <v>0</v>
      </c>
      <c r="M10205" s="17" t="str">
        <f t="shared" si="494"/>
        <v/>
      </c>
      <c r="N10205" s="11" t="str">
        <f t="shared" si="495"/>
        <v/>
      </c>
    </row>
    <row r="10206" spans="9:14" x14ac:dyDescent="0.25">
      <c r="I10206" s="11" t="b">
        <f t="shared" si="496"/>
        <v>0</v>
      </c>
      <c r="M10206" s="17" t="str">
        <f t="shared" si="494"/>
        <v/>
      </c>
      <c r="N10206" s="11" t="str">
        <f t="shared" si="495"/>
        <v/>
      </c>
    </row>
    <row r="10207" spans="9:14" x14ac:dyDescent="0.25">
      <c r="I10207" s="11" t="b">
        <f t="shared" si="496"/>
        <v>0</v>
      </c>
      <c r="M10207" s="17" t="str">
        <f t="shared" si="494"/>
        <v/>
      </c>
      <c r="N10207" s="11" t="str">
        <f t="shared" si="495"/>
        <v/>
      </c>
    </row>
    <row r="10208" spans="9:14" x14ac:dyDescent="0.25">
      <c r="I10208" s="11" t="b">
        <f t="shared" si="496"/>
        <v>0</v>
      </c>
      <c r="M10208" s="17" t="str">
        <f t="shared" si="494"/>
        <v/>
      </c>
      <c r="N10208" s="11" t="str">
        <f t="shared" si="495"/>
        <v/>
      </c>
    </row>
    <row r="10209" spans="9:14" x14ac:dyDescent="0.25">
      <c r="I10209" s="11" t="b">
        <f t="shared" si="496"/>
        <v>0</v>
      </c>
      <c r="M10209" s="17" t="str">
        <f t="shared" si="494"/>
        <v/>
      </c>
      <c r="N10209" s="11" t="str">
        <f t="shared" si="495"/>
        <v/>
      </c>
    </row>
    <row r="10210" spans="9:14" x14ac:dyDescent="0.25">
      <c r="I10210" s="11" t="b">
        <f t="shared" si="496"/>
        <v>0</v>
      </c>
      <c r="M10210" s="17" t="str">
        <f t="shared" si="494"/>
        <v/>
      </c>
      <c r="N10210" s="11" t="str">
        <f t="shared" si="495"/>
        <v/>
      </c>
    </row>
    <row r="10211" spans="9:14" x14ac:dyDescent="0.25">
      <c r="I10211" s="11" t="b">
        <f t="shared" si="496"/>
        <v>0</v>
      </c>
      <c r="M10211" s="17" t="str">
        <f t="shared" si="494"/>
        <v/>
      </c>
      <c r="N10211" s="11" t="str">
        <f t="shared" si="495"/>
        <v/>
      </c>
    </row>
    <row r="10212" spans="9:14" x14ac:dyDescent="0.25">
      <c r="I10212" s="11" t="b">
        <f t="shared" si="496"/>
        <v>0</v>
      </c>
      <c r="M10212" s="17" t="str">
        <f t="shared" si="494"/>
        <v/>
      </c>
      <c r="N10212" s="11" t="str">
        <f t="shared" si="495"/>
        <v/>
      </c>
    </row>
    <row r="10213" spans="9:14" x14ac:dyDescent="0.25">
      <c r="I10213" s="11" t="b">
        <f t="shared" si="496"/>
        <v>0</v>
      </c>
      <c r="M10213" s="17" t="str">
        <f t="shared" si="494"/>
        <v/>
      </c>
      <c r="N10213" s="11" t="str">
        <f t="shared" si="495"/>
        <v/>
      </c>
    </row>
    <row r="10214" spans="9:14" x14ac:dyDescent="0.25">
      <c r="I10214" s="11" t="b">
        <f t="shared" si="496"/>
        <v>0</v>
      </c>
      <c r="M10214" s="17" t="str">
        <f t="shared" si="494"/>
        <v/>
      </c>
      <c r="N10214" s="11" t="str">
        <f t="shared" si="495"/>
        <v/>
      </c>
    </row>
    <row r="10215" spans="9:14" x14ac:dyDescent="0.25">
      <c r="I10215" s="11" t="b">
        <f t="shared" si="496"/>
        <v>0</v>
      </c>
      <c r="M10215" s="17" t="str">
        <f t="shared" si="494"/>
        <v/>
      </c>
      <c r="N10215" s="11" t="str">
        <f t="shared" si="495"/>
        <v/>
      </c>
    </row>
    <row r="10216" spans="9:14" x14ac:dyDescent="0.25">
      <c r="I10216" s="11" t="b">
        <f t="shared" si="496"/>
        <v>0</v>
      </c>
      <c r="M10216" s="17" t="str">
        <f t="shared" si="494"/>
        <v/>
      </c>
      <c r="N10216" s="11" t="str">
        <f t="shared" si="495"/>
        <v/>
      </c>
    </row>
    <row r="10217" spans="9:14" x14ac:dyDescent="0.25">
      <c r="I10217" s="11" t="b">
        <f t="shared" si="496"/>
        <v>0</v>
      </c>
      <c r="M10217" s="17" t="str">
        <f t="shared" si="494"/>
        <v/>
      </c>
      <c r="N10217" s="11" t="str">
        <f t="shared" si="495"/>
        <v/>
      </c>
    </row>
    <row r="10218" spans="9:14" x14ac:dyDescent="0.25">
      <c r="I10218" s="11" t="b">
        <f t="shared" si="496"/>
        <v>0</v>
      </c>
      <c r="M10218" s="17" t="str">
        <f t="shared" si="494"/>
        <v/>
      </c>
      <c r="N10218" s="11" t="str">
        <f t="shared" si="495"/>
        <v/>
      </c>
    </row>
    <row r="10219" spans="9:14" x14ac:dyDescent="0.25">
      <c r="I10219" s="11" t="b">
        <f t="shared" si="496"/>
        <v>0</v>
      </c>
      <c r="M10219" s="17" t="str">
        <f t="shared" si="494"/>
        <v/>
      </c>
      <c r="N10219" s="11" t="str">
        <f t="shared" si="495"/>
        <v/>
      </c>
    </row>
    <row r="10220" spans="9:14" x14ac:dyDescent="0.25">
      <c r="I10220" s="11" t="b">
        <f t="shared" si="496"/>
        <v>0</v>
      </c>
      <c r="M10220" s="17" t="str">
        <f t="shared" si="494"/>
        <v/>
      </c>
      <c r="N10220" s="11" t="str">
        <f t="shared" si="495"/>
        <v/>
      </c>
    </row>
    <row r="10221" spans="9:14" x14ac:dyDescent="0.25">
      <c r="I10221" s="11" t="b">
        <f t="shared" si="496"/>
        <v>0</v>
      </c>
      <c r="M10221" s="17" t="str">
        <f t="shared" si="494"/>
        <v/>
      </c>
      <c r="N10221" s="11" t="str">
        <f t="shared" si="495"/>
        <v/>
      </c>
    </row>
    <row r="10222" spans="9:14" x14ac:dyDescent="0.25">
      <c r="I10222" s="11" t="b">
        <f t="shared" si="496"/>
        <v>0</v>
      </c>
      <c r="M10222" s="17" t="str">
        <f t="shared" si="494"/>
        <v/>
      </c>
      <c r="N10222" s="11" t="str">
        <f t="shared" si="495"/>
        <v/>
      </c>
    </row>
    <row r="10223" spans="9:14" x14ac:dyDescent="0.25">
      <c r="I10223" s="11" t="b">
        <f t="shared" si="496"/>
        <v>0</v>
      </c>
      <c r="M10223" s="17" t="str">
        <f t="shared" si="494"/>
        <v/>
      </c>
      <c r="N10223" s="11" t="str">
        <f t="shared" si="495"/>
        <v/>
      </c>
    </row>
    <row r="10224" spans="9:14" x14ac:dyDescent="0.25">
      <c r="I10224" s="11" t="b">
        <f t="shared" si="496"/>
        <v>0</v>
      </c>
      <c r="M10224" s="17" t="str">
        <f t="shared" si="494"/>
        <v/>
      </c>
      <c r="N10224" s="11" t="str">
        <f t="shared" si="495"/>
        <v/>
      </c>
    </row>
    <row r="10225" spans="9:14" x14ac:dyDescent="0.25">
      <c r="I10225" s="11" t="b">
        <f t="shared" si="496"/>
        <v>0</v>
      </c>
      <c r="M10225" s="17" t="str">
        <f t="shared" si="494"/>
        <v/>
      </c>
      <c r="N10225" s="11" t="str">
        <f t="shared" si="495"/>
        <v/>
      </c>
    </row>
    <row r="10226" spans="9:14" x14ac:dyDescent="0.25">
      <c r="I10226" s="11" t="b">
        <f t="shared" si="496"/>
        <v>0</v>
      </c>
      <c r="M10226" s="17" t="str">
        <f t="shared" si="494"/>
        <v/>
      </c>
      <c r="N10226" s="11" t="str">
        <f t="shared" si="495"/>
        <v/>
      </c>
    </row>
    <row r="10227" spans="9:14" x14ac:dyDescent="0.25">
      <c r="I10227" s="11" t="b">
        <f t="shared" si="496"/>
        <v>0</v>
      </c>
      <c r="M10227" s="17" t="str">
        <f t="shared" si="494"/>
        <v/>
      </c>
      <c r="N10227" s="11" t="str">
        <f t="shared" si="495"/>
        <v/>
      </c>
    </row>
    <row r="10228" spans="9:14" x14ac:dyDescent="0.25">
      <c r="I10228" s="11" t="b">
        <f t="shared" si="496"/>
        <v>0</v>
      </c>
      <c r="M10228" s="17" t="str">
        <f t="shared" si="494"/>
        <v/>
      </c>
      <c r="N10228" s="11" t="str">
        <f t="shared" si="495"/>
        <v/>
      </c>
    </row>
    <row r="10229" spans="9:14" x14ac:dyDescent="0.25">
      <c r="I10229" s="11" t="b">
        <f t="shared" si="496"/>
        <v>0</v>
      </c>
      <c r="M10229" s="17" t="str">
        <f t="shared" si="494"/>
        <v/>
      </c>
      <c r="N10229" s="11" t="str">
        <f t="shared" si="495"/>
        <v/>
      </c>
    </row>
    <row r="10230" spans="9:14" x14ac:dyDescent="0.25">
      <c r="I10230" s="11" t="b">
        <f t="shared" si="496"/>
        <v>0</v>
      </c>
      <c r="M10230" s="17" t="str">
        <f t="shared" si="494"/>
        <v/>
      </c>
      <c r="N10230" s="11" t="str">
        <f t="shared" si="495"/>
        <v/>
      </c>
    </row>
    <row r="10231" spans="9:14" x14ac:dyDescent="0.25">
      <c r="I10231" s="11" t="b">
        <f t="shared" si="496"/>
        <v>0</v>
      </c>
      <c r="M10231" s="17" t="str">
        <f t="shared" si="494"/>
        <v/>
      </c>
      <c r="N10231" s="11" t="str">
        <f t="shared" si="495"/>
        <v/>
      </c>
    </row>
    <row r="10232" spans="9:14" x14ac:dyDescent="0.25">
      <c r="I10232" s="11" t="b">
        <f t="shared" si="496"/>
        <v>0</v>
      </c>
      <c r="M10232" s="17" t="str">
        <f t="shared" si="494"/>
        <v/>
      </c>
      <c r="N10232" s="11" t="str">
        <f t="shared" si="495"/>
        <v/>
      </c>
    </row>
    <row r="10233" spans="9:14" x14ac:dyDescent="0.25">
      <c r="I10233" s="11" t="b">
        <f t="shared" si="496"/>
        <v>0</v>
      </c>
      <c r="M10233" s="17" t="str">
        <f t="shared" si="494"/>
        <v/>
      </c>
      <c r="N10233" s="11" t="str">
        <f t="shared" si="495"/>
        <v/>
      </c>
    </row>
    <row r="10234" spans="9:14" x14ac:dyDescent="0.25">
      <c r="I10234" s="11" t="b">
        <f t="shared" si="496"/>
        <v>0</v>
      </c>
      <c r="M10234" s="17" t="str">
        <f t="shared" si="494"/>
        <v/>
      </c>
      <c r="N10234" s="11" t="str">
        <f t="shared" si="495"/>
        <v/>
      </c>
    </row>
    <row r="10235" spans="9:14" x14ac:dyDescent="0.25">
      <c r="I10235" s="11" t="b">
        <f t="shared" si="496"/>
        <v>0</v>
      </c>
      <c r="M10235" s="17" t="str">
        <f t="shared" si="494"/>
        <v/>
      </c>
      <c r="N10235" s="11" t="str">
        <f t="shared" si="495"/>
        <v/>
      </c>
    </row>
    <row r="10236" spans="9:14" x14ac:dyDescent="0.25">
      <c r="I10236" s="11" t="b">
        <f t="shared" si="496"/>
        <v>0</v>
      </c>
      <c r="M10236" s="17" t="str">
        <f t="shared" si="494"/>
        <v/>
      </c>
      <c r="N10236" s="11" t="str">
        <f t="shared" si="495"/>
        <v/>
      </c>
    </row>
    <row r="10237" spans="9:14" x14ac:dyDescent="0.25">
      <c r="I10237" s="11" t="b">
        <f t="shared" si="496"/>
        <v>0</v>
      </c>
      <c r="M10237" s="17" t="str">
        <f t="shared" si="494"/>
        <v/>
      </c>
      <c r="N10237" s="11" t="str">
        <f t="shared" si="495"/>
        <v/>
      </c>
    </row>
    <row r="10238" spans="9:14" x14ac:dyDescent="0.25">
      <c r="I10238" s="11" t="b">
        <f t="shared" si="496"/>
        <v>0</v>
      </c>
      <c r="M10238" s="17" t="str">
        <f t="shared" si="494"/>
        <v/>
      </c>
      <c r="N10238" s="11" t="str">
        <f t="shared" si="495"/>
        <v/>
      </c>
    </row>
    <row r="10239" spans="9:14" x14ac:dyDescent="0.25">
      <c r="I10239" s="11" t="b">
        <f t="shared" si="496"/>
        <v>0</v>
      </c>
      <c r="M10239" s="17" t="str">
        <f t="shared" si="494"/>
        <v/>
      </c>
      <c r="N10239" s="11" t="str">
        <f t="shared" si="495"/>
        <v/>
      </c>
    </row>
    <row r="10240" spans="9:14" x14ac:dyDescent="0.25">
      <c r="I10240" s="11" t="b">
        <f t="shared" si="496"/>
        <v>0</v>
      </c>
      <c r="M10240" s="17" t="str">
        <f t="shared" si="494"/>
        <v/>
      </c>
      <c r="N10240" s="11" t="str">
        <f t="shared" si="495"/>
        <v/>
      </c>
    </row>
    <row r="10241" spans="9:14" x14ac:dyDescent="0.25">
      <c r="I10241" s="11" t="b">
        <f t="shared" si="496"/>
        <v>0</v>
      </c>
      <c r="M10241" s="17" t="str">
        <f t="shared" ref="M10241:M10304" si="497">IF(B10241=0, "",M10240+ J10241-K10241)</f>
        <v/>
      </c>
      <c r="N10241" s="11" t="str">
        <f t="shared" ref="N10241:N10304" si="498">IF(B10241=0, "", MONTH(B10241))</f>
        <v/>
      </c>
    </row>
    <row r="10242" spans="9:14" x14ac:dyDescent="0.25">
      <c r="I10242" s="11" t="b">
        <f t="shared" si="496"/>
        <v>0</v>
      </c>
      <c r="M10242" s="17" t="str">
        <f t="shared" si="497"/>
        <v/>
      </c>
      <c r="N10242" s="11" t="str">
        <f t="shared" si="498"/>
        <v/>
      </c>
    </row>
    <row r="10243" spans="9:14" x14ac:dyDescent="0.25">
      <c r="I10243" s="11" t="b">
        <f t="shared" si="496"/>
        <v>0</v>
      </c>
      <c r="M10243" s="17" t="str">
        <f t="shared" si="497"/>
        <v/>
      </c>
      <c r="N10243" s="11" t="str">
        <f t="shared" si="498"/>
        <v/>
      </c>
    </row>
    <row r="10244" spans="9:14" x14ac:dyDescent="0.25">
      <c r="I10244" s="11" t="b">
        <f t="shared" si="496"/>
        <v>0</v>
      </c>
      <c r="M10244" s="17" t="str">
        <f t="shared" si="497"/>
        <v/>
      </c>
      <c r="N10244" s="11" t="str">
        <f t="shared" si="498"/>
        <v/>
      </c>
    </row>
    <row r="10245" spans="9:14" x14ac:dyDescent="0.25">
      <c r="I10245" s="11" t="b">
        <f t="shared" si="496"/>
        <v>0</v>
      </c>
      <c r="M10245" s="17" t="str">
        <f t="shared" si="497"/>
        <v/>
      </c>
      <c r="N10245" s="11" t="str">
        <f t="shared" si="498"/>
        <v/>
      </c>
    </row>
    <row r="10246" spans="9:14" x14ac:dyDescent="0.25">
      <c r="I10246" s="11" t="b">
        <f t="shared" si="496"/>
        <v>0</v>
      </c>
      <c r="M10246" s="17" t="str">
        <f t="shared" si="497"/>
        <v/>
      </c>
      <c r="N10246" s="11" t="str">
        <f t="shared" si="498"/>
        <v/>
      </c>
    </row>
    <row r="10247" spans="9:14" x14ac:dyDescent="0.25">
      <c r="I10247" s="11" t="b">
        <f t="shared" si="496"/>
        <v>0</v>
      </c>
      <c r="M10247" s="17" t="str">
        <f t="shared" si="497"/>
        <v/>
      </c>
      <c r="N10247" s="11" t="str">
        <f t="shared" si="498"/>
        <v/>
      </c>
    </row>
    <row r="10248" spans="9:14" x14ac:dyDescent="0.25">
      <c r="I10248" s="11" t="b">
        <f t="shared" si="496"/>
        <v>0</v>
      </c>
      <c r="M10248" s="17" t="str">
        <f t="shared" si="497"/>
        <v/>
      </c>
      <c r="N10248" s="11" t="str">
        <f t="shared" si="498"/>
        <v/>
      </c>
    </row>
    <row r="10249" spans="9:14" x14ac:dyDescent="0.25">
      <c r="I10249" s="11" t="b">
        <f t="shared" si="496"/>
        <v>0</v>
      </c>
      <c r="M10249" s="17" t="str">
        <f t="shared" si="497"/>
        <v/>
      </c>
      <c r="N10249" s="11" t="str">
        <f t="shared" si="498"/>
        <v/>
      </c>
    </row>
    <row r="10250" spans="9:14" x14ac:dyDescent="0.25">
      <c r="I10250" s="11" t="b">
        <f t="shared" si="496"/>
        <v>0</v>
      </c>
      <c r="M10250" s="17" t="str">
        <f t="shared" si="497"/>
        <v/>
      </c>
      <c r="N10250" s="11" t="str">
        <f t="shared" si="498"/>
        <v/>
      </c>
    </row>
    <row r="10251" spans="9:14" x14ac:dyDescent="0.25">
      <c r="I10251" s="11" t="b">
        <f t="shared" si="496"/>
        <v>0</v>
      </c>
      <c r="M10251" s="17" t="str">
        <f t="shared" si="497"/>
        <v/>
      </c>
      <c r="N10251" s="11" t="str">
        <f t="shared" si="498"/>
        <v/>
      </c>
    </row>
    <row r="10252" spans="9:14" x14ac:dyDescent="0.25">
      <c r="I10252" s="11" t="b">
        <f t="shared" si="496"/>
        <v>0</v>
      </c>
      <c r="M10252" s="17" t="str">
        <f t="shared" si="497"/>
        <v/>
      </c>
      <c r="N10252" s="11" t="str">
        <f t="shared" si="498"/>
        <v/>
      </c>
    </row>
    <row r="10253" spans="9:14" x14ac:dyDescent="0.25">
      <c r="I10253" s="11" t="b">
        <f t="shared" si="496"/>
        <v>0</v>
      </c>
      <c r="M10253" s="17" t="str">
        <f t="shared" si="497"/>
        <v/>
      </c>
      <c r="N10253" s="11" t="str">
        <f t="shared" si="498"/>
        <v/>
      </c>
    </row>
    <row r="10254" spans="9:14" x14ac:dyDescent="0.25">
      <c r="I10254" s="11" t="b">
        <f t="shared" si="496"/>
        <v>0</v>
      </c>
      <c r="M10254" s="17" t="str">
        <f t="shared" si="497"/>
        <v/>
      </c>
      <c r="N10254" s="11" t="str">
        <f t="shared" si="498"/>
        <v/>
      </c>
    </row>
    <row r="10255" spans="9:14" x14ac:dyDescent="0.25">
      <c r="I10255" s="11" t="b">
        <f t="shared" si="496"/>
        <v>0</v>
      </c>
      <c r="M10255" s="17" t="str">
        <f t="shared" si="497"/>
        <v/>
      </c>
      <c r="N10255" s="11" t="str">
        <f t="shared" si="498"/>
        <v/>
      </c>
    </row>
    <row r="10256" spans="9:14" x14ac:dyDescent="0.25">
      <c r="I10256" s="11" t="b">
        <f t="shared" si="496"/>
        <v>0</v>
      </c>
      <c r="M10256" s="17" t="str">
        <f t="shared" si="497"/>
        <v/>
      </c>
      <c r="N10256" s="11" t="str">
        <f t="shared" si="498"/>
        <v/>
      </c>
    </row>
    <row r="10257" spans="9:14" x14ac:dyDescent="0.25">
      <c r="I10257" s="11" t="b">
        <f t="shared" si="496"/>
        <v>0</v>
      </c>
      <c r="M10257" s="17" t="str">
        <f t="shared" si="497"/>
        <v/>
      </c>
      <c r="N10257" s="11" t="str">
        <f t="shared" si="498"/>
        <v/>
      </c>
    </row>
    <row r="10258" spans="9:14" x14ac:dyDescent="0.25">
      <c r="I10258" s="11" t="b">
        <f t="shared" si="496"/>
        <v>0</v>
      </c>
      <c r="M10258" s="17" t="str">
        <f t="shared" si="497"/>
        <v/>
      </c>
      <c r="N10258" s="11" t="str">
        <f t="shared" si="498"/>
        <v/>
      </c>
    </row>
    <row r="10259" spans="9:14" x14ac:dyDescent="0.25">
      <c r="I10259" s="11" t="b">
        <f t="shared" si="496"/>
        <v>0</v>
      </c>
      <c r="M10259" s="17" t="str">
        <f t="shared" si="497"/>
        <v/>
      </c>
      <c r="N10259" s="11" t="str">
        <f t="shared" si="498"/>
        <v/>
      </c>
    </row>
    <row r="10260" spans="9:14" x14ac:dyDescent="0.25">
      <c r="I10260" s="11" t="b">
        <f t="shared" si="496"/>
        <v>0</v>
      </c>
      <c r="M10260" s="17" t="str">
        <f t="shared" si="497"/>
        <v/>
      </c>
      <c r="N10260" s="11" t="str">
        <f t="shared" si="498"/>
        <v/>
      </c>
    </row>
    <row r="10261" spans="9:14" x14ac:dyDescent="0.25">
      <c r="I10261" s="11" t="b">
        <f t="shared" si="496"/>
        <v>0</v>
      </c>
      <c r="M10261" s="17" t="str">
        <f t="shared" si="497"/>
        <v/>
      </c>
      <c r="N10261" s="11" t="str">
        <f t="shared" si="498"/>
        <v/>
      </c>
    </row>
    <row r="10262" spans="9:14" x14ac:dyDescent="0.25">
      <c r="I10262" s="11" t="b">
        <f t="shared" si="496"/>
        <v>0</v>
      </c>
      <c r="M10262" s="17" t="str">
        <f t="shared" si="497"/>
        <v/>
      </c>
      <c r="N10262" s="11" t="str">
        <f t="shared" si="498"/>
        <v/>
      </c>
    </row>
    <row r="10263" spans="9:14" x14ac:dyDescent="0.25">
      <c r="I10263" s="11" t="b">
        <f t="shared" si="496"/>
        <v>0</v>
      </c>
      <c r="M10263" s="17" t="str">
        <f t="shared" si="497"/>
        <v/>
      </c>
      <c r="N10263" s="11" t="str">
        <f t="shared" si="498"/>
        <v/>
      </c>
    </row>
    <row r="10264" spans="9:14" x14ac:dyDescent="0.25">
      <c r="I10264" s="11" t="b">
        <f t="shared" si="496"/>
        <v>0</v>
      </c>
      <c r="M10264" s="17" t="str">
        <f t="shared" si="497"/>
        <v/>
      </c>
      <c r="N10264" s="11" t="str">
        <f t="shared" si="498"/>
        <v/>
      </c>
    </row>
    <row r="10265" spans="9:14" x14ac:dyDescent="0.25">
      <c r="I10265" s="11" t="b">
        <f t="shared" si="496"/>
        <v>0</v>
      </c>
      <c r="M10265" s="17" t="str">
        <f t="shared" si="497"/>
        <v/>
      </c>
      <c r="N10265" s="11" t="str">
        <f t="shared" si="498"/>
        <v/>
      </c>
    </row>
    <row r="10266" spans="9:14" x14ac:dyDescent="0.25">
      <c r="I10266" s="11" t="b">
        <f t="shared" si="496"/>
        <v>0</v>
      </c>
      <c r="M10266" s="17" t="str">
        <f t="shared" si="497"/>
        <v/>
      </c>
      <c r="N10266" s="11" t="str">
        <f t="shared" si="498"/>
        <v/>
      </c>
    </row>
    <row r="10267" spans="9:14" x14ac:dyDescent="0.25">
      <c r="I10267" s="11" t="b">
        <f t="shared" si="496"/>
        <v>0</v>
      </c>
      <c r="M10267" s="17" t="str">
        <f t="shared" si="497"/>
        <v/>
      </c>
      <c r="N10267" s="11" t="str">
        <f t="shared" si="498"/>
        <v/>
      </c>
    </row>
    <row r="10268" spans="9:14" x14ac:dyDescent="0.25">
      <c r="I10268" s="11" t="b">
        <f t="shared" si="496"/>
        <v>0</v>
      </c>
      <c r="M10268" s="17" t="str">
        <f t="shared" si="497"/>
        <v/>
      </c>
      <c r="N10268" s="11" t="str">
        <f t="shared" si="498"/>
        <v/>
      </c>
    </row>
    <row r="10269" spans="9:14" x14ac:dyDescent="0.25">
      <c r="I10269" s="11" t="b">
        <f t="shared" ref="I10269:I10332" si="499">IF(AND(G10269="MERCADO PAGO",A10269="FATURAMENTO"),1,IF(AND(OR(G10269="MERCADO PAGO",G10269="pix mercado pago",G10269= "débito automático mercado pago", G10269= "boleto mercado pago"),A10269="DESPESAS"),4,IF(AND(G10269="SAFRA",A10269="FATURAMENTO"),2,IF(AND(OR(G10269="SAFRA",G10269="PIX SAFRA", G10269="DÉBITO AUTOMÁTICO SAFRA", G10269= "BOLETO SAFRA", G10269= "transferência safra"), A10269="DESPESAS"),5,IF(AND(G10269="espécie",A10269="FATURAMENTO"),3,IF(AND(G10269="espécie",A10269="DESPESAS"),6))))))</f>
        <v>0</v>
      </c>
      <c r="M10269" s="17" t="str">
        <f t="shared" si="497"/>
        <v/>
      </c>
      <c r="N10269" s="11" t="str">
        <f t="shared" si="498"/>
        <v/>
      </c>
    </row>
    <row r="10270" spans="9:14" x14ac:dyDescent="0.25">
      <c r="I10270" s="11" t="b">
        <f t="shared" si="499"/>
        <v>0</v>
      </c>
      <c r="M10270" s="17" t="str">
        <f t="shared" si="497"/>
        <v/>
      </c>
      <c r="N10270" s="11" t="str">
        <f t="shared" si="498"/>
        <v/>
      </c>
    </row>
    <row r="10271" spans="9:14" x14ac:dyDescent="0.25">
      <c r="I10271" s="11" t="b">
        <f t="shared" si="499"/>
        <v>0</v>
      </c>
      <c r="M10271" s="17" t="str">
        <f t="shared" si="497"/>
        <v/>
      </c>
      <c r="N10271" s="11" t="str">
        <f t="shared" si="498"/>
        <v/>
      </c>
    </row>
    <row r="10272" spans="9:14" x14ac:dyDescent="0.25">
      <c r="I10272" s="11" t="b">
        <f t="shared" si="499"/>
        <v>0</v>
      </c>
      <c r="M10272" s="17" t="str">
        <f t="shared" si="497"/>
        <v/>
      </c>
      <c r="N10272" s="11" t="str">
        <f t="shared" si="498"/>
        <v/>
      </c>
    </row>
    <row r="10273" spans="9:14" x14ac:dyDescent="0.25">
      <c r="I10273" s="11" t="b">
        <f t="shared" si="499"/>
        <v>0</v>
      </c>
      <c r="M10273" s="17" t="str">
        <f t="shared" si="497"/>
        <v/>
      </c>
      <c r="N10273" s="11" t="str">
        <f t="shared" si="498"/>
        <v/>
      </c>
    </row>
    <row r="10274" spans="9:14" x14ac:dyDescent="0.25">
      <c r="I10274" s="11" t="b">
        <f t="shared" si="499"/>
        <v>0</v>
      </c>
      <c r="M10274" s="17" t="str">
        <f t="shared" si="497"/>
        <v/>
      </c>
      <c r="N10274" s="11" t="str">
        <f t="shared" si="498"/>
        <v/>
      </c>
    </row>
    <row r="10275" spans="9:14" x14ac:dyDescent="0.25">
      <c r="I10275" s="11" t="b">
        <f t="shared" si="499"/>
        <v>0</v>
      </c>
      <c r="M10275" s="17" t="str">
        <f t="shared" si="497"/>
        <v/>
      </c>
      <c r="N10275" s="11" t="str">
        <f t="shared" si="498"/>
        <v/>
      </c>
    </row>
    <row r="10276" spans="9:14" x14ac:dyDescent="0.25">
      <c r="I10276" s="11" t="b">
        <f t="shared" si="499"/>
        <v>0</v>
      </c>
      <c r="M10276" s="17" t="str">
        <f t="shared" si="497"/>
        <v/>
      </c>
      <c r="N10276" s="11" t="str">
        <f t="shared" si="498"/>
        <v/>
      </c>
    </row>
    <row r="10277" spans="9:14" x14ac:dyDescent="0.25">
      <c r="I10277" s="11" t="b">
        <f t="shared" si="499"/>
        <v>0</v>
      </c>
      <c r="M10277" s="17" t="str">
        <f t="shared" si="497"/>
        <v/>
      </c>
      <c r="N10277" s="11" t="str">
        <f t="shared" si="498"/>
        <v/>
      </c>
    </row>
    <row r="10278" spans="9:14" x14ac:dyDescent="0.25">
      <c r="I10278" s="11" t="b">
        <f t="shared" si="499"/>
        <v>0</v>
      </c>
      <c r="M10278" s="17" t="str">
        <f t="shared" si="497"/>
        <v/>
      </c>
      <c r="N10278" s="11" t="str">
        <f t="shared" si="498"/>
        <v/>
      </c>
    </row>
    <row r="10279" spans="9:14" x14ac:dyDescent="0.25">
      <c r="I10279" s="11" t="b">
        <f t="shared" si="499"/>
        <v>0</v>
      </c>
      <c r="M10279" s="17" t="str">
        <f t="shared" si="497"/>
        <v/>
      </c>
      <c r="N10279" s="11" t="str">
        <f t="shared" si="498"/>
        <v/>
      </c>
    </row>
    <row r="10280" spans="9:14" x14ac:dyDescent="0.25">
      <c r="I10280" s="11" t="b">
        <f t="shared" si="499"/>
        <v>0</v>
      </c>
      <c r="M10280" s="17" t="str">
        <f t="shared" si="497"/>
        <v/>
      </c>
      <c r="N10280" s="11" t="str">
        <f t="shared" si="498"/>
        <v/>
      </c>
    </row>
    <row r="10281" spans="9:14" x14ac:dyDescent="0.25">
      <c r="I10281" s="11" t="b">
        <f t="shared" si="499"/>
        <v>0</v>
      </c>
      <c r="M10281" s="17" t="str">
        <f t="shared" si="497"/>
        <v/>
      </c>
      <c r="N10281" s="11" t="str">
        <f t="shared" si="498"/>
        <v/>
      </c>
    </row>
    <row r="10282" spans="9:14" x14ac:dyDescent="0.25">
      <c r="I10282" s="11" t="b">
        <f t="shared" si="499"/>
        <v>0</v>
      </c>
      <c r="M10282" s="17" t="str">
        <f t="shared" si="497"/>
        <v/>
      </c>
      <c r="N10282" s="11" t="str">
        <f t="shared" si="498"/>
        <v/>
      </c>
    </row>
    <row r="10283" spans="9:14" x14ac:dyDescent="0.25">
      <c r="I10283" s="11" t="b">
        <f t="shared" si="499"/>
        <v>0</v>
      </c>
      <c r="M10283" s="17" t="str">
        <f t="shared" si="497"/>
        <v/>
      </c>
      <c r="N10283" s="11" t="str">
        <f t="shared" si="498"/>
        <v/>
      </c>
    </row>
    <row r="10284" spans="9:14" x14ac:dyDescent="0.25">
      <c r="I10284" s="11" t="b">
        <f t="shared" si="499"/>
        <v>0</v>
      </c>
      <c r="M10284" s="17" t="str">
        <f t="shared" si="497"/>
        <v/>
      </c>
      <c r="N10284" s="11" t="str">
        <f t="shared" si="498"/>
        <v/>
      </c>
    </row>
    <row r="10285" spans="9:14" x14ac:dyDescent="0.25">
      <c r="I10285" s="11" t="b">
        <f t="shared" si="499"/>
        <v>0</v>
      </c>
      <c r="M10285" s="17" t="str">
        <f t="shared" si="497"/>
        <v/>
      </c>
      <c r="N10285" s="11" t="str">
        <f t="shared" si="498"/>
        <v/>
      </c>
    </row>
    <row r="10286" spans="9:14" x14ac:dyDescent="0.25">
      <c r="I10286" s="11" t="b">
        <f t="shared" si="499"/>
        <v>0</v>
      </c>
      <c r="M10286" s="17" t="str">
        <f t="shared" si="497"/>
        <v/>
      </c>
      <c r="N10286" s="11" t="str">
        <f t="shared" si="498"/>
        <v/>
      </c>
    </row>
    <row r="10287" spans="9:14" x14ac:dyDescent="0.25">
      <c r="I10287" s="11" t="b">
        <f t="shared" si="499"/>
        <v>0</v>
      </c>
      <c r="M10287" s="17" t="str">
        <f t="shared" si="497"/>
        <v/>
      </c>
      <c r="N10287" s="11" t="str">
        <f t="shared" si="498"/>
        <v/>
      </c>
    </row>
    <row r="10288" spans="9:14" x14ac:dyDescent="0.25">
      <c r="I10288" s="11" t="b">
        <f t="shared" si="499"/>
        <v>0</v>
      </c>
      <c r="M10288" s="17" t="str">
        <f t="shared" si="497"/>
        <v/>
      </c>
      <c r="N10288" s="11" t="str">
        <f t="shared" si="498"/>
        <v/>
      </c>
    </row>
    <row r="10289" spans="9:14" x14ac:dyDescent="0.25">
      <c r="I10289" s="11" t="b">
        <f t="shared" si="499"/>
        <v>0</v>
      </c>
      <c r="M10289" s="17" t="str">
        <f t="shared" si="497"/>
        <v/>
      </c>
      <c r="N10289" s="11" t="str">
        <f t="shared" si="498"/>
        <v/>
      </c>
    </row>
    <row r="10290" spans="9:14" x14ac:dyDescent="0.25">
      <c r="I10290" s="11" t="b">
        <f t="shared" si="499"/>
        <v>0</v>
      </c>
      <c r="M10290" s="17" t="str">
        <f t="shared" si="497"/>
        <v/>
      </c>
      <c r="N10290" s="11" t="str">
        <f t="shared" si="498"/>
        <v/>
      </c>
    </row>
    <row r="10291" spans="9:14" x14ac:dyDescent="0.25">
      <c r="I10291" s="11" t="b">
        <f t="shared" si="499"/>
        <v>0</v>
      </c>
      <c r="M10291" s="17" t="str">
        <f t="shared" si="497"/>
        <v/>
      </c>
      <c r="N10291" s="11" t="str">
        <f t="shared" si="498"/>
        <v/>
      </c>
    </row>
    <row r="10292" spans="9:14" x14ac:dyDescent="0.25">
      <c r="I10292" s="11" t="b">
        <f t="shared" si="499"/>
        <v>0</v>
      </c>
      <c r="M10292" s="17" t="str">
        <f t="shared" si="497"/>
        <v/>
      </c>
      <c r="N10292" s="11" t="str">
        <f t="shared" si="498"/>
        <v/>
      </c>
    </row>
    <row r="10293" spans="9:14" x14ac:dyDescent="0.25">
      <c r="I10293" s="11" t="b">
        <f t="shared" si="499"/>
        <v>0</v>
      </c>
      <c r="M10293" s="17" t="str">
        <f t="shared" si="497"/>
        <v/>
      </c>
      <c r="N10293" s="11" t="str">
        <f t="shared" si="498"/>
        <v/>
      </c>
    </row>
    <row r="10294" spans="9:14" x14ac:dyDescent="0.25">
      <c r="I10294" s="11" t="b">
        <f t="shared" si="499"/>
        <v>0</v>
      </c>
      <c r="M10294" s="17" t="str">
        <f t="shared" si="497"/>
        <v/>
      </c>
      <c r="N10294" s="11" t="str">
        <f t="shared" si="498"/>
        <v/>
      </c>
    </row>
    <row r="10295" spans="9:14" x14ac:dyDescent="0.25">
      <c r="I10295" s="11" t="b">
        <f t="shared" si="499"/>
        <v>0</v>
      </c>
      <c r="M10295" s="17" t="str">
        <f t="shared" si="497"/>
        <v/>
      </c>
      <c r="N10295" s="11" t="str">
        <f t="shared" si="498"/>
        <v/>
      </c>
    </row>
    <row r="10296" spans="9:14" x14ac:dyDescent="0.25">
      <c r="I10296" s="11" t="b">
        <f t="shared" si="499"/>
        <v>0</v>
      </c>
      <c r="M10296" s="17" t="str">
        <f t="shared" si="497"/>
        <v/>
      </c>
      <c r="N10296" s="11" t="str">
        <f t="shared" si="498"/>
        <v/>
      </c>
    </row>
    <row r="10297" spans="9:14" x14ac:dyDescent="0.25">
      <c r="I10297" s="11" t="b">
        <f t="shared" si="499"/>
        <v>0</v>
      </c>
      <c r="M10297" s="17" t="str">
        <f t="shared" si="497"/>
        <v/>
      </c>
      <c r="N10297" s="11" t="str">
        <f t="shared" si="498"/>
        <v/>
      </c>
    </row>
    <row r="10298" spans="9:14" x14ac:dyDescent="0.25">
      <c r="I10298" s="11" t="b">
        <f t="shared" si="499"/>
        <v>0</v>
      </c>
      <c r="M10298" s="17" t="str">
        <f t="shared" si="497"/>
        <v/>
      </c>
      <c r="N10298" s="11" t="str">
        <f t="shared" si="498"/>
        <v/>
      </c>
    </row>
    <row r="10299" spans="9:14" x14ac:dyDescent="0.25">
      <c r="I10299" s="11" t="b">
        <f t="shared" si="499"/>
        <v>0</v>
      </c>
      <c r="M10299" s="17" t="str">
        <f t="shared" si="497"/>
        <v/>
      </c>
      <c r="N10299" s="11" t="str">
        <f t="shared" si="498"/>
        <v/>
      </c>
    </row>
    <row r="10300" spans="9:14" x14ac:dyDescent="0.25">
      <c r="I10300" s="11" t="b">
        <f t="shared" si="499"/>
        <v>0</v>
      </c>
      <c r="M10300" s="17" t="str">
        <f t="shared" si="497"/>
        <v/>
      </c>
      <c r="N10300" s="11" t="str">
        <f t="shared" si="498"/>
        <v/>
      </c>
    </row>
    <row r="10301" spans="9:14" x14ac:dyDescent="0.25">
      <c r="I10301" s="11" t="b">
        <f t="shared" si="499"/>
        <v>0</v>
      </c>
      <c r="M10301" s="17" t="str">
        <f t="shared" si="497"/>
        <v/>
      </c>
      <c r="N10301" s="11" t="str">
        <f t="shared" si="498"/>
        <v/>
      </c>
    </row>
    <row r="10302" spans="9:14" x14ac:dyDescent="0.25">
      <c r="I10302" s="11" t="b">
        <f t="shared" si="499"/>
        <v>0</v>
      </c>
      <c r="M10302" s="17" t="str">
        <f t="shared" si="497"/>
        <v/>
      </c>
      <c r="N10302" s="11" t="str">
        <f t="shared" si="498"/>
        <v/>
      </c>
    </row>
    <row r="10303" spans="9:14" x14ac:dyDescent="0.25">
      <c r="I10303" s="11" t="b">
        <f t="shared" si="499"/>
        <v>0</v>
      </c>
      <c r="M10303" s="17" t="str">
        <f t="shared" si="497"/>
        <v/>
      </c>
      <c r="N10303" s="11" t="str">
        <f t="shared" si="498"/>
        <v/>
      </c>
    </row>
    <row r="10304" spans="9:14" x14ac:dyDescent="0.25">
      <c r="I10304" s="11" t="b">
        <f t="shared" si="499"/>
        <v>0</v>
      </c>
      <c r="M10304" s="17" t="str">
        <f t="shared" si="497"/>
        <v/>
      </c>
      <c r="N10304" s="11" t="str">
        <f t="shared" si="498"/>
        <v/>
      </c>
    </row>
    <row r="10305" spans="9:14" x14ac:dyDescent="0.25">
      <c r="I10305" s="11" t="b">
        <f t="shared" si="499"/>
        <v>0</v>
      </c>
      <c r="M10305" s="17" t="str">
        <f t="shared" ref="M10305:M10368" si="500">IF(B10305=0, "",M10304+ J10305-K10305)</f>
        <v/>
      </c>
      <c r="N10305" s="11" t="str">
        <f t="shared" ref="N10305:N10368" si="501">IF(B10305=0, "", MONTH(B10305))</f>
        <v/>
      </c>
    </row>
    <row r="10306" spans="9:14" x14ac:dyDescent="0.25">
      <c r="I10306" s="11" t="b">
        <f t="shared" si="499"/>
        <v>0</v>
      </c>
      <c r="M10306" s="17" t="str">
        <f t="shared" si="500"/>
        <v/>
      </c>
      <c r="N10306" s="11" t="str">
        <f t="shared" si="501"/>
        <v/>
      </c>
    </row>
    <row r="10307" spans="9:14" x14ac:dyDescent="0.25">
      <c r="I10307" s="11" t="b">
        <f t="shared" si="499"/>
        <v>0</v>
      </c>
      <c r="M10307" s="17" t="str">
        <f t="shared" si="500"/>
        <v/>
      </c>
      <c r="N10307" s="11" t="str">
        <f t="shared" si="501"/>
        <v/>
      </c>
    </row>
    <row r="10308" spans="9:14" x14ac:dyDescent="0.25">
      <c r="I10308" s="11" t="b">
        <f t="shared" si="499"/>
        <v>0</v>
      </c>
      <c r="M10308" s="17" t="str">
        <f t="shared" si="500"/>
        <v/>
      </c>
      <c r="N10308" s="11" t="str">
        <f t="shared" si="501"/>
        <v/>
      </c>
    </row>
    <row r="10309" spans="9:14" x14ac:dyDescent="0.25">
      <c r="I10309" s="11" t="b">
        <f t="shared" si="499"/>
        <v>0</v>
      </c>
      <c r="M10309" s="17" t="str">
        <f t="shared" si="500"/>
        <v/>
      </c>
      <c r="N10309" s="11" t="str">
        <f t="shared" si="501"/>
        <v/>
      </c>
    </row>
    <row r="10310" spans="9:14" x14ac:dyDescent="0.25">
      <c r="I10310" s="11" t="b">
        <f t="shared" si="499"/>
        <v>0</v>
      </c>
      <c r="M10310" s="17" t="str">
        <f t="shared" si="500"/>
        <v/>
      </c>
      <c r="N10310" s="11" t="str">
        <f t="shared" si="501"/>
        <v/>
      </c>
    </row>
    <row r="10311" spans="9:14" x14ac:dyDescent="0.25">
      <c r="I10311" s="11" t="b">
        <f t="shared" si="499"/>
        <v>0</v>
      </c>
      <c r="M10311" s="17" t="str">
        <f t="shared" si="500"/>
        <v/>
      </c>
      <c r="N10311" s="11" t="str">
        <f t="shared" si="501"/>
        <v/>
      </c>
    </row>
    <row r="10312" spans="9:14" x14ac:dyDescent="0.25">
      <c r="I10312" s="11" t="b">
        <f t="shared" si="499"/>
        <v>0</v>
      </c>
      <c r="M10312" s="17" t="str">
        <f t="shared" si="500"/>
        <v/>
      </c>
      <c r="N10312" s="11" t="str">
        <f t="shared" si="501"/>
        <v/>
      </c>
    </row>
    <row r="10313" spans="9:14" x14ac:dyDescent="0.25">
      <c r="I10313" s="11" t="b">
        <f t="shared" si="499"/>
        <v>0</v>
      </c>
      <c r="M10313" s="17" t="str">
        <f t="shared" si="500"/>
        <v/>
      </c>
      <c r="N10313" s="11" t="str">
        <f t="shared" si="501"/>
        <v/>
      </c>
    </row>
    <row r="10314" spans="9:14" x14ac:dyDescent="0.25">
      <c r="I10314" s="11" t="b">
        <f t="shared" si="499"/>
        <v>0</v>
      </c>
      <c r="M10314" s="17" t="str">
        <f t="shared" si="500"/>
        <v/>
      </c>
      <c r="N10314" s="11" t="str">
        <f t="shared" si="501"/>
        <v/>
      </c>
    </row>
    <row r="10315" spans="9:14" x14ac:dyDescent="0.25">
      <c r="I10315" s="11" t="b">
        <f t="shared" si="499"/>
        <v>0</v>
      </c>
      <c r="M10315" s="17" t="str">
        <f t="shared" si="500"/>
        <v/>
      </c>
      <c r="N10315" s="11" t="str">
        <f t="shared" si="501"/>
        <v/>
      </c>
    </row>
    <row r="10316" spans="9:14" x14ac:dyDescent="0.25">
      <c r="I10316" s="11" t="b">
        <f t="shared" si="499"/>
        <v>0</v>
      </c>
      <c r="M10316" s="17" t="str">
        <f t="shared" si="500"/>
        <v/>
      </c>
      <c r="N10316" s="11" t="str">
        <f t="shared" si="501"/>
        <v/>
      </c>
    </row>
    <row r="10317" spans="9:14" x14ac:dyDescent="0.25">
      <c r="I10317" s="11" t="b">
        <f t="shared" si="499"/>
        <v>0</v>
      </c>
      <c r="M10317" s="17" t="str">
        <f t="shared" si="500"/>
        <v/>
      </c>
      <c r="N10317" s="11" t="str">
        <f t="shared" si="501"/>
        <v/>
      </c>
    </row>
    <row r="10318" spans="9:14" x14ac:dyDescent="0.25">
      <c r="I10318" s="11" t="b">
        <f t="shared" si="499"/>
        <v>0</v>
      </c>
      <c r="M10318" s="17" t="str">
        <f t="shared" si="500"/>
        <v/>
      </c>
      <c r="N10318" s="11" t="str">
        <f t="shared" si="501"/>
        <v/>
      </c>
    </row>
    <row r="10319" spans="9:14" x14ac:dyDescent="0.25">
      <c r="I10319" s="11" t="b">
        <f t="shared" si="499"/>
        <v>0</v>
      </c>
      <c r="M10319" s="17" t="str">
        <f t="shared" si="500"/>
        <v/>
      </c>
      <c r="N10319" s="11" t="str">
        <f t="shared" si="501"/>
        <v/>
      </c>
    </row>
    <row r="10320" spans="9:14" x14ac:dyDescent="0.25">
      <c r="I10320" s="11" t="b">
        <f t="shared" si="499"/>
        <v>0</v>
      </c>
      <c r="M10320" s="17" t="str">
        <f t="shared" si="500"/>
        <v/>
      </c>
      <c r="N10320" s="11" t="str">
        <f t="shared" si="501"/>
        <v/>
      </c>
    </row>
    <row r="10321" spans="9:14" x14ac:dyDescent="0.25">
      <c r="I10321" s="11" t="b">
        <f t="shared" si="499"/>
        <v>0</v>
      </c>
      <c r="M10321" s="17" t="str">
        <f t="shared" si="500"/>
        <v/>
      </c>
      <c r="N10321" s="11" t="str">
        <f t="shared" si="501"/>
        <v/>
      </c>
    </row>
    <row r="10322" spans="9:14" x14ac:dyDescent="0.25">
      <c r="I10322" s="11" t="b">
        <f t="shared" si="499"/>
        <v>0</v>
      </c>
      <c r="M10322" s="17" t="str">
        <f t="shared" si="500"/>
        <v/>
      </c>
      <c r="N10322" s="11" t="str">
        <f t="shared" si="501"/>
        <v/>
      </c>
    </row>
    <row r="10323" spans="9:14" x14ac:dyDescent="0.25">
      <c r="I10323" s="11" t="b">
        <f t="shared" si="499"/>
        <v>0</v>
      </c>
      <c r="M10323" s="17" t="str">
        <f t="shared" si="500"/>
        <v/>
      </c>
      <c r="N10323" s="11" t="str">
        <f t="shared" si="501"/>
        <v/>
      </c>
    </row>
    <row r="10324" spans="9:14" x14ac:dyDescent="0.25">
      <c r="I10324" s="11" t="b">
        <f t="shared" si="499"/>
        <v>0</v>
      </c>
      <c r="M10324" s="17" t="str">
        <f t="shared" si="500"/>
        <v/>
      </c>
      <c r="N10324" s="11" t="str">
        <f t="shared" si="501"/>
        <v/>
      </c>
    </row>
    <row r="10325" spans="9:14" x14ac:dyDescent="0.25">
      <c r="I10325" s="11" t="b">
        <f t="shared" si="499"/>
        <v>0</v>
      </c>
      <c r="M10325" s="17" t="str">
        <f t="shared" si="500"/>
        <v/>
      </c>
      <c r="N10325" s="11" t="str">
        <f t="shared" si="501"/>
        <v/>
      </c>
    </row>
    <row r="10326" spans="9:14" x14ac:dyDescent="0.25">
      <c r="I10326" s="11" t="b">
        <f t="shared" si="499"/>
        <v>0</v>
      </c>
      <c r="M10326" s="17" t="str">
        <f t="shared" si="500"/>
        <v/>
      </c>
      <c r="N10326" s="11" t="str">
        <f t="shared" si="501"/>
        <v/>
      </c>
    </row>
    <row r="10327" spans="9:14" x14ac:dyDescent="0.25">
      <c r="I10327" s="11" t="b">
        <f t="shared" si="499"/>
        <v>0</v>
      </c>
      <c r="M10327" s="17" t="str">
        <f t="shared" si="500"/>
        <v/>
      </c>
      <c r="N10327" s="11" t="str">
        <f t="shared" si="501"/>
        <v/>
      </c>
    </row>
    <row r="10328" spans="9:14" x14ac:dyDescent="0.25">
      <c r="I10328" s="11" t="b">
        <f t="shared" si="499"/>
        <v>0</v>
      </c>
      <c r="M10328" s="17" t="str">
        <f t="shared" si="500"/>
        <v/>
      </c>
      <c r="N10328" s="11" t="str">
        <f t="shared" si="501"/>
        <v/>
      </c>
    </row>
    <row r="10329" spans="9:14" x14ac:dyDescent="0.25">
      <c r="I10329" s="11" t="b">
        <f t="shared" si="499"/>
        <v>0</v>
      </c>
      <c r="M10329" s="17" t="str">
        <f t="shared" si="500"/>
        <v/>
      </c>
      <c r="N10329" s="11" t="str">
        <f t="shared" si="501"/>
        <v/>
      </c>
    </row>
    <row r="10330" spans="9:14" x14ac:dyDescent="0.25">
      <c r="I10330" s="11" t="b">
        <f t="shared" si="499"/>
        <v>0</v>
      </c>
      <c r="M10330" s="17" t="str">
        <f t="shared" si="500"/>
        <v/>
      </c>
      <c r="N10330" s="11" t="str">
        <f t="shared" si="501"/>
        <v/>
      </c>
    </row>
    <row r="10331" spans="9:14" x14ac:dyDescent="0.25">
      <c r="I10331" s="11" t="b">
        <f t="shared" si="499"/>
        <v>0</v>
      </c>
      <c r="M10331" s="17" t="str">
        <f t="shared" si="500"/>
        <v/>
      </c>
      <c r="N10331" s="11" t="str">
        <f t="shared" si="501"/>
        <v/>
      </c>
    </row>
    <row r="10332" spans="9:14" x14ac:dyDescent="0.25">
      <c r="I10332" s="11" t="b">
        <f t="shared" si="499"/>
        <v>0</v>
      </c>
      <c r="M10332" s="17" t="str">
        <f t="shared" si="500"/>
        <v/>
      </c>
      <c r="N10332" s="11" t="str">
        <f t="shared" si="501"/>
        <v/>
      </c>
    </row>
    <row r="10333" spans="9:14" x14ac:dyDescent="0.25">
      <c r="I10333" s="11" t="b">
        <f t="shared" ref="I10333:I10396" si="502">IF(AND(G10333="MERCADO PAGO",A10333="FATURAMENTO"),1,IF(AND(OR(G10333="MERCADO PAGO",G10333="pix mercado pago",G10333= "débito automático mercado pago", G10333= "boleto mercado pago"),A10333="DESPESAS"),4,IF(AND(G10333="SAFRA",A10333="FATURAMENTO"),2,IF(AND(OR(G10333="SAFRA",G10333="PIX SAFRA", G10333="DÉBITO AUTOMÁTICO SAFRA", G10333= "BOLETO SAFRA", G10333= "transferência safra"), A10333="DESPESAS"),5,IF(AND(G10333="espécie",A10333="FATURAMENTO"),3,IF(AND(G10333="espécie",A10333="DESPESAS"),6))))))</f>
        <v>0</v>
      </c>
      <c r="M10333" s="17" t="str">
        <f t="shared" si="500"/>
        <v/>
      </c>
      <c r="N10333" s="11" t="str">
        <f t="shared" si="501"/>
        <v/>
      </c>
    </row>
    <row r="10334" spans="9:14" x14ac:dyDescent="0.25">
      <c r="I10334" s="11" t="b">
        <f t="shared" si="502"/>
        <v>0</v>
      </c>
      <c r="M10334" s="17" t="str">
        <f t="shared" si="500"/>
        <v/>
      </c>
      <c r="N10334" s="11" t="str">
        <f t="shared" si="501"/>
        <v/>
      </c>
    </row>
    <row r="10335" spans="9:14" x14ac:dyDescent="0.25">
      <c r="I10335" s="11" t="b">
        <f t="shared" si="502"/>
        <v>0</v>
      </c>
      <c r="M10335" s="17" t="str">
        <f t="shared" si="500"/>
        <v/>
      </c>
      <c r="N10335" s="11" t="str">
        <f t="shared" si="501"/>
        <v/>
      </c>
    </row>
    <row r="10336" spans="9:14" x14ac:dyDescent="0.25">
      <c r="I10336" s="11" t="b">
        <f t="shared" si="502"/>
        <v>0</v>
      </c>
      <c r="M10336" s="17" t="str">
        <f t="shared" si="500"/>
        <v/>
      </c>
      <c r="N10336" s="11" t="str">
        <f t="shared" si="501"/>
        <v/>
      </c>
    </row>
    <row r="10337" spans="9:14" x14ac:dyDescent="0.25">
      <c r="I10337" s="11" t="b">
        <f t="shared" si="502"/>
        <v>0</v>
      </c>
      <c r="M10337" s="17" t="str">
        <f t="shared" si="500"/>
        <v/>
      </c>
      <c r="N10337" s="11" t="str">
        <f t="shared" si="501"/>
        <v/>
      </c>
    </row>
    <row r="10338" spans="9:14" x14ac:dyDescent="0.25">
      <c r="I10338" s="11" t="b">
        <f t="shared" si="502"/>
        <v>0</v>
      </c>
      <c r="M10338" s="17" t="str">
        <f t="shared" si="500"/>
        <v/>
      </c>
      <c r="N10338" s="11" t="str">
        <f t="shared" si="501"/>
        <v/>
      </c>
    </row>
    <row r="10339" spans="9:14" x14ac:dyDescent="0.25">
      <c r="I10339" s="11" t="b">
        <f t="shared" si="502"/>
        <v>0</v>
      </c>
      <c r="M10339" s="17" t="str">
        <f t="shared" si="500"/>
        <v/>
      </c>
      <c r="N10339" s="11" t="str">
        <f t="shared" si="501"/>
        <v/>
      </c>
    </row>
    <row r="10340" spans="9:14" x14ac:dyDescent="0.25">
      <c r="I10340" s="11" t="b">
        <f t="shared" si="502"/>
        <v>0</v>
      </c>
      <c r="M10340" s="17" t="str">
        <f t="shared" si="500"/>
        <v/>
      </c>
      <c r="N10340" s="11" t="str">
        <f t="shared" si="501"/>
        <v/>
      </c>
    </row>
    <row r="10341" spans="9:14" x14ac:dyDescent="0.25">
      <c r="I10341" s="11" t="b">
        <f t="shared" si="502"/>
        <v>0</v>
      </c>
      <c r="M10341" s="17" t="str">
        <f t="shared" si="500"/>
        <v/>
      </c>
      <c r="N10341" s="11" t="str">
        <f t="shared" si="501"/>
        <v/>
      </c>
    </row>
    <row r="10342" spans="9:14" x14ac:dyDescent="0.25">
      <c r="I10342" s="11" t="b">
        <f t="shared" si="502"/>
        <v>0</v>
      </c>
      <c r="M10342" s="17" t="str">
        <f t="shared" si="500"/>
        <v/>
      </c>
      <c r="N10342" s="11" t="str">
        <f t="shared" si="501"/>
        <v/>
      </c>
    </row>
    <row r="10343" spans="9:14" x14ac:dyDescent="0.25">
      <c r="I10343" s="11" t="b">
        <f t="shared" si="502"/>
        <v>0</v>
      </c>
      <c r="M10343" s="17" t="str">
        <f t="shared" si="500"/>
        <v/>
      </c>
      <c r="N10343" s="11" t="str">
        <f t="shared" si="501"/>
        <v/>
      </c>
    </row>
    <row r="10344" spans="9:14" x14ac:dyDescent="0.25">
      <c r="I10344" s="11" t="b">
        <f t="shared" si="502"/>
        <v>0</v>
      </c>
      <c r="M10344" s="17" t="str">
        <f t="shared" si="500"/>
        <v/>
      </c>
      <c r="N10344" s="11" t="str">
        <f t="shared" si="501"/>
        <v/>
      </c>
    </row>
    <row r="10345" spans="9:14" x14ac:dyDescent="0.25">
      <c r="I10345" s="11" t="b">
        <f t="shared" si="502"/>
        <v>0</v>
      </c>
      <c r="M10345" s="17" t="str">
        <f t="shared" si="500"/>
        <v/>
      </c>
      <c r="N10345" s="11" t="str">
        <f t="shared" si="501"/>
        <v/>
      </c>
    </row>
    <row r="10346" spans="9:14" x14ac:dyDescent="0.25">
      <c r="I10346" s="11" t="b">
        <f t="shared" si="502"/>
        <v>0</v>
      </c>
      <c r="M10346" s="17" t="str">
        <f t="shared" si="500"/>
        <v/>
      </c>
      <c r="N10346" s="11" t="str">
        <f t="shared" si="501"/>
        <v/>
      </c>
    </row>
    <row r="10347" spans="9:14" x14ac:dyDescent="0.25">
      <c r="I10347" s="11" t="b">
        <f t="shared" si="502"/>
        <v>0</v>
      </c>
      <c r="M10347" s="17" t="str">
        <f t="shared" si="500"/>
        <v/>
      </c>
      <c r="N10347" s="11" t="str">
        <f t="shared" si="501"/>
        <v/>
      </c>
    </row>
    <row r="10348" spans="9:14" x14ac:dyDescent="0.25">
      <c r="I10348" s="11" t="b">
        <f t="shared" si="502"/>
        <v>0</v>
      </c>
      <c r="M10348" s="17" t="str">
        <f t="shared" si="500"/>
        <v/>
      </c>
      <c r="N10348" s="11" t="str">
        <f t="shared" si="501"/>
        <v/>
      </c>
    </row>
    <row r="10349" spans="9:14" x14ac:dyDescent="0.25">
      <c r="I10349" s="11" t="b">
        <f t="shared" si="502"/>
        <v>0</v>
      </c>
      <c r="M10349" s="17" t="str">
        <f t="shared" si="500"/>
        <v/>
      </c>
      <c r="N10349" s="11" t="str">
        <f t="shared" si="501"/>
        <v/>
      </c>
    </row>
    <row r="10350" spans="9:14" x14ac:dyDescent="0.25">
      <c r="I10350" s="11" t="b">
        <f t="shared" si="502"/>
        <v>0</v>
      </c>
      <c r="M10350" s="17" t="str">
        <f t="shared" si="500"/>
        <v/>
      </c>
      <c r="N10350" s="11" t="str">
        <f t="shared" si="501"/>
        <v/>
      </c>
    </row>
    <row r="10351" spans="9:14" x14ac:dyDescent="0.25">
      <c r="I10351" s="11" t="b">
        <f t="shared" si="502"/>
        <v>0</v>
      </c>
      <c r="M10351" s="17" t="str">
        <f t="shared" si="500"/>
        <v/>
      </c>
      <c r="N10351" s="11" t="str">
        <f t="shared" si="501"/>
        <v/>
      </c>
    </row>
    <row r="10352" spans="9:14" x14ac:dyDescent="0.25">
      <c r="I10352" s="11" t="b">
        <f t="shared" si="502"/>
        <v>0</v>
      </c>
      <c r="M10352" s="17" t="str">
        <f t="shared" si="500"/>
        <v/>
      </c>
      <c r="N10352" s="11" t="str">
        <f t="shared" si="501"/>
        <v/>
      </c>
    </row>
    <row r="10353" spans="9:14" x14ac:dyDescent="0.25">
      <c r="I10353" s="11" t="b">
        <f t="shared" si="502"/>
        <v>0</v>
      </c>
      <c r="M10353" s="17" t="str">
        <f t="shared" si="500"/>
        <v/>
      </c>
      <c r="N10353" s="11" t="str">
        <f t="shared" si="501"/>
        <v/>
      </c>
    </row>
    <row r="10354" spans="9:14" x14ac:dyDescent="0.25">
      <c r="I10354" s="11" t="b">
        <f t="shared" si="502"/>
        <v>0</v>
      </c>
      <c r="M10354" s="17" t="str">
        <f t="shared" si="500"/>
        <v/>
      </c>
      <c r="N10354" s="11" t="str">
        <f t="shared" si="501"/>
        <v/>
      </c>
    </row>
    <row r="10355" spans="9:14" x14ac:dyDescent="0.25">
      <c r="I10355" s="11" t="b">
        <f t="shared" si="502"/>
        <v>0</v>
      </c>
      <c r="M10355" s="17" t="str">
        <f t="shared" si="500"/>
        <v/>
      </c>
      <c r="N10355" s="11" t="str">
        <f t="shared" si="501"/>
        <v/>
      </c>
    </row>
    <row r="10356" spans="9:14" x14ac:dyDescent="0.25">
      <c r="I10356" s="11" t="b">
        <f t="shared" si="502"/>
        <v>0</v>
      </c>
      <c r="M10356" s="17" t="str">
        <f t="shared" si="500"/>
        <v/>
      </c>
      <c r="N10356" s="11" t="str">
        <f t="shared" si="501"/>
        <v/>
      </c>
    </row>
    <row r="10357" spans="9:14" x14ac:dyDescent="0.25">
      <c r="I10357" s="11" t="b">
        <f t="shared" si="502"/>
        <v>0</v>
      </c>
      <c r="M10357" s="17" t="str">
        <f t="shared" si="500"/>
        <v/>
      </c>
      <c r="N10357" s="11" t="str">
        <f t="shared" si="501"/>
        <v/>
      </c>
    </row>
    <row r="10358" spans="9:14" x14ac:dyDescent="0.25">
      <c r="I10358" s="11" t="b">
        <f t="shared" si="502"/>
        <v>0</v>
      </c>
      <c r="M10358" s="17" t="str">
        <f t="shared" si="500"/>
        <v/>
      </c>
      <c r="N10358" s="11" t="str">
        <f t="shared" si="501"/>
        <v/>
      </c>
    </row>
    <row r="10359" spans="9:14" x14ac:dyDescent="0.25">
      <c r="I10359" s="11" t="b">
        <f t="shared" si="502"/>
        <v>0</v>
      </c>
      <c r="M10359" s="17" t="str">
        <f t="shared" si="500"/>
        <v/>
      </c>
      <c r="N10359" s="11" t="str">
        <f t="shared" si="501"/>
        <v/>
      </c>
    </row>
    <row r="10360" spans="9:14" x14ac:dyDescent="0.25">
      <c r="I10360" s="11" t="b">
        <f t="shared" si="502"/>
        <v>0</v>
      </c>
      <c r="M10360" s="17" t="str">
        <f t="shared" si="500"/>
        <v/>
      </c>
      <c r="N10360" s="11" t="str">
        <f t="shared" si="501"/>
        <v/>
      </c>
    </row>
    <row r="10361" spans="9:14" x14ac:dyDescent="0.25">
      <c r="I10361" s="11" t="b">
        <f t="shared" si="502"/>
        <v>0</v>
      </c>
      <c r="M10361" s="17" t="str">
        <f t="shared" si="500"/>
        <v/>
      </c>
      <c r="N10361" s="11" t="str">
        <f t="shared" si="501"/>
        <v/>
      </c>
    </row>
    <row r="10362" spans="9:14" x14ac:dyDescent="0.25">
      <c r="I10362" s="11" t="b">
        <f t="shared" si="502"/>
        <v>0</v>
      </c>
      <c r="M10362" s="17" t="str">
        <f t="shared" si="500"/>
        <v/>
      </c>
      <c r="N10362" s="11" t="str">
        <f t="shared" si="501"/>
        <v/>
      </c>
    </row>
    <row r="10363" spans="9:14" x14ac:dyDescent="0.25">
      <c r="I10363" s="11" t="b">
        <f t="shared" si="502"/>
        <v>0</v>
      </c>
      <c r="M10363" s="17" t="str">
        <f t="shared" si="500"/>
        <v/>
      </c>
      <c r="N10363" s="11" t="str">
        <f t="shared" si="501"/>
        <v/>
      </c>
    </row>
    <row r="10364" spans="9:14" x14ac:dyDescent="0.25">
      <c r="I10364" s="11" t="b">
        <f t="shared" si="502"/>
        <v>0</v>
      </c>
      <c r="M10364" s="17" t="str">
        <f t="shared" si="500"/>
        <v/>
      </c>
      <c r="N10364" s="11" t="str">
        <f t="shared" si="501"/>
        <v/>
      </c>
    </row>
    <row r="10365" spans="9:14" x14ac:dyDescent="0.25">
      <c r="I10365" s="11" t="b">
        <f t="shared" si="502"/>
        <v>0</v>
      </c>
      <c r="M10365" s="17" t="str">
        <f t="shared" si="500"/>
        <v/>
      </c>
      <c r="N10365" s="11" t="str">
        <f t="shared" si="501"/>
        <v/>
      </c>
    </row>
    <row r="10366" spans="9:14" x14ac:dyDescent="0.25">
      <c r="I10366" s="11" t="b">
        <f t="shared" si="502"/>
        <v>0</v>
      </c>
      <c r="M10366" s="17" t="str">
        <f t="shared" si="500"/>
        <v/>
      </c>
      <c r="N10366" s="11" t="str">
        <f t="shared" si="501"/>
        <v/>
      </c>
    </row>
    <row r="10367" spans="9:14" x14ac:dyDescent="0.25">
      <c r="I10367" s="11" t="b">
        <f t="shared" si="502"/>
        <v>0</v>
      </c>
      <c r="M10367" s="17" t="str">
        <f t="shared" si="500"/>
        <v/>
      </c>
      <c r="N10367" s="11" t="str">
        <f t="shared" si="501"/>
        <v/>
      </c>
    </row>
    <row r="10368" spans="9:14" x14ac:dyDescent="0.25">
      <c r="I10368" s="11" t="b">
        <f t="shared" si="502"/>
        <v>0</v>
      </c>
      <c r="M10368" s="17" t="str">
        <f t="shared" si="500"/>
        <v/>
      </c>
      <c r="N10368" s="11" t="str">
        <f t="shared" si="501"/>
        <v/>
      </c>
    </row>
    <row r="10369" spans="9:14" x14ac:dyDescent="0.25">
      <c r="I10369" s="11" t="b">
        <f t="shared" si="502"/>
        <v>0</v>
      </c>
      <c r="M10369" s="17" t="str">
        <f t="shared" ref="M10369:M10432" si="503">IF(B10369=0, "",M10368+ J10369-K10369)</f>
        <v/>
      </c>
      <c r="N10369" s="11" t="str">
        <f t="shared" ref="N10369:N10432" si="504">IF(B10369=0, "", MONTH(B10369))</f>
        <v/>
      </c>
    </row>
    <row r="10370" spans="9:14" x14ac:dyDescent="0.25">
      <c r="I10370" s="11" t="b">
        <f t="shared" si="502"/>
        <v>0</v>
      </c>
      <c r="M10370" s="17" t="str">
        <f t="shared" si="503"/>
        <v/>
      </c>
      <c r="N10370" s="11" t="str">
        <f t="shared" si="504"/>
        <v/>
      </c>
    </row>
    <row r="10371" spans="9:14" x14ac:dyDescent="0.25">
      <c r="I10371" s="11" t="b">
        <f t="shared" si="502"/>
        <v>0</v>
      </c>
      <c r="M10371" s="17" t="str">
        <f t="shared" si="503"/>
        <v/>
      </c>
      <c r="N10371" s="11" t="str">
        <f t="shared" si="504"/>
        <v/>
      </c>
    </row>
    <row r="10372" spans="9:14" x14ac:dyDescent="0.25">
      <c r="I10372" s="11" t="b">
        <f t="shared" si="502"/>
        <v>0</v>
      </c>
      <c r="M10372" s="17" t="str">
        <f t="shared" si="503"/>
        <v/>
      </c>
      <c r="N10372" s="11" t="str">
        <f t="shared" si="504"/>
        <v/>
      </c>
    </row>
    <row r="10373" spans="9:14" x14ac:dyDescent="0.25">
      <c r="I10373" s="11" t="b">
        <f t="shared" si="502"/>
        <v>0</v>
      </c>
      <c r="M10373" s="17" t="str">
        <f t="shared" si="503"/>
        <v/>
      </c>
      <c r="N10373" s="11" t="str">
        <f t="shared" si="504"/>
        <v/>
      </c>
    </row>
    <row r="10374" spans="9:14" x14ac:dyDescent="0.25">
      <c r="I10374" s="11" t="b">
        <f t="shared" si="502"/>
        <v>0</v>
      </c>
      <c r="M10374" s="17" t="str">
        <f t="shared" si="503"/>
        <v/>
      </c>
      <c r="N10374" s="11" t="str">
        <f t="shared" si="504"/>
        <v/>
      </c>
    </row>
    <row r="10375" spans="9:14" x14ac:dyDescent="0.25">
      <c r="I10375" s="11" t="b">
        <f t="shared" si="502"/>
        <v>0</v>
      </c>
      <c r="M10375" s="17" t="str">
        <f t="shared" si="503"/>
        <v/>
      </c>
      <c r="N10375" s="11" t="str">
        <f t="shared" si="504"/>
        <v/>
      </c>
    </row>
    <row r="10376" spans="9:14" x14ac:dyDescent="0.25">
      <c r="I10376" s="11" t="b">
        <f t="shared" si="502"/>
        <v>0</v>
      </c>
      <c r="M10376" s="17" t="str">
        <f t="shared" si="503"/>
        <v/>
      </c>
      <c r="N10376" s="11" t="str">
        <f t="shared" si="504"/>
        <v/>
      </c>
    </row>
    <row r="10377" spans="9:14" x14ac:dyDescent="0.25">
      <c r="I10377" s="11" t="b">
        <f t="shared" si="502"/>
        <v>0</v>
      </c>
      <c r="M10377" s="17" t="str">
        <f t="shared" si="503"/>
        <v/>
      </c>
      <c r="N10377" s="11" t="str">
        <f t="shared" si="504"/>
        <v/>
      </c>
    </row>
    <row r="10378" spans="9:14" x14ac:dyDescent="0.25">
      <c r="I10378" s="11" t="b">
        <f t="shared" si="502"/>
        <v>0</v>
      </c>
      <c r="M10378" s="17" t="str">
        <f t="shared" si="503"/>
        <v/>
      </c>
      <c r="N10378" s="11" t="str">
        <f t="shared" si="504"/>
        <v/>
      </c>
    </row>
    <row r="10379" spans="9:14" x14ac:dyDescent="0.25">
      <c r="I10379" s="11" t="b">
        <f t="shared" si="502"/>
        <v>0</v>
      </c>
      <c r="M10379" s="17" t="str">
        <f t="shared" si="503"/>
        <v/>
      </c>
      <c r="N10379" s="11" t="str">
        <f t="shared" si="504"/>
        <v/>
      </c>
    </row>
    <row r="10380" spans="9:14" x14ac:dyDescent="0.25">
      <c r="I10380" s="11" t="b">
        <f t="shared" si="502"/>
        <v>0</v>
      </c>
      <c r="M10380" s="17" t="str">
        <f t="shared" si="503"/>
        <v/>
      </c>
      <c r="N10380" s="11" t="str">
        <f t="shared" si="504"/>
        <v/>
      </c>
    </row>
    <row r="10381" spans="9:14" x14ac:dyDescent="0.25">
      <c r="I10381" s="11" t="b">
        <f t="shared" si="502"/>
        <v>0</v>
      </c>
      <c r="M10381" s="17" t="str">
        <f t="shared" si="503"/>
        <v/>
      </c>
      <c r="N10381" s="11" t="str">
        <f t="shared" si="504"/>
        <v/>
      </c>
    </row>
    <row r="10382" spans="9:14" x14ac:dyDescent="0.25">
      <c r="I10382" s="11" t="b">
        <f t="shared" si="502"/>
        <v>0</v>
      </c>
      <c r="M10382" s="17" t="str">
        <f t="shared" si="503"/>
        <v/>
      </c>
      <c r="N10382" s="11" t="str">
        <f t="shared" si="504"/>
        <v/>
      </c>
    </row>
    <row r="10383" spans="9:14" x14ac:dyDescent="0.25">
      <c r="I10383" s="11" t="b">
        <f t="shared" si="502"/>
        <v>0</v>
      </c>
      <c r="M10383" s="17" t="str">
        <f t="shared" si="503"/>
        <v/>
      </c>
      <c r="N10383" s="11" t="str">
        <f t="shared" si="504"/>
        <v/>
      </c>
    </row>
    <row r="10384" spans="9:14" x14ac:dyDescent="0.25">
      <c r="I10384" s="11" t="b">
        <f t="shared" si="502"/>
        <v>0</v>
      </c>
      <c r="M10384" s="17" t="str">
        <f t="shared" si="503"/>
        <v/>
      </c>
      <c r="N10384" s="11" t="str">
        <f t="shared" si="504"/>
        <v/>
      </c>
    </row>
    <row r="10385" spans="9:14" x14ac:dyDescent="0.25">
      <c r="I10385" s="11" t="b">
        <f t="shared" si="502"/>
        <v>0</v>
      </c>
      <c r="M10385" s="17" t="str">
        <f t="shared" si="503"/>
        <v/>
      </c>
      <c r="N10385" s="11" t="str">
        <f t="shared" si="504"/>
        <v/>
      </c>
    </row>
    <row r="10386" spans="9:14" x14ac:dyDescent="0.25">
      <c r="I10386" s="11" t="b">
        <f t="shared" si="502"/>
        <v>0</v>
      </c>
      <c r="M10386" s="17" t="str">
        <f t="shared" si="503"/>
        <v/>
      </c>
      <c r="N10386" s="11" t="str">
        <f t="shared" si="504"/>
        <v/>
      </c>
    </row>
    <row r="10387" spans="9:14" x14ac:dyDescent="0.25">
      <c r="I10387" s="11" t="b">
        <f t="shared" si="502"/>
        <v>0</v>
      </c>
      <c r="M10387" s="17" t="str">
        <f t="shared" si="503"/>
        <v/>
      </c>
      <c r="N10387" s="11" t="str">
        <f t="shared" si="504"/>
        <v/>
      </c>
    </row>
    <row r="10388" spans="9:14" x14ac:dyDescent="0.25">
      <c r="I10388" s="11" t="b">
        <f t="shared" si="502"/>
        <v>0</v>
      </c>
      <c r="M10388" s="17" t="str">
        <f t="shared" si="503"/>
        <v/>
      </c>
      <c r="N10388" s="11" t="str">
        <f t="shared" si="504"/>
        <v/>
      </c>
    </row>
    <row r="10389" spans="9:14" x14ac:dyDescent="0.25">
      <c r="I10389" s="11" t="b">
        <f t="shared" si="502"/>
        <v>0</v>
      </c>
      <c r="M10389" s="17" t="str">
        <f t="shared" si="503"/>
        <v/>
      </c>
      <c r="N10389" s="11" t="str">
        <f t="shared" si="504"/>
        <v/>
      </c>
    </row>
    <row r="10390" spans="9:14" x14ac:dyDescent="0.25">
      <c r="I10390" s="11" t="b">
        <f t="shared" si="502"/>
        <v>0</v>
      </c>
      <c r="M10390" s="17" t="str">
        <f t="shared" si="503"/>
        <v/>
      </c>
      <c r="N10390" s="11" t="str">
        <f t="shared" si="504"/>
        <v/>
      </c>
    </row>
    <row r="10391" spans="9:14" x14ac:dyDescent="0.25">
      <c r="I10391" s="11" t="b">
        <f t="shared" si="502"/>
        <v>0</v>
      </c>
      <c r="M10391" s="17" t="str">
        <f t="shared" si="503"/>
        <v/>
      </c>
      <c r="N10391" s="11" t="str">
        <f t="shared" si="504"/>
        <v/>
      </c>
    </row>
    <row r="10392" spans="9:14" x14ac:dyDescent="0.25">
      <c r="I10392" s="11" t="b">
        <f t="shared" si="502"/>
        <v>0</v>
      </c>
      <c r="M10392" s="17" t="str">
        <f t="shared" si="503"/>
        <v/>
      </c>
      <c r="N10392" s="11" t="str">
        <f t="shared" si="504"/>
        <v/>
      </c>
    </row>
    <row r="10393" spans="9:14" x14ac:dyDescent="0.25">
      <c r="I10393" s="11" t="b">
        <f t="shared" si="502"/>
        <v>0</v>
      </c>
      <c r="M10393" s="17" t="str">
        <f t="shared" si="503"/>
        <v/>
      </c>
      <c r="N10393" s="11" t="str">
        <f t="shared" si="504"/>
        <v/>
      </c>
    </row>
    <row r="10394" spans="9:14" x14ac:dyDescent="0.25">
      <c r="I10394" s="11" t="b">
        <f t="shared" si="502"/>
        <v>0</v>
      </c>
      <c r="M10394" s="17" t="str">
        <f t="shared" si="503"/>
        <v/>
      </c>
      <c r="N10394" s="11" t="str">
        <f t="shared" si="504"/>
        <v/>
      </c>
    </row>
    <row r="10395" spans="9:14" x14ac:dyDescent="0.25">
      <c r="I10395" s="11" t="b">
        <f t="shared" si="502"/>
        <v>0</v>
      </c>
      <c r="M10395" s="17" t="str">
        <f t="shared" si="503"/>
        <v/>
      </c>
      <c r="N10395" s="11" t="str">
        <f t="shared" si="504"/>
        <v/>
      </c>
    </row>
    <row r="10396" spans="9:14" x14ac:dyDescent="0.25">
      <c r="I10396" s="11" t="b">
        <f t="shared" si="502"/>
        <v>0</v>
      </c>
      <c r="M10396" s="17" t="str">
        <f t="shared" si="503"/>
        <v/>
      </c>
      <c r="N10396" s="11" t="str">
        <f t="shared" si="504"/>
        <v/>
      </c>
    </row>
    <row r="10397" spans="9:14" x14ac:dyDescent="0.25">
      <c r="I10397" s="11" t="b">
        <f t="shared" ref="I10397:I10460" si="505">IF(AND(G10397="MERCADO PAGO",A10397="FATURAMENTO"),1,IF(AND(OR(G10397="MERCADO PAGO",G10397="pix mercado pago",G10397= "débito automático mercado pago", G10397= "boleto mercado pago"),A10397="DESPESAS"),4,IF(AND(G10397="SAFRA",A10397="FATURAMENTO"),2,IF(AND(OR(G10397="SAFRA",G10397="PIX SAFRA", G10397="DÉBITO AUTOMÁTICO SAFRA", G10397= "BOLETO SAFRA", G10397= "transferência safra"), A10397="DESPESAS"),5,IF(AND(G10397="espécie",A10397="FATURAMENTO"),3,IF(AND(G10397="espécie",A10397="DESPESAS"),6))))))</f>
        <v>0</v>
      </c>
      <c r="M10397" s="17" t="str">
        <f t="shared" si="503"/>
        <v/>
      </c>
      <c r="N10397" s="11" t="str">
        <f t="shared" si="504"/>
        <v/>
      </c>
    </row>
    <row r="10398" spans="9:14" x14ac:dyDescent="0.25">
      <c r="I10398" s="11" t="b">
        <f t="shared" si="505"/>
        <v>0</v>
      </c>
      <c r="M10398" s="17" t="str">
        <f t="shared" si="503"/>
        <v/>
      </c>
      <c r="N10398" s="11" t="str">
        <f t="shared" si="504"/>
        <v/>
      </c>
    </row>
    <row r="10399" spans="9:14" x14ac:dyDescent="0.25">
      <c r="I10399" s="11" t="b">
        <f t="shared" si="505"/>
        <v>0</v>
      </c>
      <c r="M10399" s="17" t="str">
        <f t="shared" si="503"/>
        <v/>
      </c>
      <c r="N10399" s="11" t="str">
        <f t="shared" si="504"/>
        <v/>
      </c>
    </row>
    <row r="10400" spans="9:14" x14ac:dyDescent="0.25">
      <c r="I10400" s="11" t="b">
        <f t="shared" si="505"/>
        <v>0</v>
      </c>
      <c r="M10400" s="17" t="str">
        <f t="shared" si="503"/>
        <v/>
      </c>
      <c r="N10400" s="11" t="str">
        <f t="shared" si="504"/>
        <v/>
      </c>
    </row>
    <row r="10401" spans="9:14" x14ac:dyDescent="0.25">
      <c r="I10401" s="11" t="b">
        <f t="shared" si="505"/>
        <v>0</v>
      </c>
      <c r="M10401" s="17" t="str">
        <f t="shared" si="503"/>
        <v/>
      </c>
      <c r="N10401" s="11" t="str">
        <f t="shared" si="504"/>
        <v/>
      </c>
    </row>
    <row r="10402" spans="9:14" x14ac:dyDescent="0.25">
      <c r="I10402" s="11" t="b">
        <f t="shared" si="505"/>
        <v>0</v>
      </c>
      <c r="M10402" s="17" t="str">
        <f t="shared" si="503"/>
        <v/>
      </c>
      <c r="N10402" s="11" t="str">
        <f t="shared" si="504"/>
        <v/>
      </c>
    </row>
    <row r="10403" spans="9:14" x14ac:dyDescent="0.25">
      <c r="I10403" s="11" t="b">
        <f t="shared" si="505"/>
        <v>0</v>
      </c>
      <c r="M10403" s="17" t="str">
        <f t="shared" si="503"/>
        <v/>
      </c>
      <c r="N10403" s="11" t="str">
        <f t="shared" si="504"/>
        <v/>
      </c>
    </row>
    <row r="10404" spans="9:14" x14ac:dyDescent="0.25">
      <c r="I10404" s="11" t="b">
        <f t="shared" si="505"/>
        <v>0</v>
      </c>
      <c r="M10404" s="17" t="str">
        <f t="shared" si="503"/>
        <v/>
      </c>
      <c r="N10404" s="11" t="str">
        <f t="shared" si="504"/>
        <v/>
      </c>
    </row>
    <row r="10405" spans="9:14" x14ac:dyDescent="0.25">
      <c r="I10405" s="11" t="b">
        <f t="shared" si="505"/>
        <v>0</v>
      </c>
      <c r="M10405" s="17" t="str">
        <f t="shared" si="503"/>
        <v/>
      </c>
      <c r="N10405" s="11" t="str">
        <f t="shared" si="504"/>
        <v/>
      </c>
    </row>
    <row r="10406" spans="9:14" x14ac:dyDescent="0.25">
      <c r="I10406" s="11" t="b">
        <f t="shared" si="505"/>
        <v>0</v>
      </c>
      <c r="M10406" s="17" t="str">
        <f t="shared" si="503"/>
        <v/>
      </c>
      <c r="N10406" s="11" t="str">
        <f t="shared" si="504"/>
        <v/>
      </c>
    </row>
    <row r="10407" spans="9:14" x14ac:dyDescent="0.25">
      <c r="I10407" s="11" t="b">
        <f t="shared" si="505"/>
        <v>0</v>
      </c>
      <c r="M10407" s="17" t="str">
        <f t="shared" si="503"/>
        <v/>
      </c>
      <c r="N10407" s="11" t="str">
        <f t="shared" si="504"/>
        <v/>
      </c>
    </row>
    <row r="10408" spans="9:14" x14ac:dyDescent="0.25">
      <c r="I10408" s="11" t="b">
        <f t="shared" si="505"/>
        <v>0</v>
      </c>
      <c r="M10408" s="17" t="str">
        <f t="shared" si="503"/>
        <v/>
      </c>
      <c r="N10408" s="11" t="str">
        <f t="shared" si="504"/>
        <v/>
      </c>
    </row>
    <row r="10409" spans="9:14" x14ac:dyDescent="0.25">
      <c r="I10409" s="11" t="b">
        <f t="shared" si="505"/>
        <v>0</v>
      </c>
      <c r="M10409" s="17" t="str">
        <f t="shared" si="503"/>
        <v/>
      </c>
      <c r="N10409" s="11" t="str">
        <f t="shared" si="504"/>
        <v/>
      </c>
    </row>
    <row r="10410" spans="9:14" x14ac:dyDescent="0.25">
      <c r="I10410" s="11" t="b">
        <f t="shared" si="505"/>
        <v>0</v>
      </c>
      <c r="M10410" s="17" t="str">
        <f t="shared" si="503"/>
        <v/>
      </c>
      <c r="N10410" s="11" t="str">
        <f t="shared" si="504"/>
        <v/>
      </c>
    </row>
    <row r="10411" spans="9:14" x14ac:dyDescent="0.25">
      <c r="I10411" s="11" t="b">
        <f t="shared" si="505"/>
        <v>0</v>
      </c>
      <c r="M10411" s="17" t="str">
        <f t="shared" si="503"/>
        <v/>
      </c>
      <c r="N10411" s="11" t="str">
        <f t="shared" si="504"/>
        <v/>
      </c>
    </row>
    <row r="10412" spans="9:14" x14ac:dyDescent="0.25">
      <c r="I10412" s="11" t="b">
        <f t="shared" si="505"/>
        <v>0</v>
      </c>
      <c r="M10412" s="17" t="str">
        <f t="shared" si="503"/>
        <v/>
      </c>
      <c r="N10412" s="11" t="str">
        <f t="shared" si="504"/>
        <v/>
      </c>
    </row>
    <row r="10413" spans="9:14" x14ac:dyDescent="0.25">
      <c r="I10413" s="11" t="b">
        <f t="shared" si="505"/>
        <v>0</v>
      </c>
      <c r="M10413" s="17" t="str">
        <f t="shared" si="503"/>
        <v/>
      </c>
      <c r="N10413" s="11" t="str">
        <f t="shared" si="504"/>
        <v/>
      </c>
    </row>
    <row r="10414" spans="9:14" x14ac:dyDescent="0.25">
      <c r="I10414" s="11" t="b">
        <f t="shared" si="505"/>
        <v>0</v>
      </c>
      <c r="M10414" s="17" t="str">
        <f t="shared" si="503"/>
        <v/>
      </c>
      <c r="N10414" s="11" t="str">
        <f t="shared" si="504"/>
        <v/>
      </c>
    </row>
    <row r="10415" spans="9:14" x14ac:dyDescent="0.25">
      <c r="I10415" s="11" t="b">
        <f t="shared" si="505"/>
        <v>0</v>
      </c>
      <c r="M10415" s="17" t="str">
        <f t="shared" si="503"/>
        <v/>
      </c>
      <c r="N10415" s="11" t="str">
        <f t="shared" si="504"/>
        <v/>
      </c>
    </row>
    <row r="10416" spans="9:14" x14ac:dyDescent="0.25">
      <c r="I10416" s="11" t="b">
        <f t="shared" si="505"/>
        <v>0</v>
      </c>
      <c r="M10416" s="17" t="str">
        <f t="shared" si="503"/>
        <v/>
      </c>
      <c r="N10416" s="11" t="str">
        <f t="shared" si="504"/>
        <v/>
      </c>
    </row>
    <row r="10417" spans="9:14" x14ac:dyDescent="0.25">
      <c r="I10417" s="11" t="b">
        <f t="shared" si="505"/>
        <v>0</v>
      </c>
      <c r="M10417" s="17" t="str">
        <f t="shared" si="503"/>
        <v/>
      </c>
      <c r="N10417" s="11" t="str">
        <f t="shared" si="504"/>
        <v/>
      </c>
    </row>
    <row r="10418" spans="9:14" x14ac:dyDescent="0.25">
      <c r="I10418" s="11" t="b">
        <f t="shared" si="505"/>
        <v>0</v>
      </c>
      <c r="M10418" s="17" t="str">
        <f t="shared" si="503"/>
        <v/>
      </c>
      <c r="N10418" s="11" t="str">
        <f t="shared" si="504"/>
        <v/>
      </c>
    </row>
    <row r="10419" spans="9:14" x14ac:dyDescent="0.25">
      <c r="I10419" s="11" t="b">
        <f t="shared" si="505"/>
        <v>0</v>
      </c>
      <c r="M10419" s="17" t="str">
        <f t="shared" si="503"/>
        <v/>
      </c>
      <c r="N10419" s="11" t="str">
        <f t="shared" si="504"/>
        <v/>
      </c>
    </row>
    <row r="10420" spans="9:14" x14ac:dyDescent="0.25">
      <c r="I10420" s="11" t="b">
        <f t="shared" si="505"/>
        <v>0</v>
      </c>
      <c r="M10420" s="17" t="str">
        <f t="shared" si="503"/>
        <v/>
      </c>
      <c r="N10420" s="11" t="str">
        <f t="shared" si="504"/>
        <v/>
      </c>
    </row>
    <row r="10421" spans="9:14" x14ac:dyDescent="0.25">
      <c r="I10421" s="11" t="b">
        <f t="shared" si="505"/>
        <v>0</v>
      </c>
      <c r="M10421" s="17" t="str">
        <f t="shared" si="503"/>
        <v/>
      </c>
      <c r="N10421" s="11" t="str">
        <f t="shared" si="504"/>
        <v/>
      </c>
    </row>
    <row r="10422" spans="9:14" x14ac:dyDescent="0.25">
      <c r="I10422" s="11" t="b">
        <f t="shared" si="505"/>
        <v>0</v>
      </c>
      <c r="M10422" s="17" t="str">
        <f t="shared" si="503"/>
        <v/>
      </c>
      <c r="N10422" s="11" t="str">
        <f t="shared" si="504"/>
        <v/>
      </c>
    </row>
    <row r="10423" spans="9:14" x14ac:dyDescent="0.25">
      <c r="I10423" s="11" t="b">
        <f t="shared" si="505"/>
        <v>0</v>
      </c>
      <c r="M10423" s="17" t="str">
        <f t="shared" si="503"/>
        <v/>
      </c>
      <c r="N10423" s="11" t="str">
        <f t="shared" si="504"/>
        <v/>
      </c>
    </row>
    <row r="10424" spans="9:14" x14ac:dyDescent="0.25">
      <c r="I10424" s="11" t="b">
        <f t="shared" si="505"/>
        <v>0</v>
      </c>
      <c r="M10424" s="17" t="str">
        <f t="shared" si="503"/>
        <v/>
      </c>
      <c r="N10424" s="11" t="str">
        <f t="shared" si="504"/>
        <v/>
      </c>
    </row>
    <row r="10425" spans="9:14" x14ac:dyDescent="0.25">
      <c r="I10425" s="11" t="b">
        <f t="shared" si="505"/>
        <v>0</v>
      </c>
      <c r="M10425" s="17" t="str">
        <f t="shared" si="503"/>
        <v/>
      </c>
      <c r="N10425" s="11" t="str">
        <f t="shared" si="504"/>
        <v/>
      </c>
    </row>
    <row r="10426" spans="9:14" x14ac:dyDescent="0.25">
      <c r="I10426" s="11" t="b">
        <f t="shared" si="505"/>
        <v>0</v>
      </c>
      <c r="M10426" s="17" t="str">
        <f t="shared" si="503"/>
        <v/>
      </c>
      <c r="N10426" s="11" t="str">
        <f t="shared" si="504"/>
        <v/>
      </c>
    </row>
    <row r="10427" spans="9:14" x14ac:dyDescent="0.25">
      <c r="I10427" s="11" t="b">
        <f t="shared" si="505"/>
        <v>0</v>
      </c>
      <c r="M10427" s="17" t="str">
        <f t="shared" si="503"/>
        <v/>
      </c>
      <c r="N10427" s="11" t="str">
        <f t="shared" si="504"/>
        <v/>
      </c>
    </row>
    <row r="10428" spans="9:14" x14ac:dyDescent="0.25">
      <c r="I10428" s="11" t="b">
        <f t="shared" si="505"/>
        <v>0</v>
      </c>
      <c r="M10428" s="17" t="str">
        <f t="shared" si="503"/>
        <v/>
      </c>
      <c r="N10428" s="11" t="str">
        <f t="shared" si="504"/>
        <v/>
      </c>
    </row>
    <row r="10429" spans="9:14" x14ac:dyDescent="0.25">
      <c r="I10429" s="11" t="b">
        <f t="shared" si="505"/>
        <v>0</v>
      </c>
      <c r="M10429" s="17" t="str">
        <f t="shared" si="503"/>
        <v/>
      </c>
      <c r="N10429" s="11" t="str">
        <f t="shared" si="504"/>
        <v/>
      </c>
    </row>
    <row r="10430" spans="9:14" x14ac:dyDescent="0.25">
      <c r="I10430" s="11" t="b">
        <f t="shared" si="505"/>
        <v>0</v>
      </c>
      <c r="M10430" s="17" t="str">
        <f t="shared" si="503"/>
        <v/>
      </c>
      <c r="N10430" s="11" t="str">
        <f t="shared" si="504"/>
        <v/>
      </c>
    </row>
    <row r="10431" spans="9:14" x14ac:dyDescent="0.25">
      <c r="I10431" s="11" t="b">
        <f t="shared" si="505"/>
        <v>0</v>
      </c>
      <c r="M10431" s="17" t="str">
        <f t="shared" si="503"/>
        <v/>
      </c>
      <c r="N10431" s="11" t="str">
        <f t="shared" si="504"/>
        <v/>
      </c>
    </row>
    <row r="10432" spans="9:14" x14ac:dyDescent="0.25">
      <c r="I10432" s="11" t="b">
        <f t="shared" si="505"/>
        <v>0</v>
      </c>
      <c r="M10432" s="17" t="str">
        <f t="shared" si="503"/>
        <v/>
      </c>
      <c r="N10432" s="11" t="str">
        <f t="shared" si="504"/>
        <v/>
      </c>
    </row>
    <row r="10433" spans="9:14" x14ac:dyDescent="0.25">
      <c r="I10433" s="11" t="b">
        <f t="shared" si="505"/>
        <v>0</v>
      </c>
      <c r="M10433" s="17" t="str">
        <f t="shared" ref="M10433:M10496" si="506">IF(B10433=0, "",M10432+ J10433-K10433)</f>
        <v/>
      </c>
      <c r="N10433" s="11" t="str">
        <f t="shared" ref="N10433:N10496" si="507">IF(B10433=0, "", MONTH(B10433))</f>
        <v/>
      </c>
    </row>
    <row r="10434" spans="9:14" x14ac:dyDescent="0.25">
      <c r="I10434" s="11" t="b">
        <f t="shared" si="505"/>
        <v>0</v>
      </c>
      <c r="M10434" s="17" t="str">
        <f t="shared" si="506"/>
        <v/>
      </c>
      <c r="N10434" s="11" t="str">
        <f t="shared" si="507"/>
        <v/>
      </c>
    </row>
    <row r="10435" spans="9:14" x14ac:dyDescent="0.25">
      <c r="I10435" s="11" t="b">
        <f t="shared" si="505"/>
        <v>0</v>
      </c>
      <c r="M10435" s="17" t="str">
        <f t="shared" si="506"/>
        <v/>
      </c>
      <c r="N10435" s="11" t="str">
        <f t="shared" si="507"/>
        <v/>
      </c>
    </row>
    <row r="10436" spans="9:14" x14ac:dyDescent="0.25">
      <c r="I10436" s="11" t="b">
        <f t="shared" si="505"/>
        <v>0</v>
      </c>
      <c r="M10436" s="17" t="str">
        <f t="shared" si="506"/>
        <v/>
      </c>
      <c r="N10436" s="11" t="str">
        <f t="shared" si="507"/>
        <v/>
      </c>
    </row>
    <row r="10437" spans="9:14" x14ac:dyDescent="0.25">
      <c r="I10437" s="11" t="b">
        <f t="shared" si="505"/>
        <v>0</v>
      </c>
      <c r="M10437" s="17" t="str">
        <f t="shared" si="506"/>
        <v/>
      </c>
      <c r="N10437" s="11" t="str">
        <f t="shared" si="507"/>
        <v/>
      </c>
    </row>
    <row r="10438" spans="9:14" x14ac:dyDescent="0.25">
      <c r="I10438" s="11" t="b">
        <f t="shared" si="505"/>
        <v>0</v>
      </c>
      <c r="M10438" s="17" t="str">
        <f t="shared" si="506"/>
        <v/>
      </c>
      <c r="N10438" s="11" t="str">
        <f t="shared" si="507"/>
        <v/>
      </c>
    </row>
    <row r="10439" spans="9:14" x14ac:dyDescent="0.25">
      <c r="I10439" s="11" t="b">
        <f t="shared" si="505"/>
        <v>0</v>
      </c>
      <c r="M10439" s="17" t="str">
        <f t="shared" si="506"/>
        <v/>
      </c>
      <c r="N10439" s="11" t="str">
        <f t="shared" si="507"/>
        <v/>
      </c>
    </row>
    <row r="10440" spans="9:14" x14ac:dyDescent="0.25">
      <c r="I10440" s="11" t="b">
        <f t="shared" si="505"/>
        <v>0</v>
      </c>
      <c r="M10440" s="17" t="str">
        <f t="shared" si="506"/>
        <v/>
      </c>
      <c r="N10440" s="11" t="str">
        <f t="shared" si="507"/>
        <v/>
      </c>
    </row>
    <row r="10441" spans="9:14" x14ac:dyDescent="0.25">
      <c r="I10441" s="11" t="b">
        <f t="shared" si="505"/>
        <v>0</v>
      </c>
      <c r="M10441" s="17" t="str">
        <f t="shared" si="506"/>
        <v/>
      </c>
      <c r="N10441" s="11" t="str">
        <f t="shared" si="507"/>
        <v/>
      </c>
    </row>
    <row r="10442" spans="9:14" x14ac:dyDescent="0.25">
      <c r="I10442" s="11" t="b">
        <f t="shared" si="505"/>
        <v>0</v>
      </c>
      <c r="M10442" s="17" t="str">
        <f t="shared" si="506"/>
        <v/>
      </c>
      <c r="N10442" s="11" t="str">
        <f t="shared" si="507"/>
        <v/>
      </c>
    </row>
    <row r="10443" spans="9:14" x14ac:dyDescent="0.25">
      <c r="I10443" s="11" t="b">
        <f t="shared" si="505"/>
        <v>0</v>
      </c>
      <c r="M10443" s="17" t="str">
        <f t="shared" si="506"/>
        <v/>
      </c>
      <c r="N10443" s="11" t="str">
        <f t="shared" si="507"/>
        <v/>
      </c>
    </row>
    <row r="10444" spans="9:14" x14ac:dyDescent="0.25">
      <c r="I10444" s="11" t="b">
        <f t="shared" si="505"/>
        <v>0</v>
      </c>
      <c r="M10444" s="17" t="str">
        <f t="shared" si="506"/>
        <v/>
      </c>
      <c r="N10444" s="11" t="str">
        <f t="shared" si="507"/>
        <v/>
      </c>
    </row>
    <row r="10445" spans="9:14" x14ac:dyDescent="0.25">
      <c r="I10445" s="11" t="b">
        <f t="shared" si="505"/>
        <v>0</v>
      </c>
      <c r="M10445" s="17" t="str">
        <f t="shared" si="506"/>
        <v/>
      </c>
      <c r="N10445" s="11" t="str">
        <f t="shared" si="507"/>
        <v/>
      </c>
    </row>
    <row r="10446" spans="9:14" x14ac:dyDescent="0.25">
      <c r="I10446" s="11" t="b">
        <f t="shared" si="505"/>
        <v>0</v>
      </c>
      <c r="M10446" s="17" t="str">
        <f t="shared" si="506"/>
        <v/>
      </c>
      <c r="N10446" s="11" t="str">
        <f t="shared" si="507"/>
        <v/>
      </c>
    </row>
    <row r="10447" spans="9:14" x14ac:dyDescent="0.25">
      <c r="I10447" s="11" t="b">
        <f t="shared" si="505"/>
        <v>0</v>
      </c>
      <c r="M10447" s="17" t="str">
        <f t="shared" si="506"/>
        <v/>
      </c>
      <c r="N10447" s="11" t="str">
        <f t="shared" si="507"/>
        <v/>
      </c>
    </row>
    <row r="10448" spans="9:14" x14ac:dyDescent="0.25">
      <c r="I10448" s="11" t="b">
        <f t="shared" si="505"/>
        <v>0</v>
      </c>
      <c r="M10448" s="17" t="str">
        <f t="shared" si="506"/>
        <v/>
      </c>
      <c r="N10448" s="11" t="str">
        <f t="shared" si="507"/>
        <v/>
      </c>
    </row>
    <row r="10449" spans="9:14" x14ac:dyDescent="0.25">
      <c r="I10449" s="11" t="b">
        <f t="shared" si="505"/>
        <v>0</v>
      </c>
      <c r="M10449" s="17" t="str">
        <f t="shared" si="506"/>
        <v/>
      </c>
      <c r="N10449" s="11" t="str">
        <f t="shared" si="507"/>
        <v/>
      </c>
    </row>
    <row r="10450" spans="9:14" x14ac:dyDescent="0.25">
      <c r="I10450" s="11" t="b">
        <f t="shared" si="505"/>
        <v>0</v>
      </c>
      <c r="M10450" s="17" t="str">
        <f t="shared" si="506"/>
        <v/>
      </c>
      <c r="N10450" s="11" t="str">
        <f t="shared" si="507"/>
        <v/>
      </c>
    </row>
    <row r="10451" spans="9:14" x14ac:dyDescent="0.25">
      <c r="I10451" s="11" t="b">
        <f t="shared" si="505"/>
        <v>0</v>
      </c>
      <c r="M10451" s="17" t="str">
        <f t="shared" si="506"/>
        <v/>
      </c>
      <c r="N10451" s="11" t="str">
        <f t="shared" si="507"/>
        <v/>
      </c>
    </row>
    <row r="10452" spans="9:14" x14ac:dyDescent="0.25">
      <c r="I10452" s="11" t="b">
        <f t="shared" si="505"/>
        <v>0</v>
      </c>
      <c r="M10452" s="17" t="str">
        <f t="shared" si="506"/>
        <v/>
      </c>
      <c r="N10452" s="11" t="str">
        <f t="shared" si="507"/>
        <v/>
      </c>
    </row>
    <row r="10453" spans="9:14" x14ac:dyDescent="0.25">
      <c r="I10453" s="11" t="b">
        <f t="shared" si="505"/>
        <v>0</v>
      </c>
      <c r="M10453" s="17" t="str">
        <f t="shared" si="506"/>
        <v/>
      </c>
      <c r="N10453" s="11" t="str">
        <f t="shared" si="507"/>
        <v/>
      </c>
    </row>
    <row r="10454" spans="9:14" x14ac:dyDescent="0.25">
      <c r="I10454" s="11" t="b">
        <f t="shared" si="505"/>
        <v>0</v>
      </c>
      <c r="M10454" s="17" t="str">
        <f t="shared" si="506"/>
        <v/>
      </c>
      <c r="N10454" s="11" t="str">
        <f t="shared" si="507"/>
        <v/>
      </c>
    </row>
    <row r="10455" spans="9:14" x14ac:dyDescent="0.25">
      <c r="I10455" s="11" t="b">
        <f t="shared" si="505"/>
        <v>0</v>
      </c>
      <c r="M10455" s="17" t="str">
        <f t="shared" si="506"/>
        <v/>
      </c>
      <c r="N10455" s="11" t="str">
        <f t="shared" si="507"/>
        <v/>
      </c>
    </row>
    <row r="10456" spans="9:14" x14ac:dyDescent="0.25">
      <c r="I10456" s="11" t="b">
        <f t="shared" si="505"/>
        <v>0</v>
      </c>
      <c r="M10456" s="17" t="str">
        <f t="shared" si="506"/>
        <v/>
      </c>
      <c r="N10456" s="11" t="str">
        <f t="shared" si="507"/>
        <v/>
      </c>
    </row>
    <row r="10457" spans="9:14" x14ac:dyDescent="0.25">
      <c r="I10457" s="11" t="b">
        <f t="shared" si="505"/>
        <v>0</v>
      </c>
      <c r="M10457" s="17" t="str">
        <f t="shared" si="506"/>
        <v/>
      </c>
      <c r="N10457" s="11" t="str">
        <f t="shared" si="507"/>
        <v/>
      </c>
    </row>
    <row r="10458" spans="9:14" x14ac:dyDescent="0.25">
      <c r="I10458" s="11" t="b">
        <f t="shared" si="505"/>
        <v>0</v>
      </c>
      <c r="M10458" s="17" t="str">
        <f t="shared" si="506"/>
        <v/>
      </c>
      <c r="N10458" s="11" t="str">
        <f t="shared" si="507"/>
        <v/>
      </c>
    </row>
    <row r="10459" spans="9:14" x14ac:dyDescent="0.25">
      <c r="I10459" s="11" t="b">
        <f t="shared" si="505"/>
        <v>0</v>
      </c>
      <c r="M10459" s="17" t="str">
        <f t="shared" si="506"/>
        <v/>
      </c>
      <c r="N10459" s="11" t="str">
        <f t="shared" si="507"/>
        <v/>
      </c>
    </row>
    <row r="10460" spans="9:14" x14ac:dyDescent="0.25">
      <c r="I10460" s="11" t="b">
        <f t="shared" si="505"/>
        <v>0</v>
      </c>
      <c r="M10460" s="17" t="str">
        <f t="shared" si="506"/>
        <v/>
      </c>
      <c r="N10460" s="11" t="str">
        <f t="shared" si="507"/>
        <v/>
      </c>
    </row>
    <row r="10461" spans="9:14" x14ac:dyDescent="0.25">
      <c r="I10461" s="11" t="b">
        <f t="shared" ref="I10461:I10524" si="508">IF(AND(G10461="MERCADO PAGO",A10461="FATURAMENTO"),1,IF(AND(OR(G10461="MERCADO PAGO",G10461="pix mercado pago",G10461= "débito automático mercado pago", G10461= "boleto mercado pago"),A10461="DESPESAS"),4,IF(AND(G10461="SAFRA",A10461="FATURAMENTO"),2,IF(AND(OR(G10461="SAFRA",G10461="PIX SAFRA", G10461="DÉBITO AUTOMÁTICO SAFRA", G10461= "BOLETO SAFRA", G10461= "transferência safra"), A10461="DESPESAS"),5,IF(AND(G10461="espécie",A10461="FATURAMENTO"),3,IF(AND(G10461="espécie",A10461="DESPESAS"),6))))))</f>
        <v>0</v>
      </c>
      <c r="M10461" s="17" t="str">
        <f t="shared" si="506"/>
        <v/>
      </c>
      <c r="N10461" s="11" t="str">
        <f t="shared" si="507"/>
        <v/>
      </c>
    </row>
    <row r="10462" spans="9:14" x14ac:dyDescent="0.25">
      <c r="I10462" s="11" t="b">
        <f t="shared" si="508"/>
        <v>0</v>
      </c>
      <c r="M10462" s="17" t="str">
        <f t="shared" si="506"/>
        <v/>
      </c>
      <c r="N10462" s="11" t="str">
        <f t="shared" si="507"/>
        <v/>
      </c>
    </row>
    <row r="10463" spans="9:14" x14ac:dyDescent="0.25">
      <c r="I10463" s="11" t="b">
        <f t="shared" si="508"/>
        <v>0</v>
      </c>
      <c r="M10463" s="17" t="str">
        <f t="shared" si="506"/>
        <v/>
      </c>
      <c r="N10463" s="11" t="str">
        <f t="shared" si="507"/>
        <v/>
      </c>
    </row>
    <row r="10464" spans="9:14" x14ac:dyDescent="0.25">
      <c r="I10464" s="11" t="b">
        <f t="shared" si="508"/>
        <v>0</v>
      </c>
      <c r="M10464" s="17" t="str">
        <f t="shared" si="506"/>
        <v/>
      </c>
      <c r="N10464" s="11" t="str">
        <f t="shared" si="507"/>
        <v/>
      </c>
    </row>
    <row r="10465" spans="9:14" x14ac:dyDescent="0.25">
      <c r="I10465" s="11" t="b">
        <f t="shared" si="508"/>
        <v>0</v>
      </c>
      <c r="M10465" s="17" t="str">
        <f t="shared" si="506"/>
        <v/>
      </c>
      <c r="N10465" s="11" t="str">
        <f t="shared" si="507"/>
        <v/>
      </c>
    </row>
    <row r="10466" spans="9:14" x14ac:dyDescent="0.25">
      <c r="I10466" s="11" t="b">
        <f t="shared" si="508"/>
        <v>0</v>
      </c>
      <c r="M10466" s="17" t="str">
        <f t="shared" si="506"/>
        <v/>
      </c>
      <c r="N10466" s="11" t="str">
        <f t="shared" si="507"/>
        <v/>
      </c>
    </row>
    <row r="10467" spans="9:14" x14ac:dyDescent="0.25">
      <c r="I10467" s="11" t="b">
        <f t="shared" si="508"/>
        <v>0</v>
      </c>
      <c r="M10467" s="17" t="str">
        <f t="shared" si="506"/>
        <v/>
      </c>
      <c r="N10467" s="11" t="str">
        <f t="shared" si="507"/>
        <v/>
      </c>
    </row>
    <row r="10468" spans="9:14" x14ac:dyDescent="0.25">
      <c r="I10468" s="11" t="b">
        <f t="shared" si="508"/>
        <v>0</v>
      </c>
      <c r="M10468" s="17" t="str">
        <f t="shared" si="506"/>
        <v/>
      </c>
      <c r="N10468" s="11" t="str">
        <f t="shared" si="507"/>
        <v/>
      </c>
    </row>
    <row r="10469" spans="9:14" x14ac:dyDescent="0.25">
      <c r="I10469" s="11" t="b">
        <f t="shared" si="508"/>
        <v>0</v>
      </c>
      <c r="M10469" s="17" t="str">
        <f t="shared" si="506"/>
        <v/>
      </c>
      <c r="N10469" s="11" t="str">
        <f t="shared" si="507"/>
        <v/>
      </c>
    </row>
    <row r="10470" spans="9:14" x14ac:dyDescent="0.25">
      <c r="I10470" s="11" t="b">
        <f t="shared" si="508"/>
        <v>0</v>
      </c>
      <c r="M10470" s="17" t="str">
        <f t="shared" si="506"/>
        <v/>
      </c>
      <c r="N10470" s="11" t="str">
        <f t="shared" si="507"/>
        <v/>
      </c>
    </row>
    <row r="10471" spans="9:14" x14ac:dyDescent="0.25">
      <c r="I10471" s="11" t="b">
        <f t="shared" si="508"/>
        <v>0</v>
      </c>
      <c r="M10471" s="17" t="str">
        <f t="shared" si="506"/>
        <v/>
      </c>
      <c r="N10471" s="11" t="str">
        <f t="shared" si="507"/>
        <v/>
      </c>
    </row>
    <row r="10472" spans="9:14" x14ac:dyDescent="0.25">
      <c r="I10472" s="11" t="b">
        <f t="shared" si="508"/>
        <v>0</v>
      </c>
      <c r="M10472" s="17" t="str">
        <f t="shared" si="506"/>
        <v/>
      </c>
      <c r="N10472" s="11" t="str">
        <f t="shared" si="507"/>
        <v/>
      </c>
    </row>
    <row r="10473" spans="9:14" x14ac:dyDescent="0.25">
      <c r="I10473" s="11" t="b">
        <f t="shared" si="508"/>
        <v>0</v>
      </c>
      <c r="M10473" s="17" t="str">
        <f t="shared" si="506"/>
        <v/>
      </c>
      <c r="N10473" s="11" t="str">
        <f t="shared" si="507"/>
        <v/>
      </c>
    </row>
    <row r="10474" spans="9:14" x14ac:dyDescent="0.25">
      <c r="I10474" s="11" t="b">
        <f t="shared" si="508"/>
        <v>0</v>
      </c>
      <c r="M10474" s="17" t="str">
        <f t="shared" si="506"/>
        <v/>
      </c>
      <c r="N10474" s="11" t="str">
        <f t="shared" si="507"/>
        <v/>
      </c>
    </row>
    <row r="10475" spans="9:14" x14ac:dyDescent="0.25">
      <c r="I10475" s="11" t="b">
        <f t="shared" si="508"/>
        <v>0</v>
      </c>
      <c r="M10475" s="17" t="str">
        <f t="shared" si="506"/>
        <v/>
      </c>
      <c r="N10475" s="11" t="str">
        <f t="shared" si="507"/>
        <v/>
      </c>
    </row>
    <row r="10476" spans="9:14" x14ac:dyDescent="0.25">
      <c r="I10476" s="11" t="b">
        <f t="shared" si="508"/>
        <v>0</v>
      </c>
      <c r="M10476" s="17" t="str">
        <f t="shared" si="506"/>
        <v/>
      </c>
      <c r="N10476" s="11" t="str">
        <f t="shared" si="507"/>
        <v/>
      </c>
    </row>
    <row r="10477" spans="9:14" x14ac:dyDescent="0.25">
      <c r="I10477" s="11" t="b">
        <f t="shared" si="508"/>
        <v>0</v>
      </c>
      <c r="M10477" s="17" t="str">
        <f t="shared" si="506"/>
        <v/>
      </c>
      <c r="N10477" s="11" t="str">
        <f t="shared" si="507"/>
        <v/>
      </c>
    </row>
    <row r="10478" spans="9:14" x14ac:dyDescent="0.25">
      <c r="I10478" s="11" t="b">
        <f t="shared" si="508"/>
        <v>0</v>
      </c>
      <c r="M10478" s="17" t="str">
        <f t="shared" si="506"/>
        <v/>
      </c>
      <c r="N10478" s="11" t="str">
        <f t="shared" si="507"/>
        <v/>
      </c>
    </row>
    <row r="10479" spans="9:14" x14ac:dyDescent="0.25">
      <c r="I10479" s="11" t="b">
        <f t="shared" si="508"/>
        <v>0</v>
      </c>
      <c r="M10479" s="17" t="str">
        <f t="shared" si="506"/>
        <v/>
      </c>
      <c r="N10479" s="11" t="str">
        <f t="shared" si="507"/>
        <v/>
      </c>
    </row>
    <row r="10480" spans="9:14" x14ac:dyDescent="0.25">
      <c r="I10480" s="11" t="b">
        <f t="shared" si="508"/>
        <v>0</v>
      </c>
      <c r="M10480" s="17" t="str">
        <f t="shared" si="506"/>
        <v/>
      </c>
      <c r="N10480" s="11" t="str">
        <f t="shared" si="507"/>
        <v/>
      </c>
    </row>
    <row r="10481" spans="9:14" x14ac:dyDescent="0.25">
      <c r="I10481" s="11" t="b">
        <f t="shared" si="508"/>
        <v>0</v>
      </c>
      <c r="M10481" s="17" t="str">
        <f t="shared" si="506"/>
        <v/>
      </c>
      <c r="N10481" s="11" t="str">
        <f t="shared" si="507"/>
        <v/>
      </c>
    </row>
    <row r="10482" spans="9:14" x14ac:dyDescent="0.25">
      <c r="I10482" s="11" t="b">
        <f t="shared" si="508"/>
        <v>0</v>
      </c>
      <c r="M10482" s="17" t="str">
        <f t="shared" si="506"/>
        <v/>
      </c>
      <c r="N10482" s="11" t="str">
        <f t="shared" si="507"/>
        <v/>
      </c>
    </row>
    <row r="10483" spans="9:14" x14ac:dyDescent="0.25">
      <c r="I10483" s="11" t="b">
        <f t="shared" si="508"/>
        <v>0</v>
      </c>
      <c r="M10483" s="17" t="str">
        <f t="shared" si="506"/>
        <v/>
      </c>
      <c r="N10483" s="11" t="str">
        <f t="shared" si="507"/>
        <v/>
      </c>
    </row>
    <row r="10484" spans="9:14" x14ac:dyDescent="0.25">
      <c r="I10484" s="11" t="b">
        <f t="shared" si="508"/>
        <v>0</v>
      </c>
      <c r="M10484" s="17" t="str">
        <f t="shared" si="506"/>
        <v/>
      </c>
      <c r="N10484" s="11" t="str">
        <f t="shared" si="507"/>
        <v/>
      </c>
    </row>
    <row r="10485" spans="9:14" x14ac:dyDescent="0.25">
      <c r="I10485" s="11" t="b">
        <f t="shared" si="508"/>
        <v>0</v>
      </c>
      <c r="M10485" s="17" t="str">
        <f t="shared" si="506"/>
        <v/>
      </c>
      <c r="N10485" s="11" t="str">
        <f t="shared" si="507"/>
        <v/>
      </c>
    </row>
    <row r="10486" spans="9:14" x14ac:dyDescent="0.25">
      <c r="I10486" s="11" t="b">
        <f t="shared" si="508"/>
        <v>0</v>
      </c>
      <c r="M10486" s="17" t="str">
        <f t="shared" si="506"/>
        <v/>
      </c>
      <c r="N10486" s="11" t="str">
        <f t="shared" si="507"/>
        <v/>
      </c>
    </row>
    <row r="10487" spans="9:14" x14ac:dyDescent="0.25">
      <c r="I10487" s="11" t="b">
        <f t="shared" si="508"/>
        <v>0</v>
      </c>
      <c r="M10487" s="17" t="str">
        <f t="shared" si="506"/>
        <v/>
      </c>
      <c r="N10487" s="11" t="str">
        <f t="shared" si="507"/>
        <v/>
      </c>
    </row>
    <row r="10488" spans="9:14" x14ac:dyDescent="0.25">
      <c r="I10488" s="11" t="b">
        <f t="shared" si="508"/>
        <v>0</v>
      </c>
      <c r="M10488" s="17" t="str">
        <f t="shared" si="506"/>
        <v/>
      </c>
      <c r="N10488" s="11" t="str">
        <f t="shared" si="507"/>
        <v/>
      </c>
    </row>
    <row r="10489" spans="9:14" x14ac:dyDescent="0.25">
      <c r="I10489" s="11" t="b">
        <f t="shared" si="508"/>
        <v>0</v>
      </c>
      <c r="M10489" s="17" t="str">
        <f t="shared" si="506"/>
        <v/>
      </c>
      <c r="N10489" s="11" t="str">
        <f t="shared" si="507"/>
        <v/>
      </c>
    </row>
    <row r="10490" spans="9:14" x14ac:dyDescent="0.25">
      <c r="I10490" s="11" t="b">
        <f t="shared" si="508"/>
        <v>0</v>
      </c>
      <c r="M10490" s="17" t="str">
        <f t="shared" si="506"/>
        <v/>
      </c>
      <c r="N10490" s="11" t="str">
        <f t="shared" si="507"/>
        <v/>
      </c>
    </row>
    <row r="10491" spans="9:14" x14ac:dyDescent="0.25">
      <c r="I10491" s="11" t="b">
        <f t="shared" si="508"/>
        <v>0</v>
      </c>
      <c r="M10491" s="17" t="str">
        <f t="shared" si="506"/>
        <v/>
      </c>
      <c r="N10491" s="11" t="str">
        <f t="shared" si="507"/>
        <v/>
      </c>
    </row>
    <row r="10492" spans="9:14" x14ac:dyDescent="0.25">
      <c r="I10492" s="11" t="b">
        <f t="shared" si="508"/>
        <v>0</v>
      </c>
      <c r="M10492" s="17" t="str">
        <f t="shared" si="506"/>
        <v/>
      </c>
      <c r="N10492" s="11" t="str">
        <f t="shared" si="507"/>
        <v/>
      </c>
    </row>
    <row r="10493" spans="9:14" x14ac:dyDescent="0.25">
      <c r="I10493" s="11" t="b">
        <f t="shared" si="508"/>
        <v>0</v>
      </c>
      <c r="M10493" s="17" t="str">
        <f t="shared" si="506"/>
        <v/>
      </c>
      <c r="N10493" s="11" t="str">
        <f t="shared" si="507"/>
        <v/>
      </c>
    </row>
    <row r="10494" spans="9:14" x14ac:dyDescent="0.25">
      <c r="I10494" s="11" t="b">
        <f t="shared" si="508"/>
        <v>0</v>
      </c>
      <c r="M10494" s="17" t="str">
        <f t="shared" si="506"/>
        <v/>
      </c>
      <c r="N10494" s="11" t="str">
        <f t="shared" si="507"/>
        <v/>
      </c>
    </row>
    <row r="10495" spans="9:14" x14ac:dyDescent="0.25">
      <c r="I10495" s="11" t="b">
        <f t="shared" si="508"/>
        <v>0</v>
      </c>
      <c r="M10495" s="17" t="str">
        <f t="shared" si="506"/>
        <v/>
      </c>
      <c r="N10495" s="11" t="str">
        <f t="shared" si="507"/>
        <v/>
      </c>
    </row>
    <row r="10496" spans="9:14" x14ac:dyDescent="0.25">
      <c r="I10496" s="11" t="b">
        <f t="shared" si="508"/>
        <v>0</v>
      </c>
      <c r="M10496" s="17" t="str">
        <f t="shared" si="506"/>
        <v/>
      </c>
      <c r="N10496" s="11" t="str">
        <f t="shared" si="507"/>
        <v/>
      </c>
    </row>
    <row r="10497" spans="9:14" x14ac:dyDescent="0.25">
      <c r="I10497" s="11" t="b">
        <f t="shared" si="508"/>
        <v>0</v>
      </c>
      <c r="M10497" s="17" t="str">
        <f t="shared" ref="M10497:M10560" si="509">IF(B10497=0, "",M10496+ J10497-K10497)</f>
        <v/>
      </c>
      <c r="N10497" s="11" t="str">
        <f t="shared" ref="N10497:N10560" si="510">IF(B10497=0, "", MONTH(B10497))</f>
        <v/>
      </c>
    </row>
    <row r="10498" spans="9:14" x14ac:dyDescent="0.25">
      <c r="I10498" s="11" t="b">
        <f t="shared" si="508"/>
        <v>0</v>
      </c>
      <c r="M10498" s="17" t="str">
        <f t="shared" si="509"/>
        <v/>
      </c>
      <c r="N10498" s="11" t="str">
        <f t="shared" si="510"/>
        <v/>
      </c>
    </row>
    <row r="10499" spans="9:14" x14ac:dyDescent="0.25">
      <c r="I10499" s="11" t="b">
        <f t="shared" si="508"/>
        <v>0</v>
      </c>
      <c r="M10499" s="17" t="str">
        <f t="shared" si="509"/>
        <v/>
      </c>
      <c r="N10499" s="11" t="str">
        <f t="shared" si="510"/>
        <v/>
      </c>
    </row>
    <row r="10500" spans="9:14" x14ac:dyDescent="0.25">
      <c r="I10500" s="11" t="b">
        <f t="shared" si="508"/>
        <v>0</v>
      </c>
      <c r="M10500" s="17" t="str">
        <f t="shared" si="509"/>
        <v/>
      </c>
      <c r="N10500" s="11" t="str">
        <f t="shared" si="510"/>
        <v/>
      </c>
    </row>
    <row r="10501" spans="9:14" x14ac:dyDescent="0.25">
      <c r="I10501" s="11" t="b">
        <f t="shared" si="508"/>
        <v>0</v>
      </c>
      <c r="M10501" s="17" t="str">
        <f t="shared" si="509"/>
        <v/>
      </c>
      <c r="N10501" s="11" t="str">
        <f t="shared" si="510"/>
        <v/>
      </c>
    </row>
    <row r="10502" spans="9:14" x14ac:dyDescent="0.25">
      <c r="I10502" s="11" t="b">
        <f t="shared" si="508"/>
        <v>0</v>
      </c>
      <c r="M10502" s="17" t="str">
        <f t="shared" si="509"/>
        <v/>
      </c>
      <c r="N10502" s="11" t="str">
        <f t="shared" si="510"/>
        <v/>
      </c>
    </row>
    <row r="10503" spans="9:14" x14ac:dyDescent="0.25">
      <c r="I10503" s="11" t="b">
        <f t="shared" si="508"/>
        <v>0</v>
      </c>
      <c r="M10503" s="17" t="str">
        <f t="shared" si="509"/>
        <v/>
      </c>
      <c r="N10503" s="11" t="str">
        <f t="shared" si="510"/>
        <v/>
      </c>
    </row>
    <row r="10504" spans="9:14" x14ac:dyDescent="0.25">
      <c r="I10504" s="11" t="b">
        <f t="shared" si="508"/>
        <v>0</v>
      </c>
      <c r="M10504" s="17" t="str">
        <f t="shared" si="509"/>
        <v/>
      </c>
      <c r="N10504" s="11" t="str">
        <f t="shared" si="510"/>
        <v/>
      </c>
    </row>
    <row r="10505" spans="9:14" x14ac:dyDescent="0.25">
      <c r="I10505" s="11" t="b">
        <f t="shared" si="508"/>
        <v>0</v>
      </c>
      <c r="M10505" s="17" t="str">
        <f t="shared" si="509"/>
        <v/>
      </c>
      <c r="N10505" s="11" t="str">
        <f t="shared" si="510"/>
        <v/>
      </c>
    </row>
    <row r="10506" spans="9:14" x14ac:dyDescent="0.25">
      <c r="I10506" s="11" t="b">
        <f t="shared" si="508"/>
        <v>0</v>
      </c>
      <c r="M10506" s="17" t="str">
        <f t="shared" si="509"/>
        <v/>
      </c>
      <c r="N10506" s="11" t="str">
        <f t="shared" si="510"/>
        <v/>
      </c>
    </row>
    <row r="10507" spans="9:14" x14ac:dyDescent="0.25">
      <c r="I10507" s="11" t="b">
        <f t="shared" si="508"/>
        <v>0</v>
      </c>
      <c r="M10507" s="17" t="str">
        <f t="shared" si="509"/>
        <v/>
      </c>
      <c r="N10507" s="11" t="str">
        <f t="shared" si="510"/>
        <v/>
      </c>
    </row>
    <row r="10508" spans="9:14" x14ac:dyDescent="0.25">
      <c r="I10508" s="11" t="b">
        <f t="shared" si="508"/>
        <v>0</v>
      </c>
      <c r="M10508" s="17" t="str">
        <f t="shared" si="509"/>
        <v/>
      </c>
      <c r="N10508" s="11" t="str">
        <f t="shared" si="510"/>
        <v/>
      </c>
    </row>
    <row r="10509" spans="9:14" x14ac:dyDescent="0.25">
      <c r="I10509" s="11" t="b">
        <f t="shared" si="508"/>
        <v>0</v>
      </c>
      <c r="M10509" s="17" t="str">
        <f t="shared" si="509"/>
        <v/>
      </c>
      <c r="N10509" s="11" t="str">
        <f t="shared" si="510"/>
        <v/>
      </c>
    </row>
    <row r="10510" spans="9:14" x14ac:dyDescent="0.25">
      <c r="I10510" s="11" t="b">
        <f t="shared" si="508"/>
        <v>0</v>
      </c>
      <c r="M10510" s="17" t="str">
        <f t="shared" si="509"/>
        <v/>
      </c>
      <c r="N10510" s="11" t="str">
        <f t="shared" si="510"/>
        <v/>
      </c>
    </row>
    <row r="10511" spans="9:14" x14ac:dyDescent="0.25">
      <c r="I10511" s="11" t="b">
        <f t="shared" si="508"/>
        <v>0</v>
      </c>
      <c r="M10511" s="17" t="str">
        <f t="shared" si="509"/>
        <v/>
      </c>
      <c r="N10511" s="11" t="str">
        <f t="shared" si="510"/>
        <v/>
      </c>
    </row>
    <row r="10512" spans="9:14" x14ac:dyDescent="0.25">
      <c r="I10512" s="11" t="b">
        <f t="shared" si="508"/>
        <v>0</v>
      </c>
      <c r="M10512" s="17" t="str">
        <f t="shared" si="509"/>
        <v/>
      </c>
      <c r="N10512" s="11" t="str">
        <f t="shared" si="510"/>
        <v/>
      </c>
    </row>
    <row r="10513" spans="9:14" x14ac:dyDescent="0.25">
      <c r="I10513" s="11" t="b">
        <f t="shared" si="508"/>
        <v>0</v>
      </c>
      <c r="M10513" s="17" t="str">
        <f t="shared" si="509"/>
        <v/>
      </c>
      <c r="N10513" s="11" t="str">
        <f t="shared" si="510"/>
        <v/>
      </c>
    </row>
    <row r="10514" spans="9:14" x14ac:dyDescent="0.25">
      <c r="I10514" s="11" t="b">
        <f t="shared" si="508"/>
        <v>0</v>
      </c>
      <c r="M10514" s="17" t="str">
        <f t="shared" si="509"/>
        <v/>
      </c>
      <c r="N10514" s="11" t="str">
        <f t="shared" si="510"/>
        <v/>
      </c>
    </row>
    <row r="10515" spans="9:14" x14ac:dyDescent="0.25">
      <c r="I10515" s="11" t="b">
        <f t="shared" si="508"/>
        <v>0</v>
      </c>
      <c r="M10515" s="17" t="str">
        <f t="shared" si="509"/>
        <v/>
      </c>
      <c r="N10515" s="11" t="str">
        <f t="shared" si="510"/>
        <v/>
      </c>
    </row>
    <row r="10516" spans="9:14" x14ac:dyDescent="0.25">
      <c r="I10516" s="11" t="b">
        <f t="shared" si="508"/>
        <v>0</v>
      </c>
      <c r="M10516" s="17" t="str">
        <f t="shared" si="509"/>
        <v/>
      </c>
      <c r="N10516" s="11" t="str">
        <f t="shared" si="510"/>
        <v/>
      </c>
    </row>
    <row r="10517" spans="9:14" x14ac:dyDescent="0.25">
      <c r="I10517" s="11" t="b">
        <f t="shared" si="508"/>
        <v>0</v>
      </c>
      <c r="M10517" s="17" t="str">
        <f t="shared" si="509"/>
        <v/>
      </c>
      <c r="N10517" s="11" t="str">
        <f t="shared" si="510"/>
        <v/>
      </c>
    </row>
    <row r="10518" spans="9:14" x14ac:dyDescent="0.25">
      <c r="I10518" s="11" t="b">
        <f t="shared" si="508"/>
        <v>0</v>
      </c>
      <c r="M10518" s="17" t="str">
        <f t="shared" si="509"/>
        <v/>
      </c>
      <c r="N10518" s="11" t="str">
        <f t="shared" si="510"/>
        <v/>
      </c>
    </row>
    <row r="10519" spans="9:14" x14ac:dyDescent="0.25">
      <c r="I10519" s="11" t="b">
        <f t="shared" si="508"/>
        <v>0</v>
      </c>
      <c r="M10519" s="17" t="str">
        <f t="shared" si="509"/>
        <v/>
      </c>
      <c r="N10519" s="11" t="str">
        <f t="shared" si="510"/>
        <v/>
      </c>
    </row>
    <row r="10520" spans="9:14" x14ac:dyDescent="0.25">
      <c r="I10520" s="11" t="b">
        <f t="shared" si="508"/>
        <v>0</v>
      </c>
      <c r="M10520" s="17" t="str">
        <f t="shared" si="509"/>
        <v/>
      </c>
      <c r="N10520" s="11" t="str">
        <f t="shared" si="510"/>
        <v/>
      </c>
    </row>
    <row r="10521" spans="9:14" x14ac:dyDescent="0.25">
      <c r="I10521" s="11" t="b">
        <f t="shared" si="508"/>
        <v>0</v>
      </c>
      <c r="M10521" s="17" t="str">
        <f t="shared" si="509"/>
        <v/>
      </c>
      <c r="N10521" s="11" t="str">
        <f t="shared" si="510"/>
        <v/>
      </c>
    </row>
    <row r="10522" spans="9:14" x14ac:dyDescent="0.25">
      <c r="I10522" s="11" t="b">
        <f t="shared" si="508"/>
        <v>0</v>
      </c>
      <c r="M10522" s="17" t="str">
        <f t="shared" si="509"/>
        <v/>
      </c>
      <c r="N10522" s="11" t="str">
        <f t="shared" si="510"/>
        <v/>
      </c>
    </row>
    <row r="10523" spans="9:14" x14ac:dyDescent="0.25">
      <c r="I10523" s="11" t="b">
        <f t="shared" si="508"/>
        <v>0</v>
      </c>
      <c r="M10523" s="17" t="str">
        <f t="shared" si="509"/>
        <v/>
      </c>
      <c r="N10523" s="11" t="str">
        <f t="shared" si="510"/>
        <v/>
      </c>
    </row>
    <row r="10524" spans="9:14" x14ac:dyDescent="0.25">
      <c r="I10524" s="11" t="b">
        <f t="shared" si="508"/>
        <v>0</v>
      </c>
      <c r="M10524" s="17" t="str">
        <f t="shared" si="509"/>
        <v/>
      </c>
      <c r="N10524" s="11" t="str">
        <f t="shared" si="510"/>
        <v/>
      </c>
    </row>
    <row r="10525" spans="9:14" x14ac:dyDescent="0.25">
      <c r="I10525" s="11" t="b">
        <f t="shared" ref="I10525:I10588" si="511">IF(AND(G10525="MERCADO PAGO",A10525="FATURAMENTO"),1,IF(AND(OR(G10525="MERCADO PAGO",G10525="pix mercado pago",G10525= "débito automático mercado pago", G10525= "boleto mercado pago"),A10525="DESPESAS"),4,IF(AND(G10525="SAFRA",A10525="FATURAMENTO"),2,IF(AND(OR(G10525="SAFRA",G10525="PIX SAFRA", G10525="DÉBITO AUTOMÁTICO SAFRA", G10525= "BOLETO SAFRA", G10525= "transferência safra"), A10525="DESPESAS"),5,IF(AND(G10525="espécie",A10525="FATURAMENTO"),3,IF(AND(G10525="espécie",A10525="DESPESAS"),6))))))</f>
        <v>0</v>
      </c>
      <c r="M10525" s="17" t="str">
        <f t="shared" si="509"/>
        <v/>
      </c>
      <c r="N10525" s="11" t="str">
        <f t="shared" si="510"/>
        <v/>
      </c>
    </row>
    <row r="10526" spans="9:14" x14ac:dyDescent="0.25">
      <c r="I10526" s="11" t="b">
        <f t="shared" si="511"/>
        <v>0</v>
      </c>
      <c r="M10526" s="17" t="str">
        <f t="shared" si="509"/>
        <v/>
      </c>
      <c r="N10526" s="11" t="str">
        <f t="shared" si="510"/>
        <v/>
      </c>
    </row>
    <row r="10527" spans="9:14" x14ac:dyDescent="0.25">
      <c r="I10527" s="11" t="b">
        <f t="shared" si="511"/>
        <v>0</v>
      </c>
      <c r="M10527" s="17" t="str">
        <f t="shared" si="509"/>
        <v/>
      </c>
      <c r="N10527" s="11" t="str">
        <f t="shared" si="510"/>
        <v/>
      </c>
    </row>
    <row r="10528" spans="9:14" x14ac:dyDescent="0.25">
      <c r="I10528" s="11" t="b">
        <f t="shared" si="511"/>
        <v>0</v>
      </c>
      <c r="M10528" s="17" t="str">
        <f t="shared" si="509"/>
        <v/>
      </c>
      <c r="N10528" s="11" t="str">
        <f t="shared" si="510"/>
        <v/>
      </c>
    </row>
    <row r="10529" spans="9:14" x14ac:dyDescent="0.25">
      <c r="I10529" s="11" t="b">
        <f t="shared" si="511"/>
        <v>0</v>
      </c>
      <c r="M10529" s="17" t="str">
        <f t="shared" si="509"/>
        <v/>
      </c>
      <c r="N10529" s="11" t="str">
        <f t="shared" si="510"/>
        <v/>
      </c>
    </row>
    <row r="10530" spans="9:14" x14ac:dyDescent="0.25">
      <c r="I10530" s="11" t="b">
        <f t="shared" si="511"/>
        <v>0</v>
      </c>
      <c r="M10530" s="17" t="str">
        <f t="shared" si="509"/>
        <v/>
      </c>
      <c r="N10530" s="11" t="str">
        <f t="shared" si="510"/>
        <v/>
      </c>
    </row>
    <row r="10531" spans="9:14" x14ac:dyDescent="0.25">
      <c r="I10531" s="11" t="b">
        <f t="shared" si="511"/>
        <v>0</v>
      </c>
      <c r="M10531" s="17" t="str">
        <f t="shared" si="509"/>
        <v/>
      </c>
      <c r="N10531" s="11" t="str">
        <f t="shared" si="510"/>
        <v/>
      </c>
    </row>
    <row r="10532" spans="9:14" x14ac:dyDescent="0.25">
      <c r="I10532" s="11" t="b">
        <f t="shared" si="511"/>
        <v>0</v>
      </c>
      <c r="M10532" s="17" t="str">
        <f t="shared" si="509"/>
        <v/>
      </c>
      <c r="N10532" s="11" t="str">
        <f t="shared" si="510"/>
        <v/>
      </c>
    </row>
    <row r="10533" spans="9:14" x14ac:dyDescent="0.25">
      <c r="I10533" s="11" t="b">
        <f t="shared" si="511"/>
        <v>0</v>
      </c>
      <c r="M10533" s="17" t="str">
        <f t="shared" si="509"/>
        <v/>
      </c>
      <c r="N10533" s="11" t="str">
        <f t="shared" si="510"/>
        <v/>
      </c>
    </row>
    <row r="10534" spans="9:14" x14ac:dyDescent="0.25">
      <c r="I10534" s="11" t="b">
        <f t="shared" si="511"/>
        <v>0</v>
      </c>
      <c r="M10534" s="17" t="str">
        <f t="shared" si="509"/>
        <v/>
      </c>
      <c r="N10534" s="11" t="str">
        <f t="shared" si="510"/>
        <v/>
      </c>
    </row>
    <row r="10535" spans="9:14" x14ac:dyDescent="0.25">
      <c r="I10535" s="11" t="b">
        <f t="shared" si="511"/>
        <v>0</v>
      </c>
      <c r="M10535" s="17" t="str">
        <f t="shared" si="509"/>
        <v/>
      </c>
      <c r="N10535" s="11" t="str">
        <f t="shared" si="510"/>
        <v/>
      </c>
    </row>
    <row r="10536" spans="9:14" x14ac:dyDescent="0.25">
      <c r="I10536" s="11" t="b">
        <f t="shared" si="511"/>
        <v>0</v>
      </c>
      <c r="M10536" s="17" t="str">
        <f t="shared" si="509"/>
        <v/>
      </c>
      <c r="N10536" s="11" t="str">
        <f t="shared" si="510"/>
        <v/>
      </c>
    </row>
    <row r="10537" spans="9:14" x14ac:dyDescent="0.25">
      <c r="I10537" s="11" t="b">
        <f t="shared" si="511"/>
        <v>0</v>
      </c>
      <c r="M10537" s="17" t="str">
        <f t="shared" si="509"/>
        <v/>
      </c>
      <c r="N10537" s="11" t="str">
        <f t="shared" si="510"/>
        <v/>
      </c>
    </row>
    <row r="10538" spans="9:14" x14ac:dyDescent="0.25">
      <c r="I10538" s="11" t="b">
        <f t="shared" si="511"/>
        <v>0</v>
      </c>
      <c r="M10538" s="17" t="str">
        <f t="shared" si="509"/>
        <v/>
      </c>
      <c r="N10538" s="11" t="str">
        <f t="shared" si="510"/>
        <v/>
      </c>
    </row>
    <row r="10539" spans="9:14" x14ac:dyDescent="0.25">
      <c r="I10539" s="11" t="b">
        <f t="shared" si="511"/>
        <v>0</v>
      </c>
      <c r="M10539" s="17" t="str">
        <f t="shared" si="509"/>
        <v/>
      </c>
      <c r="N10539" s="11" t="str">
        <f t="shared" si="510"/>
        <v/>
      </c>
    </row>
    <row r="10540" spans="9:14" x14ac:dyDescent="0.25">
      <c r="I10540" s="11" t="b">
        <f t="shared" si="511"/>
        <v>0</v>
      </c>
      <c r="M10540" s="17" t="str">
        <f t="shared" si="509"/>
        <v/>
      </c>
      <c r="N10540" s="11" t="str">
        <f t="shared" si="510"/>
        <v/>
      </c>
    </row>
    <row r="10541" spans="9:14" x14ac:dyDescent="0.25">
      <c r="I10541" s="11" t="b">
        <f t="shared" si="511"/>
        <v>0</v>
      </c>
      <c r="M10541" s="17" t="str">
        <f t="shared" si="509"/>
        <v/>
      </c>
      <c r="N10541" s="11" t="str">
        <f t="shared" si="510"/>
        <v/>
      </c>
    </row>
    <row r="10542" spans="9:14" x14ac:dyDescent="0.25">
      <c r="I10542" s="11" t="b">
        <f t="shared" si="511"/>
        <v>0</v>
      </c>
      <c r="M10542" s="17" t="str">
        <f t="shared" si="509"/>
        <v/>
      </c>
      <c r="N10542" s="11" t="str">
        <f t="shared" si="510"/>
        <v/>
      </c>
    </row>
    <row r="10543" spans="9:14" x14ac:dyDescent="0.25">
      <c r="I10543" s="11" t="b">
        <f t="shared" si="511"/>
        <v>0</v>
      </c>
      <c r="M10543" s="17" t="str">
        <f t="shared" si="509"/>
        <v/>
      </c>
      <c r="N10543" s="11" t="str">
        <f t="shared" si="510"/>
        <v/>
      </c>
    </row>
    <row r="10544" spans="9:14" x14ac:dyDescent="0.25">
      <c r="I10544" s="11" t="b">
        <f t="shared" si="511"/>
        <v>0</v>
      </c>
      <c r="M10544" s="17" t="str">
        <f t="shared" si="509"/>
        <v/>
      </c>
      <c r="N10544" s="11" t="str">
        <f t="shared" si="510"/>
        <v/>
      </c>
    </row>
    <row r="10545" spans="9:14" x14ac:dyDescent="0.25">
      <c r="I10545" s="11" t="b">
        <f t="shared" si="511"/>
        <v>0</v>
      </c>
      <c r="M10545" s="17" t="str">
        <f t="shared" si="509"/>
        <v/>
      </c>
      <c r="N10545" s="11" t="str">
        <f t="shared" si="510"/>
        <v/>
      </c>
    </row>
    <row r="10546" spans="9:14" x14ac:dyDescent="0.25">
      <c r="I10546" s="11" t="b">
        <f t="shared" si="511"/>
        <v>0</v>
      </c>
      <c r="M10546" s="17" t="str">
        <f t="shared" si="509"/>
        <v/>
      </c>
      <c r="N10546" s="11" t="str">
        <f t="shared" si="510"/>
        <v/>
      </c>
    </row>
    <row r="10547" spans="9:14" x14ac:dyDescent="0.25">
      <c r="I10547" s="11" t="b">
        <f t="shared" si="511"/>
        <v>0</v>
      </c>
      <c r="M10547" s="17" t="str">
        <f t="shared" si="509"/>
        <v/>
      </c>
      <c r="N10547" s="11" t="str">
        <f t="shared" si="510"/>
        <v/>
      </c>
    </row>
    <row r="10548" spans="9:14" x14ac:dyDescent="0.25">
      <c r="I10548" s="11" t="b">
        <f t="shared" si="511"/>
        <v>0</v>
      </c>
      <c r="M10548" s="17" t="str">
        <f t="shared" si="509"/>
        <v/>
      </c>
      <c r="N10548" s="11" t="str">
        <f t="shared" si="510"/>
        <v/>
      </c>
    </row>
    <row r="10549" spans="9:14" x14ac:dyDescent="0.25">
      <c r="I10549" s="11" t="b">
        <f t="shared" si="511"/>
        <v>0</v>
      </c>
      <c r="M10549" s="17" t="str">
        <f t="shared" si="509"/>
        <v/>
      </c>
      <c r="N10549" s="11" t="str">
        <f t="shared" si="510"/>
        <v/>
      </c>
    </row>
    <row r="10550" spans="9:14" x14ac:dyDescent="0.25">
      <c r="I10550" s="11" t="b">
        <f t="shared" si="511"/>
        <v>0</v>
      </c>
      <c r="M10550" s="17" t="str">
        <f t="shared" si="509"/>
        <v/>
      </c>
      <c r="N10550" s="11" t="str">
        <f t="shared" si="510"/>
        <v/>
      </c>
    </row>
    <row r="10551" spans="9:14" x14ac:dyDescent="0.25">
      <c r="I10551" s="11" t="b">
        <f t="shared" si="511"/>
        <v>0</v>
      </c>
      <c r="M10551" s="17" t="str">
        <f t="shared" si="509"/>
        <v/>
      </c>
      <c r="N10551" s="11" t="str">
        <f t="shared" si="510"/>
        <v/>
      </c>
    </row>
    <row r="10552" spans="9:14" x14ac:dyDescent="0.25">
      <c r="I10552" s="11" t="b">
        <f t="shared" si="511"/>
        <v>0</v>
      </c>
      <c r="M10552" s="17" t="str">
        <f t="shared" si="509"/>
        <v/>
      </c>
      <c r="N10552" s="11" t="str">
        <f t="shared" si="510"/>
        <v/>
      </c>
    </row>
    <row r="10553" spans="9:14" x14ac:dyDescent="0.25">
      <c r="I10553" s="11" t="b">
        <f t="shared" si="511"/>
        <v>0</v>
      </c>
      <c r="M10553" s="17" t="str">
        <f t="shared" si="509"/>
        <v/>
      </c>
      <c r="N10553" s="11" t="str">
        <f t="shared" si="510"/>
        <v/>
      </c>
    </row>
    <row r="10554" spans="9:14" x14ac:dyDescent="0.25">
      <c r="I10554" s="11" t="b">
        <f t="shared" si="511"/>
        <v>0</v>
      </c>
      <c r="M10554" s="17" t="str">
        <f t="shared" si="509"/>
        <v/>
      </c>
      <c r="N10554" s="11" t="str">
        <f t="shared" si="510"/>
        <v/>
      </c>
    </row>
    <row r="10555" spans="9:14" x14ac:dyDescent="0.25">
      <c r="I10555" s="11" t="b">
        <f t="shared" si="511"/>
        <v>0</v>
      </c>
      <c r="M10555" s="17" t="str">
        <f t="shared" si="509"/>
        <v/>
      </c>
      <c r="N10555" s="11" t="str">
        <f t="shared" si="510"/>
        <v/>
      </c>
    </row>
    <row r="10556" spans="9:14" x14ac:dyDescent="0.25">
      <c r="I10556" s="11" t="b">
        <f t="shared" si="511"/>
        <v>0</v>
      </c>
      <c r="M10556" s="17" t="str">
        <f t="shared" si="509"/>
        <v/>
      </c>
      <c r="N10556" s="11" t="str">
        <f t="shared" si="510"/>
        <v/>
      </c>
    </row>
    <row r="10557" spans="9:14" x14ac:dyDescent="0.25">
      <c r="I10557" s="11" t="b">
        <f t="shared" si="511"/>
        <v>0</v>
      </c>
      <c r="M10557" s="17" t="str">
        <f t="shared" si="509"/>
        <v/>
      </c>
      <c r="N10557" s="11" t="str">
        <f t="shared" si="510"/>
        <v/>
      </c>
    </row>
    <row r="10558" spans="9:14" x14ac:dyDescent="0.25">
      <c r="I10558" s="11" t="b">
        <f t="shared" si="511"/>
        <v>0</v>
      </c>
      <c r="M10558" s="17" t="str">
        <f t="shared" si="509"/>
        <v/>
      </c>
      <c r="N10558" s="11" t="str">
        <f t="shared" si="510"/>
        <v/>
      </c>
    </row>
    <row r="10559" spans="9:14" x14ac:dyDescent="0.25">
      <c r="I10559" s="11" t="b">
        <f t="shared" si="511"/>
        <v>0</v>
      </c>
      <c r="M10559" s="17" t="str">
        <f t="shared" si="509"/>
        <v/>
      </c>
      <c r="N10559" s="11" t="str">
        <f t="shared" si="510"/>
        <v/>
      </c>
    </row>
    <row r="10560" spans="9:14" x14ac:dyDescent="0.25">
      <c r="I10560" s="11" t="b">
        <f t="shared" si="511"/>
        <v>0</v>
      </c>
      <c r="M10560" s="17" t="str">
        <f t="shared" si="509"/>
        <v/>
      </c>
      <c r="N10560" s="11" t="str">
        <f t="shared" si="510"/>
        <v/>
      </c>
    </row>
    <row r="10561" spans="9:14" x14ac:dyDescent="0.25">
      <c r="I10561" s="11" t="b">
        <f t="shared" si="511"/>
        <v>0</v>
      </c>
      <c r="M10561" s="17" t="str">
        <f t="shared" ref="M10561:M10624" si="512">IF(B10561=0, "",M10560+ J10561-K10561)</f>
        <v/>
      </c>
      <c r="N10561" s="11" t="str">
        <f t="shared" ref="N10561:N10624" si="513">IF(B10561=0, "", MONTH(B10561))</f>
        <v/>
      </c>
    </row>
    <row r="10562" spans="9:14" x14ac:dyDescent="0.25">
      <c r="I10562" s="11" t="b">
        <f t="shared" si="511"/>
        <v>0</v>
      </c>
      <c r="M10562" s="17" t="str">
        <f t="shared" si="512"/>
        <v/>
      </c>
      <c r="N10562" s="11" t="str">
        <f t="shared" si="513"/>
        <v/>
      </c>
    </row>
    <row r="10563" spans="9:14" x14ac:dyDescent="0.25">
      <c r="I10563" s="11" t="b">
        <f t="shared" si="511"/>
        <v>0</v>
      </c>
      <c r="M10563" s="17" t="str">
        <f t="shared" si="512"/>
        <v/>
      </c>
      <c r="N10563" s="11" t="str">
        <f t="shared" si="513"/>
        <v/>
      </c>
    </row>
    <row r="10564" spans="9:14" x14ac:dyDescent="0.25">
      <c r="I10564" s="11" t="b">
        <f t="shared" si="511"/>
        <v>0</v>
      </c>
      <c r="M10564" s="17" t="str">
        <f t="shared" si="512"/>
        <v/>
      </c>
      <c r="N10564" s="11" t="str">
        <f t="shared" si="513"/>
        <v/>
      </c>
    </row>
    <row r="10565" spans="9:14" x14ac:dyDescent="0.25">
      <c r="I10565" s="11" t="b">
        <f t="shared" si="511"/>
        <v>0</v>
      </c>
      <c r="M10565" s="17" t="str">
        <f t="shared" si="512"/>
        <v/>
      </c>
      <c r="N10565" s="11" t="str">
        <f t="shared" si="513"/>
        <v/>
      </c>
    </row>
    <row r="10566" spans="9:14" x14ac:dyDescent="0.25">
      <c r="I10566" s="11" t="b">
        <f t="shared" si="511"/>
        <v>0</v>
      </c>
      <c r="M10566" s="17" t="str">
        <f t="shared" si="512"/>
        <v/>
      </c>
      <c r="N10566" s="11" t="str">
        <f t="shared" si="513"/>
        <v/>
      </c>
    </row>
    <row r="10567" spans="9:14" x14ac:dyDescent="0.25">
      <c r="I10567" s="11" t="b">
        <f t="shared" si="511"/>
        <v>0</v>
      </c>
      <c r="M10567" s="17" t="str">
        <f t="shared" si="512"/>
        <v/>
      </c>
      <c r="N10567" s="11" t="str">
        <f t="shared" si="513"/>
        <v/>
      </c>
    </row>
    <row r="10568" spans="9:14" x14ac:dyDescent="0.25">
      <c r="I10568" s="11" t="b">
        <f t="shared" si="511"/>
        <v>0</v>
      </c>
      <c r="M10568" s="17" t="str">
        <f t="shared" si="512"/>
        <v/>
      </c>
      <c r="N10568" s="11" t="str">
        <f t="shared" si="513"/>
        <v/>
      </c>
    </row>
    <row r="10569" spans="9:14" x14ac:dyDescent="0.25">
      <c r="I10569" s="11" t="b">
        <f t="shared" si="511"/>
        <v>0</v>
      </c>
      <c r="M10569" s="17" t="str">
        <f t="shared" si="512"/>
        <v/>
      </c>
      <c r="N10569" s="11" t="str">
        <f t="shared" si="513"/>
        <v/>
      </c>
    </row>
    <row r="10570" spans="9:14" x14ac:dyDescent="0.25">
      <c r="I10570" s="11" t="b">
        <f t="shared" si="511"/>
        <v>0</v>
      </c>
      <c r="M10570" s="17" t="str">
        <f t="shared" si="512"/>
        <v/>
      </c>
      <c r="N10570" s="11" t="str">
        <f t="shared" si="513"/>
        <v/>
      </c>
    </row>
    <row r="10571" spans="9:14" x14ac:dyDescent="0.25">
      <c r="I10571" s="11" t="b">
        <f t="shared" si="511"/>
        <v>0</v>
      </c>
      <c r="M10571" s="17" t="str">
        <f t="shared" si="512"/>
        <v/>
      </c>
      <c r="N10571" s="11" t="str">
        <f t="shared" si="513"/>
        <v/>
      </c>
    </row>
    <row r="10572" spans="9:14" x14ac:dyDescent="0.25">
      <c r="I10572" s="11" t="b">
        <f t="shared" si="511"/>
        <v>0</v>
      </c>
      <c r="M10572" s="17" t="str">
        <f t="shared" si="512"/>
        <v/>
      </c>
      <c r="N10572" s="11" t="str">
        <f t="shared" si="513"/>
        <v/>
      </c>
    </row>
    <row r="10573" spans="9:14" x14ac:dyDescent="0.25">
      <c r="I10573" s="11" t="b">
        <f t="shared" si="511"/>
        <v>0</v>
      </c>
      <c r="M10573" s="17" t="str">
        <f t="shared" si="512"/>
        <v/>
      </c>
      <c r="N10573" s="11" t="str">
        <f t="shared" si="513"/>
        <v/>
      </c>
    </row>
    <row r="10574" spans="9:14" x14ac:dyDescent="0.25">
      <c r="I10574" s="11" t="b">
        <f t="shared" si="511"/>
        <v>0</v>
      </c>
      <c r="M10574" s="17" t="str">
        <f t="shared" si="512"/>
        <v/>
      </c>
      <c r="N10574" s="11" t="str">
        <f t="shared" si="513"/>
        <v/>
      </c>
    </row>
    <row r="10575" spans="9:14" x14ac:dyDescent="0.25">
      <c r="I10575" s="11" t="b">
        <f t="shared" si="511"/>
        <v>0</v>
      </c>
      <c r="M10575" s="17" t="str">
        <f t="shared" si="512"/>
        <v/>
      </c>
      <c r="N10575" s="11" t="str">
        <f t="shared" si="513"/>
        <v/>
      </c>
    </row>
    <row r="10576" spans="9:14" x14ac:dyDescent="0.25">
      <c r="I10576" s="11" t="b">
        <f t="shared" si="511"/>
        <v>0</v>
      </c>
      <c r="M10576" s="17" t="str">
        <f t="shared" si="512"/>
        <v/>
      </c>
      <c r="N10576" s="11" t="str">
        <f t="shared" si="513"/>
        <v/>
      </c>
    </row>
    <row r="10577" spans="9:14" x14ac:dyDescent="0.25">
      <c r="I10577" s="11" t="b">
        <f t="shared" si="511"/>
        <v>0</v>
      </c>
      <c r="M10577" s="17" t="str">
        <f t="shared" si="512"/>
        <v/>
      </c>
      <c r="N10577" s="11" t="str">
        <f t="shared" si="513"/>
        <v/>
      </c>
    </row>
    <row r="10578" spans="9:14" x14ac:dyDescent="0.25">
      <c r="I10578" s="11" t="b">
        <f t="shared" si="511"/>
        <v>0</v>
      </c>
      <c r="M10578" s="17" t="str">
        <f t="shared" si="512"/>
        <v/>
      </c>
      <c r="N10578" s="11" t="str">
        <f t="shared" si="513"/>
        <v/>
      </c>
    </row>
    <row r="10579" spans="9:14" x14ac:dyDescent="0.25">
      <c r="I10579" s="11" t="b">
        <f t="shared" si="511"/>
        <v>0</v>
      </c>
      <c r="M10579" s="17" t="str">
        <f t="shared" si="512"/>
        <v/>
      </c>
      <c r="N10579" s="11" t="str">
        <f t="shared" si="513"/>
        <v/>
      </c>
    </row>
    <row r="10580" spans="9:14" x14ac:dyDescent="0.25">
      <c r="I10580" s="11" t="b">
        <f t="shared" si="511"/>
        <v>0</v>
      </c>
      <c r="M10580" s="17" t="str">
        <f t="shared" si="512"/>
        <v/>
      </c>
      <c r="N10580" s="11" t="str">
        <f t="shared" si="513"/>
        <v/>
      </c>
    </row>
    <row r="10581" spans="9:14" x14ac:dyDescent="0.25">
      <c r="I10581" s="11" t="b">
        <f t="shared" si="511"/>
        <v>0</v>
      </c>
      <c r="M10581" s="17" t="str">
        <f t="shared" si="512"/>
        <v/>
      </c>
      <c r="N10581" s="11" t="str">
        <f t="shared" si="513"/>
        <v/>
      </c>
    </row>
    <row r="10582" spans="9:14" x14ac:dyDescent="0.25">
      <c r="I10582" s="11" t="b">
        <f t="shared" si="511"/>
        <v>0</v>
      </c>
      <c r="M10582" s="17" t="str">
        <f t="shared" si="512"/>
        <v/>
      </c>
      <c r="N10582" s="11" t="str">
        <f t="shared" si="513"/>
        <v/>
      </c>
    </row>
    <row r="10583" spans="9:14" x14ac:dyDescent="0.25">
      <c r="I10583" s="11" t="b">
        <f t="shared" si="511"/>
        <v>0</v>
      </c>
      <c r="M10583" s="17" t="str">
        <f t="shared" si="512"/>
        <v/>
      </c>
      <c r="N10583" s="11" t="str">
        <f t="shared" si="513"/>
        <v/>
      </c>
    </row>
    <row r="10584" spans="9:14" x14ac:dyDescent="0.25">
      <c r="I10584" s="11" t="b">
        <f t="shared" si="511"/>
        <v>0</v>
      </c>
      <c r="M10584" s="17" t="str">
        <f t="shared" si="512"/>
        <v/>
      </c>
      <c r="N10584" s="11" t="str">
        <f t="shared" si="513"/>
        <v/>
      </c>
    </row>
    <row r="10585" spans="9:14" x14ac:dyDescent="0.25">
      <c r="I10585" s="11" t="b">
        <f t="shared" si="511"/>
        <v>0</v>
      </c>
      <c r="M10585" s="17" t="str">
        <f t="shared" si="512"/>
        <v/>
      </c>
      <c r="N10585" s="11" t="str">
        <f t="shared" si="513"/>
        <v/>
      </c>
    </row>
    <row r="10586" spans="9:14" x14ac:dyDescent="0.25">
      <c r="I10586" s="11" t="b">
        <f t="shared" si="511"/>
        <v>0</v>
      </c>
      <c r="M10586" s="17" t="str">
        <f t="shared" si="512"/>
        <v/>
      </c>
      <c r="N10586" s="11" t="str">
        <f t="shared" si="513"/>
        <v/>
      </c>
    </row>
    <row r="10587" spans="9:14" x14ac:dyDescent="0.25">
      <c r="I10587" s="11" t="b">
        <f t="shared" si="511"/>
        <v>0</v>
      </c>
      <c r="M10587" s="17" t="str">
        <f t="shared" si="512"/>
        <v/>
      </c>
      <c r="N10587" s="11" t="str">
        <f t="shared" si="513"/>
        <v/>
      </c>
    </row>
    <row r="10588" spans="9:14" x14ac:dyDescent="0.25">
      <c r="I10588" s="11" t="b">
        <f t="shared" si="511"/>
        <v>0</v>
      </c>
      <c r="M10588" s="17" t="str">
        <f t="shared" si="512"/>
        <v/>
      </c>
      <c r="N10588" s="11" t="str">
        <f t="shared" si="513"/>
        <v/>
      </c>
    </row>
    <row r="10589" spans="9:14" x14ac:dyDescent="0.25">
      <c r="I10589" s="11" t="b">
        <f t="shared" ref="I10589:I10652" si="514">IF(AND(G10589="MERCADO PAGO",A10589="FATURAMENTO"),1,IF(AND(OR(G10589="MERCADO PAGO",G10589="pix mercado pago",G10589= "débito automático mercado pago", G10589= "boleto mercado pago"),A10589="DESPESAS"),4,IF(AND(G10589="SAFRA",A10589="FATURAMENTO"),2,IF(AND(OR(G10589="SAFRA",G10589="PIX SAFRA", G10589="DÉBITO AUTOMÁTICO SAFRA", G10589= "BOLETO SAFRA", G10589= "transferência safra"), A10589="DESPESAS"),5,IF(AND(G10589="espécie",A10589="FATURAMENTO"),3,IF(AND(G10589="espécie",A10589="DESPESAS"),6))))))</f>
        <v>0</v>
      </c>
      <c r="M10589" s="17" t="str">
        <f t="shared" si="512"/>
        <v/>
      </c>
      <c r="N10589" s="11" t="str">
        <f t="shared" si="513"/>
        <v/>
      </c>
    </row>
    <row r="10590" spans="9:14" x14ac:dyDescent="0.25">
      <c r="I10590" s="11" t="b">
        <f t="shared" si="514"/>
        <v>0</v>
      </c>
      <c r="M10590" s="17" t="str">
        <f t="shared" si="512"/>
        <v/>
      </c>
      <c r="N10590" s="11" t="str">
        <f t="shared" si="513"/>
        <v/>
      </c>
    </row>
    <row r="10591" spans="9:14" x14ac:dyDescent="0.25">
      <c r="I10591" s="11" t="b">
        <f t="shared" si="514"/>
        <v>0</v>
      </c>
      <c r="M10591" s="17" t="str">
        <f t="shared" si="512"/>
        <v/>
      </c>
      <c r="N10591" s="11" t="str">
        <f t="shared" si="513"/>
        <v/>
      </c>
    </row>
    <row r="10592" spans="9:14" x14ac:dyDescent="0.25">
      <c r="I10592" s="11" t="b">
        <f t="shared" si="514"/>
        <v>0</v>
      </c>
      <c r="M10592" s="17" t="str">
        <f t="shared" si="512"/>
        <v/>
      </c>
      <c r="N10592" s="11" t="str">
        <f t="shared" si="513"/>
        <v/>
      </c>
    </row>
    <row r="10593" spans="9:14" x14ac:dyDescent="0.25">
      <c r="I10593" s="11" t="b">
        <f t="shared" si="514"/>
        <v>0</v>
      </c>
      <c r="M10593" s="17" t="str">
        <f t="shared" si="512"/>
        <v/>
      </c>
      <c r="N10593" s="11" t="str">
        <f t="shared" si="513"/>
        <v/>
      </c>
    </row>
    <row r="10594" spans="9:14" x14ac:dyDescent="0.25">
      <c r="I10594" s="11" t="b">
        <f t="shared" si="514"/>
        <v>0</v>
      </c>
      <c r="M10594" s="17" t="str">
        <f t="shared" si="512"/>
        <v/>
      </c>
      <c r="N10594" s="11" t="str">
        <f t="shared" si="513"/>
        <v/>
      </c>
    </row>
    <row r="10595" spans="9:14" x14ac:dyDescent="0.25">
      <c r="I10595" s="11" t="b">
        <f t="shared" si="514"/>
        <v>0</v>
      </c>
      <c r="M10595" s="17" t="str">
        <f t="shared" si="512"/>
        <v/>
      </c>
      <c r="N10595" s="11" t="str">
        <f t="shared" si="513"/>
        <v/>
      </c>
    </row>
    <row r="10596" spans="9:14" x14ac:dyDescent="0.25">
      <c r="I10596" s="11" t="b">
        <f t="shared" si="514"/>
        <v>0</v>
      </c>
      <c r="M10596" s="17" t="str">
        <f t="shared" si="512"/>
        <v/>
      </c>
      <c r="N10596" s="11" t="str">
        <f t="shared" si="513"/>
        <v/>
      </c>
    </row>
    <row r="10597" spans="9:14" x14ac:dyDescent="0.25">
      <c r="I10597" s="11" t="b">
        <f t="shared" si="514"/>
        <v>0</v>
      </c>
      <c r="M10597" s="17" t="str">
        <f t="shared" si="512"/>
        <v/>
      </c>
      <c r="N10597" s="11" t="str">
        <f t="shared" si="513"/>
        <v/>
      </c>
    </row>
    <row r="10598" spans="9:14" x14ac:dyDescent="0.25">
      <c r="I10598" s="11" t="b">
        <f t="shared" si="514"/>
        <v>0</v>
      </c>
      <c r="M10598" s="17" t="str">
        <f t="shared" si="512"/>
        <v/>
      </c>
      <c r="N10598" s="11" t="str">
        <f t="shared" si="513"/>
        <v/>
      </c>
    </row>
    <row r="10599" spans="9:14" x14ac:dyDescent="0.25">
      <c r="I10599" s="11" t="b">
        <f t="shared" si="514"/>
        <v>0</v>
      </c>
      <c r="M10599" s="17" t="str">
        <f t="shared" si="512"/>
        <v/>
      </c>
      <c r="N10599" s="11" t="str">
        <f t="shared" si="513"/>
        <v/>
      </c>
    </row>
    <row r="10600" spans="9:14" x14ac:dyDescent="0.25">
      <c r="I10600" s="11" t="b">
        <f t="shared" si="514"/>
        <v>0</v>
      </c>
      <c r="M10600" s="17" t="str">
        <f t="shared" si="512"/>
        <v/>
      </c>
      <c r="N10600" s="11" t="str">
        <f t="shared" si="513"/>
        <v/>
      </c>
    </row>
    <row r="10601" spans="9:14" x14ac:dyDescent="0.25">
      <c r="I10601" s="11" t="b">
        <f t="shared" si="514"/>
        <v>0</v>
      </c>
      <c r="M10601" s="17" t="str">
        <f t="shared" si="512"/>
        <v/>
      </c>
      <c r="N10601" s="11" t="str">
        <f t="shared" si="513"/>
        <v/>
      </c>
    </row>
    <row r="10602" spans="9:14" x14ac:dyDescent="0.25">
      <c r="I10602" s="11" t="b">
        <f t="shared" si="514"/>
        <v>0</v>
      </c>
      <c r="M10602" s="17" t="str">
        <f t="shared" si="512"/>
        <v/>
      </c>
      <c r="N10602" s="11" t="str">
        <f t="shared" si="513"/>
        <v/>
      </c>
    </row>
    <row r="10603" spans="9:14" x14ac:dyDescent="0.25">
      <c r="I10603" s="11" t="b">
        <f t="shared" si="514"/>
        <v>0</v>
      </c>
      <c r="M10603" s="17" t="str">
        <f t="shared" si="512"/>
        <v/>
      </c>
      <c r="N10603" s="11" t="str">
        <f t="shared" si="513"/>
        <v/>
      </c>
    </row>
    <row r="10604" spans="9:14" x14ac:dyDescent="0.25">
      <c r="I10604" s="11" t="b">
        <f t="shared" si="514"/>
        <v>0</v>
      </c>
      <c r="M10604" s="17" t="str">
        <f t="shared" si="512"/>
        <v/>
      </c>
      <c r="N10604" s="11" t="str">
        <f t="shared" si="513"/>
        <v/>
      </c>
    </row>
    <row r="10605" spans="9:14" x14ac:dyDescent="0.25">
      <c r="I10605" s="11" t="b">
        <f t="shared" si="514"/>
        <v>0</v>
      </c>
      <c r="M10605" s="17" t="str">
        <f t="shared" si="512"/>
        <v/>
      </c>
      <c r="N10605" s="11" t="str">
        <f t="shared" si="513"/>
        <v/>
      </c>
    </row>
    <row r="10606" spans="9:14" x14ac:dyDescent="0.25">
      <c r="I10606" s="11" t="b">
        <f t="shared" si="514"/>
        <v>0</v>
      </c>
      <c r="M10606" s="17" t="str">
        <f t="shared" si="512"/>
        <v/>
      </c>
      <c r="N10606" s="11" t="str">
        <f t="shared" si="513"/>
        <v/>
      </c>
    </row>
    <row r="10607" spans="9:14" x14ac:dyDescent="0.25">
      <c r="I10607" s="11" t="b">
        <f t="shared" si="514"/>
        <v>0</v>
      </c>
      <c r="M10607" s="17" t="str">
        <f t="shared" si="512"/>
        <v/>
      </c>
      <c r="N10607" s="11" t="str">
        <f t="shared" si="513"/>
        <v/>
      </c>
    </row>
    <row r="10608" spans="9:14" x14ac:dyDescent="0.25">
      <c r="I10608" s="11" t="b">
        <f t="shared" si="514"/>
        <v>0</v>
      </c>
      <c r="M10608" s="17" t="str">
        <f t="shared" si="512"/>
        <v/>
      </c>
      <c r="N10608" s="11" t="str">
        <f t="shared" si="513"/>
        <v/>
      </c>
    </row>
    <row r="10609" spans="9:14" x14ac:dyDescent="0.25">
      <c r="I10609" s="11" t="b">
        <f t="shared" si="514"/>
        <v>0</v>
      </c>
      <c r="M10609" s="17" t="str">
        <f t="shared" si="512"/>
        <v/>
      </c>
      <c r="N10609" s="11" t="str">
        <f t="shared" si="513"/>
        <v/>
      </c>
    </row>
    <row r="10610" spans="9:14" x14ac:dyDescent="0.25">
      <c r="I10610" s="11" t="b">
        <f t="shared" si="514"/>
        <v>0</v>
      </c>
      <c r="M10610" s="17" t="str">
        <f t="shared" si="512"/>
        <v/>
      </c>
      <c r="N10610" s="11" t="str">
        <f t="shared" si="513"/>
        <v/>
      </c>
    </row>
    <row r="10611" spans="9:14" x14ac:dyDescent="0.25">
      <c r="I10611" s="11" t="b">
        <f t="shared" si="514"/>
        <v>0</v>
      </c>
      <c r="M10611" s="17" t="str">
        <f t="shared" si="512"/>
        <v/>
      </c>
      <c r="N10611" s="11" t="str">
        <f t="shared" si="513"/>
        <v/>
      </c>
    </row>
    <row r="10612" spans="9:14" x14ac:dyDescent="0.25">
      <c r="I10612" s="11" t="b">
        <f t="shared" si="514"/>
        <v>0</v>
      </c>
      <c r="M10612" s="17" t="str">
        <f t="shared" si="512"/>
        <v/>
      </c>
      <c r="N10612" s="11" t="str">
        <f t="shared" si="513"/>
        <v/>
      </c>
    </row>
    <row r="10613" spans="9:14" x14ac:dyDescent="0.25">
      <c r="I10613" s="11" t="b">
        <f t="shared" si="514"/>
        <v>0</v>
      </c>
      <c r="M10613" s="17" t="str">
        <f t="shared" si="512"/>
        <v/>
      </c>
      <c r="N10613" s="11" t="str">
        <f t="shared" si="513"/>
        <v/>
      </c>
    </row>
    <row r="10614" spans="9:14" x14ac:dyDescent="0.25">
      <c r="I10614" s="11" t="b">
        <f t="shared" si="514"/>
        <v>0</v>
      </c>
      <c r="M10614" s="17" t="str">
        <f t="shared" si="512"/>
        <v/>
      </c>
      <c r="N10614" s="11" t="str">
        <f t="shared" si="513"/>
        <v/>
      </c>
    </row>
    <row r="10615" spans="9:14" x14ac:dyDescent="0.25">
      <c r="I10615" s="11" t="b">
        <f t="shared" si="514"/>
        <v>0</v>
      </c>
      <c r="M10615" s="17" t="str">
        <f t="shared" si="512"/>
        <v/>
      </c>
      <c r="N10615" s="11" t="str">
        <f t="shared" si="513"/>
        <v/>
      </c>
    </row>
    <row r="10616" spans="9:14" x14ac:dyDescent="0.25">
      <c r="I10616" s="11" t="b">
        <f t="shared" si="514"/>
        <v>0</v>
      </c>
      <c r="M10616" s="17" t="str">
        <f t="shared" si="512"/>
        <v/>
      </c>
      <c r="N10616" s="11" t="str">
        <f t="shared" si="513"/>
        <v/>
      </c>
    </row>
    <row r="10617" spans="9:14" x14ac:dyDescent="0.25">
      <c r="I10617" s="11" t="b">
        <f t="shared" si="514"/>
        <v>0</v>
      </c>
      <c r="M10617" s="17" t="str">
        <f t="shared" si="512"/>
        <v/>
      </c>
      <c r="N10617" s="11" t="str">
        <f t="shared" si="513"/>
        <v/>
      </c>
    </row>
    <row r="10618" spans="9:14" x14ac:dyDescent="0.25">
      <c r="I10618" s="11" t="b">
        <f t="shared" si="514"/>
        <v>0</v>
      </c>
      <c r="M10618" s="17" t="str">
        <f t="shared" si="512"/>
        <v/>
      </c>
      <c r="N10618" s="11" t="str">
        <f t="shared" si="513"/>
        <v/>
      </c>
    </row>
    <row r="10619" spans="9:14" x14ac:dyDescent="0.25">
      <c r="I10619" s="11" t="b">
        <f t="shared" si="514"/>
        <v>0</v>
      </c>
      <c r="M10619" s="17" t="str">
        <f t="shared" si="512"/>
        <v/>
      </c>
      <c r="N10619" s="11" t="str">
        <f t="shared" si="513"/>
        <v/>
      </c>
    </row>
    <row r="10620" spans="9:14" x14ac:dyDescent="0.25">
      <c r="I10620" s="11" t="b">
        <f t="shared" si="514"/>
        <v>0</v>
      </c>
      <c r="M10620" s="17" t="str">
        <f t="shared" si="512"/>
        <v/>
      </c>
      <c r="N10620" s="11" t="str">
        <f t="shared" si="513"/>
        <v/>
      </c>
    </row>
    <row r="10621" spans="9:14" x14ac:dyDescent="0.25">
      <c r="I10621" s="11" t="b">
        <f t="shared" si="514"/>
        <v>0</v>
      </c>
      <c r="M10621" s="17" t="str">
        <f t="shared" si="512"/>
        <v/>
      </c>
      <c r="N10621" s="11" t="str">
        <f t="shared" si="513"/>
        <v/>
      </c>
    </row>
    <row r="10622" spans="9:14" x14ac:dyDescent="0.25">
      <c r="I10622" s="11" t="b">
        <f t="shared" si="514"/>
        <v>0</v>
      </c>
      <c r="M10622" s="17" t="str">
        <f t="shared" si="512"/>
        <v/>
      </c>
      <c r="N10622" s="11" t="str">
        <f t="shared" si="513"/>
        <v/>
      </c>
    </row>
    <row r="10623" spans="9:14" x14ac:dyDescent="0.25">
      <c r="I10623" s="11" t="b">
        <f t="shared" si="514"/>
        <v>0</v>
      </c>
      <c r="M10623" s="17" t="str">
        <f t="shared" si="512"/>
        <v/>
      </c>
      <c r="N10623" s="11" t="str">
        <f t="shared" si="513"/>
        <v/>
      </c>
    </row>
    <row r="10624" spans="9:14" x14ac:dyDescent="0.25">
      <c r="I10624" s="11" t="b">
        <f t="shared" si="514"/>
        <v>0</v>
      </c>
      <c r="M10624" s="17" t="str">
        <f t="shared" si="512"/>
        <v/>
      </c>
      <c r="N10624" s="11" t="str">
        <f t="shared" si="513"/>
        <v/>
      </c>
    </row>
    <row r="10625" spans="9:14" x14ac:dyDescent="0.25">
      <c r="I10625" s="11" t="b">
        <f t="shared" si="514"/>
        <v>0</v>
      </c>
      <c r="M10625" s="17" t="str">
        <f t="shared" ref="M10625:M10688" si="515">IF(B10625=0, "",M10624+ J10625-K10625)</f>
        <v/>
      </c>
      <c r="N10625" s="11" t="str">
        <f t="shared" ref="N10625:N10688" si="516">IF(B10625=0, "", MONTH(B10625))</f>
        <v/>
      </c>
    </row>
    <row r="10626" spans="9:14" x14ac:dyDescent="0.25">
      <c r="I10626" s="11" t="b">
        <f t="shared" si="514"/>
        <v>0</v>
      </c>
      <c r="M10626" s="17" t="str">
        <f t="shared" si="515"/>
        <v/>
      </c>
      <c r="N10626" s="11" t="str">
        <f t="shared" si="516"/>
        <v/>
      </c>
    </row>
    <row r="10627" spans="9:14" x14ac:dyDescent="0.25">
      <c r="I10627" s="11" t="b">
        <f t="shared" si="514"/>
        <v>0</v>
      </c>
      <c r="M10627" s="17" t="str">
        <f t="shared" si="515"/>
        <v/>
      </c>
      <c r="N10627" s="11" t="str">
        <f t="shared" si="516"/>
        <v/>
      </c>
    </row>
    <row r="10628" spans="9:14" x14ac:dyDescent="0.25">
      <c r="I10628" s="11" t="b">
        <f t="shared" si="514"/>
        <v>0</v>
      </c>
      <c r="M10628" s="17" t="str">
        <f t="shared" si="515"/>
        <v/>
      </c>
      <c r="N10628" s="11" t="str">
        <f t="shared" si="516"/>
        <v/>
      </c>
    </row>
    <row r="10629" spans="9:14" x14ac:dyDescent="0.25">
      <c r="I10629" s="11" t="b">
        <f t="shared" si="514"/>
        <v>0</v>
      </c>
      <c r="M10629" s="17" t="str">
        <f t="shared" si="515"/>
        <v/>
      </c>
      <c r="N10629" s="11" t="str">
        <f t="shared" si="516"/>
        <v/>
      </c>
    </row>
    <row r="10630" spans="9:14" x14ac:dyDescent="0.25">
      <c r="I10630" s="11" t="b">
        <f t="shared" si="514"/>
        <v>0</v>
      </c>
      <c r="M10630" s="17" t="str">
        <f t="shared" si="515"/>
        <v/>
      </c>
      <c r="N10630" s="11" t="str">
        <f t="shared" si="516"/>
        <v/>
      </c>
    </row>
    <row r="10631" spans="9:14" x14ac:dyDescent="0.25">
      <c r="I10631" s="11" t="b">
        <f t="shared" si="514"/>
        <v>0</v>
      </c>
      <c r="M10631" s="17" t="str">
        <f t="shared" si="515"/>
        <v/>
      </c>
      <c r="N10631" s="11" t="str">
        <f t="shared" si="516"/>
        <v/>
      </c>
    </row>
    <row r="10632" spans="9:14" x14ac:dyDescent="0.25">
      <c r="I10632" s="11" t="b">
        <f t="shared" si="514"/>
        <v>0</v>
      </c>
      <c r="M10632" s="17" t="str">
        <f t="shared" si="515"/>
        <v/>
      </c>
      <c r="N10632" s="11" t="str">
        <f t="shared" si="516"/>
        <v/>
      </c>
    </row>
    <row r="10633" spans="9:14" x14ac:dyDescent="0.25">
      <c r="I10633" s="11" t="b">
        <f t="shared" si="514"/>
        <v>0</v>
      </c>
      <c r="M10633" s="17" t="str">
        <f t="shared" si="515"/>
        <v/>
      </c>
      <c r="N10633" s="11" t="str">
        <f t="shared" si="516"/>
        <v/>
      </c>
    </row>
    <row r="10634" spans="9:14" x14ac:dyDescent="0.25">
      <c r="I10634" s="11" t="b">
        <f t="shared" si="514"/>
        <v>0</v>
      </c>
      <c r="M10634" s="17" t="str">
        <f t="shared" si="515"/>
        <v/>
      </c>
      <c r="N10634" s="11" t="str">
        <f t="shared" si="516"/>
        <v/>
      </c>
    </row>
    <row r="10635" spans="9:14" x14ac:dyDescent="0.25">
      <c r="I10635" s="11" t="b">
        <f t="shared" si="514"/>
        <v>0</v>
      </c>
      <c r="M10635" s="17" t="str">
        <f t="shared" si="515"/>
        <v/>
      </c>
      <c r="N10635" s="11" t="str">
        <f t="shared" si="516"/>
        <v/>
      </c>
    </row>
    <row r="10636" spans="9:14" x14ac:dyDescent="0.25">
      <c r="I10636" s="11" t="b">
        <f t="shared" si="514"/>
        <v>0</v>
      </c>
      <c r="M10636" s="17" t="str">
        <f t="shared" si="515"/>
        <v/>
      </c>
      <c r="N10636" s="11" t="str">
        <f t="shared" si="516"/>
        <v/>
      </c>
    </row>
    <row r="10637" spans="9:14" x14ac:dyDescent="0.25">
      <c r="I10637" s="11" t="b">
        <f t="shared" si="514"/>
        <v>0</v>
      </c>
      <c r="M10637" s="17" t="str">
        <f t="shared" si="515"/>
        <v/>
      </c>
      <c r="N10637" s="11" t="str">
        <f t="shared" si="516"/>
        <v/>
      </c>
    </row>
    <row r="10638" spans="9:14" x14ac:dyDescent="0.25">
      <c r="I10638" s="11" t="b">
        <f t="shared" si="514"/>
        <v>0</v>
      </c>
      <c r="M10638" s="17" t="str">
        <f t="shared" si="515"/>
        <v/>
      </c>
      <c r="N10638" s="11" t="str">
        <f t="shared" si="516"/>
        <v/>
      </c>
    </row>
    <row r="10639" spans="9:14" x14ac:dyDescent="0.25">
      <c r="I10639" s="11" t="b">
        <f t="shared" si="514"/>
        <v>0</v>
      </c>
      <c r="M10639" s="17" t="str">
        <f t="shared" si="515"/>
        <v/>
      </c>
      <c r="N10639" s="11" t="str">
        <f t="shared" si="516"/>
        <v/>
      </c>
    </row>
    <row r="10640" spans="9:14" x14ac:dyDescent="0.25">
      <c r="I10640" s="11" t="b">
        <f t="shared" si="514"/>
        <v>0</v>
      </c>
      <c r="M10640" s="17" t="str">
        <f t="shared" si="515"/>
        <v/>
      </c>
      <c r="N10640" s="11" t="str">
        <f t="shared" si="516"/>
        <v/>
      </c>
    </row>
    <row r="10641" spans="9:14" x14ac:dyDescent="0.25">
      <c r="I10641" s="11" t="b">
        <f t="shared" si="514"/>
        <v>0</v>
      </c>
      <c r="M10641" s="17" t="str">
        <f t="shared" si="515"/>
        <v/>
      </c>
      <c r="N10641" s="11" t="str">
        <f t="shared" si="516"/>
        <v/>
      </c>
    </row>
    <row r="10642" spans="9:14" x14ac:dyDescent="0.25">
      <c r="I10642" s="11" t="b">
        <f t="shared" si="514"/>
        <v>0</v>
      </c>
      <c r="M10642" s="17" t="str">
        <f t="shared" si="515"/>
        <v/>
      </c>
      <c r="N10642" s="11" t="str">
        <f t="shared" si="516"/>
        <v/>
      </c>
    </row>
    <row r="10643" spans="9:14" x14ac:dyDescent="0.25">
      <c r="I10643" s="11" t="b">
        <f t="shared" si="514"/>
        <v>0</v>
      </c>
      <c r="M10643" s="17" t="str">
        <f t="shared" si="515"/>
        <v/>
      </c>
      <c r="N10643" s="11" t="str">
        <f t="shared" si="516"/>
        <v/>
      </c>
    </row>
    <row r="10644" spans="9:14" x14ac:dyDescent="0.25">
      <c r="I10644" s="11" t="b">
        <f t="shared" si="514"/>
        <v>0</v>
      </c>
      <c r="M10644" s="17" t="str">
        <f t="shared" si="515"/>
        <v/>
      </c>
      <c r="N10644" s="11" t="str">
        <f t="shared" si="516"/>
        <v/>
      </c>
    </row>
    <row r="10645" spans="9:14" x14ac:dyDescent="0.25">
      <c r="I10645" s="11" t="b">
        <f t="shared" si="514"/>
        <v>0</v>
      </c>
      <c r="M10645" s="17" t="str">
        <f t="shared" si="515"/>
        <v/>
      </c>
      <c r="N10645" s="11" t="str">
        <f t="shared" si="516"/>
        <v/>
      </c>
    </row>
    <row r="10646" spans="9:14" x14ac:dyDescent="0.25">
      <c r="I10646" s="11" t="b">
        <f t="shared" si="514"/>
        <v>0</v>
      </c>
      <c r="M10646" s="17" t="str">
        <f t="shared" si="515"/>
        <v/>
      </c>
      <c r="N10646" s="11" t="str">
        <f t="shared" si="516"/>
        <v/>
      </c>
    </row>
    <row r="10647" spans="9:14" x14ac:dyDescent="0.25">
      <c r="I10647" s="11" t="b">
        <f t="shared" si="514"/>
        <v>0</v>
      </c>
      <c r="M10647" s="17" t="str">
        <f t="shared" si="515"/>
        <v/>
      </c>
      <c r="N10647" s="11" t="str">
        <f t="shared" si="516"/>
        <v/>
      </c>
    </row>
    <row r="10648" spans="9:14" x14ac:dyDescent="0.25">
      <c r="I10648" s="11" t="b">
        <f t="shared" si="514"/>
        <v>0</v>
      </c>
      <c r="M10648" s="17" t="str">
        <f t="shared" si="515"/>
        <v/>
      </c>
      <c r="N10648" s="11" t="str">
        <f t="shared" si="516"/>
        <v/>
      </c>
    </row>
    <row r="10649" spans="9:14" x14ac:dyDescent="0.25">
      <c r="I10649" s="11" t="b">
        <f t="shared" si="514"/>
        <v>0</v>
      </c>
      <c r="M10649" s="17" t="str">
        <f t="shared" si="515"/>
        <v/>
      </c>
      <c r="N10649" s="11" t="str">
        <f t="shared" si="516"/>
        <v/>
      </c>
    </row>
    <row r="10650" spans="9:14" x14ac:dyDescent="0.25">
      <c r="I10650" s="11" t="b">
        <f t="shared" si="514"/>
        <v>0</v>
      </c>
      <c r="M10650" s="17" t="str">
        <f t="shared" si="515"/>
        <v/>
      </c>
      <c r="N10650" s="11" t="str">
        <f t="shared" si="516"/>
        <v/>
      </c>
    </row>
    <row r="10651" spans="9:14" x14ac:dyDescent="0.25">
      <c r="I10651" s="11" t="b">
        <f t="shared" si="514"/>
        <v>0</v>
      </c>
      <c r="M10651" s="17" t="str">
        <f t="shared" si="515"/>
        <v/>
      </c>
      <c r="N10651" s="11" t="str">
        <f t="shared" si="516"/>
        <v/>
      </c>
    </row>
    <row r="10652" spans="9:14" x14ac:dyDescent="0.25">
      <c r="I10652" s="11" t="b">
        <f t="shared" si="514"/>
        <v>0</v>
      </c>
      <c r="M10652" s="17" t="str">
        <f t="shared" si="515"/>
        <v/>
      </c>
      <c r="N10652" s="11" t="str">
        <f t="shared" si="516"/>
        <v/>
      </c>
    </row>
    <row r="10653" spans="9:14" x14ac:dyDescent="0.25">
      <c r="I10653" s="11" t="b">
        <f t="shared" ref="I10653:I10716" si="517">IF(AND(G10653="MERCADO PAGO",A10653="FATURAMENTO"),1,IF(AND(OR(G10653="MERCADO PAGO",G10653="pix mercado pago",G10653= "débito automático mercado pago", G10653= "boleto mercado pago"),A10653="DESPESAS"),4,IF(AND(G10653="SAFRA",A10653="FATURAMENTO"),2,IF(AND(OR(G10653="SAFRA",G10653="PIX SAFRA", G10653="DÉBITO AUTOMÁTICO SAFRA", G10653= "BOLETO SAFRA", G10653= "transferência safra"), A10653="DESPESAS"),5,IF(AND(G10653="espécie",A10653="FATURAMENTO"),3,IF(AND(G10653="espécie",A10653="DESPESAS"),6))))))</f>
        <v>0</v>
      </c>
      <c r="M10653" s="17" t="str">
        <f t="shared" si="515"/>
        <v/>
      </c>
      <c r="N10653" s="11" t="str">
        <f t="shared" si="516"/>
        <v/>
      </c>
    </row>
    <row r="10654" spans="9:14" x14ac:dyDescent="0.25">
      <c r="I10654" s="11" t="b">
        <f t="shared" si="517"/>
        <v>0</v>
      </c>
      <c r="M10654" s="17" t="str">
        <f t="shared" si="515"/>
        <v/>
      </c>
      <c r="N10654" s="11" t="str">
        <f t="shared" si="516"/>
        <v/>
      </c>
    </row>
    <row r="10655" spans="9:14" x14ac:dyDescent="0.25">
      <c r="I10655" s="11" t="b">
        <f t="shared" si="517"/>
        <v>0</v>
      </c>
      <c r="M10655" s="17" t="str">
        <f t="shared" si="515"/>
        <v/>
      </c>
      <c r="N10655" s="11" t="str">
        <f t="shared" si="516"/>
        <v/>
      </c>
    </row>
    <row r="10656" spans="9:14" x14ac:dyDescent="0.25">
      <c r="I10656" s="11" t="b">
        <f t="shared" si="517"/>
        <v>0</v>
      </c>
      <c r="M10656" s="17" t="str">
        <f t="shared" si="515"/>
        <v/>
      </c>
      <c r="N10656" s="11" t="str">
        <f t="shared" si="516"/>
        <v/>
      </c>
    </row>
    <row r="10657" spans="9:14" x14ac:dyDescent="0.25">
      <c r="I10657" s="11" t="b">
        <f t="shared" si="517"/>
        <v>0</v>
      </c>
      <c r="M10657" s="17" t="str">
        <f t="shared" si="515"/>
        <v/>
      </c>
      <c r="N10657" s="11" t="str">
        <f t="shared" si="516"/>
        <v/>
      </c>
    </row>
    <row r="10658" spans="9:14" x14ac:dyDescent="0.25">
      <c r="I10658" s="11" t="b">
        <f t="shared" si="517"/>
        <v>0</v>
      </c>
      <c r="M10658" s="17" t="str">
        <f t="shared" si="515"/>
        <v/>
      </c>
      <c r="N10658" s="11" t="str">
        <f t="shared" si="516"/>
        <v/>
      </c>
    </row>
    <row r="10659" spans="9:14" x14ac:dyDescent="0.25">
      <c r="I10659" s="11" t="b">
        <f t="shared" si="517"/>
        <v>0</v>
      </c>
      <c r="M10659" s="17" t="str">
        <f t="shared" si="515"/>
        <v/>
      </c>
      <c r="N10659" s="11" t="str">
        <f t="shared" si="516"/>
        <v/>
      </c>
    </row>
    <row r="10660" spans="9:14" x14ac:dyDescent="0.25">
      <c r="I10660" s="11" t="b">
        <f t="shared" si="517"/>
        <v>0</v>
      </c>
      <c r="M10660" s="17" t="str">
        <f t="shared" si="515"/>
        <v/>
      </c>
      <c r="N10660" s="11" t="str">
        <f t="shared" si="516"/>
        <v/>
      </c>
    </row>
    <row r="10661" spans="9:14" x14ac:dyDescent="0.25">
      <c r="I10661" s="11" t="b">
        <f t="shared" si="517"/>
        <v>0</v>
      </c>
      <c r="M10661" s="17" t="str">
        <f t="shared" si="515"/>
        <v/>
      </c>
      <c r="N10661" s="11" t="str">
        <f t="shared" si="516"/>
        <v/>
      </c>
    </row>
    <row r="10662" spans="9:14" x14ac:dyDescent="0.25">
      <c r="I10662" s="11" t="b">
        <f t="shared" si="517"/>
        <v>0</v>
      </c>
      <c r="M10662" s="17" t="str">
        <f t="shared" si="515"/>
        <v/>
      </c>
      <c r="N10662" s="11" t="str">
        <f t="shared" si="516"/>
        <v/>
      </c>
    </row>
    <row r="10663" spans="9:14" x14ac:dyDescent="0.25">
      <c r="I10663" s="11" t="b">
        <f t="shared" si="517"/>
        <v>0</v>
      </c>
      <c r="M10663" s="17" t="str">
        <f t="shared" si="515"/>
        <v/>
      </c>
      <c r="N10663" s="11" t="str">
        <f t="shared" si="516"/>
        <v/>
      </c>
    </row>
    <row r="10664" spans="9:14" x14ac:dyDescent="0.25">
      <c r="I10664" s="11" t="b">
        <f t="shared" si="517"/>
        <v>0</v>
      </c>
      <c r="M10664" s="17" t="str">
        <f t="shared" si="515"/>
        <v/>
      </c>
      <c r="N10664" s="11" t="str">
        <f t="shared" si="516"/>
        <v/>
      </c>
    </row>
    <row r="10665" spans="9:14" x14ac:dyDescent="0.25">
      <c r="I10665" s="11" t="b">
        <f t="shared" si="517"/>
        <v>0</v>
      </c>
      <c r="M10665" s="17" t="str">
        <f t="shared" si="515"/>
        <v/>
      </c>
      <c r="N10665" s="11" t="str">
        <f t="shared" si="516"/>
        <v/>
      </c>
    </row>
    <row r="10666" spans="9:14" x14ac:dyDescent="0.25">
      <c r="I10666" s="11" t="b">
        <f t="shared" si="517"/>
        <v>0</v>
      </c>
      <c r="M10666" s="17" t="str">
        <f t="shared" si="515"/>
        <v/>
      </c>
      <c r="N10666" s="11" t="str">
        <f t="shared" si="516"/>
        <v/>
      </c>
    </row>
    <row r="10667" spans="9:14" x14ac:dyDescent="0.25">
      <c r="I10667" s="11" t="b">
        <f t="shared" si="517"/>
        <v>0</v>
      </c>
      <c r="M10667" s="17" t="str">
        <f t="shared" si="515"/>
        <v/>
      </c>
      <c r="N10667" s="11" t="str">
        <f t="shared" si="516"/>
        <v/>
      </c>
    </row>
    <row r="10668" spans="9:14" x14ac:dyDescent="0.25">
      <c r="I10668" s="11" t="b">
        <f t="shared" si="517"/>
        <v>0</v>
      </c>
      <c r="M10668" s="17" t="str">
        <f t="shared" si="515"/>
        <v/>
      </c>
      <c r="N10668" s="11" t="str">
        <f t="shared" si="516"/>
        <v/>
      </c>
    </row>
    <row r="10669" spans="9:14" x14ac:dyDescent="0.25">
      <c r="I10669" s="11" t="b">
        <f t="shared" si="517"/>
        <v>0</v>
      </c>
      <c r="M10669" s="17" t="str">
        <f t="shared" si="515"/>
        <v/>
      </c>
      <c r="N10669" s="11" t="str">
        <f t="shared" si="516"/>
        <v/>
      </c>
    </row>
    <row r="10670" spans="9:14" x14ac:dyDescent="0.25">
      <c r="I10670" s="11" t="b">
        <f t="shared" si="517"/>
        <v>0</v>
      </c>
      <c r="M10670" s="17" t="str">
        <f t="shared" si="515"/>
        <v/>
      </c>
      <c r="N10670" s="11" t="str">
        <f t="shared" si="516"/>
        <v/>
      </c>
    </row>
    <row r="10671" spans="9:14" x14ac:dyDescent="0.25">
      <c r="I10671" s="11" t="b">
        <f t="shared" si="517"/>
        <v>0</v>
      </c>
      <c r="M10671" s="17" t="str">
        <f t="shared" si="515"/>
        <v/>
      </c>
      <c r="N10671" s="11" t="str">
        <f t="shared" si="516"/>
        <v/>
      </c>
    </row>
    <row r="10672" spans="9:14" x14ac:dyDescent="0.25">
      <c r="I10672" s="11" t="b">
        <f t="shared" si="517"/>
        <v>0</v>
      </c>
      <c r="M10672" s="17" t="str">
        <f t="shared" si="515"/>
        <v/>
      </c>
      <c r="N10672" s="11" t="str">
        <f t="shared" si="516"/>
        <v/>
      </c>
    </row>
    <row r="10673" spans="9:14" x14ac:dyDescent="0.25">
      <c r="I10673" s="11" t="b">
        <f t="shared" si="517"/>
        <v>0</v>
      </c>
      <c r="M10673" s="17" t="str">
        <f t="shared" si="515"/>
        <v/>
      </c>
      <c r="N10673" s="11" t="str">
        <f t="shared" si="516"/>
        <v/>
      </c>
    </row>
    <row r="10674" spans="9:14" x14ac:dyDescent="0.25">
      <c r="I10674" s="11" t="b">
        <f t="shared" si="517"/>
        <v>0</v>
      </c>
      <c r="M10674" s="17" t="str">
        <f t="shared" si="515"/>
        <v/>
      </c>
      <c r="N10674" s="11" t="str">
        <f t="shared" si="516"/>
        <v/>
      </c>
    </row>
    <row r="10675" spans="9:14" x14ac:dyDescent="0.25">
      <c r="I10675" s="11" t="b">
        <f t="shared" si="517"/>
        <v>0</v>
      </c>
      <c r="M10675" s="17" t="str">
        <f t="shared" si="515"/>
        <v/>
      </c>
      <c r="N10675" s="11" t="str">
        <f t="shared" si="516"/>
        <v/>
      </c>
    </row>
    <row r="10676" spans="9:14" x14ac:dyDescent="0.25">
      <c r="I10676" s="11" t="b">
        <f t="shared" si="517"/>
        <v>0</v>
      </c>
      <c r="M10676" s="17" t="str">
        <f t="shared" si="515"/>
        <v/>
      </c>
      <c r="N10676" s="11" t="str">
        <f t="shared" si="516"/>
        <v/>
      </c>
    </row>
    <row r="10677" spans="9:14" x14ac:dyDescent="0.25">
      <c r="I10677" s="11" t="b">
        <f t="shared" si="517"/>
        <v>0</v>
      </c>
      <c r="M10677" s="17" t="str">
        <f t="shared" si="515"/>
        <v/>
      </c>
      <c r="N10677" s="11" t="str">
        <f t="shared" si="516"/>
        <v/>
      </c>
    </row>
    <row r="10678" spans="9:14" x14ac:dyDescent="0.25">
      <c r="I10678" s="11" t="b">
        <f t="shared" si="517"/>
        <v>0</v>
      </c>
      <c r="M10678" s="17" t="str">
        <f t="shared" si="515"/>
        <v/>
      </c>
      <c r="N10678" s="11" t="str">
        <f t="shared" si="516"/>
        <v/>
      </c>
    </row>
    <row r="10679" spans="9:14" x14ac:dyDescent="0.25">
      <c r="I10679" s="11" t="b">
        <f t="shared" si="517"/>
        <v>0</v>
      </c>
      <c r="M10679" s="17" t="str">
        <f t="shared" si="515"/>
        <v/>
      </c>
      <c r="N10679" s="11" t="str">
        <f t="shared" si="516"/>
        <v/>
      </c>
    </row>
    <row r="10680" spans="9:14" x14ac:dyDescent="0.25">
      <c r="I10680" s="11" t="b">
        <f t="shared" si="517"/>
        <v>0</v>
      </c>
      <c r="M10680" s="17" t="str">
        <f t="shared" si="515"/>
        <v/>
      </c>
      <c r="N10680" s="11" t="str">
        <f t="shared" si="516"/>
        <v/>
      </c>
    </row>
    <row r="10681" spans="9:14" x14ac:dyDescent="0.25">
      <c r="I10681" s="11" t="b">
        <f t="shared" si="517"/>
        <v>0</v>
      </c>
      <c r="M10681" s="17" t="str">
        <f t="shared" si="515"/>
        <v/>
      </c>
      <c r="N10681" s="11" t="str">
        <f t="shared" si="516"/>
        <v/>
      </c>
    </row>
    <row r="10682" spans="9:14" x14ac:dyDescent="0.25">
      <c r="I10682" s="11" t="b">
        <f t="shared" si="517"/>
        <v>0</v>
      </c>
      <c r="M10682" s="17" t="str">
        <f t="shared" si="515"/>
        <v/>
      </c>
      <c r="N10682" s="11" t="str">
        <f t="shared" si="516"/>
        <v/>
      </c>
    </row>
    <row r="10683" spans="9:14" x14ac:dyDescent="0.25">
      <c r="I10683" s="11" t="b">
        <f t="shared" si="517"/>
        <v>0</v>
      </c>
      <c r="M10683" s="17" t="str">
        <f t="shared" si="515"/>
        <v/>
      </c>
      <c r="N10683" s="11" t="str">
        <f t="shared" si="516"/>
        <v/>
      </c>
    </row>
    <row r="10684" spans="9:14" x14ac:dyDescent="0.25">
      <c r="I10684" s="11" t="b">
        <f t="shared" si="517"/>
        <v>0</v>
      </c>
      <c r="M10684" s="17" t="str">
        <f t="shared" si="515"/>
        <v/>
      </c>
      <c r="N10684" s="11" t="str">
        <f t="shared" si="516"/>
        <v/>
      </c>
    </row>
    <row r="10685" spans="9:14" x14ac:dyDescent="0.25">
      <c r="I10685" s="11" t="b">
        <f t="shared" si="517"/>
        <v>0</v>
      </c>
      <c r="M10685" s="17" t="str">
        <f t="shared" si="515"/>
        <v/>
      </c>
      <c r="N10685" s="11" t="str">
        <f t="shared" si="516"/>
        <v/>
      </c>
    </row>
    <row r="10686" spans="9:14" x14ac:dyDescent="0.25">
      <c r="I10686" s="11" t="b">
        <f t="shared" si="517"/>
        <v>0</v>
      </c>
      <c r="M10686" s="17" t="str">
        <f t="shared" si="515"/>
        <v/>
      </c>
      <c r="N10686" s="11" t="str">
        <f t="shared" si="516"/>
        <v/>
      </c>
    </row>
    <row r="10687" spans="9:14" x14ac:dyDescent="0.25">
      <c r="I10687" s="11" t="b">
        <f t="shared" si="517"/>
        <v>0</v>
      </c>
      <c r="M10687" s="17" t="str">
        <f t="shared" si="515"/>
        <v/>
      </c>
      <c r="N10687" s="11" t="str">
        <f t="shared" si="516"/>
        <v/>
      </c>
    </row>
    <row r="10688" spans="9:14" x14ac:dyDescent="0.25">
      <c r="I10688" s="11" t="b">
        <f t="shared" si="517"/>
        <v>0</v>
      </c>
      <c r="M10688" s="17" t="str">
        <f t="shared" si="515"/>
        <v/>
      </c>
      <c r="N10688" s="11" t="str">
        <f t="shared" si="516"/>
        <v/>
      </c>
    </row>
    <row r="10689" spans="9:14" x14ac:dyDescent="0.25">
      <c r="I10689" s="11" t="b">
        <f t="shared" si="517"/>
        <v>0</v>
      </c>
      <c r="M10689" s="17" t="str">
        <f t="shared" ref="M10689:M10752" si="518">IF(B10689=0, "",M10688+ J10689-K10689)</f>
        <v/>
      </c>
      <c r="N10689" s="11" t="str">
        <f t="shared" ref="N10689:N10752" si="519">IF(B10689=0, "", MONTH(B10689))</f>
        <v/>
      </c>
    </row>
    <row r="10690" spans="9:14" x14ac:dyDescent="0.25">
      <c r="I10690" s="11" t="b">
        <f t="shared" si="517"/>
        <v>0</v>
      </c>
      <c r="M10690" s="17" t="str">
        <f t="shared" si="518"/>
        <v/>
      </c>
      <c r="N10690" s="11" t="str">
        <f t="shared" si="519"/>
        <v/>
      </c>
    </row>
    <row r="10691" spans="9:14" x14ac:dyDescent="0.25">
      <c r="I10691" s="11" t="b">
        <f t="shared" si="517"/>
        <v>0</v>
      </c>
      <c r="M10691" s="17" t="str">
        <f t="shared" si="518"/>
        <v/>
      </c>
      <c r="N10691" s="11" t="str">
        <f t="shared" si="519"/>
        <v/>
      </c>
    </row>
    <row r="10692" spans="9:14" x14ac:dyDescent="0.25">
      <c r="I10692" s="11" t="b">
        <f t="shared" si="517"/>
        <v>0</v>
      </c>
      <c r="M10692" s="17" t="str">
        <f t="shared" si="518"/>
        <v/>
      </c>
      <c r="N10692" s="11" t="str">
        <f t="shared" si="519"/>
        <v/>
      </c>
    </row>
    <row r="10693" spans="9:14" x14ac:dyDescent="0.25">
      <c r="I10693" s="11" t="b">
        <f t="shared" si="517"/>
        <v>0</v>
      </c>
      <c r="M10693" s="17" t="str">
        <f t="shared" si="518"/>
        <v/>
      </c>
      <c r="N10693" s="11" t="str">
        <f t="shared" si="519"/>
        <v/>
      </c>
    </row>
    <row r="10694" spans="9:14" x14ac:dyDescent="0.25">
      <c r="I10694" s="11" t="b">
        <f t="shared" si="517"/>
        <v>0</v>
      </c>
      <c r="M10694" s="17" t="str">
        <f t="shared" si="518"/>
        <v/>
      </c>
      <c r="N10694" s="11" t="str">
        <f t="shared" si="519"/>
        <v/>
      </c>
    </row>
    <row r="10695" spans="9:14" x14ac:dyDescent="0.25">
      <c r="I10695" s="11" t="b">
        <f t="shared" si="517"/>
        <v>0</v>
      </c>
      <c r="M10695" s="17" t="str">
        <f t="shared" si="518"/>
        <v/>
      </c>
      <c r="N10695" s="11" t="str">
        <f t="shared" si="519"/>
        <v/>
      </c>
    </row>
    <row r="10696" spans="9:14" x14ac:dyDescent="0.25">
      <c r="I10696" s="11" t="b">
        <f t="shared" si="517"/>
        <v>0</v>
      </c>
      <c r="M10696" s="17" t="str">
        <f t="shared" si="518"/>
        <v/>
      </c>
      <c r="N10696" s="11" t="str">
        <f t="shared" si="519"/>
        <v/>
      </c>
    </row>
    <row r="10697" spans="9:14" x14ac:dyDescent="0.25">
      <c r="I10697" s="11" t="b">
        <f t="shared" si="517"/>
        <v>0</v>
      </c>
      <c r="M10697" s="17" t="str">
        <f t="shared" si="518"/>
        <v/>
      </c>
      <c r="N10697" s="11" t="str">
        <f t="shared" si="519"/>
        <v/>
      </c>
    </row>
    <row r="10698" spans="9:14" x14ac:dyDescent="0.25">
      <c r="I10698" s="11" t="b">
        <f t="shared" si="517"/>
        <v>0</v>
      </c>
      <c r="M10698" s="17" t="str">
        <f t="shared" si="518"/>
        <v/>
      </c>
      <c r="N10698" s="11" t="str">
        <f t="shared" si="519"/>
        <v/>
      </c>
    </row>
    <row r="10699" spans="9:14" x14ac:dyDescent="0.25">
      <c r="I10699" s="11" t="b">
        <f t="shared" si="517"/>
        <v>0</v>
      </c>
      <c r="M10699" s="17" t="str">
        <f t="shared" si="518"/>
        <v/>
      </c>
      <c r="N10699" s="11" t="str">
        <f t="shared" si="519"/>
        <v/>
      </c>
    </row>
    <row r="10700" spans="9:14" x14ac:dyDescent="0.25">
      <c r="I10700" s="11" t="b">
        <f t="shared" si="517"/>
        <v>0</v>
      </c>
      <c r="M10700" s="17" t="str">
        <f t="shared" si="518"/>
        <v/>
      </c>
      <c r="N10700" s="11" t="str">
        <f t="shared" si="519"/>
        <v/>
      </c>
    </row>
    <row r="10701" spans="9:14" x14ac:dyDescent="0.25">
      <c r="I10701" s="11" t="b">
        <f t="shared" si="517"/>
        <v>0</v>
      </c>
      <c r="M10701" s="17" t="str">
        <f t="shared" si="518"/>
        <v/>
      </c>
      <c r="N10701" s="11" t="str">
        <f t="shared" si="519"/>
        <v/>
      </c>
    </row>
    <row r="10702" spans="9:14" x14ac:dyDescent="0.25">
      <c r="I10702" s="11" t="b">
        <f t="shared" si="517"/>
        <v>0</v>
      </c>
      <c r="M10702" s="17" t="str">
        <f t="shared" si="518"/>
        <v/>
      </c>
      <c r="N10702" s="11" t="str">
        <f t="shared" si="519"/>
        <v/>
      </c>
    </row>
    <row r="10703" spans="9:14" x14ac:dyDescent="0.25">
      <c r="I10703" s="11" t="b">
        <f t="shared" si="517"/>
        <v>0</v>
      </c>
      <c r="M10703" s="17" t="str">
        <f t="shared" si="518"/>
        <v/>
      </c>
      <c r="N10703" s="11" t="str">
        <f t="shared" si="519"/>
        <v/>
      </c>
    </row>
    <row r="10704" spans="9:14" x14ac:dyDescent="0.25">
      <c r="I10704" s="11" t="b">
        <f t="shared" si="517"/>
        <v>0</v>
      </c>
      <c r="M10704" s="17" t="str">
        <f t="shared" si="518"/>
        <v/>
      </c>
      <c r="N10704" s="11" t="str">
        <f t="shared" si="519"/>
        <v/>
      </c>
    </row>
    <row r="10705" spans="9:14" x14ac:dyDescent="0.25">
      <c r="I10705" s="11" t="b">
        <f t="shared" si="517"/>
        <v>0</v>
      </c>
      <c r="M10705" s="17" t="str">
        <f t="shared" si="518"/>
        <v/>
      </c>
      <c r="N10705" s="11" t="str">
        <f t="shared" si="519"/>
        <v/>
      </c>
    </row>
    <row r="10706" spans="9:14" x14ac:dyDescent="0.25">
      <c r="I10706" s="11" t="b">
        <f t="shared" si="517"/>
        <v>0</v>
      </c>
      <c r="M10706" s="17" t="str">
        <f t="shared" si="518"/>
        <v/>
      </c>
      <c r="N10706" s="11" t="str">
        <f t="shared" si="519"/>
        <v/>
      </c>
    </row>
    <row r="10707" spans="9:14" x14ac:dyDescent="0.25">
      <c r="I10707" s="11" t="b">
        <f t="shared" si="517"/>
        <v>0</v>
      </c>
      <c r="M10707" s="17" t="str">
        <f t="shared" si="518"/>
        <v/>
      </c>
      <c r="N10707" s="11" t="str">
        <f t="shared" si="519"/>
        <v/>
      </c>
    </row>
    <row r="10708" spans="9:14" x14ac:dyDescent="0.25">
      <c r="I10708" s="11" t="b">
        <f t="shared" si="517"/>
        <v>0</v>
      </c>
      <c r="M10708" s="17" t="str">
        <f t="shared" si="518"/>
        <v/>
      </c>
      <c r="N10708" s="11" t="str">
        <f t="shared" si="519"/>
        <v/>
      </c>
    </row>
    <row r="10709" spans="9:14" x14ac:dyDescent="0.25">
      <c r="I10709" s="11" t="b">
        <f t="shared" si="517"/>
        <v>0</v>
      </c>
      <c r="M10709" s="17" t="str">
        <f t="shared" si="518"/>
        <v/>
      </c>
      <c r="N10709" s="11" t="str">
        <f t="shared" si="519"/>
        <v/>
      </c>
    </row>
    <row r="10710" spans="9:14" x14ac:dyDescent="0.25">
      <c r="I10710" s="11" t="b">
        <f t="shared" si="517"/>
        <v>0</v>
      </c>
      <c r="M10710" s="17" t="str">
        <f t="shared" si="518"/>
        <v/>
      </c>
      <c r="N10710" s="11" t="str">
        <f t="shared" si="519"/>
        <v/>
      </c>
    </row>
    <row r="10711" spans="9:14" x14ac:dyDescent="0.25">
      <c r="I10711" s="11" t="b">
        <f t="shared" si="517"/>
        <v>0</v>
      </c>
      <c r="M10711" s="17" t="str">
        <f t="shared" si="518"/>
        <v/>
      </c>
      <c r="N10711" s="11" t="str">
        <f t="shared" si="519"/>
        <v/>
      </c>
    </row>
    <row r="10712" spans="9:14" x14ac:dyDescent="0.25">
      <c r="I10712" s="11" t="b">
        <f t="shared" si="517"/>
        <v>0</v>
      </c>
      <c r="M10712" s="17" t="str">
        <f t="shared" si="518"/>
        <v/>
      </c>
      <c r="N10712" s="11" t="str">
        <f t="shared" si="519"/>
        <v/>
      </c>
    </row>
    <row r="10713" spans="9:14" x14ac:dyDescent="0.25">
      <c r="I10713" s="11" t="b">
        <f t="shared" si="517"/>
        <v>0</v>
      </c>
      <c r="M10713" s="17" t="str">
        <f t="shared" si="518"/>
        <v/>
      </c>
      <c r="N10713" s="11" t="str">
        <f t="shared" si="519"/>
        <v/>
      </c>
    </row>
    <row r="10714" spans="9:14" x14ac:dyDescent="0.25">
      <c r="I10714" s="11" t="b">
        <f t="shared" si="517"/>
        <v>0</v>
      </c>
      <c r="M10714" s="17" t="str">
        <f t="shared" si="518"/>
        <v/>
      </c>
      <c r="N10714" s="11" t="str">
        <f t="shared" si="519"/>
        <v/>
      </c>
    </row>
    <row r="10715" spans="9:14" x14ac:dyDescent="0.25">
      <c r="I10715" s="11" t="b">
        <f t="shared" si="517"/>
        <v>0</v>
      </c>
      <c r="M10715" s="17" t="str">
        <f t="shared" si="518"/>
        <v/>
      </c>
      <c r="N10715" s="11" t="str">
        <f t="shared" si="519"/>
        <v/>
      </c>
    </row>
    <row r="10716" spans="9:14" x14ac:dyDescent="0.25">
      <c r="I10716" s="11" t="b">
        <f t="shared" si="517"/>
        <v>0</v>
      </c>
      <c r="M10716" s="17" t="str">
        <f t="shared" si="518"/>
        <v/>
      </c>
      <c r="N10716" s="11" t="str">
        <f t="shared" si="519"/>
        <v/>
      </c>
    </row>
    <row r="10717" spans="9:14" x14ac:dyDescent="0.25">
      <c r="I10717" s="11" t="b">
        <f t="shared" ref="I10717:I10780" si="520">IF(AND(G10717="MERCADO PAGO",A10717="FATURAMENTO"),1,IF(AND(OR(G10717="MERCADO PAGO",G10717="pix mercado pago",G10717= "débito automático mercado pago", G10717= "boleto mercado pago"),A10717="DESPESAS"),4,IF(AND(G10717="SAFRA",A10717="FATURAMENTO"),2,IF(AND(OR(G10717="SAFRA",G10717="PIX SAFRA", G10717="DÉBITO AUTOMÁTICO SAFRA", G10717= "BOLETO SAFRA", G10717= "transferência safra"), A10717="DESPESAS"),5,IF(AND(G10717="espécie",A10717="FATURAMENTO"),3,IF(AND(G10717="espécie",A10717="DESPESAS"),6))))))</f>
        <v>0</v>
      </c>
      <c r="M10717" s="17" t="str">
        <f t="shared" si="518"/>
        <v/>
      </c>
      <c r="N10717" s="11" t="str">
        <f t="shared" si="519"/>
        <v/>
      </c>
    </row>
    <row r="10718" spans="9:14" x14ac:dyDescent="0.25">
      <c r="I10718" s="11" t="b">
        <f t="shared" si="520"/>
        <v>0</v>
      </c>
      <c r="M10718" s="17" t="str">
        <f t="shared" si="518"/>
        <v/>
      </c>
      <c r="N10718" s="11" t="str">
        <f t="shared" si="519"/>
        <v/>
      </c>
    </row>
    <row r="10719" spans="9:14" x14ac:dyDescent="0.25">
      <c r="I10719" s="11" t="b">
        <f t="shared" si="520"/>
        <v>0</v>
      </c>
      <c r="M10719" s="17" t="str">
        <f t="shared" si="518"/>
        <v/>
      </c>
      <c r="N10719" s="11" t="str">
        <f t="shared" si="519"/>
        <v/>
      </c>
    </row>
    <row r="10720" spans="9:14" x14ac:dyDescent="0.25">
      <c r="I10720" s="11" t="b">
        <f t="shared" si="520"/>
        <v>0</v>
      </c>
      <c r="M10720" s="17" t="str">
        <f t="shared" si="518"/>
        <v/>
      </c>
      <c r="N10720" s="11" t="str">
        <f t="shared" si="519"/>
        <v/>
      </c>
    </row>
    <row r="10721" spans="9:14" x14ac:dyDescent="0.25">
      <c r="I10721" s="11" t="b">
        <f t="shared" si="520"/>
        <v>0</v>
      </c>
      <c r="M10721" s="17" t="str">
        <f t="shared" si="518"/>
        <v/>
      </c>
      <c r="N10721" s="11" t="str">
        <f t="shared" si="519"/>
        <v/>
      </c>
    </row>
    <row r="10722" spans="9:14" x14ac:dyDescent="0.25">
      <c r="I10722" s="11" t="b">
        <f t="shared" si="520"/>
        <v>0</v>
      </c>
      <c r="M10722" s="17" t="str">
        <f t="shared" si="518"/>
        <v/>
      </c>
      <c r="N10722" s="11" t="str">
        <f t="shared" si="519"/>
        <v/>
      </c>
    </row>
    <row r="10723" spans="9:14" x14ac:dyDescent="0.25">
      <c r="I10723" s="11" t="b">
        <f t="shared" si="520"/>
        <v>0</v>
      </c>
      <c r="M10723" s="17" t="str">
        <f t="shared" si="518"/>
        <v/>
      </c>
      <c r="N10723" s="11" t="str">
        <f t="shared" si="519"/>
        <v/>
      </c>
    </row>
    <row r="10724" spans="9:14" x14ac:dyDescent="0.25">
      <c r="I10724" s="11" t="b">
        <f t="shared" si="520"/>
        <v>0</v>
      </c>
      <c r="M10724" s="17" t="str">
        <f t="shared" si="518"/>
        <v/>
      </c>
      <c r="N10724" s="11" t="str">
        <f t="shared" si="519"/>
        <v/>
      </c>
    </row>
    <row r="10725" spans="9:14" x14ac:dyDescent="0.25">
      <c r="I10725" s="11" t="b">
        <f t="shared" si="520"/>
        <v>0</v>
      </c>
      <c r="M10725" s="17" t="str">
        <f t="shared" si="518"/>
        <v/>
      </c>
      <c r="N10725" s="11" t="str">
        <f t="shared" si="519"/>
        <v/>
      </c>
    </row>
    <row r="10726" spans="9:14" x14ac:dyDescent="0.25">
      <c r="I10726" s="11" t="b">
        <f t="shared" si="520"/>
        <v>0</v>
      </c>
      <c r="M10726" s="17" t="str">
        <f t="shared" si="518"/>
        <v/>
      </c>
      <c r="N10726" s="11" t="str">
        <f t="shared" si="519"/>
        <v/>
      </c>
    </row>
    <row r="10727" spans="9:14" x14ac:dyDescent="0.25">
      <c r="I10727" s="11" t="b">
        <f t="shared" si="520"/>
        <v>0</v>
      </c>
      <c r="M10727" s="17" t="str">
        <f t="shared" si="518"/>
        <v/>
      </c>
      <c r="N10727" s="11" t="str">
        <f t="shared" si="519"/>
        <v/>
      </c>
    </row>
    <row r="10728" spans="9:14" x14ac:dyDescent="0.25">
      <c r="I10728" s="11" t="b">
        <f t="shared" si="520"/>
        <v>0</v>
      </c>
      <c r="M10728" s="17" t="str">
        <f t="shared" si="518"/>
        <v/>
      </c>
      <c r="N10728" s="11" t="str">
        <f t="shared" si="519"/>
        <v/>
      </c>
    </row>
    <row r="10729" spans="9:14" x14ac:dyDescent="0.25">
      <c r="I10729" s="11" t="b">
        <f t="shared" si="520"/>
        <v>0</v>
      </c>
      <c r="M10729" s="17" t="str">
        <f t="shared" si="518"/>
        <v/>
      </c>
      <c r="N10729" s="11" t="str">
        <f t="shared" si="519"/>
        <v/>
      </c>
    </row>
    <row r="10730" spans="9:14" x14ac:dyDescent="0.25">
      <c r="I10730" s="11" t="b">
        <f t="shared" si="520"/>
        <v>0</v>
      </c>
      <c r="M10730" s="17" t="str">
        <f t="shared" si="518"/>
        <v/>
      </c>
      <c r="N10730" s="11" t="str">
        <f t="shared" si="519"/>
        <v/>
      </c>
    </row>
    <row r="10731" spans="9:14" x14ac:dyDescent="0.25">
      <c r="I10731" s="11" t="b">
        <f t="shared" si="520"/>
        <v>0</v>
      </c>
      <c r="M10731" s="17" t="str">
        <f t="shared" si="518"/>
        <v/>
      </c>
      <c r="N10731" s="11" t="str">
        <f t="shared" si="519"/>
        <v/>
      </c>
    </row>
    <row r="10732" spans="9:14" x14ac:dyDescent="0.25">
      <c r="I10732" s="11" t="b">
        <f t="shared" si="520"/>
        <v>0</v>
      </c>
      <c r="M10732" s="17" t="str">
        <f t="shared" si="518"/>
        <v/>
      </c>
      <c r="N10732" s="11" t="str">
        <f t="shared" si="519"/>
        <v/>
      </c>
    </row>
    <row r="10733" spans="9:14" x14ac:dyDescent="0.25">
      <c r="I10733" s="11" t="b">
        <f t="shared" si="520"/>
        <v>0</v>
      </c>
      <c r="M10733" s="17" t="str">
        <f t="shared" si="518"/>
        <v/>
      </c>
      <c r="N10733" s="11" t="str">
        <f t="shared" si="519"/>
        <v/>
      </c>
    </row>
    <row r="10734" spans="9:14" x14ac:dyDescent="0.25">
      <c r="I10734" s="11" t="b">
        <f t="shared" si="520"/>
        <v>0</v>
      </c>
      <c r="M10734" s="17" t="str">
        <f t="shared" si="518"/>
        <v/>
      </c>
      <c r="N10734" s="11" t="str">
        <f t="shared" si="519"/>
        <v/>
      </c>
    </row>
    <row r="10735" spans="9:14" x14ac:dyDescent="0.25">
      <c r="I10735" s="11" t="b">
        <f t="shared" si="520"/>
        <v>0</v>
      </c>
      <c r="M10735" s="17" t="str">
        <f t="shared" si="518"/>
        <v/>
      </c>
      <c r="N10735" s="11" t="str">
        <f t="shared" si="519"/>
        <v/>
      </c>
    </row>
    <row r="10736" spans="9:14" x14ac:dyDescent="0.25">
      <c r="I10736" s="11" t="b">
        <f t="shared" si="520"/>
        <v>0</v>
      </c>
      <c r="M10736" s="17" t="str">
        <f t="shared" si="518"/>
        <v/>
      </c>
      <c r="N10736" s="11" t="str">
        <f t="shared" si="519"/>
        <v/>
      </c>
    </row>
    <row r="10737" spans="9:14" x14ac:dyDescent="0.25">
      <c r="I10737" s="11" t="b">
        <f t="shared" si="520"/>
        <v>0</v>
      </c>
      <c r="M10737" s="17" t="str">
        <f t="shared" si="518"/>
        <v/>
      </c>
      <c r="N10737" s="11" t="str">
        <f t="shared" si="519"/>
        <v/>
      </c>
    </row>
    <row r="10738" spans="9:14" x14ac:dyDescent="0.25">
      <c r="I10738" s="11" t="b">
        <f t="shared" si="520"/>
        <v>0</v>
      </c>
      <c r="M10738" s="17" t="str">
        <f t="shared" si="518"/>
        <v/>
      </c>
      <c r="N10738" s="11" t="str">
        <f t="shared" si="519"/>
        <v/>
      </c>
    </row>
    <row r="10739" spans="9:14" x14ac:dyDescent="0.25">
      <c r="I10739" s="11" t="b">
        <f t="shared" si="520"/>
        <v>0</v>
      </c>
      <c r="M10739" s="17" t="str">
        <f t="shared" si="518"/>
        <v/>
      </c>
      <c r="N10739" s="11" t="str">
        <f t="shared" si="519"/>
        <v/>
      </c>
    </row>
    <row r="10740" spans="9:14" x14ac:dyDescent="0.25">
      <c r="I10740" s="11" t="b">
        <f t="shared" si="520"/>
        <v>0</v>
      </c>
      <c r="M10740" s="17" t="str">
        <f t="shared" si="518"/>
        <v/>
      </c>
      <c r="N10740" s="11" t="str">
        <f t="shared" si="519"/>
        <v/>
      </c>
    </row>
    <row r="10741" spans="9:14" x14ac:dyDescent="0.25">
      <c r="I10741" s="11" t="b">
        <f t="shared" si="520"/>
        <v>0</v>
      </c>
      <c r="M10741" s="17" t="str">
        <f t="shared" si="518"/>
        <v/>
      </c>
      <c r="N10741" s="11" t="str">
        <f t="shared" si="519"/>
        <v/>
      </c>
    </row>
    <row r="10742" spans="9:14" x14ac:dyDescent="0.25">
      <c r="I10742" s="11" t="b">
        <f t="shared" si="520"/>
        <v>0</v>
      </c>
      <c r="M10742" s="17" t="str">
        <f t="shared" si="518"/>
        <v/>
      </c>
      <c r="N10742" s="11" t="str">
        <f t="shared" si="519"/>
        <v/>
      </c>
    </row>
    <row r="10743" spans="9:14" x14ac:dyDescent="0.25">
      <c r="I10743" s="11" t="b">
        <f t="shared" si="520"/>
        <v>0</v>
      </c>
      <c r="M10743" s="17" t="str">
        <f t="shared" si="518"/>
        <v/>
      </c>
      <c r="N10743" s="11" t="str">
        <f t="shared" si="519"/>
        <v/>
      </c>
    </row>
    <row r="10744" spans="9:14" x14ac:dyDescent="0.25">
      <c r="I10744" s="11" t="b">
        <f t="shared" si="520"/>
        <v>0</v>
      </c>
      <c r="M10744" s="17" t="str">
        <f t="shared" si="518"/>
        <v/>
      </c>
      <c r="N10744" s="11" t="str">
        <f t="shared" si="519"/>
        <v/>
      </c>
    </row>
    <row r="10745" spans="9:14" x14ac:dyDescent="0.25">
      <c r="I10745" s="11" t="b">
        <f t="shared" si="520"/>
        <v>0</v>
      </c>
      <c r="M10745" s="17" t="str">
        <f t="shared" si="518"/>
        <v/>
      </c>
      <c r="N10745" s="11" t="str">
        <f t="shared" si="519"/>
        <v/>
      </c>
    </row>
    <row r="10746" spans="9:14" x14ac:dyDescent="0.25">
      <c r="I10746" s="11" t="b">
        <f t="shared" si="520"/>
        <v>0</v>
      </c>
      <c r="M10746" s="17" t="str">
        <f t="shared" si="518"/>
        <v/>
      </c>
      <c r="N10746" s="11" t="str">
        <f t="shared" si="519"/>
        <v/>
      </c>
    </row>
    <row r="10747" spans="9:14" x14ac:dyDescent="0.25">
      <c r="I10747" s="11" t="b">
        <f t="shared" si="520"/>
        <v>0</v>
      </c>
      <c r="M10747" s="17" t="str">
        <f t="shared" si="518"/>
        <v/>
      </c>
      <c r="N10747" s="11" t="str">
        <f t="shared" si="519"/>
        <v/>
      </c>
    </row>
    <row r="10748" spans="9:14" x14ac:dyDescent="0.25">
      <c r="I10748" s="11" t="b">
        <f t="shared" si="520"/>
        <v>0</v>
      </c>
      <c r="M10748" s="17" t="str">
        <f t="shared" si="518"/>
        <v/>
      </c>
      <c r="N10748" s="11" t="str">
        <f t="shared" si="519"/>
        <v/>
      </c>
    </row>
    <row r="10749" spans="9:14" x14ac:dyDescent="0.25">
      <c r="I10749" s="11" t="b">
        <f t="shared" si="520"/>
        <v>0</v>
      </c>
      <c r="M10749" s="17" t="str">
        <f t="shared" si="518"/>
        <v/>
      </c>
      <c r="N10749" s="11" t="str">
        <f t="shared" si="519"/>
        <v/>
      </c>
    </row>
    <row r="10750" spans="9:14" x14ac:dyDescent="0.25">
      <c r="I10750" s="11" t="b">
        <f t="shared" si="520"/>
        <v>0</v>
      </c>
      <c r="M10750" s="17" t="str">
        <f t="shared" si="518"/>
        <v/>
      </c>
      <c r="N10750" s="11" t="str">
        <f t="shared" si="519"/>
        <v/>
      </c>
    </row>
    <row r="10751" spans="9:14" x14ac:dyDescent="0.25">
      <c r="I10751" s="11" t="b">
        <f t="shared" si="520"/>
        <v>0</v>
      </c>
      <c r="M10751" s="17" t="str">
        <f t="shared" si="518"/>
        <v/>
      </c>
      <c r="N10751" s="11" t="str">
        <f t="shared" si="519"/>
        <v/>
      </c>
    </row>
    <row r="10752" spans="9:14" x14ac:dyDescent="0.25">
      <c r="I10752" s="11" t="b">
        <f t="shared" si="520"/>
        <v>0</v>
      </c>
      <c r="M10752" s="17" t="str">
        <f t="shared" si="518"/>
        <v/>
      </c>
      <c r="N10752" s="11" t="str">
        <f t="shared" si="519"/>
        <v/>
      </c>
    </row>
    <row r="10753" spans="9:14" x14ac:dyDescent="0.25">
      <c r="I10753" s="11" t="b">
        <f t="shared" si="520"/>
        <v>0</v>
      </c>
      <c r="M10753" s="17" t="str">
        <f t="shared" ref="M10753:M10816" si="521">IF(B10753=0, "",M10752+ J10753-K10753)</f>
        <v/>
      </c>
      <c r="N10753" s="11" t="str">
        <f t="shared" ref="N10753:N10816" si="522">IF(B10753=0, "", MONTH(B10753))</f>
        <v/>
      </c>
    </row>
    <row r="10754" spans="9:14" x14ac:dyDescent="0.25">
      <c r="I10754" s="11" t="b">
        <f t="shared" si="520"/>
        <v>0</v>
      </c>
      <c r="M10754" s="17" t="str">
        <f t="shared" si="521"/>
        <v/>
      </c>
      <c r="N10754" s="11" t="str">
        <f t="shared" si="522"/>
        <v/>
      </c>
    </row>
    <row r="10755" spans="9:14" x14ac:dyDescent="0.25">
      <c r="I10755" s="11" t="b">
        <f t="shared" si="520"/>
        <v>0</v>
      </c>
      <c r="M10755" s="17" t="str">
        <f t="shared" si="521"/>
        <v/>
      </c>
      <c r="N10755" s="11" t="str">
        <f t="shared" si="522"/>
        <v/>
      </c>
    </row>
    <row r="10756" spans="9:14" x14ac:dyDescent="0.25">
      <c r="I10756" s="11" t="b">
        <f t="shared" si="520"/>
        <v>0</v>
      </c>
      <c r="M10756" s="17" t="str">
        <f t="shared" si="521"/>
        <v/>
      </c>
      <c r="N10756" s="11" t="str">
        <f t="shared" si="522"/>
        <v/>
      </c>
    </row>
    <row r="10757" spans="9:14" x14ac:dyDescent="0.25">
      <c r="I10757" s="11" t="b">
        <f t="shared" si="520"/>
        <v>0</v>
      </c>
      <c r="M10757" s="17" t="str">
        <f t="shared" si="521"/>
        <v/>
      </c>
      <c r="N10757" s="11" t="str">
        <f t="shared" si="522"/>
        <v/>
      </c>
    </row>
    <row r="10758" spans="9:14" x14ac:dyDescent="0.25">
      <c r="I10758" s="11" t="b">
        <f t="shared" si="520"/>
        <v>0</v>
      </c>
      <c r="M10758" s="17" t="str">
        <f t="shared" si="521"/>
        <v/>
      </c>
      <c r="N10758" s="11" t="str">
        <f t="shared" si="522"/>
        <v/>
      </c>
    </row>
    <row r="10759" spans="9:14" x14ac:dyDescent="0.25">
      <c r="I10759" s="11" t="b">
        <f t="shared" si="520"/>
        <v>0</v>
      </c>
      <c r="M10759" s="17" t="str">
        <f t="shared" si="521"/>
        <v/>
      </c>
      <c r="N10759" s="11" t="str">
        <f t="shared" si="522"/>
        <v/>
      </c>
    </row>
    <row r="10760" spans="9:14" x14ac:dyDescent="0.25">
      <c r="I10760" s="11" t="b">
        <f t="shared" si="520"/>
        <v>0</v>
      </c>
      <c r="M10760" s="17" t="str">
        <f t="shared" si="521"/>
        <v/>
      </c>
      <c r="N10760" s="11" t="str">
        <f t="shared" si="522"/>
        <v/>
      </c>
    </row>
    <row r="10761" spans="9:14" x14ac:dyDescent="0.25">
      <c r="I10761" s="11" t="b">
        <f t="shared" si="520"/>
        <v>0</v>
      </c>
      <c r="M10761" s="17" t="str">
        <f t="shared" si="521"/>
        <v/>
      </c>
      <c r="N10761" s="11" t="str">
        <f t="shared" si="522"/>
        <v/>
      </c>
    </row>
    <row r="10762" spans="9:14" x14ac:dyDescent="0.25">
      <c r="I10762" s="11" t="b">
        <f t="shared" si="520"/>
        <v>0</v>
      </c>
      <c r="M10762" s="17" t="str">
        <f t="shared" si="521"/>
        <v/>
      </c>
      <c r="N10762" s="11" t="str">
        <f t="shared" si="522"/>
        <v/>
      </c>
    </row>
    <row r="10763" spans="9:14" x14ac:dyDescent="0.25">
      <c r="I10763" s="11" t="b">
        <f t="shared" si="520"/>
        <v>0</v>
      </c>
      <c r="M10763" s="17" t="str">
        <f t="shared" si="521"/>
        <v/>
      </c>
      <c r="N10763" s="11" t="str">
        <f t="shared" si="522"/>
        <v/>
      </c>
    </row>
    <row r="10764" spans="9:14" x14ac:dyDescent="0.25">
      <c r="I10764" s="11" t="b">
        <f t="shared" si="520"/>
        <v>0</v>
      </c>
      <c r="M10764" s="17" t="str">
        <f t="shared" si="521"/>
        <v/>
      </c>
      <c r="N10764" s="11" t="str">
        <f t="shared" si="522"/>
        <v/>
      </c>
    </row>
    <row r="10765" spans="9:14" x14ac:dyDescent="0.25">
      <c r="I10765" s="11" t="b">
        <f t="shared" si="520"/>
        <v>0</v>
      </c>
      <c r="M10765" s="17" t="str">
        <f t="shared" si="521"/>
        <v/>
      </c>
      <c r="N10765" s="11" t="str">
        <f t="shared" si="522"/>
        <v/>
      </c>
    </row>
    <row r="10766" spans="9:14" x14ac:dyDescent="0.25">
      <c r="I10766" s="11" t="b">
        <f t="shared" si="520"/>
        <v>0</v>
      </c>
      <c r="M10766" s="17" t="str">
        <f t="shared" si="521"/>
        <v/>
      </c>
      <c r="N10766" s="11" t="str">
        <f t="shared" si="522"/>
        <v/>
      </c>
    </row>
    <row r="10767" spans="9:14" x14ac:dyDescent="0.25">
      <c r="I10767" s="11" t="b">
        <f t="shared" si="520"/>
        <v>0</v>
      </c>
      <c r="M10767" s="17" t="str">
        <f t="shared" si="521"/>
        <v/>
      </c>
      <c r="N10767" s="11" t="str">
        <f t="shared" si="522"/>
        <v/>
      </c>
    </row>
    <row r="10768" spans="9:14" x14ac:dyDescent="0.25">
      <c r="I10768" s="11" t="b">
        <f t="shared" si="520"/>
        <v>0</v>
      </c>
      <c r="M10768" s="17" t="str">
        <f t="shared" si="521"/>
        <v/>
      </c>
      <c r="N10768" s="11" t="str">
        <f t="shared" si="522"/>
        <v/>
      </c>
    </row>
    <row r="10769" spans="9:14" x14ac:dyDescent="0.25">
      <c r="I10769" s="11" t="b">
        <f t="shared" si="520"/>
        <v>0</v>
      </c>
      <c r="M10769" s="17" t="str">
        <f t="shared" si="521"/>
        <v/>
      </c>
      <c r="N10769" s="11" t="str">
        <f t="shared" si="522"/>
        <v/>
      </c>
    </row>
    <row r="10770" spans="9:14" x14ac:dyDescent="0.25">
      <c r="I10770" s="11" t="b">
        <f t="shared" si="520"/>
        <v>0</v>
      </c>
      <c r="M10770" s="17" t="str">
        <f t="shared" si="521"/>
        <v/>
      </c>
      <c r="N10770" s="11" t="str">
        <f t="shared" si="522"/>
        <v/>
      </c>
    </row>
    <row r="10771" spans="9:14" x14ac:dyDescent="0.25">
      <c r="I10771" s="11" t="b">
        <f t="shared" si="520"/>
        <v>0</v>
      </c>
      <c r="M10771" s="17" t="str">
        <f t="shared" si="521"/>
        <v/>
      </c>
      <c r="N10771" s="11" t="str">
        <f t="shared" si="522"/>
        <v/>
      </c>
    </row>
    <row r="10772" spans="9:14" x14ac:dyDescent="0.25">
      <c r="I10772" s="11" t="b">
        <f t="shared" si="520"/>
        <v>0</v>
      </c>
      <c r="M10772" s="17" t="str">
        <f t="shared" si="521"/>
        <v/>
      </c>
      <c r="N10772" s="11" t="str">
        <f t="shared" si="522"/>
        <v/>
      </c>
    </row>
    <row r="10773" spans="9:14" x14ac:dyDescent="0.25">
      <c r="I10773" s="11" t="b">
        <f t="shared" si="520"/>
        <v>0</v>
      </c>
      <c r="M10773" s="17" t="str">
        <f t="shared" si="521"/>
        <v/>
      </c>
      <c r="N10773" s="11" t="str">
        <f t="shared" si="522"/>
        <v/>
      </c>
    </row>
    <row r="10774" spans="9:14" x14ac:dyDescent="0.25">
      <c r="I10774" s="11" t="b">
        <f t="shared" si="520"/>
        <v>0</v>
      </c>
      <c r="M10774" s="17" t="str">
        <f t="shared" si="521"/>
        <v/>
      </c>
      <c r="N10774" s="11" t="str">
        <f t="shared" si="522"/>
        <v/>
      </c>
    </row>
    <row r="10775" spans="9:14" x14ac:dyDescent="0.25">
      <c r="I10775" s="11" t="b">
        <f t="shared" si="520"/>
        <v>0</v>
      </c>
      <c r="M10775" s="17" t="str">
        <f t="shared" si="521"/>
        <v/>
      </c>
      <c r="N10775" s="11" t="str">
        <f t="shared" si="522"/>
        <v/>
      </c>
    </row>
    <row r="10776" spans="9:14" x14ac:dyDescent="0.25">
      <c r="I10776" s="11" t="b">
        <f t="shared" si="520"/>
        <v>0</v>
      </c>
      <c r="M10776" s="17" t="str">
        <f t="shared" si="521"/>
        <v/>
      </c>
      <c r="N10776" s="11" t="str">
        <f t="shared" si="522"/>
        <v/>
      </c>
    </row>
    <row r="10777" spans="9:14" x14ac:dyDescent="0.25">
      <c r="I10777" s="11" t="b">
        <f t="shared" si="520"/>
        <v>0</v>
      </c>
      <c r="M10777" s="17" t="str">
        <f t="shared" si="521"/>
        <v/>
      </c>
      <c r="N10777" s="11" t="str">
        <f t="shared" si="522"/>
        <v/>
      </c>
    </row>
    <row r="10778" spans="9:14" x14ac:dyDescent="0.25">
      <c r="I10778" s="11" t="b">
        <f t="shared" si="520"/>
        <v>0</v>
      </c>
      <c r="M10778" s="17" t="str">
        <f t="shared" si="521"/>
        <v/>
      </c>
      <c r="N10778" s="11" t="str">
        <f t="shared" si="522"/>
        <v/>
      </c>
    </row>
    <row r="10779" spans="9:14" x14ac:dyDescent="0.25">
      <c r="I10779" s="11" t="b">
        <f t="shared" si="520"/>
        <v>0</v>
      </c>
      <c r="M10779" s="17" t="str">
        <f t="shared" si="521"/>
        <v/>
      </c>
      <c r="N10779" s="11" t="str">
        <f t="shared" si="522"/>
        <v/>
      </c>
    </row>
    <row r="10780" spans="9:14" x14ac:dyDescent="0.25">
      <c r="I10780" s="11" t="b">
        <f t="shared" si="520"/>
        <v>0</v>
      </c>
      <c r="M10780" s="17" t="str">
        <f t="shared" si="521"/>
        <v/>
      </c>
      <c r="N10780" s="11" t="str">
        <f t="shared" si="522"/>
        <v/>
      </c>
    </row>
    <row r="10781" spans="9:14" x14ac:dyDescent="0.25">
      <c r="I10781" s="11" t="b">
        <f t="shared" ref="I10781:I10844" si="523">IF(AND(G10781="MERCADO PAGO",A10781="FATURAMENTO"),1,IF(AND(OR(G10781="MERCADO PAGO",G10781="pix mercado pago",G10781= "débito automático mercado pago", G10781= "boleto mercado pago"),A10781="DESPESAS"),4,IF(AND(G10781="SAFRA",A10781="FATURAMENTO"),2,IF(AND(OR(G10781="SAFRA",G10781="PIX SAFRA", G10781="DÉBITO AUTOMÁTICO SAFRA", G10781= "BOLETO SAFRA", G10781= "transferência safra"), A10781="DESPESAS"),5,IF(AND(G10781="espécie",A10781="FATURAMENTO"),3,IF(AND(G10781="espécie",A10781="DESPESAS"),6))))))</f>
        <v>0</v>
      </c>
      <c r="M10781" s="17" t="str">
        <f t="shared" si="521"/>
        <v/>
      </c>
      <c r="N10781" s="11" t="str">
        <f t="shared" si="522"/>
        <v/>
      </c>
    </row>
    <row r="10782" spans="9:14" x14ac:dyDescent="0.25">
      <c r="I10782" s="11" t="b">
        <f t="shared" si="523"/>
        <v>0</v>
      </c>
      <c r="M10782" s="17" t="str">
        <f t="shared" si="521"/>
        <v/>
      </c>
      <c r="N10782" s="11" t="str">
        <f t="shared" si="522"/>
        <v/>
      </c>
    </row>
    <row r="10783" spans="9:14" x14ac:dyDescent="0.25">
      <c r="I10783" s="11" t="b">
        <f t="shared" si="523"/>
        <v>0</v>
      </c>
      <c r="M10783" s="17" t="str">
        <f t="shared" si="521"/>
        <v/>
      </c>
      <c r="N10783" s="11" t="str">
        <f t="shared" si="522"/>
        <v/>
      </c>
    </row>
    <row r="10784" spans="9:14" x14ac:dyDescent="0.25">
      <c r="I10784" s="11" t="b">
        <f t="shared" si="523"/>
        <v>0</v>
      </c>
      <c r="M10784" s="17" t="str">
        <f t="shared" si="521"/>
        <v/>
      </c>
      <c r="N10784" s="11" t="str">
        <f t="shared" si="522"/>
        <v/>
      </c>
    </row>
    <row r="10785" spans="9:14" x14ac:dyDescent="0.25">
      <c r="I10785" s="11" t="b">
        <f t="shared" si="523"/>
        <v>0</v>
      </c>
      <c r="M10785" s="17" t="str">
        <f t="shared" si="521"/>
        <v/>
      </c>
      <c r="N10785" s="11" t="str">
        <f t="shared" si="522"/>
        <v/>
      </c>
    </row>
    <row r="10786" spans="9:14" x14ac:dyDescent="0.25">
      <c r="I10786" s="11" t="b">
        <f t="shared" si="523"/>
        <v>0</v>
      </c>
      <c r="M10786" s="17" t="str">
        <f t="shared" si="521"/>
        <v/>
      </c>
      <c r="N10786" s="11" t="str">
        <f t="shared" si="522"/>
        <v/>
      </c>
    </row>
    <row r="10787" spans="9:14" x14ac:dyDescent="0.25">
      <c r="I10787" s="11" t="b">
        <f t="shared" si="523"/>
        <v>0</v>
      </c>
      <c r="M10787" s="17" t="str">
        <f t="shared" si="521"/>
        <v/>
      </c>
      <c r="N10787" s="11" t="str">
        <f t="shared" si="522"/>
        <v/>
      </c>
    </row>
    <row r="10788" spans="9:14" x14ac:dyDescent="0.25">
      <c r="I10788" s="11" t="b">
        <f t="shared" si="523"/>
        <v>0</v>
      </c>
      <c r="M10788" s="17" t="str">
        <f t="shared" si="521"/>
        <v/>
      </c>
      <c r="N10788" s="11" t="str">
        <f t="shared" si="522"/>
        <v/>
      </c>
    </row>
    <row r="10789" spans="9:14" x14ac:dyDescent="0.25">
      <c r="I10789" s="11" t="b">
        <f t="shared" si="523"/>
        <v>0</v>
      </c>
      <c r="M10789" s="17" t="str">
        <f t="shared" si="521"/>
        <v/>
      </c>
      <c r="N10789" s="11" t="str">
        <f t="shared" si="522"/>
        <v/>
      </c>
    </row>
    <row r="10790" spans="9:14" x14ac:dyDescent="0.25">
      <c r="I10790" s="11" t="b">
        <f t="shared" si="523"/>
        <v>0</v>
      </c>
      <c r="M10790" s="17" t="str">
        <f t="shared" si="521"/>
        <v/>
      </c>
      <c r="N10790" s="11" t="str">
        <f t="shared" si="522"/>
        <v/>
      </c>
    </row>
    <row r="10791" spans="9:14" x14ac:dyDescent="0.25">
      <c r="I10791" s="11" t="b">
        <f t="shared" si="523"/>
        <v>0</v>
      </c>
      <c r="M10791" s="17" t="str">
        <f t="shared" si="521"/>
        <v/>
      </c>
      <c r="N10791" s="11" t="str">
        <f t="shared" si="522"/>
        <v/>
      </c>
    </row>
    <row r="10792" spans="9:14" x14ac:dyDescent="0.25">
      <c r="I10792" s="11" t="b">
        <f t="shared" si="523"/>
        <v>0</v>
      </c>
      <c r="M10792" s="17" t="str">
        <f t="shared" si="521"/>
        <v/>
      </c>
      <c r="N10792" s="11" t="str">
        <f t="shared" si="522"/>
        <v/>
      </c>
    </row>
    <row r="10793" spans="9:14" x14ac:dyDescent="0.25">
      <c r="I10793" s="11" t="b">
        <f t="shared" si="523"/>
        <v>0</v>
      </c>
      <c r="M10793" s="17" t="str">
        <f t="shared" si="521"/>
        <v/>
      </c>
      <c r="N10793" s="11" t="str">
        <f t="shared" si="522"/>
        <v/>
      </c>
    </row>
    <row r="10794" spans="9:14" x14ac:dyDescent="0.25">
      <c r="I10794" s="11" t="b">
        <f t="shared" si="523"/>
        <v>0</v>
      </c>
      <c r="M10794" s="17" t="str">
        <f t="shared" si="521"/>
        <v/>
      </c>
      <c r="N10794" s="11" t="str">
        <f t="shared" si="522"/>
        <v/>
      </c>
    </row>
    <row r="10795" spans="9:14" x14ac:dyDescent="0.25">
      <c r="I10795" s="11" t="b">
        <f t="shared" si="523"/>
        <v>0</v>
      </c>
      <c r="M10795" s="17" t="str">
        <f t="shared" si="521"/>
        <v/>
      </c>
      <c r="N10795" s="11" t="str">
        <f t="shared" si="522"/>
        <v/>
      </c>
    </row>
    <row r="10796" spans="9:14" x14ac:dyDescent="0.25">
      <c r="I10796" s="11" t="b">
        <f t="shared" si="523"/>
        <v>0</v>
      </c>
      <c r="M10796" s="17" t="str">
        <f t="shared" si="521"/>
        <v/>
      </c>
      <c r="N10796" s="11" t="str">
        <f t="shared" si="522"/>
        <v/>
      </c>
    </row>
    <row r="10797" spans="9:14" x14ac:dyDescent="0.25">
      <c r="I10797" s="11" t="b">
        <f t="shared" si="523"/>
        <v>0</v>
      </c>
      <c r="M10797" s="17" t="str">
        <f t="shared" si="521"/>
        <v/>
      </c>
      <c r="N10797" s="11" t="str">
        <f t="shared" si="522"/>
        <v/>
      </c>
    </row>
    <row r="10798" spans="9:14" x14ac:dyDescent="0.25">
      <c r="I10798" s="11" t="b">
        <f t="shared" si="523"/>
        <v>0</v>
      </c>
      <c r="M10798" s="17" t="str">
        <f t="shared" si="521"/>
        <v/>
      </c>
      <c r="N10798" s="11" t="str">
        <f t="shared" si="522"/>
        <v/>
      </c>
    </row>
    <row r="10799" spans="9:14" x14ac:dyDescent="0.25">
      <c r="I10799" s="11" t="b">
        <f t="shared" si="523"/>
        <v>0</v>
      </c>
      <c r="M10799" s="17" t="str">
        <f t="shared" si="521"/>
        <v/>
      </c>
      <c r="N10799" s="11" t="str">
        <f t="shared" si="522"/>
        <v/>
      </c>
    </row>
    <row r="10800" spans="9:14" x14ac:dyDescent="0.25">
      <c r="I10800" s="11" t="b">
        <f t="shared" si="523"/>
        <v>0</v>
      </c>
      <c r="M10800" s="17" t="str">
        <f t="shared" si="521"/>
        <v/>
      </c>
      <c r="N10800" s="11" t="str">
        <f t="shared" si="522"/>
        <v/>
      </c>
    </row>
    <row r="10801" spans="9:14" x14ac:dyDescent="0.25">
      <c r="I10801" s="11" t="b">
        <f t="shared" si="523"/>
        <v>0</v>
      </c>
      <c r="M10801" s="17" t="str">
        <f t="shared" si="521"/>
        <v/>
      </c>
      <c r="N10801" s="11" t="str">
        <f t="shared" si="522"/>
        <v/>
      </c>
    </row>
    <row r="10802" spans="9:14" x14ac:dyDescent="0.25">
      <c r="I10802" s="11" t="b">
        <f t="shared" si="523"/>
        <v>0</v>
      </c>
      <c r="M10802" s="17" t="str">
        <f t="shared" si="521"/>
        <v/>
      </c>
      <c r="N10802" s="11" t="str">
        <f t="shared" si="522"/>
        <v/>
      </c>
    </row>
    <row r="10803" spans="9:14" x14ac:dyDescent="0.25">
      <c r="I10803" s="11" t="b">
        <f t="shared" si="523"/>
        <v>0</v>
      </c>
      <c r="M10803" s="17" t="str">
        <f t="shared" si="521"/>
        <v/>
      </c>
      <c r="N10803" s="11" t="str">
        <f t="shared" si="522"/>
        <v/>
      </c>
    </row>
    <row r="10804" spans="9:14" x14ac:dyDescent="0.25">
      <c r="I10804" s="11" t="b">
        <f t="shared" si="523"/>
        <v>0</v>
      </c>
      <c r="M10804" s="17" t="str">
        <f t="shared" si="521"/>
        <v/>
      </c>
      <c r="N10804" s="11" t="str">
        <f t="shared" si="522"/>
        <v/>
      </c>
    </row>
    <row r="10805" spans="9:14" x14ac:dyDescent="0.25">
      <c r="I10805" s="11" t="b">
        <f t="shared" si="523"/>
        <v>0</v>
      </c>
      <c r="M10805" s="17" t="str">
        <f t="shared" si="521"/>
        <v/>
      </c>
      <c r="N10805" s="11" t="str">
        <f t="shared" si="522"/>
        <v/>
      </c>
    </row>
    <row r="10806" spans="9:14" x14ac:dyDescent="0.25">
      <c r="I10806" s="11" t="b">
        <f t="shared" si="523"/>
        <v>0</v>
      </c>
      <c r="M10806" s="17" t="str">
        <f t="shared" si="521"/>
        <v/>
      </c>
      <c r="N10806" s="11" t="str">
        <f t="shared" si="522"/>
        <v/>
      </c>
    </row>
    <row r="10807" spans="9:14" x14ac:dyDescent="0.25">
      <c r="I10807" s="11" t="b">
        <f t="shared" si="523"/>
        <v>0</v>
      </c>
      <c r="M10807" s="17" t="str">
        <f t="shared" si="521"/>
        <v/>
      </c>
      <c r="N10807" s="11" t="str">
        <f t="shared" si="522"/>
        <v/>
      </c>
    </row>
    <row r="10808" spans="9:14" x14ac:dyDescent="0.25">
      <c r="I10808" s="11" t="b">
        <f t="shared" si="523"/>
        <v>0</v>
      </c>
      <c r="M10808" s="17" t="str">
        <f t="shared" si="521"/>
        <v/>
      </c>
      <c r="N10808" s="11" t="str">
        <f t="shared" si="522"/>
        <v/>
      </c>
    </row>
    <row r="10809" spans="9:14" x14ac:dyDescent="0.25">
      <c r="I10809" s="11" t="b">
        <f t="shared" si="523"/>
        <v>0</v>
      </c>
      <c r="M10809" s="17" t="str">
        <f t="shared" si="521"/>
        <v/>
      </c>
      <c r="N10809" s="11" t="str">
        <f t="shared" si="522"/>
        <v/>
      </c>
    </row>
    <row r="10810" spans="9:14" x14ac:dyDescent="0.25">
      <c r="I10810" s="11" t="b">
        <f t="shared" si="523"/>
        <v>0</v>
      </c>
      <c r="M10810" s="17" t="str">
        <f t="shared" si="521"/>
        <v/>
      </c>
      <c r="N10810" s="11" t="str">
        <f t="shared" si="522"/>
        <v/>
      </c>
    </row>
    <row r="10811" spans="9:14" x14ac:dyDescent="0.25">
      <c r="I10811" s="11" t="b">
        <f t="shared" si="523"/>
        <v>0</v>
      </c>
      <c r="M10811" s="17" t="str">
        <f t="shared" si="521"/>
        <v/>
      </c>
      <c r="N10811" s="11" t="str">
        <f t="shared" si="522"/>
        <v/>
      </c>
    </row>
    <row r="10812" spans="9:14" x14ac:dyDescent="0.25">
      <c r="I10812" s="11" t="b">
        <f t="shared" si="523"/>
        <v>0</v>
      </c>
      <c r="M10812" s="17" t="str">
        <f t="shared" si="521"/>
        <v/>
      </c>
      <c r="N10812" s="11" t="str">
        <f t="shared" si="522"/>
        <v/>
      </c>
    </row>
    <row r="10813" spans="9:14" x14ac:dyDescent="0.25">
      <c r="I10813" s="11" t="b">
        <f t="shared" si="523"/>
        <v>0</v>
      </c>
      <c r="M10813" s="17" t="str">
        <f t="shared" si="521"/>
        <v/>
      </c>
      <c r="N10813" s="11" t="str">
        <f t="shared" si="522"/>
        <v/>
      </c>
    </row>
    <row r="10814" spans="9:14" x14ac:dyDescent="0.25">
      <c r="I10814" s="11" t="b">
        <f t="shared" si="523"/>
        <v>0</v>
      </c>
      <c r="M10814" s="17" t="str">
        <f t="shared" si="521"/>
        <v/>
      </c>
      <c r="N10814" s="11" t="str">
        <f t="shared" si="522"/>
        <v/>
      </c>
    </row>
    <row r="10815" spans="9:14" x14ac:dyDescent="0.25">
      <c r="I10815" s="11" t="b">
        <f t="shared" si="523"/>
        <v>0</v>
      </c>
      <c r="M10815" s="17" t="str">
        <f t="shared" si="521"/>
        <v/>
      </c>
      <c r="N10815" s="11" t="str">
        <f t="shared" si="522"/>
        <v/>
      </c>
    </row>
    <row r="10816" spans="9:14" x14ac:dyDescent="0.25">
      <c r="I10816" s="11" t="b">
        <f t="shared" si="523"/>
        <v>0</v>
      </c>
      <c r="M10816" s="17" t="str">
        <f t="shared" si="521"/>
        <v/>
      </c>
      <c r="N10816" s="11" t="str">
        <f t="shared" si="522"/>
        <v/>
      </c>
    </row>
    <row r="10817" spans="9:14" x14ac:dyDescent="0.25">
      <c r="I10817" s="11" t="b">
        <f t="shared" si="523"/>
        <v>0</v>
      </c>
      <c r="M10817" s="17" t="str">
        <f t="shared" ref="M10817:M10880" si="524">IF(B10817=0, "",M10816+ J10817-K10817)</f>
        <v/>
      </c>
      <c r="N10817" s="11" t="str">
        <f t="shared" ref="N10817:N10880" si="525">IF(B10817=0, "", MONTH(B10817))</f>
        <v/>
      </c>
    </row>
    <row r="10818" spans="9:14" x14ac:dyDescent="0.25">
      <c r="I10818" s="11" t="b">
        <f t="shared" si="523"/>
        <v>0</v>
      </c>
      <c r="M10818" s="17" t="str">
        <f t="shared" si="524"/>
        <v/>
      </c>
      <c r="N10818" s="11" t="str">
        <f t="shared" si="525"/>
        <v/>
      </c>
    </row>
    <row r="10819" spans="9:14" x14ac:dyDescent="0.25">
      <c r="I10819" s="11" t="b">
        <f t="shared" si="523"/>
        <v>0</v>
      </c>
      <c r="M10819" s="17" t="str">
        <f t="shared" si="524"/>
        <v/>
      </c>
      <c r="N10819" s="11" t="str">
        <f t="shared" si="525"/>
        <v/>
      </c>
    </row>
    <row r="10820" spans="9:14" x14ac:dyDescent="0.25">
      <c r="I10820" s="11" t="b">
        <f t="shared" si="523"/>
        <v>0</v>
      </c>
      <c r="M10820" s="17" t="str">
        <f t="shared" si="524"/>
        <v/>
      </c>
      <c r="N10820" s="11" t="str">
        <f t="shared" si="525"/>
        <v/>
      </c>
    </row>
    <row r="10821" spans="9:14" x14ac:dyDescent="0.25">
      <c r="I10821" s="11" t="b">
        <f t="shared" si="523"/>
        <v>0</v>
      </c>
      <c r="M10821" s="17" t="str">
        <f t="shared" si="524"/>
        <v/>
      </c>
      <c r="N10821" s="11" t="str">
        <f t="shared" si="525"/>
        <v/>
      </c>
    </row>
    <row r="10822" spans="9:14" x14ac:dyDescent="0.25">
      <c r="I10822" s="11" t="b">
        <f t="shared" si="523"/>
        <v>0</v>
      </c>
      <c r="M10822" s="17" t="str">
        <f t="shared" si="524"/>
        <v/>
      </c>
      <c r="N10822" s="11" t="str">
        <f t="shared" si="525"/>
        <v/>
      </c>
    </row>
    <row r="10823" spans="9:14" x14ac:dyDescent="0.25">
      <c r="I10823" s="11" t="b">
        <f t="shared" si="523"/>
        <v>0</v>
      </c>
      <c r="M10823" s="17" t="str">
        <f t="shared" si="524"/>
        <v/>
      </c>
      <c r="N10823" s="11" t="str">
        <f t="shared" si="525"/>
        <v/>
      </c>
    </row>
    <row r="10824" spans="9:14" x14ac:dyDescent="0.25">
      <c r="I10824" s="11" t="b">
        <f t="shared" si="523"/>
        <v>0</v>
      </c>
      <c r="M10824" s="17" t="str">
        <f t="shared" si="524"/>
        <v/>
      </c>
      <c r="N10824" s="11" t="str">
        <f t="shared" si="525"/>
        <v/>
      </c>
    </row>
    <row r="10825" spans="9:14" x14ac:dyDescent="0.25">
      <c r="I10825" s="11" t="b">
        <f t="shared" si="523"/>
        <v>0</v>
      </c>
      <c r="M10825" s="17" t="str">
        <f t="shared" si="524"/>
        <v/>
      </c>
      <c r="N10825" s="11" t="str">
        <f t="shared" si="525"/>
        <v/>
      </c>
    </row>
    <row r="10826" spans="9:14" x14ac:dyDescent="0.25">
      <c r="I10826" s="11" t="b">
        <f t="shared" si="523"/>
        <v>0</v>
      </c>
      <c r="M10826" s="17" t="str">
        <f t="shared" si="524"/>
        <v/>
      </c>
      <c r="N10826" s="11" t="str">
        <f t="shared" si="525"/>
        <v/>
      </c>
    </row>
    <row r="10827" spans="9:14" x14ac:dyDescent="0.25">
      <c r="I10827" s="11" t="b">
        <f t="shared" si="523"/>
        <v>0</v>
      </c>
      <c r="M10827" s="17" t="str">
        <f t="shared" si="524"/>
        <v/>
      </c>
      <c r="N10827" s="11" t="str">
        <f t="shared" si="525"/>
        <v/>
      </c>
    </row>
    <row r="10828" spans="9:14" x14ac:dyDescent="0.25">
      <c r="I10828" s="11" t="b">
        <f t="shared" si="523"/>
        <v>0</v>
      </c>
      <c r="M10828" s="17" t="str">
        <f t="shared" si="524"/>
        <v/>
      </c>
      <c r="N10828" s="11" t="str">
        <f t="shared" si="525"/>
        <v/>
      </c>
    </row>
    <row r="10829" spans="9:14" x14ac:dyDescent="0.25">
      <c r="I10829" s="11" t="b">
        <f t="shared" si="523"/>
        <v>0</v>
      </c>
      <c r="M10829" s="17" t="str">
        <f t="shared" si="524"/>
        <v/>
      </c>
      <c r="N10829" s="11" t="str">
        <f t="shared" si="525"/>
        <v/>
      </c>
    </row>
    <row r="10830" spans="9:14" x14ac:dyDescent="0.25">
      <c r="I10830" s="11" t="b">
        <f t="shared" si="523"/>
        <v>0</v>
      </c>
      <c r="M10830" s="17" t="str">
        <f t="shared" si="524"/>
        <v/>
      </c>
      <c r="N10830" s="11" t="str">
        <f t="shared" si="525"/>
        <v/>
      </c>
    </row>
    <row r="10831" spans="9:14" x14ac:dyDescent="0.25">
      <c r="I10831" s="11" t="b">
        <f t="shared" si="523"/>
        <v>0</v>
      </c>
      <c r="M10831" s="17" t="str">
        <f t="shared" si="524"/>
        <v/>
      </c>
      <c r="N10831" s="11" t="str">
        <f t="shared" si="525"/>
        <v/>
      </c>
    </row>
    <row r="10832" spans="9:14" x14ac:dyDescent="0.25">
      <c r="I10832" s="11" t="b">
        <f t="shared" si="523"/>
        <v>0</v>
      </c>
      <c r="M10832" s="17" t="str">
        <f t="shared" si="524"/>
        <v/>
      </c>
      <c r="N10832" s="11" t="str">
        <f t="shared" si="525"/>
        <v/>
      </c>
    </row>
    <row r="10833" spans="9:14" x14ac:dyDescent="0.25">
      <c r="I10833" s="11" t="b">
        <f t="shared" si="523"/>
        <v>0</v>
      </c>
      <c r="M10833" s="17" t="str">
        <f t="shared" si="524"/>
        <v/>
      </c>
      <c r="N10833" s="11" t="str">
        <f t="shared" si="525"/>
        <v/>
      </c>
    </row>
    <row r="10834" spans="9:14" x14ac:dyDescent="0.25">
      <c r="I10834" s="11" t="b">
        <f t="shared" si="523"/>
        <v>0</v>
      </c>
      <c r="M10834" s="17" t="str">
        <f t="shared" si="524"/>
        <v/>
      </c>
      <c r="N10834" s="11" t="str">
        <f t="shared" si="525"/>
        <v/>
      </c>
    </row>
    <row r="10835" spans="9:14" x14ac:dyDescent="0.25">
      <c r="I10835" s="11" t="b">
        <f t="shared" si="523"/>
        <v>0</v>
      </c>
      <c r="M10835" s="17" t="str">
        <f t="shared" si="524"/>
        <v/>
      </c>
      <c r="N10835" s="11" t="str">
        <f t="shared" si="525"/>
        <v/>
      </c>
    </row>
    <row r="10836" spans="9:14" x14ac:dyDescent="0.25">
      <c r="I10836" s="11" t="b">
        <f t="shared" si="523"/>
        <v>0</v>
      </c>
      <c r="M10836" s="17" t="str">
        <f t="shared" si="524"/>
        <v/>
      </c>
      <c r="N10836" s="11" t="str">
        <f t="shared" si="525"/>
        <v/>
      </c>
    </row>
    <row r="10837" spans="9:14" x14ac:dyDescent="0.25">
      <c r="I10837" s="11" t="b">
        <f t="shared" si="523"/>
        <v>0</v>
      </c>
      <c r="M10837" s="17" t="str">
        <f t="shared" si="524"/>
        <v/>
      </c>
      <c r="N10837" s="11" t="str">
        <f t="shared" si="525"/>
        <v/>
      </c>
    </row>
    <row r="10838" spans="9:14" x14ac:dyDescent="0.25">
      <c r="I10838" s="11" t="b">
        <f t="shared" si="523"/>
        <v>0</v>
      </c>
      <c r="M10838" s="17" t="str">
        <f t="shared" si="524"/>
        <v/>
      </c>
      <c r="N10838" s="11" t="str">
        <f t="shared" si="525"/>
        <v/>
      </c>
    </row>
    <row r="10839" spans="9:14" x14ac:dyDescent="0.25">
      <c r="I10839" s="11" t="b">
        <f t="shared" si="523"/>
        <v>0</v>
      </c>
      <c r="M10839" s="17" t="str">
        <f t="shared" si="524"/>
        <v/>
      </c>
      <c r="N10839" s="11" t="str">
        <f t="shared" si="525"/>
        <v/>
      </c>
    </row>
    <row r="10840" spans="9:14" x14ac:dyDescent="0.25">
      <c r="I10840" s="11" t="b">
        <f t="shared" si="523"/>
        <v>0</v>
      </c>
      <c r="M10840" s="17" t="str">
        <f t="shared" si="524"/>
        <v/>
      </c>
      <c r="N10840" s="11" t="str">
        <f t="shared" si="525"/>
        <v/>
      </c>
    </row>
    <row r="10841" spans="9:14" x14ac:dyDescent="0.25">
      <c r="I10841" s="11" t="b">
        <f t="shared" si="523"/>
        <v>0</v>
      </c>
      <c r="M10841" s="17" t="str">
        <f t="shared" si="524"/>
        <v/>
      </c>
      <c r="N10841" s="11" t="str">
        <f t="shared" si="525"/>
        <v/>
      </c>
    </row>
    <row r="10842" spans="9:14" x14ac:dyDescent="0.25">
      <c r="I10842" s="11" t="b">
        <f t="shared" si="523"/>
        <v>0</v>
      </c>
      <c r="M10842" s="17" t="str">
        <f t="shared" si="524"/>
        <v/>
      </c>
      <c r="N10842" s="11" t="str">
        <f t="shared" si="525"/>
        <v/>
      </c>
    </row>
    <row r="10843" spans="9:14" x14ac:dyDescent="0.25">
      <c r="I10843" s="11" t="b">
        <f t="shared" si="523"/>
        <v>0</v>
      </c>
      <c r="M10843" s="17" t="str">
        <f t="shared" si="524"/>
        <v/>
      </c>
      <c r="N10843" s="11" t="str">
        <f t="shared" si="525"/>
        <v/>
      </c>
    </row>
    <row r="10844" spans="9:14" x14ac:dyDescent="0.25">
      <c r="I10844" s="11" t="b">
        <f t="shared" si="523"/>
        <v>0</v>
      </c>
      <c r="M10844" s="17" t="str">
        <f t="shared" si="524"/>
        <v/>
      </c>
      <c r="N10844" s="11" t="str">
        <f t="shared" si="525"/>
        <v/>
      </c>
    </row>
    <row r="10845" spans="9:14" x14ac:dyDescent="0.25">
      <c r="I10845" s="11" t="b">
        <f t="shared" ref="I10845:I10908" si="526">IF(AND(G10845="MERCADO PAGO",A10845="FATURAMENTO"),1,IF(AND(OR(G10845="MERCADO PAGO",G10845="pix mercado pago",G10845= "débito automático mercado pago", G10845= "boleto mercado pago"),A10845="DESPESAS"),4,IF(AND(G10845="SAFRA",A10845="FATURAMENTO"),2,IF(AND(OR(G10845="SAFRA",G10845="PIX SAFRA", G10845="DÉBITO AUTOMÁTICO SAFRA", G10845= "BOLETO SAFRA", G10845= "transferência safra"), A10845="DESPESAS"),5,IF(AND(G10845="espécie",A10845="FATURAMENTO"),3,IF(AND(G10845="espécie",A10845="DESPESAS"),6))))))</f>
        <v>0</v>
      </c>
      <c r="M10845" s="17" t="str">
        <f t="shared" si="524"/>
        <v/>
      </c>
      <c r="N10845" s="11" t="str">
        <f t="shared" si="525"/>
        <v/>
      </c>
    </row>
    <row r="10846" spans="9:14" x14ac:dyDescent="0.25">
      <c r="I10846" s="11" t="b">
        <f t="shared" si="526"/>
        <v>0</v>
      </c>
      <c r="M10846" s="17" t="str">
        <f t="shared" si="524"/>
        <v/>
      </c>
      <c r="N10846" s="11" t="str">
        <f t="shared" si="525"/>
        <v/>
      </c>
    </row>
    <row r="10847" spans="9:14" x14ac:dyDescent="0.25">
      <c r="I10847" s="11" t="b">
        <f t="shared" si="526"/>
        <v>0</v>
      </c>
      <c r="M10847" s="17" t="str">
        <f t="shared" si="524"/>
        <v/>
      </c>
      <c r="N10847" s="11" t="str">
        <f t="shared" si="525"/>
        <v/>
      </c>
    </row>
    <row r="10848" spans="9:14" x14ac:dyDescent="0.25">
      <c r="I10848" s="11" t="b">
        <f t="shared" si="526"/>
        <v>0</v>
      </c>
      <c r="M10848" s="17" t="str">
        <f t="shared" si="524"/>
        <v/>
      </c>
      <c r="N10848" s="11" t="str">
        <f t="shared" si="525"/>
        <v/>
      </c>
    </row>
    <row r="10849" spans="9:14" x14ac:dyDescent="0.25">
      <c r="I10849" s="11" t="b">
        <f t="shared" si="526"/>
        <v>0</v>
      </c>
      <c r="M10849" s="17" t="str">
        <f t="shared" si="524"/>
        <v/>
      </c>
      <c r="N10849" s="11" t="str">
        <f t="shared" si="525"/>
        <v/>
      </c>
    </row>
    <row r="10850" spans="9:14" x14ac:dyDescent="0.25">
      <c r="I10850" s="11" t="b">
        <f t="shared" si="526"/>
        <v>0</v>
      </c>
      <c r="M10850" s="17" t="str">
        <f t="shared" si="524"/>
        <v/>
      </c>
      <c r="N10850" s="11" t="str">
        <f t="shared" si="525"/>
        <v/>
      </c>
    </row>
    <row r="10851" spans="9:14" x14ac:dyDescent="0.25">
      <c r="I10851" s="11" t="b">
        <f t="shared" si="526"/>
        <v>0</v>
      </c>
      <c r="M10851" s="17" t="str">
        <f t="shared" si="524"/>
        <v/>
      </c>
      <c r="N10851" s="11" t="str">
        <f t="shared" si="525"/>
        <v/>
      </c>
    </row>
    <row r="10852" spans="9:14" x14ac:dyDescent="0.25">
      <c r="I10852" s="11" t="b">
        <f t="shared" si="526"/>
        <v>0</v>
      </c>
      <c r="M10852" s="17" t="str">
        <f t="shared" si="524"/>
        <v/>
      </c>
      <c r="N10852" s="11" t="str">
        <f t="shared" si="525"/>
        <v/>
      </c>
    </row>
    <row r="10853" spans="9:14" x14ac:dyDescent="0.25">
      <c r="I10853" s="11" t="b">
        <f t="shared" si="526"/>
        <v>0</v>
      </c>
      <c r="M10853" s="17" t="str">
        <f t="shared" si="524"/>
        <v/>
      </c>
      <c r="N10853" s="11" t="str">
        <f t="shared" si="525"/>
        <v/>
      </c>
    </row>
    <row r="10854" spans="9:14" x14ac:dyDescent="0.25">
      <c r="I10854" s="11" t="b">
        <f t="shared" si="526"/>
        <v>0</v>
      </c>
      <c r="M10854" s="17" t="str">
        <f t="shared" si="524"/>
        <v/>
      </c>
      <c r="N10854" s="11" t="str">
        <f t="shared" si="525"/>
        <v/>
      </c>
    </row>
    <row r="10855" spans="9:14" x14ac:dyDescent="0.25">
      <c r="I10855" s="11" t="b">
        <f t="shared" si="526"/>
        <v>0</v>
      </c>
      <c r="M10855" s="17" t="str">
        <f t="shared" si="524"/>
        <v/>
      </c>
      <c r="N10855" s="11" t="str">
        <f t="shared" si="525"/>
        <v/>
      </c>
    </row>
    <row r="10856" spans="9:14" x14ac:dyDescent="0.25">
      <c r="I10856" s="11" t="b">
        <f t="shared" si="526"/>
        <v>0</v>
      </c>
      <c r="M10856" s="17" t="str">
        <f t="shared" si="524"/>
        <v/>
      </c>
      <c r="N10856" s="11" t="str">
        <f t="shared" si="525"/>
        <v/>
      </c>
    </row>
    <row r="10857" spans="9:14" x14ac:dyDescent="0.25">
      <c r="I10857" s="11" t="b">
        <f t="shared" si="526"/>
        <v>0</v>
      </c>
      <c r="M10857" s="17" t="str">
        <f t="shared" si="524"/>
        <v/>
      </c>
      <c r="N10857" s="11" t="str">
        <f t="shared" si="525"/>
        <v/>
      </c>
    </row>
    <row r="10858" spans="9:14" x14ac:dyDescent="0.25">
      <c r="I10858" s="11" t="b">
        <f t="shared" si="526"/>
        <v>0</v>
      </c>
      <c r="M10858" s="17" t="str">
        <f t="shared" si="524"/>
        <v/>
      </c>
      <c r="N10858" s="11" t="str">
        <f t="shared" si="525"/>
        <v/>
      </c>
    </row>
    <row r="10859" spans="9:14" x14ac:dyDescent="0.25">
      <c r="I10859" s="11" t="b">
        <f t="shared" si="526"/>
        <v>0</v>
      </c>
      <c r="M10859" s="17" t="str">
        <f t="shared" si="524"/>
        <v/>
      </c>
      <c r="N10859" s="11" t="str">
        <f t="shared" si="525"/>
        <v/>
      </c>
    </row>
    <row r="10860" spans="9:14" x14ac:dyDescent="0.25">
      <c r="I10860" s="11" t="b">
        <f t="shared" si="526"/>
        <v>0</v>
      </c>
      <c r="M10860" s="17" t="str">
        <f t="shared" si="524"/>
        <v/>
      </c>
      <c r="N10860" s="11" t="str">
        <f t="shared" si="525"/>
        <v/>
      </c>
    </row>
    <row r="10861" spans="9:14" x14ac:dyDescent="0.25">
      <c r="I10861" s="11" t="b">
        <f t="shared" si="526"/>
        <v>0</v>
      </c>
      <c r="M10861" s="17" t="str">
        <f t="shared" si="524"/>
        <v/>
      </c>
      <c r="N10861" s="11" t="str">
        <f t="shared" si="525"/>
        <v/>
      </c>
    </row>
    <row r="10862" spans="9:14" x14ac:dyDescent="0.25">
      <c r="I10862" s="11" t="b">
        <f t="shared" si="526"/>
        <v>0</v>
      </c>
      <c r="M10862" s="17" t="str">
        <f t="shared" si="524"/>
        <v/>
      </c>
      <c r="N10862" s="11" t="str">
        <f t="shared" si="525"/>
        <v/>
      </c>
    </row>
    <row r="10863" spans="9:14" x14ac:dyDescent="0.25">
      <c r="I10863" s="11" t="b">
        <f t="shared" si="526"/>
        <v>0</v>
      </c>
      <c r="M10863" s="17" t="str">
        <f t="shared" si="524"/>
        <v/>
      </c>
      <c r="N10863" s="11" t="str">
        <f t="shared" si="525"/>
        <v/>
      </c>
    </row>
    <row r="10864" spans="9:14" x14ac:dyDescent="0.25">
      <c r="I10864" s="11" t="b">
        <f t="shared" si="526"/>
        <v>0</v>
      </c>
      <c r="M10864" s="17" t="str">
        <f t="shared" si="524"/>
        <v/>
      </c>
      <c r="N10864" s="11" t="str">
        <f t="shared" si="525"/>
        <v/>
      </c>
    </row>
    <row r="10865" spans="9:14" x14ac:dyDescent="0.25">
      <c r="I10865" s="11" t="b">
        <f t="shared" si="526"/>
        <v>0</v>
      </c>
      <c r="M10865" s="17" t="str">
        <f t="shared" si="524"/>
        <v/>
      </c>
      <c r="N10865" s="11" t="str">
        <f t="shared" si="525"/>
        <v/>
      </c>
    </row>
    <row r="10866" spans="9:14" x14ac:dyDescent="0.25">
      <c r="I10866" s="11" t="b">
        <f t="shared" si="526"/>
        <v>0</v>
      </c>
      <c r="M10866" s="17" t="str">
        <f t="shared" si="524"/>
        <v/>
      </c>
      <c r="N10866" s="11" t="str">
        <f t="shared" si="525"/>
        <v/>
      </c>
    </row>
    <row r="10867" spans="9:14" x14ac:dyDescent="0.25">
      <c r="I10867" s="11" t="b">
        <f t="shared" si="526"/>
        <v>0</v>
      </c>
      <c r="M10867" s="17" t="str">
        <f t="shared" si="524"/>
        <v/>
      </c>
      <c r="N10867" s="11" t="str">
        <f t="shared" si="525"/>
        <v/>
      </c>
    </row>
    <row r="10868" spans="9:14" x14ac:dyDescent="0.25">
      <c r="I10868" s="11" t="b">
        <f t="shared" si="526"/>
        <v>0</v>
      </c>
      <c r="M10868" s="17" t="str">
        <f t="shared" si="524"/>
        <v/>
      </c>
      <c r="N10868" s="11" t="str">
        <f t="shared" si="525"/>
        <v/>
      </c>
    </row>
    <row r="10869" spans="9:14" x14ac:dyDescent="0.25">
      <c r="I10869" s="11" t="b">
        <f t="shared" si="526"/>
        <v>0</v>
      </c>
      <c r="M10869" s="17" t="str">
        <f t="shared" si="524"/>
        <v/>
      </c>
      <c r="N10869" s="11" t="str">
        <f t="shared" si="525"/>
        <v/>
      </c>
    </row>
    <row r="10870" spans="9:14" x14ac:dyDescent="0.25">
      <c r="I10870" s="11" t="b">
        <f t="shared" si="526"/>
        <v>0</v>
      </c>
      <c r="M10870" s="17" t="str">
        <f t="shared" si="524"/>
        <v/>
      </c>
      <c r="N10870" s="11" t="str">
        <f t="shared" si="525"/>
        <v/>
      </c>
    </row>
    <row r="10871" spans="9:14" x14ac:dyDescent="0.25">
      <c r="I10871" s="11" t="b">
        <f t="shared" si="526"/>
        <v>0</v>
      </c>
      <c r="M10871" s="17" t="str">
        <f t="shared" si="524"/>
        <v/>
      </c>
      <c r="N10871" s="11" t="str">
        <f t="shared" si="525"/>
        <v/>
      </c>
    </row>
    <row r="10872" spans="9:14" x14ac:dyDescent="0.25">
      <c r="I10872" s="11" t="b">
        <f t="shared" si="526"/>
        <v>0</v>
      </c>
      <c r="M10872" s="17" t="str">
        <f t="shared" si="524"/>
        <v/>
      </c>
      <c r="N10872" s="11" t="str">
        <f t="shared" si="525"/>
        <v/>
      </c>
    </row>
    <row r="10873" spans="9:14" x14ac:dyDescent="0.25">
      <c r="I10873" s="11" t="b">
        <f t="shared" si="526"/>
        <v>0</v>
      </c>
      <c r="M10873" s="17" t="str">
        <f t="shared" si="524"/>
        <v/>
      </c>
      <c r="N10873" s="11" t="str">
        <f t="shared" si="525"/>
        <v/>
      </c>
    </row>
    <row r="10874" spans="9:14" x14ac:dyDescent="0.25">
      <c r="I10874" s="11" t="b">
        <f t="shared" si="526"/>
        <v>0</v>
      </c>
      <c r="M10874" s="17" t="str">
        <f t="shared" si="524"/>
        <v/>
      </c>
      <c r="N10874" s="11" t="str">
        <f t="shared" si="525"/>
        <v/>
      </c>
    </row>
    <row r="10875" spans="9:14" x14ac:dyDescent="0.25">
      <c r="I10875" s="11" t="b">
        <f t="shared" si="526"/>
        <v>0</v>
      </c>
      <c r="M10875" s="17" t="str">
        <f t="shared" si="524"/>
        <v/>
      </c>
      <c r="N10875" s="11" t="str">
        <f t="shared" si="525"/>
        <v/>
      </c>
    </row>
    <row r="10876" spans="9:14" x14ac:dyDescent="0.25">
      <c r="I10876" s="11" t="b">
        <f t="shared" si="526"/>
        <v>0</v>
      </c>
      <c r="M10876" s="17" t="str">
        <f t="shared" si="524"/>
        <v/>
      </c>
      <c r="N10876" s="11" t="str">
        <f t="shared" si="525"/>
        <v/>
      </c>
    </row>
    <row r="10877" spans="9:14" x14ac:dyDescent="0.25">
      <c r="I10877" s="11" t="b">
        <f t="shared" si="526"/>
        <v>0</v>
      </c>
      <c r="M10877" s="17" t="str">
        <f t="shared" si="524"/>
        <v/>
      </c>
      <c r="N10877" s="11" t="str">
        <f t="shared" si="525"/>
        <v/>
      </c>
    </row>
    <row r="10878" spans="9:14" x14ac:dyDescent="0.25">
      <c r="I10878" s="11" t="b">
        <f t="shared" si="526"/>
        <v>0</v>
      </c>
      <c r="M10878" s="17" t="str">
        <f t="shared" si="524"/>
        <v/>
      </c>
      <c r="N10878" s="11" t="str">
        <f t="shared" si="525"/>
        <v/>
      </c>
    </row>
    <row r="10879" spans="9:14" x14ac:dyDescent="0.25">
      <c r="I10879" s="11" t="b">
        <f t="shared" si="526"/>
        <v>0</v>
      </c>
      <c r="M10879" s="17" t="str">
        <f t="shared" si="524"/>
        <v/>
      </c>
      <c r="N10879" s="11" t="str">
        <f t="shared" si="525"/>
        <v/>
      </c>
    </row>
    <row r="10880" spans="9:14" x14ac:dyDescent="0.25">
      <c r="I10880" s="11" t="b">
        <f t="shared" si="526"/>
        <v>0</v>
      </c>
      <c r="M10880" s="17" t="str">
        <f t="shared" si="524"/>
        <v/>
      </c>
      <c r="N10880" s="11" t="str">
        <f t="shared" si="525"/>
        <v/>
      </c>
    </row>
    <row r="10881" spans="9:14" x14ac:dyDescent="0.25">
      <c r="I10881" s="11" t="b">
        <f t="shared" si="526"/>
        <v>0</v>
      </c>
      <c r="M10881" s="17" t="str">
        <f t="shared" ref="M10881:M10944" si="527">IF(B10881=0, "",M10880+ J10881-K10881)</f>
        <v/>
      </c>
      <c r="N10881" s="11" t="str">
        <f t="shared" ref="N10881:N10944" si="528">IF(B10881=0, "", MONTH(B10881))</f>
        <v/>
      </c>
    </row>
    <row r="10882" spans="9:14" x14ac:dyDescent="0.25">
      <c r="I10882" s="11" t="b">
        <f t="shared" si="526"/>
        <v>0</v>
      </c>
      <c r="M10882" s="17" t="str">
        <f t="shared" si="527"/>
        <v/>
      </c>
      <c r="N10882" s="11" t="str">
        <f t="shared" si="528"/>
        <v/>
      </c>
    </row>
    <row r="10883" spans="9:14" x14ac:dyDescent="0.25">
      <c r="I10883" s="11" t="b">
        <f t="shared" si="526"/>
        <v>0</v>
      </c>
      <c r="M10883" s="17" t="str">
        <f t="shared" si="527"/>
        <v/>
      </c>
      <c r="N10883" s="11" t="str">
        <f t="shared" si="528"/>
        <v/>
      </c>
    </row>
    <row r="10884" spans="9:14" x14ac:dyDescent="0.25">
      <c r="I10884" s="11" t="b">
        <f t="shared" si="526"/>
        <v>0</v>
      </c>
      <c r="M10884" s="17" t="str">
        <f t="shared" si="527"/>
        <v/>
      </c>
      <c r="N10884" s="11" t="str">
        <f t="shared" si="528"/>
        <v/>
      </c>
    </row>
    <row r="10885" spans="9:14" x14ac:dyDescent="0.25">
      <c r="I10885" s="11" t="b">
        <f t="shared" si="526"/>
        <v>0</v>
      </c>
      <c r="M10885" s="17" t="str">
        <f t="shared" si="527"/>
        <v/>
      </c>
      <c r="N10885" s="11" t="str">
        <f t="shared" si="528"/>
        <v/>
      </c>
    </row>
    <row r="10886" spans="9:14" x14ac:dyDescent="0.25">
      <c r="I10886" s="11" t="b">
        <f t="shared" si="526"/>
        <v>0</v>
      </c>
      <c r="M10886" s="17" t="str">
        <f t="shared" si="527"/>
        <v/>
      </c>
      <c r="N10886" s="11" t="str">
        <f t="shared" si="528"/>
        <v/>
      </c>
    </row>
    <row r="10887" spans="9:14" x14ac:dyDescent="0.25">
      <c r="I10887" s="11" t="b">
        <f t="shared" si="526"/>
        <v>0</v>
      </c>
      <c r="M10887" s="17" t="str">
        <f t="shared" si="527"/>
        <v/>
      </c>
      <c r="N10887" s="11" t="str">
        <f t="shared" si="528"/>
        <v/>
      </c>
    </row>
    <row r="10888" spans="9:14" x14ac:dyDescent="0.25">
      <c r="I10888" s="11" t="b">
        <f t="shared" si="526"/>
        <v>0</v>
      </c>
      <c r="M10888" s="17" t="str">
        <f t="shared" si="527"/>
        <v/>
      </c>
      <c r="N10888" s="11" t="str">
        <f t="shared" si="528"/>
        <v/>
      </c>
    </row>
    <row r="10889" spans="9:14" x14ac:dyDescent="0.25">
      <c r="I10889" s="11" t="b">
        <f t="shared" si="526"/>
        <v>0</v>
      </c>
      <c r="M10889" s="17" t="str">
        <f t="shared" si="527"/>
        <v/>
      </c>
      <c r="N10889" s="11" t="str">
        <f t="shared" si="528"/>
        <v/>
      </c>
    </row>
    <row r="10890" spans="9:14" x14ac:dyDescent="0.25">
      <c r="I10890" s="11" t="b">
        <f t="shared" si="526"/>
        <v>0</v>
      </c>
      <c r="M10890" s="17" t="str">
        <f t="shared" si="527"/>
        <v/>
      </c>
      <c r="N10890" s="11" t="str">
        <f t="shared" si="528"/>
        <v/>
      </c>
    </row>
    <row r="10891" spans="9:14" x14ac:dyDescent="0.25">
      <c r="I10891" s="11" t="b">
        <f t="shared" si="526"/>
        <v>0</v>
      </c>
      <c r="M10891" s="17" t="str">
        <f t="shared" si="527"/>
        <v/>
      </c>
      <c r="N10891" s="11" t="str">
        <f t="shared" si="528"/>
        <v/>
      </c>
    </row>
    <row r="10892" spans="9:14" x14ac:dyDescent="0.25">
      <c r="I10892" s="11" t="b">
        <f t="shared" si="526"/>
        <v>0</v>
      </c>
      <c r="M10892" s="17" t="str">
        <f t="shared" si="527"/>
        <v/>
      </c>
      <c r="N10892" s="11" t="str">
        <f t="shared" si="528"/>
        <v/>
      </c>
    </row>
    <row r="10893" spans="9:14" x14ac:dyDescent="0.25">
      <c r="I10893" s="11" t="b">
        <f t="shared" si="526"/>
        <v>0</v>
      </c>
      <c r="M10893" s="17" t="str">
        <f t="shared" si="527"/>
        <v/>
      </c>
      <c r="N10893" s="11" t="str">
        <f t="shared" si="528"/>
        <v/>
      </c>
    </row>
    <row r="10894" spans="9:14" x14ac:dyDescent="0.25">
      <c r="I10894" s="11" t="b">
        <f t="shared" si="526"/>
        <v>0</v>
      </c>
      <c r="M10894" s="17" t="str">
        <f t="shared" si="527"/>
        <v/>
      </c>
      <c r="N10894" s="11" t="str">
        <f t="shared" si="528"/>
        <v/>
      </c>
    </row>
    <row r="10895" spans="9:14" x14ac:dyDescent="0.25">
      <c r="I10895" s="11" t="b">
        <f t="shared" si="526"/>
        <v>0</v>
      </c>
      <c r="M10895" s="17" t="str">
        <f t="shared" si="527"/>
        <v/>
      </c>
      <c r="N10895" s="11" t="str">
        <f t="shared" si="528"/>
        <v/>
      </c>
    </row>
    <row r="10896" spans="9:14" x14ac:dyDescent="0.25">
      <c r="I10896" s="11" t="b">
        <f t="shared" si="526"/>
        <v>0</v>
      </c>
      <c r="M10896" s="17" t="str">
        <f t="shared" si="527"/>
        <v/>
      </c>
      <c r="N10896" s="11" t="str">
        <f t="shared" si="528"/>
        <v/>
      </c>
    </row>
    <row r="10897" spans="9:14" x14ac:dyDescent="0.25">
      <c r="I10897" s="11" t="b">
        <f t="shared" si="526"/>
        <v>0</v>
      </c>
      <c r="M10897" s="17" t="str">
        <f t="shared" si="527"/>
        <v/>
      </c>
      <c r="N10897" s="11" t="str">
        <f t="shared" si="528"/>
        <v/>
      </c>
    </row>
    <row r="10898" spans="9:14" x14ac:dyDescent="0.25">
      <c r="I10898" s="11" t="b">
        <f t="shared" si="526"/>
        <v>0</v>
      </c>
      <c r="M10898" s="17" t="str">
        <f t="shared" si="527"/>
        <v/>
      </c>
      <c r="N10898" s="11" t="str">
        <f t="shared" si="528"/>
        <v/>
      </c>
    </row>
    <row r="10899" spans="9:14" x14ac:dyDescent="0.25">
      <c r="I10899" s="11" t="b">
        <f t="shared" si="526"/>
        <v>0</v>
      </c>
      <c r="M10899" s="17" t="str">
        <f t="shared" si="527"/>
        <v/>
      </c>
      <c r="N10899" s="11" t="str">
        <f t="shared" si="528"/>
        <v/>
      </c>
    </row>
    <row r="10900" spans="9:14" x14ac:dyDescent="0.25">
      <c r="I10900" s="11" t="b">
        <f t="shared" si="526"/>
        <v>0</v>
      </c>
      <c r="M10900" s="17" t="str">
        <f t="shared" si="527"/>
        <v/>
      </c>
      <c r="N10900" s="11" t="str">
        <f t="shared" si="528"/>
        <v/>
      </c>
    </row>
    <row r="10901" spans="9:14" x14ac:dyDescent="0.25">
      <c r="I10901" s="11" t="b">
        <f t="shared" si="526"/>
        <v>0</v>
      </c>
      <c r="M10901" s="17" t="str">
        <f t="shared" si="527"/>
        <v/>
      </c>
      <c r="N10901" s="11" t="str">
        <f t="shared" si="528"/>
        <v/>
      </c>
    </row>
    <row r="10902" spans="9:14" x14ac:dyDescent="0.25">
      <c r="I10902" s="11" t="b">
        <f t="shared" si="526"/>
        <v>0</v>
      </c>
      <c r="M10902" s="17" t="str">
        <f t="shared" si="527"/>
        <v/>
      </c>
      <c r="N10902" s="11" t="str">
        <f t="shared" si="528"/>
        <v/>
      </c>
    </row>
    <row r="10903" spans="9:14" x14ac:dyDescent="0.25">
      <c r="I10903" s="11" t="b">
        <f t="shared" si="526"/>
        <v>0</v>
      </c>
      <c r="M10903" s="17" t="str">
        <f t="shared" si="527"/>
        <v/>
      </c>
      <c r="N10903" s="11" t="str">
        <f t="shared" si="528"/>
        <v/>
      </c>
    </row>
    <row r="10904" spans="9:14" x14ac:dyDescent="0.25">
      <c r="I10904" s="11" t="b">
        <f t="shared" si="526"/>
        <v>0</v>
      </c>
      <c r="M10904" s="17" t="str">
        <f t="shared" si="527"/>
        <v/>
      </c>
      <c r="N10904" s="11" t="str">
        <f t="shared" si="528"/>
        <v/>
      </c>
    </row>
    <row r="10905" spans="9:14" x14ac:dyDescent="0.25">
      <c r="I10905" s="11" t="b">
        <f t="shared" si="526"/>
        <v>0</v>
      </c>
      <c r="M10905" s="17" t="str">
        <f t="shared" si="527"/>
        <v/>
      </c>
      <c r="N10905" s="11" t="str">
        <f t="shared" si="528"/>
        <v/>
      </c>
    </row>
    <row r="10906" spans="9:14" x14ac:dyDescent="0.25">
      <c r="I10906" s="11" t="b">
        <f t="shared" si="526"/>
        <v>0</v>
      </c>
      <c r="M10906" s="17" t="str">
        <f t="shared" si="527"/>
        <v/>
      </c>
      <c r="N10906" s="11" t="str">
        <f t="shared" si="528"/>
        <v/>
      </c>
    </row>
    <row r="10907" spans="9:14" x14ac:dyDescent="0.25">
      <c r="I10907" s="11" t="b">
        <f t="shared" si="526"/>
        <v>0</v>
      </c>
      <c r="M10907" s="17" t="str">
        <f t="shared" si="527"/>
        <v/>
      </c>
      <c r="N10907" s="11" t="str">
        <f t="shared" si="528"/>
        <v/>
      </c>
    </row>
    <row r="10908" spans="9:14" x14ac:dyDescent="0.25">
      <c r="I10908" s="11" t="b">
        <f t="shared" si="526"/>
        <v>0</v>
      </c>
      <c r="M10908" s="17" t="str">
        <f t="shared" si="527"/>
        <v/>
      </c>
      <c r="N10908" s="11" t="str">
        <f t="shared" si="528"/>
        <v/>
      </c>
    </row>
    <row r="10909" spans="9:14" x14ac:dyDescent="0.25">
      <c r="I10909" s="11" t="b">
        <f t="shared" ref="I10909:I10972" si="529">IF(AND(G10909="MERCADO PAGO",A10909="FATURAMENTO"),1,IF(AND(OR(G10909="MERCADO PAGO",G10909="pix mercado pago",G10909= "débito automático mercado pago", G10909= "boleto mercado pago"),A10909="DESPESAS"),4,IF(AND(G10909="SAFRA",A10909="FATURAMENTO"),2,IF(AND(OR(G10909="SAFRA",G10909="PIX SAFRA", G10909="DÉBITO AUTOMÁTICO SAFRA", G10909= "BOLETO SAFRA", G10909= "transferência safra"), A10909="DESPESAS"),5,IF(AND(G10909="espécie",A10909="FATURAMENTO"),3,IF(AND(G10909="espécie",A10909="DESPESAS"),6))))))</f>
        <v>0</v>
      </c>
      <c r="M10909" s="17" t="str">
        <f t="shared" si="527"/>
        <v/>
      </c>
      <c r="N10909" s="11" t="str">
        <f t="shared" si="528"/>
        <v/>
      </c>
    </row>
    <row r="10910" spans="9:14" x14ac:dyDescent="0.25">
      <c r="I10910" s="11" t="b">
        <f t="shared" si="529"/>
        <v>0</v>
      </c>
      <c r="M10910" s="17" t="str">
        <f t="shared" si="527"/>
        <v/>
      </c>
      <c r="N10910" s="11" t="str">
        <f t="shared" si="528"/>
        <v/>
      </c>
    </row>
    <row r="10911" spans="9:14" x14ac:dyDescent="0.25">
      <c r="I10911" s="11" t="b">
        <f t="shared" si="529"/>
        <v>0</v>
      </c>
      <c r="M10911" s="17" t="str">
        <f t="shared" si="527"/>
        <v/>
      </c>
      <c r="N10911" s="11" t="str">
        <f t="shared" si="528"/>
        <v/>
      </c>
    </row>
    <row r="10912" spans="9:14" x14ac:dyDescent="0.25">
      <c r="I10912" s="11" t="b">
        <f t="shared" si="529"/>
        <v>0</v>
      </c>
      <c r="M10912" s="17" t="str">
        <f t="shared" si="527"/>
        <v/>
      </c>
      <c r="N10912" s="11" t="str">
        <f t="shared" si="528"/>
        <v/>
      </c>
    </row>
    <row r="10913" spans="9:14" x14ac:dyDescent="0.25">
      <c r="I10913" s="11" t="b">
        <f t="shared" si="529"/>
        <v>0</v>
      </c>
      <c r="M10913" s="17" t="str">
        <f t="shared" si="527"/>
        <v/>
      </c>
      <c r="N10913" s="11" t="str">
        <f t="shared" si="528"/>
        <v/>
      </c>
    </row>
    <row r="10914" spans="9:14" x14ac:dyDescent="0.25">
      <c r="I10914" s="11" t="b">
        <f t="shared" si="529"/>
        <v>0</v>
      </c>
      <c r="M10914" s="17" t="str">
        <f t="shared" si="527"/>
        <v/>
      </c>
      <c r="N10914" s="11" t="str">
        <f t="shared" si="528"/>
        <v/>
      </c>
    </row>
    <row r="10915" spans="9:14" x14ac:dyDescent="0.25">
      <c r="I10915" s="11" t="b">
        <f t="shared" si="529"/>
        <v>0</v>
      </c>
      <c r="M10915" s="17" t="str">
        <f t="shared" si="527"/>
        <v/>
      </c>
      <c r="N10915" s="11" t="str">
        <f t="shared" si="528"/>
        <v/>
      </c>
    </row>
    <row r="10916" spans="9:14" x14ac:dyDescent="0.25">
      <c r="I10916" s="11" t="b">
        <f t="shared" si="529"/>
        <v>0</v>
      </c>
      <c r="M10916" s="17" t="str">
        <f t="shared" si="527"/>
        <v/>
      </c>
      <c r="N10916" s="11" t="str">
        <f t="shared" si="528"/>
        <v/>
      </c>
    </row>
    <row r="10917" spans="9:14" x14ac:dyDescent="0.25">
      <c r="I10917" s="11" t="b">
        <f t="shared" si="529"/>
        <v>0</v>
      </c>
      <c r="M10917" s="17" t="str">
        <f t="shared" si="527"/>
        <v/>
      </c>
      <c r="N10917" s="11" t="str">
        <f t="shared" si="528"/>
        <v/>
      </c>
    </row>
    <row r="10918" spans="9:14" x14ac:dyDescent="0.25">
      <c r="I10918" s="11" t="b">
        <f t="shared" si="529"/>
        <v>0</v>
      </c>
      <c r="M10918" s="17" t="str">
        <f t="shared" si="527"/>
        <v/>
      </c>
      <c r="N10918" s="11" t="str">
        <f t="shared" si="528"/>
        <v/>
      </c>
    </row>
    <row r="10919" spans="9:14" x14ac:dyDescent="0.25">
      <c r="I10919" s="11" t="b">
        <f t="shared" si="529"/>
        <v>0</v>
      </c>
      <c r="M10919" s="17" t="str">
        <f t="shared" si="527"/>
        <v/>
      </c>
      <c r="N10919" s="11" t="str">
        <f t="shared" si="528"/>
        <v/>
      </c>
    </row>
    <row r="10920" spans="9:14" x14ac:dyDescent="0.25">
      <c r="I10920" s="11" t="b">
        <f t="shared" si="529"/>
        <v>0</v>
      </c>
      <c r="M10920" s="17" t="str">
        <f t="shared" si="527"/>
        <v/>
      </c>
      <c r="N10920" s="11" t="str">
        <f t="shared" si="528"/>
        <v/>
      </c>
    </row>
    <row r="10921" spans="9:14" x14ac:dyDescent="0.25">
      <c r="I10921" s="11" t="b">
        <f t="shared" si="529"/>
        <v>0</v>
      </c>
      <c r="M10921" s="17" t="str">
        <f t="shared" si="527"/>
        <v/>
      </c>
      <c r="N10921" s="11" t="str">
        <f t="shared" si="528"/>
        <v/>
      </c>
    </row>
    <row r="10922" spans="9:14" x14ac:dyDescent="0.25">
      <c r="I10922" s="11" t="b">
        <f t="shared" si="529"/>
        <v>0</v>
      </c>
      <c r="M10922" s="17" t="str">
        <f t="shared" si="527"/>
        <v/>
      </c>
      <c r="N10922" s="11" t="str">
        <f t="shared" si="528"/>
        <v/>
      </c>
    </row>
    <row r="10923" spans="9:14" x14ac:dyDescent="0.25">
      <c r="I10923" s="11" t="b">
        <f t="shared" si="529"/>
        <v>0</v>
      </c>
      <c r="M10923" s="17" t="str">
        <f t="shared" si="527"/>
        <v/>
      </c>
      <c r="N10923" s="11" t="str">
        <f t="shared" si="528"/>
        <v/>
      </c>
    </row>
    <row r="10924" spans="9:14" x14ac:dyDescent="0.25">
      <c r="I10924" s="11" t="b">
        <f t="shared" si="529"/>
        <v>0</v>
      </c>
      <c r="M10924" s="17" t="str">
        <f t="shared" si="527"/>
        <v/>
      </c>
      <c r="N10924" s="11" t="str">
        <f t="shared" si="528"/>
        <v/>
      </c>
    </row>
    <row r="10925" spans="9:14" x14ac:dyDescent="0.25">
      <c r="I10925" s="11" t="b">
        <f t="shared" si="529"/>
        <v>0</v>
      </c>
      <c r="M10925" s="17" t="str">
        <f t="shared" si="527"/>
        <v/>
      </c>
      <c r="N10925" s="11" t="str">
        <f t="shared" si="528"/>
        <v/>
      </c>
    </row>
    <row r="10926" spans="9:14" x14ac:dyDescent="0.25">
      <c r="I10926" s="11" t="b">
        <f t="shared" si="529"/>
        <v>0</v>
      </c>
      <c r="M10926" s="17" t="str">
        <f t="shared" si="527"/>
        <v/>
      </c>
      <c r="N10926" s="11" t="str">
        <f t="shared" si="528"/>
        <v/>
      </c>
    </row>
    <row r="10927" spans="9:14" x14ac:dyDescent="0.25">
      <c r="I10927" s="11" t="b">
        <f t="shared" si="529"/>
        <v>0</v>
      </c>
      <c r="M10927" s="17" t="str">
        <f t="shared" si="527"/>
        <v/>
      </c>
      <c r="N10927" s="11" t="str">
        <f t="shared" si="528"/>
        <v/>
      </c>
    </row>
    <row r="10928" spans="9:14" x14ac:dyDescent="0.25">
      <c r="I10928" s="11" t="b">
        <f t="shared" si="529"/>
        <v>0</v>
      </c>
      <c r="M10928" s="17" t="str">
        <f t="shared" si="527"/>
        <v/>
      </c>
      <c r="N10928" s="11" t="str">
        <f t="shared" si="528"/>
        <v/>
      </c>
    </row>
    <row r="10929" spans="9:14" x14ac:dyDescent="0.25">
      <c r="I10929" s="11" t="b">
        <f t="shared" si="529"/>
        <v>0</v>
      </c>
      <c r="M10929" s="17" t="str">
        <f t="shared" si="527"/>
        <v/>
      </c>
      <c r="N10929" s="11" t="str">
        <f t="shared" si="528"/>
        <v/>
      </c>
    </row>
    <row r="10930" spans="9:14" x14ac:dyDescent="0.25">
      <c r="I10930" s="11" t="b">
        <f t="shared" si="529"/>
        <v>0</v>
      </c>
      <c r="M10930" s="17" t="str">
        <f t="shared" si="527"/>
        <v/>
      </c>
      <c r="N10930" s="11" t="str">
        <f t="shared" si="528"/>
        <v/>
      </c>
    </row>
    <row r="10931" spans="9:14" x14ac:dyDescent="0.25">
      <c r="I10931" s="11" t="b">
        <f t="shared" si="529"/>
        <v>0</v>
      </c>
      <c r="M10931" s="17" t="str">
        <f t="shared" si="527"/>
        <v/>
      </c>
      <c r="N10931" s="11" t="str">
        <f t="shared" si="528"/>
        <v/>
      </c>
    </row>
    <row r="10932" spans="9:14" x14ac:dyDescent="0.25">
      <c r="I10932" s="11" t="b">
        <f t="shared" si="529"/>
        <v>0</v>
      </c>
      <c r="M10932" s="17" t="str">
        <f t="shared" si="527"/>
        <v/>
      </c>
      <c r="N10932" s="11" t="str">
        <f t="shared" si="528"/>
        <v/>
      </c>
    </row>
    <row r="10933" spans="9:14" x14ac:dyDescent="0.25">
      <c r="I10933" s="11" t="b">
        <f t="shared" si="529"/>
        <v>0</v>
      </c>
      <c r="M10933" s="17" t="str">
        <f t="shared" si="527"/>
        <v/>
      </c>
      <c r="N10933" s="11" t="str">
        <f t="shared" si="528"/>
        <v/>
      </c>
    </row>
    <row r="10934" spans="9:14" x14ac:dyDescent="0.25">
      <c r="I10934" s="11" t="b">
        <f t="shared" si="529"/>
        <v>0</v>
      </c>
      <c r="M10934" s="17" t="str">
        <f t="shared" si="527"/>
        <v/>
      </c>
      <c r="N10934" s="11" t="str">
        <f t="shared" si="528"/>
        <v/>
      </c>
    </row>
    <row r="10935" spans="9:14" x14ac:dyDescent="0.25">
      <c r="I10935" s="11" t="b">
        <f t="shared" si="529"/>
        <v>0</v>
      </c>
      <c r="M10935" s="17" t="str">
        <f t="shared" si="527"/>
        <v/>
      </c>
      <c r="N10935" s="11" t="str">
        <f t="shared" si="528"/>
        <v/>
      </c>
    </row>
    <row r="10936" spans="9:14" x14ac:dyDescent="0.25">
      <c r="I10936" s="11" t="b">
        <f t="shared" si="529"/>
        <v>0</v>
      </c>
      <c r="M10936" s="17" t="str">
        <f t="shared" si="527"/>
        <v/>
      </c>
      <c r="N10936" s="11" t="str">
        <f t="shared" si="528"/>
        <v/>
      </c>
    </row>
    <row r="10937" spans="9:14" x14ac:dyDescent="0.25">
      <c r="I10937" s="11" t="b">
        <f t="shared" si="529"/>
        <v>0</v>
      </c>
      <c r="M10937" s="17" t="str">
        <f t="shared" si="527"/>
        <v/>
      </c>
      <c r="N10937" s="11" t="str">
        <f t="shared" si="528"/>
        <v/>
      </c>
    </row>
    <row r="10938" spans="9:14" x14ac:dyDescent="0.25">
      <c r="I10938" s="11" t="b">
        <f t="shared" si="529"/>
        <v>0</v>
      </c>
      <c r="M10938" s="17" t="str">
        <f t="shared" si="527"/>
        <v/>
      </c>
      <c r="N10938" s="11" t="str">
        <f t="shared" si="528"/>
        <v/>
      </c>
    </row>
    <row r="10939" spans="9:14" x14ac:dyDescent="0.25">
      <c r="I10939" s="11" t="b">
        <f t="shared" si="529"/>
        <v>0</v>
      </c>
      <c r="M10939" s="17" t="str">
        <f t="shared" si="527"/>
        <v/>
      </c>
      <c r="N10939" s="11" t="str">
        <f t="shared" si="528"/>
        <v/>
      </c>
    </row>
    <row r="10940" spans="9:14" x14ac:dyDescent="0.25">
      <c r="I10940" s="11" t="b">
        <f t="shared" si="529"/>
        <v>0</v>
      </c>
      <c r="M10940" s="17" t="str">
        <f t="shared" si="527"/>
        <v/>
      </c>
      <c r="N10940" s="11" t="str">
        <f t="shared" si="528"/>
        <v/>
      </c>
    </row>
    <row r="10941" spans="9:14" x14ac:dyDescent="0.25">
      <c r="I10941" s="11" t="b">
        <f t="shared" si="529"/>
        <v>0</v>
      </c>
      <c r="M10941" s="17" t="str">
        <f t="shared" si="527"/>
        <v/>
      </c>
      <c r="N10941" s="11" t="str">
        <f t="shared" si="528"/>
        <v/>
      </c>
    </row>
    <row r="10942" spans="9:14" x14ac:dyDescent="0.25">
      <c r="I10942" s="11" t="b">
        <f t="shared" si="529"/>
        <v>0</v>
      </c>
      <c r="M10942" s="17" t="str">
        <f t="shared" si="527"/>
        <v/>
      </c>
      <c r="N10942" s="11" t="str">
        <f t="shared" si="528"/>
        <v/>
      </c>
    </row>
    <row r="10943" spans="9:14" x14ac:dyDescent="0.25">
      <c r="I10943" s="11" t="b">
        <f t="shared" si="529"/>
        <v>0</v>
      </c>
      <c r="M10943" s="17" t="str">
        <f t="shared" si="527"/>
        <v/>
      </c>
      <c r="N10943" s="11" t="str">
        <f t="shared" si="528"/>
        <v/>
      </c>
    </row>
    <row r="10944" spans="9:14" x14ac:dyDescent="0.25">
      <c r="I10944" s="11" t="b">
        <f t="shared" si="529"/>
        <v>0</v>
      </c>
      <c r="M10944" s="17" t="str">
        <f t="shared" si="527"/>
        <v/>
      </c>
      <c r="N10944" s="11" t="str">
        <f t="shared" si="528"/>
        <v/>
      </c>
    </row>
    <row r="10945" spans="9:14" x14ac:dyDescent="0.25">
      <c r="I10945" s="11" t="b">
        <f t="shared" si="529"/>
        <v>0</v>
      </c>
      <c r="M10945" s="17" t="str">
        <f t="shared" ref="M10945:M11008" si="530">IF(B10945=0, "",M10944+ J10945-K10945)</f>
        <v/>
      </c>
      <c r="N10945" s="11" t="str">
        <f t="shared" ref="N10945:N11008" si="531">IF(B10945=0, "", MONTH(B10945))</f>
        <v/>
      </c>
    </row>
    <row r="10946" spans="9:14" x14ac:dyDescent="0.25">
      <c r="I10946" s="11" t="b">
        <f t="shared" si="529"/>
        <v>0</v>
      </c>
      <c r="M10946" s="17" t="str">
        <f t="shared" si="530"/>
        <v/>
      </c>
      <c r="N10946" s="11" t="str">
        <f t="shared" si="531"/>
        <v/>
      </c>
    </row>
    <row r="10947" spans="9:14" x14ac:dyDescent="0.25">
      <c r="I10947" s="11" t="b">
        <f t="shared" si="529"/>
        <v>0</v>
      </c>
      <c r="M10947" s="17" t="str">
        <f t="shared" si="530"/>
        <v/>
      </c>
      <c r="N10947" s="11" t="str">
        <f t="shared" si="531"/>
        <v/>
      </c>
    </row>
    <row r="10948" spans="9:14" x14ac:dyDescent="0.25">
      <c r="I10948" s="11" t="b">
        <f t="shared" si="529"/>
        <v>0</v>
      </c>
      <c r="M10948" s="17" t="str">
        <f t="shared" si="530"/>
        <v/>
      </c>
      <c r="N10948" s="11" t="str">
        <f t="shared" si="531"/>
        <v/>
      </c>
    </row>
    <row r="10949" spans="9:14" x14ac:dyDescent="0.25">
      <c r="I10949" s="11" t="b">
        <f t="shared" si="529"/>
        <v>0</v>
      </c>
      <c r="M10949" s="17" t="str">
        <f t="shared" si="530"/>
        <v/>
      </c>
      <c r="N10949" s="11" t="str">
        <f t="shared" si="531"/>
        <v/>
      </c>
    </row>
    <row r="10950" spans="9:14" x14ac:dyDescent="0.25">
      <c r="I10950" s="11" t="b">
        <f t="shared" si="529"/>
        <v>0</v>
      </c>
      <c r="M10950" s="17" t="str">
        <f t="shared" si="530"/>
        <v/>
      </c>
      <c r="N10950" s="11" t="str">
        <f t="shared" si="531"/>
        <v/>
      </c>
    </row>
    <row r="10951" spans="9:14" x14ac:dyDescent="0.25">
      <c r="I10951" s="11" t="b">
        <f t="shared" si="529"/>
        <v>0</v>
      </c>
      <c r="M10951" s="17" t="str">
        <f t="shared" si="530"/>
        <v/>
      </c>
      <c r="N10951" s="11" t="str">
        <f t="shared" si="531"/>
        <v/>
      </c>
    </row>
    <row r="10952" spans="9:14" x14ac:dyDescent="0.25">
      <c r="I10952" s="11" t="b">
        <f t="shared" si="529"/>
        <v>0</v>
      </c>
      <c r="M10952" s="17" t="str">
        <f t="shared" si="530"/>
        <v/>
      </c>
      <c r="N10952" s="11" t="str">
        <f t="shared" si="531"/>
        <v/>
      </c>
    </row>
    <row r="10953" spans="9:14" x14ac:dyDescent="0.25">
      <c r="I10953" s="11" t="b">
        <f t="shared" si="529"/>
        <v>0</v>
      </c>
      <c r="M10953" s="17" t="str">
        <f t="shared" si="530"/>
        <v/>
      </c>
      <c r="N10953" s="11" t="str">
        <f t="shared" si="531"/>
        <v/>
      </c>
    </row>
    <row r="10954" spans="9:14" x14ac:dyDescent="0.25">
      <c r="I10954" s="11" t="b">
        <f t="shared" si="529"/>
        <v>0</v>
      </c>
      <c r="M10954" s="17" t="str">
        <f t="shared" si="530"/>
        <v/>
      </c>
      <c r="N10954" s="11" t="str">
        <f t="shared" si="531"/>
        <v/>
      </c>
    </row>
    <row r="10955" spans="9:14" x14ac:dyDescent="0.25">
      <c r="I10955" s="11" t="b">
        <f t="shared" si="529"/>
        <v>0</v>
      </c>
      <c r="M10955" s="17" t="str">
        <f t="shared" si="530"/>
        <v/>
      </c>
      <c r="N10955" s="11" t="str">
        <f t="shared" si="531"/>
        <v/>
      </c>
    </row>
    <row r="10956" spans="9:14" x14ac:dyDescent="0.25">
      <c r="I10956" s="11" t="b">
        <f t="shared" si="529"/>
        <v>0</v>
      </c>
      <c r="M10956" s="17" t="str">
        <f t="shared" si="530"/>
        <v/>
      </c>
      <c r="N10956" s="11" t="str">
        <f t="shared" si="531"/>
        <v/>
      </c>
    </row>
    <row r="10957" spans="9:14" x14ac:dyDescent="0.25">
      <c r="I10957" s="11" t="b">
        <f t="shared" si="529"/>
        <v>0</v>
      </c>
      <c r="M10957" s="17" t="str">
        <f t="shared" si="530"/>
        <v/>
      </c>
      <c r="N10957" s="11" t="str">
        <f t="shared" si="531"/>
        <v/>
      </c>
    </row>
    <row r="10958" spans="9:14" x14ac:dyDescent="0.25">
      <c r="I10958" s="11" t="b">
        <f t="shared" si="529"/>
        <v>0</v>
      </c>
      <c r="M10958" s="17" t="str">
        <f t="shared" si="530"/>
        <v/>
      </c>
      <c r="N10958" s="11" t="str">
        <f t="shared" si="531"/>
        <v/>
      </c>
    </row>
    <row r="10959" spans="9:14" x14ac:dyDescent="0.25">
      <c r="I10959" s="11" t="b">
        <f t="shared" si="529"/>
        <v>0</v>
      </c>
      <c r="M10959" s="17" t="str">
        <f t="shared" si="530"/>
        <v/>
      </c>
      <c r="N10959" s="11" t="str">
        <f t="shared" si="531"/>
        <v/>
      </c>
    </row>
    <row r="10960" spans="9:14" x14ac:dyDescent="0.25">
      <c r="I10960" s="11" t="b">
        <f t="shared" si="529"/>
        <v>0</v>
      </c>
      <c r="M10960" s="17" t="str">
        <f t="shared" si="530"/>
        <v/>
      </c>
      <c r="N10960" s="11" t="str">
        <f t="shared" si="531"/>
        <v/>
      </c>
    </row>
    <row r="10961" spans="9:14" x14ac:dyDescent="0.25">
      <c r="I10961" s="11" t="b">
        <f t="shared" si="529"/>
        <v>0</v>
      </c>
      <c r="M10961" s="17" t="str">
        <f t="shared" si="530"/>
        <v/>
      </c>
      <c r="N10961" s="11" t="str">
        <f t="shared" si="531"/>
        <v/>
      </c>
    </row>
    <row r="10962" spans="9:14" x14ac:dyDescent="0.25">
      <c r="I10962" s="11" t="b">
        <f t="shared" si="529"/>
        <v>0</v>
      </c>
      <c r="M10962" s="17" t="str">
        <f t="shared" si="530"/>
        <v/>
      </c>
      <c r="N10962" s="11" t="str">
        <f t="shared" si="531"/>
        <v/>
      </c>
    </row>
    <row r="10963" spans="9:14" x14ac:dyDescent="0.25">
      <c r="I10963" s="11" t="b">
        <f t="shared" si="529"/>
        <v>0</v>
      </c>
      <c r="M10963" s="17" t="str">
        <f t="shared" si="530"/>
        <v/>
      </c>
      <c r="N10963" s="11" t="str">
        <f t="shared" si="531"/>
        <v/>
      </c>
    </row>
    <row r="10964" spans="9:14" x14ac:dyDescent="0.25">
      <c r="I10964" s="11" t="b">
        <f t="shared" si="529"/>
        <v>0</v>
      </c>
      <c r="M10964" s="17" t="str">
        <f t="shared" si="530"/>
        <v/>
      </c>
      <c r="N10964" s="11" t="str">
        <f t="shared" si="531"/>
        <v/>
      </c>
    </row>
    <row r="10965" spans="9:14" x14ac:dyDescent="0.25">
      <c r="I10965" s="11" t="b">
        <f t="shared" si="529"/>
        <v>0</v>
      </c>
      <c r="M10965" s="17" t="str">
        <f t="shared" si="530"/>
        <v/>
      </c>
      <c r="N10965" s="11" t="str">
        <f t="shared" si="531"/>
        <v/>
      </c>
    </row>
    <row r="10966" spans="9:14" x14ac:dyDescent="0.25">
      <c r="I10966" s="11" t="b">
        <f t="shared" si="529"/>
        <v>0</v>
      </c>
      <c r="M10966" s="17" t="str">
        <f t="shared" si="530"/>
        <v/>
      </c>
      <c r="N10966" s="11" t="str">
        <f t="shared" si="531"/>
        <v/>
      </c>
    </row>
    <row r="10967" spans="9:14" x14ac:dyDescent="0.25">
      <c r="I10967" s="11" t="b">
        <f t="shared" si="529"/>
        <v>0</v>
      </c>
      <c r="M10967" s="17" t="str">
        <f t="shared" si="530"/>
        <v/>
      </c>
      <c r="N10967" s="11" t="str">
        <f t="shared" si="531"/>
        <v/>
      </c>
    </row>
    <row r="10968" spans="9:14" x14ac:dyDescent="0.25">
      <c r="I10968" s="11" t="b">
        <f t="shared" si="529"/>
        <v>0</v>
      </c>
      <c r="M10968" s="17" t="str">
        <f t="shared" si="530"/>
        <v/>
      </c>
      <c r="N10968" s="11" t="str">
        <f t="shared" si="531"/>
        <v/>
      </c>
    </row>
    <row r="10969" spans="9:14" x14ac:dyDescent="0.25">
      <c r="I10969" s="11" t="b">
        <f t="shared" si="529"/>
        <v>0</v>
      </c>
      <c r="M10969" s="17" t="str">
        <f t="shared" si="530"/>
        <v/>
      </c>
      <c r="N10969" s="11" t="str">
        <f t="shared" si="531"/>
        <v/>
      </c>
    </row>
    <row r="10970" spans="9:14" x14ac:dyDescent="0.25">
      <c r="I10970" s="11" t="b">
        <f t="shared" si="529"/>
        <v>0</v>
      </c>
      <c r="M10970" s="17" t="str">
        <f t="shared" si="530"/>
        <v/>
      </c>
      <c r="N10970" s="11" t="str">
        <f t="shared" si="531"/>
        <v/>
      </c>
    </row>
    <row r="10971" spans="9:14" x14ac:dyDescent="0.25">
      <c r="I10971" s="11" t="b">
        <f t="shared" si="529"/>
        <v>0</v>
      </c>
      <c r="M10971" s="17" t="str">
        <f t="shared" si="530"/>
        <v/>
      </c>
      <c r="N10971" s="11" t="str">
        <f t="shared" si="531"/>
        <v/>
      </c>
    </row>
    <row r="10972" spans="9:14" x14ac:dyDescent="0.25">
      <c r="I10972" s="11" t="b">
        <f t="shared" si="529"/>
        <v>0</v>
      </c>
      <c r="M10972" s="17" t="str">
        <f t="shared" si="530"/>
        <v/>
      </c>
      <c r="N10972" s="11" t="str">
        <f t="shared" si="531"/>
        <v/>
      </c>
    </row>
    <row r="10973" spans="9:14" x14ac:dyDescent="0.25">
      <c r="I10973" s="11" t="b">
        <f t="shared" ref="I10973:I11036" si="532">IF(AND(G10973="MERCADO PAGO",A10973="FATURAMENTO"),1,IF(AND(OR(G10973="MERCADO PAGO",G10973="pix mercado pago",G10973= "débito automático mercado pago", G10973= "boleto mercado pago"),A10973="DESPESAS"),4,IF(AND(G10973="SAFRA",A10973="FATURAMENTO"),2,IF(AND(OR(G10973="SAFRA",G10973="PIX SAFRA", G10973="DÉBITO AUTOMÁTICO SAFRA", G10973= "BOLETO SAFRA", G10973= "transferência safra"), A10973="DESPESAS"),5,IF(AND(G10973="espécie",A10973="FATURAMENTO"),3,IF(AND(G10973="espécie",A10973="DESPESAS"),6))))))</f>
        <v>0</v>
      </c>
      <c r="M10973" s="17" t="str">
        <f t="shared" si="530"/>
        <v/>
      </c>
      <c r="N10973" s="11" t="str">
        <f t="shared" si="531"/>
        <v/>
      </c>
    </row>
    <row r="10974" spans="9:14" x14ac:dyDescent="0.25">
      <c r="I10974" s="11" t="b">
        <f t="shared" si="532"/>
        <v>0</v>
      </c>
      <c r="M10974" s="17" t="str">
        <f t="shared" si="530"/>
        <v/>
      </c>
      <c r="N10974" s="11" t="str">
        <f t="shared" si="531"/>
        <v/>
      </c>
    </row>
    <row r="10975" spans="9:14" x14ac:dyDescent="0.25">
      <c r="I10975" s="11" t="b">
        <f t="shared" si="532"/>
        <v>0</v>
      </c>
      <c r="M10975" s="17" t="str">
        <f t="shared" si="530"/>
        <v/>
      </c>
      <c r="N10975" s="11" t="str">
        <f t="shared" si="531"/>
        <v/>
      </c>
    </row>
    <row r="10976" spans="9:14" x14ac:dyDescent="0.25">
      <c r="I10976" s="11" t="b">
        <f t="shared" si="532"/>
        <v>0</v>
      </c>
      <c r="M10976" s="17" t="str">
        <f t="shared" si="530"/>
        <v/>
      </c>
      <c r="N10976" s="11" t="str">
        <f t="shared" si="531"/>
        <v/>
      </c>
    </row>
    <row r="10977" spans="9:14" x14ac:dyDescent="0.25">
      <c r="I10977" s="11" t="b">
        <f t="shared" si="532"/>
        <v>0</v>
      </c>
      <c r="M10977" s="17" t="str">
        <f t="shared" si="530"/>
        <v/>
      </c>
      <c r="N10977" s="11" t="str">
        <f t="shared" si="531"/>
        <v/>
      </c>
    </row>
    <row r="10978" spans="9:14" x14ac:dyDescent="0.25">
      <c r="I10978" s="11" t="b">
        <f t="shared" si="532"/>
        <v>0</v>
      </c>
      <c r="M10978" s="17" t="str">
        <f t="shared" si="530"/>
        <v/>
      </c>
      <c r="N10978" s="11" t="str">
        <f t="shared" si="531"/>
        <v/>
      </c>
    </row>
    <row r="10979" spans="9:14" x14ac:dyDescent="0.25">
      <c r="I10979" s="11" t="b">
        <f t="shared" si="532"/>
        <v>0</v>
      </c>
      <c r="M10979" s="17" t="str">
        <f t="shared" si="530"/>
        <v/>
      </c>
      <c r="N10979" s="11" t="str">
        <f t="shared" si="531"/>
        <v/>
      </c>
    </row>
    <row r="10980" spans="9:14" x14ac:dyDescent="0.25">
      <c r="I10980" s="11" t="b">
        <f t="shared" si="532"/>
        <v>0</v>
      </c>
      <c r="M10980" s="17" t="str">
        <f t="shared" si="530"/>
        <v/>
      </c>
      <c r="N10980" s="11" t="str">
        <f t="shared" si="531"/>
        <v/>
      </c>
    </row>
    <row r="10981" spans="9:14" x14ac:dyDescent="0.25">
      <c r="I10981" s="11" t="b">
        <f t="shared" si="532"/>
        <v>0</v>
      </c>
      <c r="M10981" s="17" t="str">
        <f t="shared" si="530"/>
        <v/>
      </c>
      <c r="N10981" s="11" t="str">
        <f t="shared" si="531"/>
        <v/>
      </c>
    </row>
    <row r="10982" spans="9:14" x14ac:dyDescent="0.25">
      <c r="I10982" s="11" t="b">
        <f t="shared" si="532"/>
        <v>0</v>
      </c>
      <c r="M10982" s="17" t="str">
        <f t="shared" si="530"/>
        <v/>
      </c>
      <c r="N10982" s="11" t="str">
        <f t="shared" si="531"/>
        <v/>
      </c>
    </row>
    <row r="10983" spans="9:14" x14ac:dyDescent="0.25">
      <c r="I10983" s="11" t="b">
        <f t="shared" si="532"/>
        <v>0</v>
      </c>
      <c r="M10983" s="17" t="str">
        <f t="shared" si="530"/>
        <v/>
      </c>
      <c r="N10983" s="11" t="str">
        <f t="shared" si="531"/>
        <v/>
      </c>
    </row>
    <row r="10984" spans="9:14" x14ac:dyDescent="0.25">
      <c r="I10984" s="11" t="b">
        <f t="shared" si="532"/>
        <v>0</v>
      </c>
      <c r="M10984" s="17" t="str">
        <f t="shared" si="530"/>
        <v/>
      </c>
      <c r="N10984" s="11" t="str">
        <f t="shared" si="531"/>
        <v/>
      </c>
    </row>
    <row r="10985" spans="9:14" x14ac:dyDescent="0.25">
      <c r="I10985" s="11" t="b">
        <f t="shared" si="532"/>
        <v>0</v>
      </c>
      <c r="M10985" s="17" t="str">
        <f t="shared" si="530"/>
        <v/>
      </c>
      <c r="N10985" s="11" t="str">
        <f t="shared" si="531"/>
        <v/>
      </c>
    </row>
    <row r="10986" spans="9:14" x14ac:dyDescent="0.25">
      <c r="I10986" s="11" t="b">
        <f t="shared" si="532"/>
        <v>0</v>
      </c>
      <c r="M10986" s="17" t="str">
        <f t="shared" si="530"/>
        <v/>
      </c>
      <c r="N10986" s="11" t="str">
        <f t="shared" si="531"/>
        <v/>
      </c>
    </row>
    <row r="10987" spans="9:14" x14ac:dyDescent="0.25">
      <c r="I10987" s="11" t="b">
        <f t="shared" si="532"/>
        <v>0</v>
      </c>
      <c r="M10987" s="17" t="str">
        <f t="shared" si="530"/>
        <v/>
      </c>
      <c r="N10987" s="11" t="str">
        <f t="shared" si="531"/>
        <v/>
      </c>
    </row>
    <row r="10988" spans="9:14" x14ac:dyDescent="0.25">
      <c r="I10988" s="11" t="b">
        <f t="shared" si="532"/>
        <v>0</v>
      </c>
      <c r="M10988" s="17" t="str">
        <f t="shared" si="530"/>
        <v/>
      </c>
      <c r="N10988" s="11" t="str">
        <f t="shared" si="531"/>
        <v/>
      </c>
    </row>
    <row r="10989" spans="9:14" x14ac:dyDescent="0.25">
      <c r="I10989" s="11" t="b">
        <f t="shared" si="532"/>
        <v>0</v>
      </c>
      <c r="M10989" s="17" t="str">
        <f t="shared" si="530"/>
        <v/>
      </c>
      <c r="N10989" s="11" t="str">
        <f t="shared" si="531"/>
        <v/>
      </c>
    </row>
    <row r="10990" spans="9:14" x14ac:dyDescent="0.25">
      <c r="I10990" s="11" t="b">
        <f t="shared" si="532"/>
        <v>0</v>
      </c>
      <c r="M10990" s="17" t="str">
        <f t="shared" si="530"/>
        <v/>
      </c>
      <c r="N10990" s="11" t="str">
        <f t="shared" si="531"/>
        <v/>
      </c>
    </row>
    <row r="10991" spans="9:14" x14ac:dyDescent="0.25">
      <c r="I10991" s="11" t="b">
        <f t="shared" si="532"/>
        <v>0</v>
      </c>
      <c r="M10991" s="17" t="str">
        <f t="shared" si="530"/>
        <v/>
      </c>
      <c r="N10991" s="11" t="str">
        <f t="shared" si="531"/>
        <v/>
      </c>
    </row>
    <row r="10992" spans="9:14" x14ac:dyDescent="0.25">
      <c r="I10992" s="11" t="b">
        <f t="shared" si="532"/>
        <v>0</v>
      </c>
      <c r="M10992" s="17" t="str">
        <f t="shared" si="530"/>
        <v/>
      </c>
      <c r="N10992" s="11" t="str">
        <f t="shared" si="531"/>
        <v/>
      </c>
    </row>
    <row r="10993" spans="9:14" x14ac:dyDescent="0.25">
      <c r="I10993" s="11" t="b">
        <f t="shared" si="532"/>
        <v>0</v>
      </c>
      <c r="M10993" s="17" t="str">
        <f t="shared" si="530"/>
        <v/>
      </c>
      <c r="N10993" s="11" t="str">
        <f t="shared" si="531"/>
        <v/>
      </c>
    </row>
    <row r="10994" spans="9:14" x14ac:dyDescent="0.25">
      <c r="I10994" s="11" t="b">
        <f t="shared" si="532"/>
        <v>0</v>
      </c>
      <c r="M10994" s="17" t="str">
        <f t="shared" si="530"/>
        <v/>
      </c>
      <c r="N10994" s="11" t="str">
        <f t="shared" si="531"/>
        <v/>
      </c>
    </row>
    <row r="10995" spans="9:14" x14ac:dyDescent="0.25">
      <c r="I10995" s="11" t="b">
        <f t="shared" si="532"/>
        <v>0</v>
      </c>
      <c r="M10995" s="17" t="str">
        <f t="shared" si="530"/>
        <v/>
      </c>
      <c r="N10995" s="11" t="str">
        <f t="shared" si="531"/>
        <v/>
      </c>
    </row>
    <row r="10996" spans="9:14" x14ac:dyDescent="0.25">
      <c r="I10996" s="11" t="b">
        <f t="shared" si="532"/>
        <v>0</v>
      </c>
      <c r="M10996" s="17" t="str">
        <f t="shared" si="530"/>
        <v/>
      </c>
      <c r="N10996" s="11" t="str">
        <f t="shared" si="531"/>
        <v/>
      </c>
    </row>
    <row r="10997" spans="9:14" x14ac:dyDescent="0.25">
      <c r="I10997" s="11" t="b">
        <f t="shared" si="532"/>
        <v>0</v>
      </c>
      <c r="M10997" s="17" t="str">
        <f t="shared" si="530"/>
        <v/>
      </c>
      <c r="N10997" s="11" t="str">
        <f t="shared" si="531"/>
        <v/>
      </c>
    </row>
    <row r="10998" spans="9:14" x14ac:dyDescent="0.25">
      <c r="I10998" s="11" t="b">
        <f t="shared" si="532"/>
        <v>0</v>
      </c>
      <c r="M10998" s="17" t="str">
        <f t="shared" si="530"/>
        <v/>
      </c>
      <c r="N10998" s="11" t="str">
        <f t="shared" si="531"/>
        <v/>
      </c>
    </row>
    <row r="10999" spans="9:14" x14ac:dyDescent="0.25">
      <c r="I10999" s="11" t="b">
        <f t="shared" si="532"/>
        <v>0</v>
      </c>
      <c r="M10999" s="17" t="str">
        <f t="shared" si="530"/>
        <v/>
      </c>
      <c r="N10999" s="11" t="str">
        <f t="shared" si="531"/>
        <v/>
      </c>
    </row>
    <row r="11000" spans="9:14" x14ac:dyDescent="0.25">
      <c r="I11000" s="11" t="b">
        <f t="shared" si="532"/>
        <v>0</v>
      </c>
      <c r="M11000" s="17" t="str">
        <f t="shared" si="530"/>
        <v/>
      </c>
      <c r="N11000" s="11" t="str">
        <f t="shared" si="531"/>
        <v/>
      </c>
    </row>
    <row r="11001" spans="9:14" x14ac:dyDescent="0.25">
      <c r="I11001" s="11" t="b">
        <f t="shared" si="532"/>
        <v>0</v>
      </c>
      <c r="M11001" s="17" t="str">
        <f t="shared" si="530"/>
        <v/>
      </c>
      <c r="N11001" s="11" t="str">
        <f t="shared" si="531"/>
        <v/>
      </c>
    </row>
    <row r="11002" spans="9:14" x14ac:dyDescent="0.25">
      <c r="I11002" s="11" t="b">
        <f t="shared" si="532"/>
        <v>0</v>
      </c>
      <c r="M11002" s="17" t="str">
        <f t="shared" si="530"/>
        <v/>
      </c>
      <c r="N11002" s="11" t="str">
        <f t="shared" si="531"/>
        <v/>
      </c>
    </row>
    <row r="11003" spans="9:14" x14ac:dyDescent="0.25">
      <c r="I11003" s="11" t="b">
        <f t="shared" si="532"/>
        <v>0</v>
      </c>
      <c r="M11003" s="17" t="str">
        <f t="shared" si="530"/>
        <v/>
      </c>
      <c r="N11003" s="11" t="str">
        <f t="shared" si="531"/>
        <v/>
      </c>
    </row>
    <row r="11004" spans="9:14" x14ac:dyDescent="0.25">
      <c r="I11004" s="11" t="b">
        <f t="shared" si="532"/>
        <v>0</v>
      </c>
      <c r="M11004" s="17" t="str">
        <f t="shared" si="530"/>
        <v/>
      </c>
      <c r="N11004" s="11" t="str">
        <f t="shared" si="531"/>
        <v/>
      </c>
    </row>
    <row r="11005" spans="9:14" x14ac:dyDescent="0.25">
      <c r="I11005" s="11" t="b">
        <f t="shared" si="532"/>
        <v>0</v>
      </c>
      <c r="M11005" s="17" t="str">
        <f t="shared" si="530"/>
        <v/>
      </c>
      <c r="N11005" s="11" t="str">
        <f t="shared" si="531"/>
        <v/>
      </c>
    </row>
    <row r="11006" spans="9:14" x14ac:dyDescent="0.25">
      <c r="I11006" s="11" t="b">
        <f t="shared" si="532"/>
        <v>0</v>
      </c>
      <c r="M11006" s="17" t="str">
        <f t="shared" si="530"/>
        <v/>
      </c>
      <c r="N11006" s="11" t="str">
        <f t="shared" si="531"/>
        <v/>
      </c>
    </row>
    <row r="11007" spans="9:14" x14ac:dyDescent="0.25">
      <c r="I11007" s="11" t="b">
        <f t="shared" si="532"/>
        <v>0</v>
      </c>
      <c r="M11007" s="17" t="str">
        <f t="shared" si="530"/>
        <v/>
      </c>
      <c r="N11007" s="11" t="str">
        <f t="shared" si="531"/>
        <v/>
      </c>
    </row>
    <row r="11008" spans="9:14" x14ac:dyDescent="0.25">
      <c r="I11008" s="11" t="b">
        <f t="shared" si="532"/>
        <v>0</v>
      </c>
      <c r="M11008" s="17" t="str">
        <f t="shared" si="530"/>
        <v/>
      </c>
      <c r="N11008" s="11" t="str">
        <f t="shared" si="531"/>
        <v/>
      </c>
    </row>
    <row r="11009" spans="9:14" x14ac:dyDescent="0.25">
      <c r="I11009" s="11" t="b">
        <f t="shared" si="532"/>
        <v>0</v>
      </c>
      <c r="M11009" s="17" t="str">
        <f t="shared" ref="M11009:M11072" si="533">IF(B11009=0, "",M11008+ J11009-K11009)</f>
        <v/>
      </c>
      <c r="N11009" s="11" t="str">
        <f t="shared" ref="N11009:N11072" si="534">IF(B11009=0, "", MONTH(B11009))</f>
        <v/>
      </c>
    </row>
    <row r="11010" spans="9:14" x14ac:dyDescent="0.25">
      <c r="I11010" s="11" t="b">
        <f t="shared" si="532"/>
        <v>0</v>
      </c>
      <c r="M11010" s="17" t="str">
        <f t="shared" si="533"/>
        <v/>
      </c>
      <c r="N11010" s="11" t="str">
        <f t="shared" si="534"/>
        <v/>
      </c>
    </row>
    <row r="11011" spans="9:14" x14ac:dyDescent="0.25">
      <c r="I11011" s="11" t="b">
        <f t="shared" si="532"/>
        <v>0</v>
      </c>
      <c r="M11011" s="17" t="str">
        <f t="shared" si="533"/>
        <v/>
      </c>
      <c r="N11011" s="11" t="str">
        <f t="shared" si="534"/>
        <v/>
      </c>
    </row>
    <row r="11012" spans="9:14" x14ac:dyDescent="0.25">
      <c r="I11012" s="11" t="b">
        <f t="shared" si="532"/>
        <v>0</v>
      </c>
      <c r="M11012" s="17" t="str">
        <f t="shared" si="533"/>
        <v/>
      </c>
      <c r="N11012" s="11" t="str">
        <f t="shared" si="534"/>
        <v/>
      </c>
    </row>
    <row r="11013" spans="9:14" x14ac:dyDescent="0.25">
      <c r="I11013" s="11" t="b">
        <f t="shared" si="532"/>
        <v>0</v>
      </c>
      <c r="M11013" s="17" t="str">
        <f t="shared" si="533"/>
        <v/>
      </c>
      <c r="N11013" s="11" t="str">
        <f t="shared" si="534"/>
        <v/>
      </c>
    </row>
    <row r="11014" spans="9:14" x14ac:dyDescent="0.25">
      <c r="I11014" s="11" t="b">
        <f t="shared" si="532"/>
        <v>0</v>
      </c>
      <c r="M11014" s="17" t="str">
        <f t="shared" si="533"/>
        <v/>
      </c>
      <c r="N11014" s="11" t="str">
        <f t="shared" si="534"/>
        <v/>
      </c>
    </row>
    <row r="11015" spans="9:14" x14ac:dyDescent="0.25">
      <c r="I11015" s="11" t="b">
        <f t="shared" si="532"/>
        <v>0</v>
      </c>
      <c r="M11015" s="17" t="str">
        <f t="shared" si="533"/>
        <v/>
      </c>
      <c r="N11015" s="11" t="str">
        <f t="shared" si="534"/>
        <v/>
      </c>
    </row>
    <row r="11016" spans="9:14" x14ac:dyDescent="0.25">
      <c r="I11016" s="11" t="b">
        <f t="shared" si="532"/>
        <v>0</v>
      </c>
      <c r="M11016" s="17" t="str">
        <f t="shared" si="533"/>
        <v/>
      </c>
      <c r="N11016" s="11" t="str">
        <f t="shared" si="534"/>
        <v/>
      </c>
    </row>
    <row r="11017" spans="9:14" x14ac:dyDescent="0.25">
      <c r="I11017" s="11" t="b">
        <f t="shared" si="532"/>
        <v>0</v>
      </c>
      <c r="M11017" s="17" t="str">
        <f t="shared" si="533"/>
        <v/>
      </c>
      <c r="N11017" s="11" t="str">
        <f t="shared" si="534"/>
        <v/>
      </c>
    </row>
    <row r="11018" spans="9:14" x14ac:dyDescent="0.25">
      <c r="I11018" s="11" t="b">
        <f t="shared" si="532"/>
        <v>0</v>
      </c>
      <c r="M11018" s="17" t="str">
        <f t="shared" si="533"/>
        <v/>
      </c>
      <c r="N11018" s="11" t="str">
        <f t="shared" si="534"/>
        <v/>
      </c>
    </row>
    <row r="11019" spans="9:14" x14ac:dyDescent="0.25">
      <c r="I11019" s="11" t="b">
        <f t="shared" si="532"/>
        <v>0</v>
      </c>
      <c r="M11019" s="17" t="str">
        <f t="shared" si="533"/>
        <v/>
      </c>
      <c r="N11019" s="11" t="str">
        <f t="shared" si="534"/>
        <v/>
      </c>
    </row>
    <row r="11020" spans="9:14" x14ac:dyDescent="0.25">
      <c r="I11020" s="11" t="b">
        <f t="shared" si="532"/>
        <v>0</v>
      </c>
      <c r="M11020" s="17" t="str">
        <f t="shared" si="533"/>
        <v/>
      </c>
      <c r="N11020" s="11" t="str">
        <f t="shared" si="534"/>
        <v/>
      </c>
    </row>
    <row r="11021" spans="9:14" x14ac:dyDescent="0.25">
      <c r="I11021" s="11" t="b">
        <f t="shared" si="532"/>
        <v>0</v>
      </c>
      <c r="M11021" s="17" t="str">
        <f t="shared" si="533"/>
        <v/>
      </c>
      <c r="N11021" s="11" t="str">
        <f t="shared" si="534"/>
        <v/>
      </c>
    </row>
    <row r="11022" spans="9:14" x14ac:dyDescent="0.25">
      <c r="I11022" s="11" t="b">
        <f t="shared" si="532"/>
        <v>0</v>
      </c>
      <c r="M11022" s="17" t="str">
        <f t="shared" si="533"/>
        <v/>
      </c>
      <c r="N11022" s="11" t="str">
        <f t="shared" si="534"/>
        <v/>
      </c>
    </row>
    <row r="11023" spans="9:14" x14ac:dyDescent="0.25">
      <c r="I11023" s="11" t="b">
        <f t="shared" si="532"/>
        <v>0</v>
      </c>
      <c r="M11023" s="17" t="str">
        <f t="shared" si="533"/>
        <v/>
      </c>
      <c r="N11023" s="11" t="str">
        <f t="shared" si="534"/>
        <v/>
      </c>
    </row>
    <row r="11024" spans="9:14" x14ac:dyDescent="0.25">
      <c r="I11024" s="11" t="b">
        <f t="shared" si="532"/>
        <v>0</v>
      </c>
      <c r="M11024" s="17" t="str">
        <f t="shared" si="533"/>
        <v/>
      </c>
      <c r="N11024" s="11" t="str">
        <f t="shared" si="534"/>
        <v/>
      </c>
    </row>
    <row r="11025" spans="9:14" x14ac:dyDescent="0.25">
      <c r="I11025" s="11" t="b">
        <f t="shared" si="532"/>
        <v>0</v>
      </c>
      <c r="M11025" s="17" t="str">
        <f t="shared" si="533"/>
        <v/>
      </c>
      <c r="N11025" s="11" t="str">
        <f t="shared" si="534"/>
        <v/>
      </c>
    </row>
    <row r="11026" spans="9:14" x14ac:dyDescent="0.25">
      <c r="I11026" s="11" t="b">
        <f t="shared" si="532"/>
        <v>0</v>
      </c>
      <c r="M11026" s="17" t="str">
        <f t="shared" si="533"/>
        <v/>
      </c>
      <c r="N11026" s="11" t="str">
        <f t="shared" si="534"/>
        <v/>
      </c>
    </row>
    <row r="11027" spans="9:14" x14ac:dyDescent="0.25">
      <c r="I11027" s="11" t="b">
        <f t="shared" si="532"/>
        <v>0</v>
      </c>
      <c r="M11027" s="17" t="str">
        <f t="shared" si="533"/>
        <v/>
      </c>
      <c r="N11027" s="11" t="str">
        <f t="shared" si="534"/>
        <v/>
      </c>
    </row>
    <row r="11028" spans="9:14" x14ac:dyDescent="0.25">
      <c r="I11028" s="11" t="b">
        <f t="shared" si="532"/>
        <v>0</v>
      </c>
      <c r="M11028" s="17" t="str">
        <f t="shared" si="533"/>
        <v/>
      </c>
      <c r="N11028" s="11" t="str">
        <f t="shared" si="534"/>
        <v/>
      </c>
    </row>
    <row r="11029" spans="9:14" x14ac:dyDescent="0.25">
      <c r="I11029" s="11" t="b">
        <f t="shared" si="532"/>
        <v>0</v>
      </c>
      <c r="M11029" s="17" t="str">
        <f t="shared" si="533"/>
        <v/>
      </c>
      <c r="N11029" s="11" t="str">
        <f t="shared" si="534"/>
        <v/>
      </c>
    </row>
    <row r="11030" spans="9:14" x14ac:dyDescent="0.25">
      <c r="I11030" s="11" t="b">
        <f t="shared" si="532"/>
        <v>0</v>
      </c>
      <c r="M11030" s="17" t="str">
        <f t="shared" si="533"/>
        <v/>
      </c>
      <c r="N11030" s="11" t="str">
        <f t="shared" si="534"/>
        <v/>
      </c>
    </row>
    <row r="11031" spans="9:14" x14ac:dyDescent="0.25">
      <c r="I11031" s="11" t="b">
        <f t="shared" si="532"/>
        <v>0</v>
      </c>
      <c r="M11031" s="17" t="str">
        <f t="shared" si="533"/>
        <v/>
      </c>
      <c r="N11031" s="11" t="str">
        <f t="shared" si="534"/>
        <v/>
      </c>
    </row>
    <row r="11032" spans="9:14" x14ac:dyDescent="0.25">
      <c r="I11032" s="11" t="b">
        <f t="shared" si="532"/>
        <v>0</v>
      </c>
      <c r="M11032" s="17" t="str">
        <f t="shared" si="533"/>
        <v/>
      </c>
      <c r="N11032" s="11" t="str">
        <f t="shared" si="534"/>
        <v/>
      </c>
    </row>
    <row r="11033" spans="9:14" x14ac:dyDescent="0.25">
      <c r="I11033" s="11" t="b">
        <f t="shared" si="532"/>
        <v>0</v>
      </c>
      <c r="M11033" s="17" t="str">
        <f t="shared" si="533"/>
        <v/>
      </c>
      <c r="N11033" s="11" t="str">
        <f t="shared" si="534"/>
        <v/>
      </c>
    </row>
    <row r="11034" spans="9:14" x14ac:dyDescent="0.25">
      <c r="I11034" s="11" t="b">
        <f t="shared" si="532"/>
        <v>0</v>
      </c>
      <c r="M11034" s="17" t="str">
        <f t="shared" si="533"/>
        <v/>
      </c>
      <c r="N11034" s="11" t="str">
        <f t="shared" si="534"/>
        <v/>
      </c>
    </row>
    <row r="11035" spans="9:14" x14ac:dyDescent="0.25">
      <c r="I11035" s="11" t="b">
        <f t="shared" si="532"/>
        <v>0</v>
      </c>
      <c r="M11035" s="17" t="str">
        <f t="shared" si="533"/>
        <v/>
      </c>
      <c r="N11035" s="11" t="str">
        <f t="shared" si="534"/>
        <v/>
      </c>
    </row>
    <row r="11036" spans="9:14" x14ac:dyDescent="0.25">
      <c r="I11036" s="11" t="b">
        <f t="shared" si="532"/>
        <v>0</v>
      </c>
      <c r="M11036" s="17" t="str">
        <f t="shared" si="533"/>
        <v/>
      </c>
      <c r="N11036" s="11" t="str">
        <f t="shared" si="534"/>
        <v/>
      </c>
    </row>
    <row r="11037" spans="9:14" x14ac:dyDescent="0.25">
      <c r="I11037" s="11" t="b">
        <f t="shared" ref="I11037:I11100" si="535">IF(AND(G11037="MERCADO PAGO",A11037="FATURAMENTO"),1,IF(AND(OR(G11037="MERCADO PAGO",G11037="pix mercado pago",G11037= "débito automático mercado pago", G11037= "boleto mercado pago"),A11037="DESPESAS"),4,IF(AND(G11037="SAFRA",A11037="FATURAMENTO"),2,IF(AND(OR(G11037="SAFRA",G11037="PIX SAFRA", G11037="DÉBITO AUTOMÁTICO SAFRA", G11037= "BOLETO SAFRA", G11037= "transferência safra"), A11037="DESPESAS"),5,IF(AND(G11037="espécie",A11037="FATURAMENTO"),3,IF(AND(G11037="espécie",A11037="DESPESAS"),6))))))</f>
        <v>0</v>
      </c>
      <c r="M11037" s="17" t="str">
        <f t="shared" si="533"/>
        <v/>
      </c>
      <c r="N11037" s="11" t="str">
        <f t="shared" si="534"/>
        <v/>
      </c>
    </row>
    <row r="11038" spans="9:14" x14ac:dyDescent="0.25">
      <c r="I11038" s="11" t="b">
        <f t="shared" si="535"/>
        <v>0</v>
      </c>
      <c r="M11038" s="17" t="str">
        <f t="shared" si="533"/>
        <v/>
      </c>
      <c r="N11038" s="11" t="str">
        <f t="shared" si="534"/>
        <v/>
      </c>
    </row>
    <row r="11039" spans="9:14" x14ac:dyDescent="0.25">
      <c r="I11039" s="11" t="b">
        <f t="shared" si="535"/>
        <v>0</v>
      </c>
      <c r="M11039" s="17" t="str">
        <f t="shared" si="533"/>
        <v/>
      </c>
      <c r="N11039" s="11" t="str">
        <f t="shared" si="534"/>
        <v/>
      </c>
    </row>
    <row r="11040" spans="9:14" x14ac:dyDescent="0.25">
      <c r="I11040" s="11" t="b">
        <f t="shared" si="535"/>
        <v>0</v>
      </c>
      <c r="M11040" s="17" t="str">
        <f t="shared" si="533"/>
        <v/>
      </c>
      <c r="N11040" s="11" t="str">
        <f t="shared" si="534"/>
        <v/>
      </c>
    </row>
    <row r="11041" spans="9:14" x14ac:dyDescent="0.25">
      <c r="I11041" s="11" t="b">
        <f t="shared" si="535"/>
        <v>0</v>
      </c>
      <c r="M11041" s="17" t="str">
        <f t="shared" si="533"/>
        <v/>
      </c>
      <c r="N11041" s="11" t="str">
        <f t="shared" si="534"/>
        <v/>
      </c>
    </row>
    <row r="11042" spans="9:14" x14ac:dyDescent="0.25">
      <c r="I11042" s="11" t="b">
        <f t="shared" si="535"/>
        <v>0</v>
      </c>
      <c r="M11042" s="17" t="str">
        <f t="shared" si="533"/>
        <v/>
      </c>
      <c r="N11042" s="11" t="str">
        <f t="shared" si="534"/>
        <v/>
      </c>
    </row>
    <row r="11043" spans="9:14" x14ac:dyDescent="0.25">
      <c r="I11043" s="11" t="b">
        <f t="shared" si="535"/>
        <v>0</v>
      </c>
      <c r="M11043" s="17" t="str">
        <f t="shared" si="533"/>
        <v/>
      </c>
      <c r="N11043" s="11" t="str">
        <f t="shared" si="534"/>
        <v/>
      </c>
    </row>
    <row r="11044" spans="9:14" x14ac:dyDescent="0.25">
      <c r="I11044" s="11" t="b">
        <f t="shared" si="535"/>
        <v>0</v>
      </c>
      <c r="M11044" s="17" t="str">
        <f t="shared" si="533"/>
        <v/>
      </c>
      <c r="N11044" s="11" t="str">
        <f t="shared" si="534"/>
        <v/>
      </c>
    </row>
    <row r="11045" spans="9:14" x14ac:dyDescent="0.25">
      <c r="I11045" s="11" t="b">
        <f t="shared" si="535"/>
        <v>0</v>
      </c>
      <c r="M11045" s="17" t="str">
        <f t="shared" si="533"/>
        <v/>
      </c>
      <c r="N11045" s="11" t="str">
        <f t="shared" si="534"/>
        <v/>
      </c>
    </row>
    <row r="11046" spans="9:14" x14ac:dyDescent="0.25">
      <c r="I11046" s="11" t="b">
        <f t="shared" si="535"/>
        <v>0</v>
      </c>
      <c r="M11046" s="17" t="str">
        <f t="shared" si="533"/>
        <v/>
      </c>
      <c r="N11046" s="11" t="str">
        <f t="shared" si="534"/>
        <v/>
      </c>
    </row>
    <row r="11047" spans="9:14" x14ac:dyDescent="0.25">
      <c r="I11047" s="11" t="b">
        <f t="shared" si="535"/>
        <v>0</v>
      </c>
      <c r="M11047" s="17" t="str">
        <f t="shared" si="533"/>
        <v/>
      </c>
      <c r="N11047" s="11" t="str">
        <f t="shared" si="534"/>
        <v/>
      </c>
    </row>
    <row r="11048" spans="9:14" x14ac:dyDescent="0.25">
      <c r="I11048" s="11" t="b">
        <f t="shared" si="535"/>
        <v>0</v>
      </c>
      <c r="M11048" s="17" t="str">
        <f t="shared" si="533"/>
        <v/>
      </c>
      <c r="N11048" s="11" t="str">
        <f t="shared" si="534"/>
        <v/>
      </c>
    </row>
    <row r="11049" spans="9:14" x14ac:dyDescent="0.25">
      <c r="I11049" s="11" t="b">
        <f t="shared" si="535"/>
        <v>0</v>
      </c>
      <c r="M11049" s="17" t="str">
        <f t="shared" si="533"/>
        <v/>
      </c>
      <c r="N11049" s="11" t="str">
        <f t="shared" si="534"/>
        <v/>
      </c>
    </row>
    <row r="11050" spans="9:14" x14ac:dyDescent="0.25">
      <c r="I11050" s="11" t="b">
        <f t="shared" si="535"/>
        <v>0</v>
      </c>
      <c r="M11050" s="17" t="str">
        <f t="shared" si="533"/>
        <v/>
      </c>
      <c r="N11050" s="11" t="str">
        <f t="shared" si="534"/>
        <v/>
      </c>
    </row>
    <row r="11051" spans="9:14" x14ac:dyDescent="0.25">
      <c r="I11051" s="11" t="b">
        <f t="shared" si="535"/>
        <v>0</v>
      </c>
      <c r="M11051" s="17" t="str">
        <f t="shared" si="533"/>
        <v/>
      </c>
      <c r="N11051" s="11" t="str">
        <f t="shared" si="534"/>
        <v/>
      </c>
    </row>
    <row r="11052" spans="9:14" x14ac:dyDescent="0.25">
      <c r="I11052" s="11" t="b">
        <f t="shared" si="535"/>
        <v>0</v>
      </c>
      <c r="M11052" s="17" t="str">
        <f t="shared" si="533"/>
        <v/>
      </c>
      <c r="N11052" s="11" t="str">
        <f t="shared" si="534"/>
        <v/>
      </c>
    </row>
    <row r="11053" spans="9:14" x14ac:dyDescent="0.25">
      <c r="I11053" s="11" t="b">
        <f t="shared" si="535"/>
        <v>0</v>
      </c>
      <c r="M11053" s="17" t="str">
        <f t="shared" si="533"/>
        <v/>
      </c>
      <c r="N11053" s="11" t="str">
        <f t="shared" si="534"/>
        <v/>
      </c>
    </row>
    <row r="11054" spans="9:14" x14ac:dyDescent="0.25">
      <c r="I11054" s="11" t="b">
        <f t="shared" si="535"/>
        <v>0</v>
      </c>
      <c r="M11054" s="17" t="str">
        <f t="shared" si="533"/>
        <v/>
      </c>
      <c r="N11054" s="11" t="str">
        <f t="shared" si="534"/>
        <v/>
      </c>
    </row>
    <row r="11055" spans="9:14" x14ac:dyDescent="0.25">
      <c r="I11055" s="11" t="b">
        <f t="shared" si="535"/>
        <v>0</v>
      </c>
      <c r="M11055" s="17" t="str">
        <f t="shared" si="533"/>
        <v/>
      </c>
      <c r="N11055" s="11" t="str">
        <f t="shared" si="534"/>
        <v/>
      </c>
    </row>
    <row r="11056" spans="9:14" x14ac:dyDescent="0.25">
      <c r="I11056" s="11" t="b">
        <f t="shared" si="535"/>
        <v>0</v>
      </c>
      <c r="M11056" s="17" t="str">
        <f t="shared" si="533"/>
        <v/>
      </c>
      <c r="N11056" s="11" t="str">
        <f t="shared" si="534"/>
        <v/>
      </c>
    </row>
    <row r="11057" spans="9:14" x14ac:dyDescent="0.25">
      <c r="I11057" s="11" t="b">
        <f t="shared" si="535"/>
        <v>0</v>
      </c>
      <c r="M11057" s="17" t="str">
        <f t="shared" si="533"/>
        <v/>
      </c>
      <c r="N11057" s="11" t="str">
        <f t="shared" si="534"/>
        <v/>
      </c>
    </row>
    <row r="11058" spans="9:14" x14ac:dyDescent="0.25">
      <c r="I11058" s="11" t="b">
        <f t="shared" si="535"/>
        <v>0</v>
      </c>
      <c r="M11058" s="17" t="str">
        <f t="shared" si="533"/>
        <v/>
      </c>
      <c r="N11058" s="11" t="str">
        <f t="shared" si="534"/>
        <v/>
      </c>
    </row>
    <row r="11059" spans="9:14" x14ac:dyDescent="0.25">
      <c r="I11059" s="11" t="b">
        <f t="shared" si="535"/>
        <v>0</v>
      </c>
      <c r="M11059" s="17" t="str">
        <f t="shared" si="533"/>
        <v/>
      </c>
      <c r="N11059" s="11" t="str">
        <f t="shared" si="534"/>
        <v/>
      </c>
    </row>
    <row r="11060" spans="9:14" x14ac:dyDescent="0.25">
      <c r="I11060" s="11" t="b">
        <f t="shared" si="535"/>
        <v>0</v>
      </c>
      <c r="M11060" s="17" t="str">
        <f t="shared" si="533"/>
        <v/>
      </c>
      <c r="N11060" s="11" t="str">
        <f t="shared" si="534"/>
        <v/>
      </c>
    </row>
    <row r="11061" spans="9:14" x14ac:dyDescent="0.25">
      <c r="I11061" s="11" t="b">
        <f t="shared" si="535"/>
        <v>0</v>
      </c>
      <c r="M11061" s="17" t="str">
        <f t="shared" si="533"/>
        <v/>
      </c>
      <c r="N11061" s="11" t="str">
        <f t="shared" si="534"/>
        <v/>
      </c>
    </row>
    <row r="11062" spans="9:14" x14ac:dyDescent="0.25">
      <c r="I11062" s="11" t="b">
        <f t="shared" si="535"/>
        <v>0</v>
      </c>
      <c r="M11062" s="17" t="str">
        <f t="shared" si="533"/>
        <v/>
      </c>
      <c r="N11062" s="11" t="str">
        <f t="shared" si="534"/>
        <v/>
      </c>
    </row>
    <row r="11063" spans="9:14" x14ac:dyDescent="0.25">
      <c r="I11063" s="11" t="b">
        <f t="shared" si="535"/>
        <v>0</v>
      </c>
      <c r="M11063" s="17" t="str">
        <f t="shared" si="533"/>
        <v/>
      </c>
      <c r="N11063" s="11" t="str">
        <f t="shared" si="534"/>
        <v/>
      </c>
    </row>
    <row r="11064" spans="9:14" x14ac:dyDescent="0.25">
      <c r="I11064" s="11" t="b">
        <f t="shared" si="535"/>
        <v>0</v>
      </c>
      <c r="M11064" s="17" t="str">
        <f t="shared" si="533"/>
        <v/>
      </c>
      <c r="N11064" s="11" t="str">
        <f t="shared" si="534"/>
        <v/>
      </c>
    </row>
    <row r="11065" spans="9:14" x14ac:dyDescent="0.25">
      <c r="I11065" s="11" t="b">
        <f t="shared" si="535"/>
        <v>0</v>
      </c>
      <c r="M11065" s="17" t="str">
        <f t="shared" si="533"/>
        <v/>
      </c>
      <c r="N11065" s="11" t="str">
        <f t="shared" si="534"/>
        <v/>
      </c>
    </row>
    <row r="11066" spans="9:14" x14ac:dyDescent="0.25">
      <c r="I11066" s="11" t="b">
        <f t="shared" si="535"/>
        <v>0</v>
      </c>
      <c r="M11066" s="17" t="str">
        <f t="shared" si="533"/>
        <v/>
      </c>
      <c r="N11066" s="11" t="str">
        <f t="shared" si="534"/>
        <v/>
      </c>
    </row>
    <row r="11067" spans="9:14" x14ac:dyDescent="0.25">
      <c r="I11067" s="11" t="b">
        <f t="shared" si="535"/>
        <v>0</v>
      </c>
      <c r="M11067" s="17" t="str">
        <f t="shared" si="533"/>
        <v/>
      </c>
      <c r="N11067" s="11" t="str">
        <f t="shared" si="534"/>
        <v/>
      </c>
    </row>
    <row r="11068" spans="9:14" x14ac:dyDescent="0.25">
      <c r="I11068" s="11" t="b">
        <f t="shared" si="535"/>
        <v>0</v>
      </c>
      <c r="M11068" s="17" t="str">
        <f t="shared" si="533"/>
        <v/>
      </c>
      <c r="N11068" s="11" t="str">
        <f t="shared" si="534"/>
        <v/>
      </c>
    </row>
    <row r="11069" spans="9:14" x14ac:dyDescent="0.25">
      <c r="I11069" s="11" t="b">
        <f t="shared" si="535"/>
        <v>0</v>
      </c>
      <c r="M11069" s="17" t="str">
        <f t="shared" si="533"/>
        <v/>
      </c>
      <c r="N11069" s="11" t="str">
        <f t="shared" si="534"/>
        <v/>
      </c>
    </row>
    <row r="11070" spans="9:14" x14ac:dyDescent="0.25">
      <c r="I11070" s="11" t="b">
        <f t="shared" si="535"/>
        <v>0</v>
      </c>
      <c r="M11070" s="17" t="str">
        <f t="shared" si="533"/>
        <v/>
      </c>
      <c r="N11070" s="11" t="str">
        <f t="shared" si="534"/>
        <v/>
      </c>
    </row>
    <row r="11071" spans="9:14" x14ac:dyDescent="0.25">
      <c r="I11071" s="11" t="b">
        <f t="shared" si="535"/>
        <v>0</v>
      </c>
      <c r="M11071" s="17" t="str">
        <f t="shared" si="533"/>
        <v/>
      </c>
      <c r="N11071" s="11" t="str">
        <f t="shared" si="534"/>
        <v/>
      </c>
    </row>
    <row r="11072" spans="9:14" x14ac:dyDescent="0.25">
      <c r="I11072" s="11" t="b">
        <f t="shared" si="535"/>
        <v>0</v>
      </c>
      <c r="M11072" s="17" t="str">
        <f t="shared" si="533"/>
        <v/>
      </c>
      <c r="N11072" s="11" t="str">
        <f t="shared" si="534"/>
        <v/>
      </c>
    </row>
    <row r="11073" spans="9:14" x14ac:dyDescent="0.25">
      <c r="I11073" s="11" t="b">
        <f t="shared" si="535"/>
        <v>0</v>
      </c>
      <c r="M11073" s="17" t="str">
        <f t="shared" ref="M11073:M11136" si="536">IF(B11073=0, "",M11072+ J11073-K11073)</f>
        <v/>
      </c>
      <c r="N11073" s="11" t="str">
        <f t="shared" ref="N11073:N11136" si="537">IF(B11073=0, "", MONTH(B11073))</f>
        <v/>
      </c>
    </row>
    <row r="11074" spans="9:14" x14ac:dyDescent="0.25">
      <c r="I11074" s="11" t="b">
        <f t="shared" si="535"/>
        <v>0</v>
      </c>
      <c r="M11074" s="17" t="str">
        <f t="shared" si="536"/>
        <v/>
      </c>
      <c r="N11074" s="11" t="str">
        <f t="shared" si="537"/>
        <v/>
      </c>
    </row>
    <row r="11075" spans="9:14" x14ac:dyDescent="0.25">
      <c r="I11075" s="11" t="b">
        <f t="shared" si="535"/>
        <v>0</v>
      </c>
      <c r="M11075" s="17" t="str">
        <f t="shared" si="536"/>
        <v/>
      </c>
      <c r="N11075" s="11" t="str">
        <f t="shared" si="537"/>
        <v/>
      </c>
    </row>
    <row r="11076" spans="9:14" x14ac:dyDescent="0.25">
      <c r="I11076" s="11" t="b">
        <f t="shared" si="535"/>
        <v>0</v>
      </c>
      <c r="M11076" s="17" t="str">
        <f t="shared" si="536"/>
        <v/>
      </c>
      <c r="N11076" s="11" t="str">
        <f t="shared" si="537"/>
        <v/>
      </c>
    </row>
    <row r="11077" spans="9:14" x14ac:dyDescent="0.25">
      <c r="I11077" s="11" t="b">
        <f t="shared" si="535"/>
        <v>0</v>
      </c>
      <c r="M11077" s="17" t="str">
        <f t="shared" si="536"/>
        <v/>
      </c>
      <c r="N11077" s="11" t="str">
        <f t="shared" si="537"/>
        <v/>
      </c>
    </row>
    <row r="11078" spans="9:14" x14ac:dyDescent="0.25">
      <c r="I11078" s="11" t="b">
        <f t="shared" si="535"/>
        <v>0</v>
      </c>
      <c r="M11078" s="17" t="str">
        <f t="shared" si="536"/>
        <v/>
      </c>
      <c r="N11078" s="11" t="str">
        <f t="shared" si="537"/>
        <v/>
      </c>
    </row>
    <row r="11079" spans="9:14" x14ac:dyDescent="0.25">
      <c r="I11079" s="11" t="b">
        <f t="shared" si="535"/>
        <v>0</v>
      </c>
      <c r="M11079" s="17" t="str">
        <f t="shared" si="536"/>
        <v/>
      </c>
      <c r="N11079" s="11" t="str">
        <f t="shared" si="537"/>
        <v/>
      </c>
    </row>
    <row r="11080" spans="9:14" x14ac:dyDescent="0.25">
      <c r="I11080" s="11" t="b">
        <f t="shared" si="535"/>
        <v>0</v>
      </c>
      <c r="M11080" s="17" t="str">
        <f t="shared" si="536"/>
        <v/>
      </c>
      <c r="N11080" s="11" t="str">
        <f t="shared" si="537"/>
        <v/>
      </c>
    </row>
    <row r="11081" spans="9:14" x14ac:dyDescent="0.25">
      <c r="I11081" s="11" t="b">
        <f t="shared" si="535"/>
        <v>0</v>
      </c>
      <c r="M11081" s="17" t="str">
        <f t="shared" si="536"/>
        <v/>
      </c>
      <c r="N11081" s="11" t="str">
        <f t="shared" si="537"/>
        <v/>
      </c>
    </row>
    <row r="11082" spans="9:14" x14ac:dyDescent="0.25">
      <c r="I11082" s="11" t="b">
        <f t="shared" si="535"/>
        <v>0</v>
      </c>
      <c r="M11082" s="17" t="str">
        <f t="shared" si="536"/>
        <v/>
      </c>
      <c r="N11082" s="11" t="str">
        <f t="shared" si="537"/>
        <v/>
      </c>
    </row>
    <row r="11083" spans="9:14" x14ac:dyDescent="0.25">
      <c r="I11083" s="11" t="b">
        <f t="shared" si="535"/>
        <v>0</v>
      </c>
      <c r="M11083" s="17" t="str">
        <f t="shared" si="536"/>
        <v/>
      </c>
      <c r="N11083" s="11" t="str">
        <f t="shared" si="537"/>
        <v/>
      </c>
    </row>
    <row r="11084" spans="9:14" x14ac:dyDescent="0.25">
      <c r="I11084" s="11" t="b">
        <f t="shared" si="535"/>
        <v>0</v>
      </c>
      <c r="M11084" s="17" t="str">
        <f t="shared" si="536"/>
        <v/>
      </c>
      <c r="N11084" s="11" t="str">
        <f t="shared" si="537"/>
        <v/>
      </c>
    </row>
    <row r="11085" spans="9:14" x14ac:dyDescent="0.25">
      <c r="I11085" s="11" t="b">
        <f t="shared" si="535"/>
        <v>0</v>
      </c>
      <c r="M11085" s="17" t="str">
        <f t="shared" si="536"/>
        <v/>
      </c>
      <c r="N11085" s="11" t="str">
        <f t="shared" si="537"/>
        <v/>
      </c>
    </row>
    <row r="11086" spans="9:14" x14ac:dyDescent="0.25">
      <c r="I11086" s="11" t="b">
        <f t="shared" si="535"/>
        <v>0</v>
      </c>
      <c r="M11086" s="17" t="str">
        <f t="shared" si="536"/>
        <v/>
      </c>
      <c r="N11086" s="11" t="str">
        <f t="shared" si="537"/>
        <v/>
      </c>
    </row>
    <row r="11087" spans="9:14" x14ac:dyDescent="0.25">
      <c r="I11087" s="11" t="b">
        <f t="shared" si="535"/>
        <v>0</v>
      </c>
      <c r="M11087" s="17" t="str">
        <f t="shared" si="536"/>
        <v/>
      </c>
      <c r="N11087" s="11" t="str">
        <f t="shared" si="537"/>
        <v/>
      </c>
    </row>
    <row r="11088" spans="9:14" x14ac:dyDescent="0.25">
      <c r="I11088" s="11" t="b">
        <f t="shared" si="535"/>
        <v>0</v>
      </c>
      <c r="M11088" s="17" t="str">
        <f t="shared" si="536"/>
        <v/>
      </c>
      <c r="N11088" s="11" t="str">
        <f t="shared" si="537"/>
        <v/>
      </c>
    </row>
    <row r="11089" spans="9:14" x14ac:dyDescent="0.25">
      <c r="I11089" s="11" t="b">
        <f t="shared" si="535"/>
        <v>0</v>
      </c>
      <c r="M11089" s="17" t="str">
        <f t="shared" si="536"/>
        <v/>
      </c>
      <c r="N11089" s="11" t="str">
        <f t="shared" si="537"/>
        <v/>
      </c>
    </row>
    <row r="11090" spans="9:14" x14ac:dyDescent="0.25">
      <c r="I11090" s="11" t="b">
        <f t="shared" si="535"/>
        <v>0</v>
      </c>
      <c r="M11090" s="17" t="str">
        <f t="shared" si="536"/>
        <v/>
      </c>
      <c r="N11090" s="11" t="str">
        <f t="shared" si="537"/>
        <v/>
      </c>
    </row>
    <row r="11091" spans="9:14" x14ac:dyDescent="0.25">
      <c r="I11091" s="11" t="b">
        <f t="shared" si="535"/>
        <v>0</v>
      </c>
      <c r="M11091" s="17" t="str">
        <f t="shared" si="536"/>
        <v/>
      </c>
      <c r="N11091" s="11" t="str">
        <f t="shared" si="537"/>
        <v/>
      </c>
    </row>
    <row r="11092" spans="9:14" x14ac:dyDescent="0.25">
      <c r="I11092" s="11" t="b">
        <f t="shared" si="535"/>
        <v>0</v>
      </c>
      <c r="M11092" s="17" t="str">
        <f t="shared" si="536"/>
        <v/>
      </c>
      <c r="N11092" s="11" t="str">
        <f t="shared" si="537"/>
        <v/>
      </c>
    </row>
    <row r="11093" spans="9:14" x14ac:dyDescent="0.25">
      <c r="I11093" s="11" t="b">
        <f t="shared" si="535"/>
        <v>0</v>
      </c>
      <c r="M11093" s="17" t="str">
        <f t="shared" si="536"/>
        <v/>
      </c>
      <c r="N11093" s="11" t="str">
        <f t="shared" si="537"/>
        <v/>
      </c>
    </row>
    <row r="11094" spans="9:14" x14ac:dyDescent="0.25">
      <c r="I11094" s="11" t="b">
        <f t="shared" si="535"/>
        <v>0</v>
      </c>
      <c r="M11094" s="17" t="str">
        <f t="shared" si="536"/>
        <v/>
      </c>
      <c r="N11094" s="11" t="str">
        <f t="shared" si="537"/>
        <v/>
      </c>
    </row>
    <row r="11095" spans="9:14" x14ac:dyDescent="0.25">
      <c r="I11095" s="11" t="b">
        <f t="shared" si="535"/>
        <v>0</v>
      </c>
      <c r="M11095" s="17" t="str">
        <f t="shared" si="536"/>
        <v/>
      </c>
      <c r="N11095" s="11" t="str">
        <f t="shared" si="537"/>
        <v/>
      </c>
    </row>
    <row r="11096" spans="9:14" x14ac:dyDescent="0.25">
      <c r="I11096" s="11" t="b">
        <f t="shared" si="535"/>
        <v>0</v>
      </c>
      <c r="M11096" s="17" t="str">
        <f t="shared" si="536"/>
        <v/>
      </c>
      <c r="N11096" s="11" t="str">
        <f t="shared" si="537"/>
        <v/>
      </c>
    </row>
    <row r="11097" spans="9:14" x14ac:dyDescent="0.25">
      <c r="I11097" s="11" t="b">
        <f t="shared" si="535"/>
        <v>0</v>
      </c>
      <c r="M11097" s="17" t="str">
        <f t="shared" si="536"/>
        <v/>
      </c>
      <c r="N11097" s="11" t="str">
        <f t="shared" si="537"/>
        <v/>
      </c>
    </row>
    <row r="11098" spans="9:14" x14ac:dyDescent="0.25">
      <c r="I11098" s="11" t="b">
        <f t="shared" si="535"/>
        <v>0</v>
      </c>
      <c r="M11098" s="17" t="str">
        <f t="shared" si="536"/>
        <v/>
      </c>
      <c r="N11098" s="11" t="str">
        <f t="shared" si="537"/>
        <v/>
      </c>
    </row>
    <row r="11099" spans="9:14" x14ac:dyDescent="0.25">
      <c r="I11099" s="11" t="b">
        <f t="shared" si="535"/>
        <v>0</v>
      </c>
      <c r="M11099" s="17" t="str">
        <f t="shared" si="536"/>
        <v/>
      </c>
      <c r="N11099" s="11" t="str">
        <f t="shared" si="537"/>
        <v/>
      </c>
    </row>
    <row r="11100" spans="9:14" x14ac:dyDescent="0.25">
      <c r="I11100" s="11" t="b">
        <f t="shared" si="535"/>
        <v>0</v>
      </c>
      <c r="M11100" s="17" t="str">
        <f t="shared" si="536"/>
        <v/>
      </c>
      <c r="N11100" s="11" t="str">
        <f t="shared" si="537"/>
        <v/>
      </c>
    </row>
    <row r="11101" spans="9:14" x14ac:dyDescent="0.25">
      <c r="I11101" s="11" t="b">
        <f t="shared" ref="I11101:I11164" si="538">IF(AND(G11101="MERCADO PAGO",A11101="FATURAMENTO"),1,IF(AND(OR(G11101="MERCADO PAGO",G11101="pix mercado pago",G11101= "débito automático mercado pago", G11101= "boleto mercado pago"),A11101="DESPESAS"),4,IF(AND(G11101="SAFRA",A11101="FATURAMENTO"),2,IF(AND(OR(G11101="SAFRA",G11101="PIX SAFRA", G11101="DÉBITO AUTOMÁTICO SAFRA", G11101= "BOLETO SAFRA", G11101= "transferência safra"), A11101="DESPESAS"),5,IF(AND(G11101="espécie",A11101="FATURAMENTO"),3,IF(AND(G11101="espécie",A11101="DESPESAS"),6))))))</f>
        <v>0</v>
      </c>
      <c r="M11101" s="17" t="str">
        <f t="shared" si="536"/>
        <v/>
      </c>
      <c r="N11101" s="11" t="str">
        <f t="shared" si="537"/>
        <v/>
      </c>
    </row>
    <row r="11102" spans="9:14" x14ac:dyDescent="0.25">
      <c r="I11102" s="11" t="b">
        <f t="shared" si="538"/>
        <v>0</v>
      </c>
      <c r="M11102" s="17" t="str">
        <f t="shared" si="536"/>
        <v/>
      </c>
      <c r="N11102" s="11" t="str">
        <f t="shared" si="537"/>
        <v/>
      </c>
    </row>
    <row r="11103" spans="9:14" x14ac:dyDescent="0.25">
      <c r="I11103" s="11" t="b">
        <f t="shared" si="538"/>
        <v>0</v>
      </c>
      <c r="M11103" s="17" t="str">
        <f t="shared" si="536"/>
        <v/>
      </c>
      <c r="N11103" s="11" t="str">
        <f t="shared" si="537"/>
        <v/>
      </c>
    </row>
    <row r="11104" spans="9:14" x14ac:dyDescent="0.25">
      <c r="I11104" s="11" t="b">
        <f t="shared" si="538"/>
        <v>0</v>
      </c>
      <c r="M11104" s="17" t="str">
        <f t="shared" si="536"/>
        <v/>
      </c>
      <c r="N11104" s="11" t="str">
        <f t="shared" si="537"/>
        <v/>
      </c>
    </row>
    <row r="11105" spans="9:14" x14ac:dyDescent="0.25">
      <c r="I11105" s="11" t="b">
        <f t="shared" si="538"/>
        <v>0</v>
      </c>
      <c r="M11105" s="17" t="str">
        <f t="shared" si="536"/>
        <v/>
      </c>
      <c r="N11105" s="11" t="str">
        <f t="shared" si="537"/>
        <v/>
      </c>
    </row>
    <row r="11106" spans="9:14" x14ac:dyDescent="0.25">
      <c r="I11106" s="11" t="b">
        <f t="shared" si="538"/>
        <v>0</v>
      </c>
      <c r="M11106" s="17" t="str">
        <f t="shared" si="536"/>
        <v/>
      </c>
      <c r="N11106" s="11" t="str">
        <f t="shared" si="537"/>
        <v/>
      </c>
    </row>
    <row r="11107" spans="9:14" x14ac:dyDescent="0.25">
      <c r="I11107" s="11" t="b">
        <f t="shared" si="538"/>
        <v>0</v>
      </c>
      <c r="M11107" s="17" t="str">
        <f t="shared" si="536"/>
        <v/>
      </c>
      <c r="N11107" s="11" t="str">
        <f t="shared" si="537"/>
        <v/>
      </c>
    </row>
    <row r="11108" spans="9:14" x14ac:dyDescent="0.25">
      <c r="I11108" s="11" t="b">
        <f t="shared" si="538"/>
        <v>0</v>
      </c>
      <c r="M11108" s="17" t="str">
        <f t="shared" si="536"/>
        <v/>
      </c>
      <c r="N11108" s="11" t="str">
        <f t="shared" si="537"/>
        <v/>
      </c>
    </row>
    <row r="11109" spans="9:14" x14ac:dyDescent="0.25">
      <c r="I11109" s="11" t="b">
        <f t="shared" si="538"/>
        <v>0</v>
      </c>
      <c r="M11109" s="17" t="str">
        <f t="shared" si="536"/>
        <v/>
      </c>
      <c r="N11109" s="11" t="str">
        <f t="shared" si="537"/>
        <v/>
      </c>
    </row>
    <row r="11110" spans="9:14" x14ac:dyDescent="0.25">
      <c r="I11110" s="11" t="b">
        <f t="shared" si="538"/>
        <v>0</v>
      </c>
      <c r="M11110" s="17" t="str">
        <f t="shared" si="536"/>
        <v/>
      </c>
      <c r="N11110" s="11" t="str">
        <f t="shared" si="537"/>
        <v/>
      </c>
    </row>
    <row r="11111" spans="9:14" x14ac:dyDescent="0.25">
      <c r="I11111" s="11" t="b">
        <f t="shared" si="538"/>
        <v>0</v>
      </c>
      <c r="M11111" s="17" t="str">
        <f t="shared" si="536"/>
        <v/>
      </c>
      <c r="N11111" s="11" t="str">
        <f t="shared" si="537"/>
        <v/>
      </c>
    </row>
    <row r="11112" spans="9:14" x14ac:dyDescent="0.25">
      <c r="I11112" s="11" t="b">
        <f t="shared" si="538"/>
        <v>0</v>
      </c>
      <c r="M11112" s="17" t="str">
        <f t="shared" si="536"/>
        <v/>
      </c>
      <c r="N11112" s="11" t="str">
        <f t="shared" si="537"/>
        <v/>
      </c>
    </row>
    <row r="11113" spans="9:14" x14ac:dyDescent="0.25">
      <c r="I11113" s="11" t="b">
        <f t="shared" si="538"/>
        <v>0</v>
      </c>
      <c r="M11113" s="17" t="str">
        <f t="shared" si="536"/>
        <v/>
      </c>
      <c r="N11113" s="11" t="str">
        <f t="shared" si="537"/>
        <v/>
      </c>
    </row>
    <row r="11114" spans="9:14" x14ac:dyDescent="0.25">
      <c r="I11114" s="11" t="b">
        <f t="shared" si="538"/>
        <v>0</v>
      </c>
      <c r="M11114" s="17" t="str">
        <f t="shared" si="536"/>
        <v/>
      </c>
      <c r="N11114" s="11" t="str">
        <f t="shared" si="537"/>
        <v/>
      </c>
    </row>
    <row r="11115" spans="9:14" x14ac:dyDescent="0.25">
      <c r="I11115" s="11" t="b">
        <f t="shared" si="538"/>
        <v>0</v>
      </c>
      <c r="M11115" s="17" t="str">
        <f t="shared" si="536"/>
        <v/>
      </c>
      <c r="N11115" s="11" t="str">
        <f t="shared" si="537"/>
        <v/>
      </c>
    </row>
    <row r="11116" spans="9:14" x14ac:dyDescent="0.25">
      <c r="I11116" s="11" t="b">
        <f t="shared" si="538"/>
        <v>0</v>
      </c>
      <c r="M11116" s="17" t="str">
        <f t="shared" si="536"/>
        <v/>
      </c>
      <c r="N11116" s="11" t="str">
        <f t="shared" si="537"/>
        <v/>
      </c>
    </row>
    <row r="11117" spans="9:14" x14ac:dyDescent="0.25">
      <c r="I11117" s="11" t="b">
        <f t="shared" si="538"/>
        <v>0</v>
      </c>
      <c r="M11117" s="17" t="str">
        <f t="shared" si="536"/>
        <v/>
      </c>
      <c r="N11117" s="11" t="str">
        <f t="shared" si="537"/>
        <v/>
      </c>
    </row>
    <row r="11118" spans="9:14" x14ac:dyDescent="0.25">
      <c r="I11118" s="11" t="b">
        <f t="shared" si="538"/>
        <v>0</v>
      </c>
      <c r="M11118" s="17" t="str">
        <f t="shared" si="536"/>
        <v/>
      </c>
      <c r="N11118" s="11" t="str">
        <f t="shared" si="537"/>
        <v/>
      </c>
    </row>
    <row r="11119" spans="9:14" x14ac:dyDescent="0.25">
      <c r="I11119" s="11" t="b">
        <f t="shared" si="538"/>
        <v>0</v>
      </c>
      <c r="M11119" s="17" t="str">
        <f t="shared" si="536"/>
        <v/>
      </c>
      <c r="N11119" s="11" t="str">
        <f t="shared" si="537"/>
        <v/>
      </c>
    </row>
    <row r="11120" spans="9:14" x14ac:dyDescent="0.25">
      <c r="I11120" s="11" t="b">
        <f t="shared" si="538"/>
        <v>0</v>
      </c>
      <c r="M11120" s="17" t="str">
        <f t="shared" si="536"/>
        <v/>
      </c>
      <c r="N11120" s="11" t="str">
        <f t="shared" si="537"/>
        <v/>
      </c>
    </row>
    <row r="11121" spans="9:14" x14ac:dyDescent="0.25">
      <c r="I11121" s="11" t="b">
        <f t="shared" si="538"/>
        <v>0</v>
      </c>
      <c r="M11121" s="17" t="str">
        <f t="shared" si="536"/>
        <v/>
      </c>
      <c r="N11121" s="11" t="str">
        <f t="shared" si="537"/>
        <v/>
      </c>
    </row>
    <row r="11122" spans="9:14" x14ac:dyDescent="0.25">
      <c r="I11122" s="11" t="b">
        <f t="shared" si="538"/>
        <v>0</v>
      </c>
      <c r="M11122" s="17" t="str">
        <f t="shared" si="536"/>
        <v/>
      </c>
      <c r="N11122" s="11" t="str">
        <f t="shared" si="537"/>
        <v/>
      </c>
    </row>
    <row r="11123" spans="9:14" x14ac:dyDescent="0.25">
      <c r="I11123" s="11" t="b">
        <f t="shared" si="538"/>
        <v>0</v>
      </c>
      <c r="M11123" s="17" t="str">
        <f t="shared" si="536"/>
        <v/>
      </c>
      <c r="N11123" s="11" t="str">
        <f t="shared" si="537"/>
        <v/>
      </c>
    </row>
    <row r="11124" spans="9:14" x14ac:dyDescent="0.25">
      <c r="I11124" s="11" t="b">
        <f t="shared" si="538"/>
        <v>0</v>
      </c>
      <c r="M11124" s="17" t="str">
        <f t="shared" si="536"/>
        <v/>
      </c>
      <c r="N11124" s="11" t="str">
        <f t="shared" si="537"/>
        <v/>
      </c>
    </row>
    <row r="11125" spans="9:14" x14ac:dyDescent="0.25">
      <c r="I11125" s="11" t="b">
        <f t="shared" si="538"/>
        <v>0</v>
      </c>
      <c r="M11125" s="17" t="str">
        <f t="shared" si="536"/>
        <v/>
      </c>
      <c r="N11125" s="11" t="str">
        <f t="shared" si="537"/>
        <v/>
      </c>
    </row>
    <row r="11126" spans="9:14" x14ac:dyDescent="0.25">
      <c r="I11126" s="11" t="b">
        <f t="shared" si="538"/>
        <v>0</v>
      </c>
      <c r="M11126" s="17" t="str">
        <f t="shared" si="536"/>
        <v/>
      </c>
      <c r="N11126" s="11" t="str">
        <f t="shared" si="537"/>
        <v/>
      </c>
    </row>
    <row r="11127" spans="9:14" x14ac:dyDescent="0.25">
      <c r="I11127" s="11" t="b">
        <f t="shared" si="538"/>
        <v>0</v>
      </c>
      <c r="M11127" s="17" t="str">
        <f t="shared" si="536"/>
        <v/>
      </c>
      <c r="N11127" s="11" t="str">
        <f t="shared" si="537"/>
        <v/>
      </c>
    </row>
    <row r="11128" spans="9:14" x14ac:dyDescent="0.25">
      <c r="I11128" s="11" t="b">
        <f t="shared" si="538"/>
        <v>0</v>
      </c>
      <c r="M11128" s="17" t="str">
        <f t="shared" si="536"/>
        <v/>
      </c>
      <c r="N11128" s="11" t="str">
        <f t="shared" si="537"/>
        <v/>
      </c>
    </row>
    <row r="11129" spans="9:14" x14ac:dyDescent="0.25">
      <c r="I11129" s="11" t="b">
        <f t="shared" si="538"/>
        <v>0</v>
      </c>
      <c r="M11129" s="17" t="str">
        <f t="shared" si="536"/>
        <v/>
      </c>
      <c r="N11129" s="11" t="str">
        <f t="shared" si="537"/>
        <v/>
      </c>
    </row>
    <row r="11130" spans="9:14" x14ac:dyDescent="0.25">
      <c r="I11130" s="11" t="b">
        <f t="shared" si="538"/>
        <v>0</v>
      </c>
      <c r="M11130" s="17" t="str">
        <f t="shared" si="536"/>
        <v/>
      </c>
      <c r="N11130" s="11" t="str">
        <f t="shared" si="537"/>
        <v/>
      </c>
    </row>
    <row r="11131" spans="9:14" x14ac:dyDescent="0.25">
      <c r="I11131" s="11" t="b">
        <f t="shared" si="538"/>
        <v>0</v>
      </c>
      <c r="M11131" s="17" t="str">
        <f t="shared" si="536"/>
        <v/>
      </c>
      <c r="N11131" s="11" t="str">
        <f t="shared" si="537"/>
        <v/>
      </c>
    </row>
    <row r="11132" spans="9:14" x14ac:dyDescent="0.25">
      <c r="I11132" s="11" t="b">
        <f t="shared" si="538"/>
        <v>0</v>
      </c>
      <c r="M11132" s="17" t="str">
        <f t="shared" si="536"/>
        <v/>
      </c>
      <c r="N11132" s="11" t="str">
        <f t="shared" si="537"/>
        <v/>
      </c>
    </row>
    <row r="11133" spans="9:14" x14ac:dyDescent="0.25">
      <c r="I11133" s="11" t="b">
        <f t="shared" si="538"/>
        <v>0</v>
      </c>
      <c r="M11133" s="17" t="str">
        <f t="shared" si="536"/>
        <v/>
      </c>
      <c r="N11133" s="11" t="str">
        <f t="shared" si="537"/>
        <v/>
      </c>
    </row>
    <row r="11134" spans="9:14" x14ac:dyDescent="0.25">
      <c r="I11134" s="11" t="b">
        <f t="shared" si="538"/>
        <v>0</v>
      </c>
      <c r="M11134" s="17" t="str">
        <f t="shared" si="536"/>
        <v/>
      </c>
      <c r="N11134" s="11" t="str">
        <f t="shared" si="537"/>
        <v/>
      </c>
    </row>
    <row r="11135" spans="9:14" x14ac:dyDescent="0.25">
      <c r="I11135" s="11" t="b">
        <f t="shared" si="538"/>
        <v>0</v>
      </c>
      <c r="M11135" s="17" t="str">
        <f t="shared" si="536"/>
        <v/>
      </c>
      <c r="N11135" s="11" t="str">
        <f t="shared" si="537"/>
        <v/>
      </c>
    </row>
    <row r="11136" spans="9:14" x14ac:dyDescent="0.25">
      <c r="I11136" s="11" t="b">
        <f t="shared" si="538"/>
        <v>0</v>
      </c>
      <c r="M11136" s="17" t="str">
        <f t="shared" si="536"/>
        <v/>
      </c>
      <c r="N11136" s="11" t="str">
        <f t="shared" si="537"/>
        <v/>
      </c>
    </row>
    <row r="11137" spans="9:14" x14ac:dyDescent="0.25">
      <c r="I11137" s="11" t="b">
        <f t="shared" si="538"/>
        <v>0</v>
      </c>
      <c r="M11137" s="17" t="str">
        <f t="shared" ref="M11137:M11200" si="539">IF(B11137=0, "",M11136+ J11137-K11137)</f>
        <v/>
      </c>
      <c r="N11137" s="11" t="str">
        <f t="shared" ref="N11137:N11200" si="540">IF(B11137=0, "", MONTH(B11137))</f>
        <v/>
      </c>
    </row>
    <row r="11138" spans="9:14" x14ac:dyDescent="0.25">
      <c r="I11138" s="11" t="b">
        <f t="shared" si="538"/>
        <v>0</v>
      </c>
      <c r="M11138" s="17" t="str">
        <f t="shared" si="539"/>
        <v/>
      </c>
      <c r="N11138" s="11" t="str">
        <f t="shared" si="540"/>
        <v/>
      </c>
    </row>
    <row r="11139" spans="9:14" x14ac:dyDescent="0.25">
      <c r="I11139" s="11" t="b">
        <f t="shared" si="538"/>
        <v>0</v>
      </c>
      <c r="M11139" s="17" t="str">
        <f t="shared" si="539"/>
        <v/>
      </c>
      <c r="N11139" s="11" t="str">
        <f t="shared" si="540"/>
        <v/>
      </c>
    </row>
    <row r="11140" spans="9:14" x14ac:dyDescent="0.25">
      <c r="I11140" s="11" t="b">
        <f t="shared" si="538"/>
        <v>0</v>
      </c>
      <c r="M11140" s="17" t="str">
        <f t="shared" si="539"/>
        <v/>
      </c>
      <c r="N11140" s="11" t="str">
        <f t="shared" si="540"/>
        <v/>
      </c>
    </row>
    <row r="11141" spans="9:14" x14ac:dyDescent="0.25">
      <c r="I11141" s="11" t="b">
        <f t="shared" si="538"/>
        <v>0</v>
      </c>
      <c r="M11141" s="17" t="str">
        <f t="shared" si="539"/>
        <v/>
      </c>
      <c r="N11141" s="11" t="str">
        <f t="shared" si="540"/>
        <v/>
      </c>
    </row>
    <row r="11142" spans="9:14" x14ac:dyDescent="0.25">
      <c r="I11142" s="11" t="b">
        <f t="shared" si="538"/>
        <v>0</v>
      </c>
      <c r="M11142" s="17" t="str">
        <f t="shared" si="539"/>
        <v/>
      </c>
      <c r="N11142" s="11" t="str">
        <f t="shared" si="540"/>
        <v/>
      </c>
    </row>
    <row r="11143" spans="9:14" x14ac:dyDescent="0.25">
      <c r="I11143" s="11" t="b">
        <f t="shared" si="538"/>
        <v>0</v>
      </c>
      <c r="M11143" s="17" t="str">
        <f t="shared" si="539"/>
        <v/>
      </c>
      <c r="N11143" s="11" t="str">
        <f t="shared" si="540"/>
        <v/>
      </c>
    </row>
    <row r="11144" spans="9:14" x14ac:dyDescent="0.25">
      <c r="I11144" s="11" t="b">
        <f t="shared" si="538"/>
        <v>0</v>
      </c>
      <c r="M11144" s="17" t="str">
        <f t="shared" si="539"/>
        <v/>
      </c>
      <c r="N11144" s="11" t="str">
        <f t="shared" si="540"/>
        <v/>
      </c>
    </row>
    <row r="11145" spans="9:14" x14ac:dyDescent="0.25">
      <c r="I11145" s="11" t="b">
        <f t="shared" si="538"/>
        <v>0</v>
      </c>
      <c r="M11145" s="17" t="str">
        <f t="shared" si="539"/>
        <v/>
      </c>
      <c r="N11145" s="11" t="str">
        <f t="shared" si="540"/>
        <v/>
      </c>
    </row>
    <row r="11146" spans="9:14" x14ac:dyDescent="0.25">
      <c r="I11146" s="11" t="b">
        <f t="shared" si="538"/>
        <v>0</v>
      </c>
      <c r="M11146" s="17" t="str">
        <f t="shared" si="539"/>
        <v/>
      </c>
      <c r="N11146" s="11" t="str">
        <f t="shared" si="540"/>
        <v/>
      </c>
    </row>
    <row r="11147" spans="9:14" x14ac:dyDescent="0.25">
      <c r="I11147" s="11" t="b">
        <f t="shared" si="538"/>
        <v>0</v>
      </c>
      <c r="M11147" s="17" t="str">
        <f t="shared" si="539"/>
        <v/>
      </c>
      <c r="N11147" s="11" t="str">
        <f t="shared" si="540"/>
        <v/>
      </c>
    </row>
    <row r="11148" spans="9:14" x14ac:dyDescent="0.25">
      <c r="I11148" s="11" t="b">
        <f t="shared" si="538"/>
        <v>0</v>
      </c>
      <c r="M11148" s="17" t="str">
        <f t="shared" si="539"/>
        <v/>
      </c>
      <c r="N11148" s="11" t="str">
        <f t="shared" si="540"/>
        <v/>
      </c>
    </row>
    <row r="11149" spans="9:14" x14ac:dyDescent="0.25">
      <c r="I11149" s="11" t="b">
        <f t="shared" si="538"/>
        <v>0</v>
      </c>
      <c r="M11149" s="17" t="str">
        <f t="shared" si="539"/>
        <v/>
      </c>
      <c r="N11149" s="11" t="str">
        <f t="shared" si="540"/>
        <v/>
      </c>
    </row>
    <row r="11150" spans="9:14" x14ac:dyDescent="0.25">
      <c r="I11150" s="11" t="b">
        <f t="shared" si="538"/>
        <v>0</v>
      </c>
      <c r="M11150" s="17" t="str">
        <f t="shared" si="539"/>
        <v/>
      </c>
      <c r="N11150" s="11" t="str">
        <f t="shared" si="540"/>
        <v/>
      </c>
    </row>
    <row r="11151" spans="9:14" x14ac:dyDescent="0.25">
      <c r="I11151" s="11" t="b">
        <f t="shared" si="538"/>
        <v>0</v>
      </c>
      <c r="M11151" s="17" t="str">
        <f t="shared" si="539"/>
        <v/>
      </c>
      <c r="N11151" s="11" t="str">
        <f t="shared" si="540"/>
        <v/>
      </c>
    </row>
    <row r="11152" spans="9:14" x14ac:dyDescent="0.25">
      <c r="I11152" s="11" t="b">
        <f t="shared" si="538"/>
        <v>0</v>
      </c>
      <c r="M11152" s="17" t="str">
        <f t="shared" si="539"/>
        <v/>
      </c>
      <c r="N11152" s="11" t="str">
        <f t="shared" si="540"/>
        <v/>
      </c>
    </row>
    <row r="11153" spans="9:14" x14ac:dyDescent="0.25">
      <c r="I11153" s="11" t="b">
        <f t="shared" si="538"/>
        <v>0</v>
      </c>
      <c r="M11153" s="17" t="str">
        <f t="shared" si="539"/>
        <v/>
      </c>
      <c r="N11153" s="11" t="str">
        <f t="shared" si="540"/>
        <v/>
      </c>
    </row>
    <row r="11154" spans="9:14" x14ac:dyDescent="0.25">
      <c r="I11154" s="11" t="b">
        <f t="shared" si="538"/>
        <v>0</v>
      </c>
      <c r="M11154" s="17" t="str">
        <f t="shared" si="539"/>
        <v/>
      </c>
      <c r="N11154" s="11" t="str">
        <f t="shared" si="540"/>
        <v/>
      </c>
    </row>
    <row r="11155" spans="9:14" x14ac:dyDescent="0.25">
      <c r="I11155" s="11" t="b">
        <f t="shared" si="538"/>
        <v>0</v>
      </c>
      <c r="M11155" s="17" t="str">
        <f t="shared" si="539"/>
        <v/>
      </c>
      <c r="N11155" s="11" t="str">
        <f t="shared" si="540"/>
        <v/>
      </c>
    </row>
    <row r="11156" spans="9:14" x14ac:dyDescent="0.25">
      <c r="I11156" s="11" t="b">
        <f t="shared" si="538"/>
        <v>0</v>
      </c>
      <c r="M11156" s="17" t="str">
        <f t="shared" si="539"/>
        <v/>
      </c>
      <c r="N11156" s="11" t="str">
        <f t="shared" si="540"/>
        <v/>
      </c>
    </row>
    <row r="11157" spans="9:14" x14ac:dyDescent="0.25">
      <c r="I11157" s="11" t="b">
        <f t="shared" si="538"/>
        <v>0</v>
      </c>
      <c r="M11157" s="17" t="str">
        <f t="shared" si="539"/>
        <v/>
      </c>
      <c r="N11157" s="11" t="str">
        <f t="shared" si="540"/>
        <v/>
      </c>
    </row>
    <row r="11158" spans="9:14" x14ac:dyDescent="0.25">
      <c r="I11158" s="11" t="b">
        <f t="shared" si="538"/>
        <v>0</v>
      </c>
      <c r="M11158" s="17" t="str">
        <f t="shared" si="539"/>
        <v/>
      </c>
      <c r="N11158" s="11" t="str">
        <f t="shared" si="540"/>
        <v/>
      </c>
    </row>
    <row r="11159" spans="9:14" x14ac:dyDescent="0.25">
      <c r="I11159" s="11" t="b">
        <f t="shared" si="538"/>
        <v>0</v>
      </c>
      <c r="M11159" s="17" t="str">
        <f t="shared" si="539"/>
        <v/>
      </c>
      <c r="N11159" s="11" t="str">
        <f t="shared" si="540"/>
        <v/>
      </c>
    </row>
    <row r="11160" spans="9:14" x14ac:dyDescent="0.25">
      <c r="I11160" s="11" t="b">
        <f t="shared" si="538"/>
        <v>0</v>
      </c>
      <c r="M11160" s="17" t="str">
        <f t="shared" si="539"/>
        <v/>
      </c>
      <c r="N11160" s="11" t="str">
        <f t="shared" si="540"/>
        <v/>
      </c>
    </row>
    <row r="11161" spans="9:14" x14ac:dyDescent="0.25">
      <c r="I11161" s="11" t="b">
        <f t="shared" si="538"/>
        <v>0</v>
      </c>
      <c r="M11161" s="17" t="str">
        <f t="shared" si="539"/>
        <v/>
      </c>
      <c r="N11161" s="11" t="str">
        <f t="shared" si="540"/>
        <v/>
      </c>
    </row>
    <row r="11162" spans="9:14" x14ac:dyDescent="0.25">
      <c r="I11162" s="11" t="b">
        <f t="shared" si="538"/>
        <v>0</v>
      </c>
      <c r="M11162" s="17" t="str">
        <f t="shared" si="539"/>
        <v/>
      </c>
      <c r="N11162" s="11" t="str">
        <f t="shared" si="540"/>
        <v/>
      </c>
    </row>
    <row r="11163" spans="9:14" x14ac:dyDescent="0.25">
      <c r="I11163" s="11" t="b">
        <f t="shared" si="538"/>
        <v>0</v>
      </c>
      <c r="M11163" s="17" t="str">
        <f t="shared" si="539"/>
        <v/>
      </c>
      <c r="N11163" s="11" t="str">
        <f t="shared" si="540"/>
        <v/>
      </c>
    </row>
    <row r="11164" spans="9:14" x14ac:dyDescent="0.25">
      <c r="I11164" s="11" t="b">
        <f t="shared" si="538"/>
        <v>0</v>
      </c>
      <c r="M11164" s="17" t="str">
        <f t="shared" si="539"/>
        <v/>
      </c>
      <c r="N11164" s="11" t="str">
        <f t="shared" si="540"/>
        <v/>
      </c>
    </row>
    <row r="11165" spans="9:14" x14ac:dyDescent="0.25">
      <c r="I11165" s="11" t="b">
        <f t="shared" ref="I11165:I11228" si="541">IF(AND(G11165="MERCADO PAGO",A11165="FATURAMENTO"),1,IF(AND(OR(G11165="MERCADO PAGO",G11165="pix mercado pago",G11165= "débito automático mercado pago", G11165= "boleto mercado pago"),A11165="DESPESAS"),4,IF(AND(G11165="SAFRA",A11165="FATURAMENTO"),2,IF(AND(OR(G11165="SAFRA",G11165="PIX SAFRA", G11165="DÉBITO AUTOMÁTICO SAFRA", G11165= "BOLETO SAFRA", G11165= "transferência safra"), A11165="DESPESAS"),5,IF(AND(G11165="espécie",A11165="FATURAMENTO"),3,IF(AND(G11165="espécie",A11165="DESPESAS"),6))))))</f>
        <v>0</v>
      </c>
      <c r="M11165" s="17" t="str">
        <f t="shared" si="539"/>
        <v/>
      </c>
      <c r="N11165" s="11" t="str">
        <f t="shared" si="540"/>
        <v/>
      </c>
    </row>
    <row r="11166" spans="9:14" x14ac:dyDescent="0.25">
      <c r="I11166" s="11" t="b">
        <f t="shared" si="541"/>
        <v>0</v>
      </c>
      <c r="M11166" s="17" t="str">
        <f t="shared" si="539"/>
        <v/>
      </c>
      <c r="N11166" s="11" t="str">
        <f t="shared" si="540"/>
        <v/>
      </c>
    </row>
    <row r="11167" spans="9:14" x14ac:dyDescent="0.25">
      <c r="I11167" s="11" t="b">
        <f t="shared" si="541"/>
        <v>0</v>
      </c>
      <c r="M11167" s="17" t="str">
        <f t="shared" si="539"/>
        <v/>
      </c>
      <c r="N11167" s="11" t="str">
        <f t="shared" si="540"/>
        <v/>
      </c>
    </row>
    <row r="11168" spans="9:14" x14ac:dyDescent="0.25">
      <c r="I11168" s="11" t="b">
        <f t="shared" si="541"/>
        <v>0</v>
      </c>
      <c r="M11168" s="17" t="str">
        <f t="shared" si="539"/>
        <v/>
      </c>
      <c r="N11168" s="11" t="str">
        <f t="shared" si="540"/>
        <v/>
      </c>
    </row>
    <row r="11169" spans="9:14" x14ac:dyDescent="0.25">
      <c r="I11169" s="11" t="b">
        <f t="shared" si="541"/>
        <v>0</v>
      </c>
      <c r="M11169" s="17" t="str">
        <f t="shared" si="539"/>
        <v/>
      </c>
      <c r="N11169" s="11" t="str">
        <f t="shared" si="540"/>
        <v/>
      </c>
    </row>
    <row r="11170" spans="9:14" x14ac:dyDescent="0.25">
      <c r="I11170" s="11" t="b">
        <f t="shared" si="541"/>
        <v>0</v>
      </c>
      <c r="M11170" s="17" t="str">
        <f t="shared" si="539"/>
        <v/>
      </c>
      <c r="N11170" s="11" t="str">
        <f t="shared" si="540"/>
        <v/>
      </c>
    </row>
    <row r="11171" spans="9:14" x14ac:dyDescent="0.25">
      <c r="I11171" s="11" t="b">
        <f t="shared" si="541"/>
        <v>0</v>
      </c>
      <c r="M11171" s="17" t="str">
        <f t="shared" si="539"/>
        <v/>
      </c>
      <c r="N11171" s="11" t="str">
        <f t="shared" si="540"/>
        <v/>
      </c>
    </row>
    <row r="11172" spans="9:14" x14ac:dyDescent="0.25">
      <c r="I11172" s="11" t="b">
        <f t="shared" si="541"/>
        <v>0</v>
      </c>
      <c r="M11172" s="17" t="str">
        <f t="shared" si="539"/>
        <v/>
      </c>
      <c r="N11172" s="11" t="str">
        <f t="shared" si="540"/>
        <v/>
      </c>
    </row>
    <row r="11173" spans="9:14" x14ac:dyDescent="0.25">
      <c r="I11173" s="11" t="b">
        <f t="shared" si="541"/>
        <v>0</v>
      </c>
      <c r="M11173" s="17" t="str">
        <f t="shared" si="539"/>
        <v/>
      </c>
      <c r="N11173" s="11" t="str">
        <f t="shared" si="540"/>
        <v/>
      </c>
    </row>
    <row r="11174" spans="9:14" x14ac:dyDescent="0.25">
      <c r="I11174" s="11" t="b">
        <f t="shared" si="541"/>
        <v>0</v>
      </c>
      <c r="M11174" s="17" t="str">
        <f t="shared" si="539"/>
        <v/>
      </c>
      <c r="N11174" s="11" t="str">
        <f t="shared" si="540"/>
        <v/>
      </c>
    </row>
    <row r="11175" spans="9:14" x14ac:dyDescent="0.25">
      <c r="I11175" s="11" t="b">
        <f t="shared" si="541"/>
        <v>0</v>
      </c>
      <c r="M11175" s="17" t="str">
        <f t="shared" si="539"/>
        <v/>
      </c>
      <c r="N11175" s="11" t="str">
        <f t="shared" si="540"/>
        <v/>
      </c>
    </row>
    <row r="11176" spans="9:14" x14ac:dyDescent="0.25">
      <c r="I11176" s="11" t="b">
        <f t="shared" si="541"/>
        <v>0</v>
      </c>
      <c r="M11176" s="17" t="str">
        <f t="shared" si="539"/>
        <v/>
      </c>
      <c r="N11176" s="11" t="str">
        <f t="shared" si="540"/>
        <v/>
      </c>
    </row>
    <row r="11177" spans="9:14" x14ac:dyDescent="0.25">
      <c r="I11177" s="11" t="b">
        <f t="shared" si="541"/>
        <v>0</v>
      </c>
      <c r="M11177" s="17" t="str">
        <f t="shared" si="539"/>
        <v/>
      </c>
      <c r="N11177" s="11" t="str">
        <f t="shared" si="540"/>
        <v/>
      </c>
    </row>
    <row r="11178" spans="9:14" x14ac:dyDescent="0.25">
      <c r="I11178" s="11" t="b">
        <f t="shared" si="541"/>
        <v>0</v>
      </c>
      <c r="M11178" s="17" t="str">
        <f t="shared" si="539"/>
        <v/>
      </c>
      <c r="N11178" s="11" t="str">
        <f t="shared" si="540"/>
        <v/>
      </c>
    </row>
    <row r="11179" spans="9:14" x14ac:dyDescent="0.25">
      <c r="I11179" s="11" t="b">
        <f t="shared" si="541"/>
        <v>0</v>
      </c>
      <c r="M11179" s="17" t="str">
        <f t="shared" si="539"/>
        <v/>
      </c>
      <c r="N11179" s="11" t="str">
        <f t="shared" si="540"/>
        <v/>
      </c>
    </row>
    <row r="11180" spans="9:14" x14ac:dyDescent="0.25">
      <c r="I11180" s="11" t="b">
        <f t="shared" si="541"/>
        <v>0</v>
      </c>
      <c r="M11180" s="17" t="str">
        <f t="shared" si="539"/>
        <v/>
      </c>
      <c r="N11180" s="11" t="str">
        <f t="shared" si="540"/>
        <v/>
      </c>
    </row>
    <row r="11181" spans="9:14" x14ac:dyDescent="0.25">
      <c r="I11181" s="11" t="b">
        <f t="shared" si="541"/>
        <v>0</v>
      </c>
      <c r="M11181" s="17" t="str">
        <f t="shared" si="539"/>
        <v/>
      </c>
      <c r="N11181" s="11" t="str">
        <f t="shared" si="540"/>
        <v/>
      </c>
    </row>
    <row r="11182" spans="9:14" x14ac:dyDescent="0.25">
      <c r="I11182" s="11" t="b">
        <f t="shared" si="541"/>
        <v>0</v>
      </c>
      <c r="M11182" s="17" t="str">
        <f t="shared" si="539"/>
        <v/>
      </c>
      <c r="N11182" s="11" t="str">
        <f t="shared" si="540"/>
        <v/>
      </c>
    </row>
    <row r="11183" spans="9:14" x14ac:dyDescent="0.25">
      <c r="I11183" s="11" t="b">
        <f t="shared" si="541"/>
        <v>0</v>
      </c>
      <c r="M11183" s="17" t="str">
        <f t="shared" si="539"/>
        <v/>
      </c>
      <c r="N11183" s="11" t="str">
        <f t="shared" si="540"/>
        <v/>
      </c>
    </row>
    <row r="11184" spans="9:14" x14ac:dyDescent="0.25">
      <c r="I11184" s="11" t="b">
        <f t="shared" si="541"/>
        <v>0</v>
      </c>
      <c r="M11184" s="17" t="str">
        <f t="shared" si="539"/>
        <v/>
      </c>
      <c r="N11184" s="11" t="str">
        <f t="shared" si="540"/>
        <v/>
      </c>
    </row>
    <row r="11185" spans="9:14" x14ac:dyDescent="0.25">
      <c r="I11185" s="11" t="b">
        <f t="shared" si="541"/>
        <v>0</v>
      </c>
      <c r="M11185" s="17" t="str">
        <f t="shared" si="539"/>
        <v/>
      </c>
      <c r="N11185" s="11" t="str">
        <f t="shared" si="540"/>
        <v/>
      </c>
    </row>
    <row r="11186" spans="9:14" x14ac:dyDescent="0.25">
      <c r="I11186" s="11" t="b">
        <f t="shared" si="541"/>
        <v>0</v>
      </c>
      <c r="M11186" s="17" t="str">
        <f t="shared" si="539"/>
        <v/>
      </c>
      <c r="N11186" s="11" t="str">
        <f t="shared" si="540"/>
        <v/>
      </c>
    </row>
    <row r="11187" spans="9:14" x14ac:dyDescent="0.25">
      <c r="I11187" s="11" t="b">
        <f t="shared" si="541"/>
        <v>0</v>
      </c>
      <c r="M11187" s="17" t="str">
        <f t="shared" si="539"/>
        <v/>
      </c>
      <c r="N11187" s="11" t="str">
        <f t="shared" si="540"/>
        <v/>
      </c>
    </row>
    <row r="11188" spans="9:14" x14ac:dyDescent="0.25">
      <c r="I11188" s="11" t="b">
        <f t="shared" si="541"/>
        <v>0</v>
      </c>
      <c r="M11188" s="17" t="str">
        <f t="shared" si="539"/>
        <v/>
      </c>
      <c r="N11188" s="11" t="str">
        <f t="shared" si="540"/>
        <v/>
      </c>
    </row>
    <row r="11189" spans="9:14" x14ac:dyDescent="0.25">
      <c r="I11189" s="11" t="b">
        <f t="shared" si="541"/>
        <v>0</v>
      </c>
      <c r="M11189" s="17" t="str">
        <f t="shared" si="539"/>
        <v/>
      </c>
      <c r="N11189" s="11" t="str">
        <f t="shared" si="540"/>
        <v/>
      </c>
    </row>
    <row r="11190" spans="9:14" x14ac:dyDescent="0.25">
      <c r="I11190" s="11" t="b">
        <f t="shared" si="541"/>
        <v>0</v>
      </c>
      <c r="M11190" s="17" t="str">
        <f t="shared" si="539"/>
        <v/>
      </c>
      <c r="N11190" s="11" t="str">
        <f t="shared" si="540"/>
        <v/>
      </c>
    </row>
    <row r="11191" spans="9:14" x14ac:dyDescent="0.25">
      <c r="I11191" s="11" t="b">
        <f t="shared" si="541"/>
        <v>0</v>
      </c>
      <c r="M11191" s="17" t="str">
        <f t="shared" si="539"/>
        <v/>
      </c>
      <c r="N11191" s="11" t="str">
        <f t="shared" si="540"/>
        <v/>
      </c>
    </row>
    <row r="11192" spans="9:14" x14ac:dyDescent="0.25">
      <c r="I11192" s="11" t="b">
        <f t="shared" si="541"/>
        <v>0</v>
      </c>
      <c r="M11192" s="17" t="str">
        <f t="shared" si="539"/>
        <v/>
      </c>
      <c r="N11192" s="11" t="str">
        <f t="shared" si="540"/>
        <v/>
      </c>
    </row>
    <row r="11193" spans="9:14" x14ac:dyDescent="0.25">
      <c r="I11193" s="11" t="b">
        <f t="shared" si="541"/>
        <v>0</v>
      </c>
      <c r="M11193" s="17" t="str">
        <f t="shared" si="539"/>
        <v/>
      </c>
      <c r="N11193" s="11" t="str">
        <f t="shared" si="540"/>
        <v/>
      </c>
    </row>
    <row r="11194" spans="9:14" x14ac:dyDescent="0.25">
      <c r="I11194" s="11" t="b">
        <f t="shared" si="541"/>
        <v>0</v>
      </c>
      <c r="M11194" s="17" t="str">
        <f t="shared" si="539"/>
        <v/>
      </c>
      <c r="N11194" s="11" t="str">
        <f t="shared" si="540"/>
        <v/>
      </c>
    </row>
    <row r="11195" spans="9:14" x14ac:dyDescent="0.25">
      <c r="I11195" s="11" t="b">
        <f t="shared" si="541"/>
        <v>0</v>
      </c>
      <c r="M11195" s="17" t="str">
        <f t="shared" si="539"/>
        <v/>
      </c>
      <c r="N11195" s="11" t="str">
        <f t="shared" si="540"/>
        <v/>
      </c>
    </row>
    <row r="11196" spans="9:14" x14ac:dyDescent="0.25">
      <c r="I11196" s="11" t="b">
        <f t="shared" si="541"/>
        <v>0</v>
      </c>
      <c r="M11196" s="17" t="str">
        <f t="shared" si="539"/>
        <v/>
      </c>
      <c r="N11196" s="11" t="str">
        <f t="shared" si="540"/>
        <v/>
      </c>
    </row>
    <row r="11197" spans="9:14" x14ac:dyDescent="0.25">
      <c r="I11197" s="11" t="b">
        <f t="shared" si="541"/>
        <v>0</v>
      </c>
      <c r="M11197" s="17" t="str">
        <f t="shared" si="539"/>
        <v/>
      </c>
      <c r="N11197" s="11" t="str">
        <f t="shared" si="540"/>
        <v/>
      </c>
    </row>
    <row r="11198" spans="9:14" x14ac:dyDescent="0.25">
      <c r="I11198" s="11" t="b">
        <f t="shared" si="541"/>
        <v>0</v>
      </c>
      <c r="M11198" s="17" t="str">
        <f t="shared" si="539"/>
        <v/>
      </c>
      <c r="N11198" s="11" t="str">
        <f t="shared" si="540"/>
        <v/>
      </c>
    </row>
    <row r="11199" spans="9:14" x14ac:dyDescent="0.25">
      <c r="I11199" s="11" t="b">
        <f t="shared" si="541"/>
        <v>0</v>
      </c>
      <c r="M11199" s="17" t="str">
        <f t="shared" si="539"/>
        <v/>
      </c>
      <c r="N11199" s="11" t="str">
        <f t="shared" si="540"/>
        <v/>
      </c>
    </row>
    <row r="11200" spans="9:14" x14ac:dyDescent="0.25">
      <c r="I11200" s="11" t="b">
        <f t="shared" si="541"/>
        <v>0</v>
      </c>
      <c r="M11200" s="17" t="str">
        <f t="shared" si="539"/>
        <v/>
      </c>
      <c r="N11200" s="11" t="str">
        <f t="shared" si="540"/>
        <v/>
      </c>
    </row>
    <row r="11201" spans="9:14" x14ac:dyDescent="0.25">
      <c r="I11201" s="11" t="b">
        <f t="shared" si="541"/>
        <v>0</v>
      </c>
      <c r="M11201" s="17" t="str">
        <f t="shared" ref="M11201:M11264" si="542">IF(B11201=0, "",M11200+ J11201-K11201)</f>
        <v/>
      </c>
      <c r="N11201" s="11" t="str">
        <f t="shared" ref="N11201:N11264" si="543">IF(B11201=0, "", MONTH(B11201))</f>
        <v/>
      </c>
    </row>
    <row r="11202" spans="9:14" x14ac:dyDescent="0.25">
      <c r="I11202" s="11" t="b">
        <f t="shared" si="541"/>
        <v>0</v>
      </c>
      <c r="M11202" s="17" t="str">
        <f t="shared" si="542"/>
        <v/>
      </c>
      <c r="N11202" s="11" t="str">
        <f t="shared" si="543"/>
        <v/>
      </c>
    </row>
    <row r="11203" spans="9:14" x14ac:dyDescent="0.25">
      <c r="I11203" s="11" t="b">
        <f t="shared" si="541"/>
        <v>0</v>
      </c>
      <c r="M11203" s="17" t="str">
        <f t="shared" si="542"/>
        <v/>
      </c>
      <c r="N11203" s="11" t="str">
        <f t="shared" si="543"/>
        <v/>
      </c>
    </row>
    <row r="11204" spans="9:14" x14ac:dyDescent="0.25">
      <c r="I11204" s="11" t="b">
        <f t="shared" si="541"/>
        <v>0</v>
      </c>
      <c r="M11204" s="17" t="str">
        <f t="shared" si="542"/>
        <v/>
      </c>
      <c r="N11204" s="11" t="str">
        <f t="shared" si="543"/>
        <v/>
      </c>
    </row>
    <row r="11205" spans="9:14" x14ac:dyDescent="0.25">
      <c r="I11205" s="11" t="b">
        <f t="shared" si="541"/>
        <v>0</v>
      </c>
      <c r="M11205" s="17" t="str">
        <f t="shared" si="542"/>
        <v/>
      </c>
      <c r="N11205" s="11" t="str">
        <f t="shared" si="543"/>
        <v/>
      </c>
    </row>
    <row r="11206" spans="9:14" x14ac:dyDescent="0.25">
      <c r="I11206" s="11" t="b">
        <f t="shared" si="541"/>
        <v>0</v>
      </c>
      <c r="M11206" s="17" t="str">
        <f t="shared" si="542"/>
        <v/>
      </c>
      <c r="N11206" s="11" t="str">
        <f t="shared" si="543"/>
        <v/>
      </c>
    </row>
    <row r="11207" spans="9:14" x14ac:dyDescent="0.25">
      <c r="I11207" s="11" t="b">
        <f t="shared" si="541"/>
        <v>0</v>
      </c>
      <c r="M11207" s="17" t="str">
        <f t="shared" si="542"/>
        <v/>
      </c>
      <c r="N11207" s="11" t="str">
        <f t="shared" si="543"/>
        <v/>
      </c>
    </row>
    <row r="11208" spans="9:14" x14ac:dyDescent="0.25">
      <c r="I11208" s="11" t="b">
        <f t="shared" si="541"/>
        <v>0</v>
      </c>
      <c r="M11208" s="17" t="str">
        <f t="shared" si="542"/>
        <v/>
      </c>
      <c r="N11208" s="11" t="str">
        <f t="shared" si="543"/>
        <v/>
      </c>
    </row>
    <row r="11209" spans="9:14" x14ac:dyDescent="0.25">
      <c r="I11209" s="11" t="b">
        <f t="shared" si="541"/>
        <v>0</v>
      </c>
      <c r="M11209" s="17" t="str">
        <f t="shared" si="542"/>
        <v/>
      </c>
      <c r="N11209" s="11" t="str">
        <f t="shared" si="543"/>
        <v/>
      </c>
    </row>
    <row r="11210" spans="9:14" x14ac:dyDescent="0.25">
      <c r="I11210" s="11" t="b">
        <f t="shared" si="541"/>
        <v>0</v>
      </c>
      <c r="M11210" s="17" t="str">
        <f t="shared" si="542"/>
        <v/>
      </c>
      <c r="N11210" s="11" t="str">
        <f t="shared" si="543"/>
        <v/>
      </c>
    </row>
    <row r="11211" spans="9:14" x14ac:dyDescent="0.25">
      <c r="I11211" s="11" t="b">
        <f t="shared" si="541"/>
        <v>0</v>
      </c>
      <c r="M11211" s="17" t="str">
        <f t="shared" si="542"/>
        <v/>
      </c>
      <c r="N11211" s="11" t="str">
        <f t="shared" si="543"/>
        <v/>
      </c>
    </row>
    <row r="11212" spans="9:14" x14ac:dyDescent="0.25">
      <c r="I11212" s="11" t="b">
        <f t="shared" si="541"/>
        <v>0</v>
      </c>
      <c r="M11212" s="17" t="str">
        <f t="shared" si="542"/>
        <v/>
      </c>
      <c r="N11212" s="11" t="str">
        <f t="shared" si="543"/>
        <v/>
      </c>
    </row>
    <row r="11213" spans="9:14" x14ac:dyDescent="0.25">
      <c r="I11213" s="11" t="b">
        <f t="shared" si="541"/>
        <v>0</v>
      </c>
      <c r="M11213" s="17" t="str">
        <f t="shared" si="542"/>
        <v/>
      </c>
      <c r="N11213" s="11" t="str">
        <f t="shared" si="543"/>
        <v/>
      </c>
    </row>
    <row r="11214" spans="9:14" x14ac:dyDescent="0.25">
      <c r="I11214" s="11" t="b">
        <f t="shared" si="541"/>
        <v>0</v>
      </c>
      <c r="M11214" s="17" t="str">
        <f t="shared" si="542"/>
        <v/>
      </c>
      <c r="N11214" s="11" t="str">
        <f t="shared" si="543"/>
        <v/>
      </c>
    </row>
    <row r="11215" spans="9:14" x14ac:dyDescent="0.25">
      <c r="I11215" s="11" t="b">
        <f t="shared" si="541"/>
        <v>0</v>
      </c>
      <c r="M11215" s="17" t="str">
        <f t="shared" si="542"/>
        <v/>
      </c>
      <c r="N11215" s="11" t="str">
        <f t="shared" si="543"/>
        <v/>
      </c>
    </row>
    <row r="11216" spans="9:14" x14ac:dyDescent="0.25">
      <c r="I11216" s="11" t="b">
        <f t="shared" si="541"/>
        <v>0</v>
      </c>
      <c r="M11216" s="17" t="str">
        <f t="shared" si="542"/>
        <v/>
      </c>
      <c r="N11216" s="11" t="str">
        <f t="shared" si="543"/>
        <v/>
      </c>
    </row>
    <row r="11217" spans="9:14" x14ac:dyDescent="0.25">
      <c r="I11217" s="11" t="b">
        <f t="shared" si="541"/>
        <v>0</v>
      </c>
      <c r="M11217" s="17" t="str">
        <f t="shared" si="542"/>
        <v/>
      </c>
      <c r="N11217" s="11" t="str">
        <f t="shared" si="543"/>
        <v/>
      </c>
    </row>
    <row r="11218" spans="9:14" x14ac:dyDescent="0.25">
      <c r="I11218" s="11" t="b">
        <f t="shared" si="541"/>
        <v>0</v>
      </c>
      <c r="M11218" s="17" t="str">
        <f t="shared" si="542"/>
        <v/>
      </c>
      <c r="N11218" s="11" t="str">
        <f t="shared" si="543"/>
        <v/>
      </c>
    </row>
    <row r="11219" spans="9:14" x14ac:dyDescent="0.25">
      <c r="I11219" s="11" t="b">
        <f t="shared" si="541"/>
        <v>0</v>
      </c>
      <c r="M11219" s="17" t="str">
        <f t="shared" si="542"/>
        <v/>
      </c>
      <c r="N11219" s="11" t="str">
        <f t="shared" si="543"/>
        <v/>
      </c>
    </row>
    <row r="11220" spans="9:14" x14ac:dyDescent="0.25">
      <c r="I11220" s="11" t="b">
        <f t="shared" si="541"/>
        <v>0</v>
      </c>
      <c r="M11220" s="17" t="str">
        <f t="shared" si="542"/>
        <v/>
      </c>
      <c r="N11220" s="11" t="str">
        <f t="shared" si="543"/>
        <v/>
      </c>
    </row>
    <row r="11221" spans="9:14" x14ac:dyDescent="0.25">
      <c r="I11221" s="11" t="b">
        <f t="shared" si="541"/>
        <v>0</v>
      </c>
      <c r="M11221" s="17" t="str">
        <f t="shared" si="542"/>
        <v/>
      </c>
      <c r="N11221" s="11" t="str">
        <f t="shared" si="543"/>
        <v/>
      </c>
    </row>
    <row r="11222" spans="9:14" x14ac:dyDescent="0.25">
      <c r="I11222" s="11" t="b">
        <f t="shared" si="541"/>
        <v>0</v>
      </c>
      <c r="M11222" s="17" t="str">
        <f t="shared" si="542"/>
        <v/>
      </c>
      <c r="N11222" s="11" t="str">
        <f t="shared" si="543"/>
        <v/>
      </c>
    </row>
    <row r="11223" spans="9:14" x14ac:dyDescent="0.25">
      <c r="I11223" s="11" t="b">
        <f t="shared" si="541"/>
        <v>0</v>
      </c>
      <c r="M11223" s="17" t="str">
        <f t="shared" si="542"/>
        <v/>
      </c>
      <c r="N11223" s="11" t="str">
        <f t="shared" si="543"/>
        <v/>
      </c>
    </row>
    <row r="11224" spans="9:14" x14ac:dyDescent="0.25">
      <c r="I11224" s="11" t="b">
        <f t="shared" si="541"/>
        <v>0</v>
      </c>
      <c r="M11224" s="17" t="str">
        <f t="shared" si="542"/>
        <v/>
      </c>
      <c r="N11224" s="11" t="str">
        <f t="shared" si="543"/>
        <v/>
      </c>
    </row>
    <row r="11225" spans="9:14" x14ac:dyDescent="0.25">
      <c r="I11225" s="11" t="b">
        <f t="shared" si="541"/>
        <v>0</v>
      </c>
      <c r="M11225" s="17" t="str">
        <f t="shared" si="542"/>
        <v/>
      </c>
      <c r="N11225" s="11" t="str">
        <f t="shared" si="543"/>
        <v/>
      </c>
    </row>
    <row r="11226" spans="9:14" x14ac:dyDescent="0.25">
      <c r="I11226" s="11" t="b">
        <f t="shared" si="541"/>
        <v>0</v>
      </c>
      <c r="M11226" s="17" t="str">
        <f t="shared" si="542"/>
        <v/>
      </c>
      <c r="N11226" s="11" t="str">
        <f t="shared" si="543"/>
        <v/>
      </c>
    </row>
    <row r="11227" spans="9:14" x14ac:dyDescent="0.25">
      <c r="I11227" s="11" t="b">
        <f t="shared" si="541"/>
        <v>0</v>
      </c>
      <c r="M11227" s="17" t="str">
        <f t="shared" si="542"/>
        <v/>
      </c>
      <c r="N11227" s="11" t="str">
        <f t="shared" si="543"/>
        <v/>
      </c>
    </row>
    <row r="11228" spans="9:14" x14ac:dyDescent="0.25">
      <c r="I11228" s="11" t="b">
        <f t="shared" si="541"/>
        <v>0</v>
      </c>
      <c r="M11228" s="17" t="str">
        <f t="shared" si="542"/>
        <v/>
      </c>
      <c r="N11228" s="11" t="str">
        <f t="shared" si="543"/>
        <v/>
      </c>
    </row>
    <row r="11229" spans="9:14" x14ac:dyDescent="0.25">
      <c r="I11229" s="11" t="b">
        <f t="shared" ref="I11229:I11292" si="544">IF(AND(G11229="MERCADO PAGO",A11229="FATURAMENTO"),1,IF(AND(OR(G11229="MERCADO PAGO",G11229="pix mercado pago",G11229= "débito automático mercado pago", G11229= "boleto mercado pago"),A11229="DESPESAS"),4,IF(AND(G11229="SAFRA",A11229="FATURAMENTO"),2,IF(AND(OR(G11229="SAFRA",G11229="PIX SAFRA", G11229="DÉBITO AUTOMÁTICO SAFRA", G11229= "BOLETO SAFRA", G11229= "transferência safra"), A11229="DESPESAS"),5,IF(AND(G11229="espécie",A11229="FATURAMENTO"),3,IF(AND(G11229="espécie",A11229="DESPESAS"),6))))))</f>
        <v>0</v>
      </c>
      <c r="M11229" s="17" t="str">
        <f t="shared" si="542"/>
        <v/>
      </c>
      <c r="N11229" s="11" t="str">
        <f t="shared" si="543"/>
        <v/>
      </c>
    </row>
    <row r="11230" spans="9:14" x14ac:dyDescent="0.25">
      <c r="I11230" s="11" t="b">
        <f t="shared" si="544"/>
        <v>0</v>
      </c>
      <c r="M11230" s="17" t="str">
        <f t="shared" si="542"/>
        <v/>
      </c>
      <c r="N11230" s="11" t="str">
        <f t="shared" si="543"/>
        <v/>
      </c>
    </row>
    <row r="11231" spans="9:14" x14ac:dyDescent="0.25">
      <c r="I11231" s="11" t="b">
        <f t="shared" si="544"/>
        <v>0</v>
      </c>
      <c r="M11231" s="17" t="str">
        <f t="shared" si="542"/>
        <v/>
      </c>
      <c r="N11231" s="11" t="str">
        <f t="shared" si="543"/>
        <v/>
      </c>
    </row>
    <row r="11232" spans="9:14" x14ac:dyDescent="0.25">
      <c r="I11232" s="11" t="b">
        <f t="shared" si="544"/>
        <v>0</v>
      </c>
      <c r="M11232" s="17" t="str">
        <f t="shared" si="542"/>
        <v/>
      </c>
      <c r="N11232" s="11" t="str">
        <f t="shared" si="543"/>
        <v/>
      </c>
    </row>
    <row r="11233" spans="9:14" x14ac:dyDescent="0.25">
      <c r="I11233" s="11" t="b">
        <f t="shared" si="544"/>
        <v>0</v>
      </c>
      <c r="M11233" s="17" t="str">
        <f t="shared" si="542"/>
        <v/>
      </c>
      <c r="N11233" s="11" t="str">
        <f t="shared" si="543"/>
        <v/>
      </c>
    </row>
    <row r="11234" spans="9:14" x14ac:dyDescent="0.25">
      <c r="I11234" s="11" t="b">
        <f t="shared" si="544"/>
        <v>0</v>
      </c>
      <c r="M11234" s="17" t="str">
        <f t="shared" si="542"/>
        <v/>
      </c>
      <c r="N11234" s="11" t="str">
        <f t="shared" si="543"/>
        <v/>
      </c>
    </row>
    <row r="11235" spans="9:14" x14ac:dyDescent="0.25">
      <c r="I11235" s="11" t="b">
        <f t="shared" si="544"/>
        <v>0</v>
      </c>
      <c r="M11235" s="17" t="str">
        <f t="shared" si="542"/>
        <v/>
      </c>
      <c r="N11235" s="11" t="str">
        <f t="shared" si="543"/>
        <v/>
      </c>
    </row>
    <row r="11236" spans="9:14" x14ac:dyDescent="0.25">
      <c r="I11236" s="11" t="b">
        <f t="shared" si="544"/>
        <v>0</v>
      </c>
      <c r="M11236" s="17" t="str">
        <f t="shared" si="542"/>
        <v/>
      </c>
      <c r="N11236" s="11" t="str">
        <f t="shared" si="543"/>
        <v/>
      </c>
    </row>
    <row r="11237" spans="9:14" x14ac:dyDescent="0.25">
      <c r="I11237" s="11" t="b">
        <f t="shared" si="544"/>
        <v>0</v>
      </c>
      <c r="M11237" s="17" t="str">
        <f t="shared" si="542"/>
        <v/>
      </c>
      <c r="N11237" s="11" t="str">
        <f t="shared" si="543"/>
        <v/>
      </c>
    </row>
    <row r="11238" spans="9:14" x14ac:dyDescent="0.25">
      <c r="I11238" s="11" t="b">
        <f t="shared" si="544"/>
        <v>0</v>
      </c>
      <c r="M11238" s="17" t="str">
        <f t="shared" si="542"/>
        <v/>
      </c>
      <c r="N11238" s="11" t="str">
        <f t="shared" si="543"/>
        <v/>
      </c>
    </row>
    <row r="11239" spans="9:14" x14ac:dyDescent="0.25">
      <c r="I11239" s="11" t="b">
        <f t="shared" si="544"/>
        <v>0</v>
      </c>
      <c r="M11239" s="17" t="str">
        <f t="shared" si="542"/>
        <v/>
      </c>
      <c r="N11239" s="11" t="str">
        <f t="shared" si="543"/>
        <v/>
      </c>
    </row>
    <row r="11240" spans="9:14" x14ac:dyDescent="0.25">
      <c r="I11240" s="11" t="b">
        <f t="shared" si="544"/>
        <v>0</v>
      </c>
      <c r="M11240" s="17" t="str">
        <f t="shared" si="542"/>
        <v/>
      </c>
      <c r="N11240" s="11" t="str">
        <f t="shared" si="543"/>
        <v/>
      </c>
    </row>
    <row r="11241" spans="9:14" x14ac:dyDescent="0.25">
      <c r="I11241" s="11" t="b">
        <f t="shared" si="544"/>
        <v>0</v>
      </c>
      <c r="M11241" s="17" t="str">
        <f t="shared" si="542"/>
        <v/>
      </c>
      <c r="N11241" s="11" t="str">
        <f t="shared" si="543"/>
        <v/>
      </c>
    </row>
    <row r="11242" spans="9:14" x14ac:dyDescent="0.25">
      <c r="I11242" s="11" t="b">
        <f t="shared" si="544"/>
        <v>0</v>
      </c>
      <c r="M11242" s="17" t="str">
        <f t="shared" si="542"/>
        <v/>
      </c>
      <c r="N11242" s="11" t="str">
        <f t="shared" si="543"/>
        <v/>
      </c>
    </row>
    <row r="11243" spans="9:14" x14ac:dyDescent="0.25">
      <c r="I11243" s="11" t="b">
        <f t="shared" si="544"/>
        <v>0</v>
      </c>
      <c r="M11243" s="17" t="str">
        <f t="shared" si="542"/>
        <v/>
      </c>
      <c r="N11243" s="11" t="str">
        <f t="shared" si="543"/>
        <v/>
      </c>
    </row>
    <row r="11244" spans="9:14" x14ac:dyDescent="0.25">
      <c r="I11244" s="11" t="b">
        <f t="shared" si="544"/>
        <v>0</v>
      </c>
      <c r="M11244" s="17" t="str">
        <f t="shared" si="542"/>
        <v/>
      </c>
      <c r="N11244" s="11" t="str">
        <f t="shared" si="543"/>
        <v/>
      </c>
    </row>
    <row r="11245" spans="9:14" x14ac:dyDescent="0.25">
      <c r="I11245" s="11" t="b">
        <f t="shared" si="544"/>
        <v>0</v>
      </c>
      <c r="M11245" s="17" t="str">
        <f t="shared" si="542"/>
        <v/>
      </c>
      <c r="N11245" s="11" t="str">
        <f t="shared" si="543"/>
        <v/>
      </c>
    </row>
    <row r="11246" spans="9:14" x14ac:dyDescent="0.25">
      <c r="I11246" s="11" t="b">
        <f t="shared" si="544"/>
        <v>0</v>
      </c>
      <c r="M11246" s="17" t="str">
        <f t="shared" si="542"/>
        <v/>
      </c>
      <c r="N11246" s="11" t="str">
        <f t="shared" si="543"/>
        <v/>
      </c>
    </row>
    <row r="11247" spans="9:14" x14ac:dyDescent="0.25">
      <c r="I11247" s="11" t="b">
        <f t="shared" si="544"/>
        <v>0</v>
      </c>
      <c r="M11247" s="17" t="str">
        <f t="shared" si="542"/>
        <v/>
      </c>
      <c r="N11247" s="11" t="str">
        <f t="shared" si="543"/>
        <v/>
      </c>
    </row>
    <row r="11248" spans="9:14" x14ac:dyDescent="0.25">
      <c r="I11248" s="11" t="b">
        <f t="shared" si="544"/>
        <v>0</v>
      </c>
      <c r="M11248" s="17" t="str">
        <f t="shared" si="542"/>
        <v/>
      </c>
      <c r="N11248" s="11" t="str">
        <f t="shared" si="543"/>
        <v/>
      </c>
    </row>
    <row r="11249" spans="9:14" x14ac:dyDescent="0.25">
      <c r="I11249" s="11" t="b">
        <f t="shared" si="544"/>
        <v>0</v>
      </c>
      <c r="M11249" s="17" t="str">
        <f t="shared" si="542"/>
        <v/>
      </c>
      <c r="N11249" s="11" t="str">
        <f t="shared" si="543"/>
        <v/>
      </c>
    </row>
    <row r="11250" spans="9:14" x14ac:dyDescent="0.25">
      <c r="I11250" s="11" t="b">
        <f t="shared" si="544"/>
        <v>0</v>
      </c>
      <c r="M11250" s="17" t="str">
        <f t="shared" si="542"/>
        <v/>
      </c>
      <c r="N11250" s="11" t="str">
        <f t="shared" si="543"/>
        <v/>
      </c>
    </row>
    <row r="11251" spans="9:14" x14ac:dyDescent="0.25">
      <c r="I11251" s="11" t="b">
        <f t="shared" si="544"/>
        <v>0</v>
      </c>
      <c r="M11251" s="17" t="str">
        <f t="shared" si="542"/>
        <v/>
      </c>
      <c r="N11251" s="11" t="str">
        <f t="shared" si="543"/>
        <v/>
      </c>
    </row>
    <row r="11252" spans="9:14" x14ac:dyDescent="0.25">
      <c r="I11252" s="11" t="b">
        <f t="shared" si="544"/>
        <v>0</v>
      </c>
      <c r="M11252" s="17" t="str">
        <f t="shared" si="542"/>
        <v/>
      </c>
      <c r="N11252" s="11" t="str">
        <f t="shared" si="543"/>
        <v/>
      </c>
    </row>
    <row r="11253" spans="9:14" x14ac:dyDescent="0.25">
      <c r="I11253" s="11" t="b">
        <f t="shared" si="544"/>
        <v>0</v>
      </c>
      <c r="M11253" s="17" t="str">
        <f t="shared" si="542"/>
        <v/>
      </c>
      <c r="N11253" s="11" t="str">
        <f t="shared" si="543"/>
        <v/>
      </c>
    </row>
    <row r="11254" spans="9:14" x14ac:dyDescent="0.25">
      <c r="I11254" s="11" t="b">
        <f t="shared" si="544"/>
        <v>0</v>
      </c>
      <c r="M11254" s="17" t="str">
        <f t="shared" si="542"/>
        <v/>
      </c>
      <c r="N11254" s="11" t="str">
        <f t="shared" si="543"/>
        <v/>
      </c>
    </row>
    <row r="11255" spans="9:14" x14ac:dyDescent="0.25">
      <c r="I11255" s="11" t="b">
        <f t="shared" si="544"/>
        <v>0</v>
      </c>
      <c r="M11255" s="17" t="str">
        <f t="shared" si="542"/>
        <v/>
      </c>
      <c r="N11255" s="11" t="str">
        <f t="shared" si="543"/>
        <v/>
      </c>
    </row>
    <row r="11256" spans="9:14" x14ac:dyDescent="0.25">
      <c r="I11256" s="11" t="b">
        <f t="shared" si="544"/>
        <v>0</v>
      </c>
      <c r="M11256" s="17" t="str">
        <f t="shared" si="542"/>
        <v/>
      </c>
      <c r="N11256" s="11" t="str">
        <f t="shared" si="543"/>
        <v/>
      </c>
    </row>
    <row r="11257" spans="9:14" x14ac:dyDescent="0.25">
      <c r="I11257" s="11" t="b">
        <f t="shared" si="544"/>
        <v>0</v>
      </c>
      <c r="M11257" s="17" t="str">
        <f t="shared" si="542"/>
        <v/>
      </c>
      <c r="N11257" s="11" t="str">
        <f t="shared" si="543"/>
        <v/>
      </c>
    </row>
    <row r="11258" spans="9:14" x14ac:dyDescent="0.25">
      <c r="I11258" s="11" t="b">
        <f t="shared" si="544"/>
        <v>0</v>
      </c>
      <c r="M11258" s="17" t="str">
        <f t="shared" si="542"/>
        <v/>
      </c>
      <c r="N11258" s="11" t="str">
        <f t="shared" si="543"/>
        <v/>
      </c>
    </row>
    <row r="11259" spans="9:14" x14ac:dyDescent="0.25">
      <c r="I11259" s="11" t="b">
        <f t="shared" si="544"/>
        <v>0</v>
      </c>
      <c r="M11259" s="17" t="str">
        <f t="shared" si="542"/>
        <v/>
      </c>
      <c r="N11259" s="11" t="str">
        <f t="shared" si="543"/>
        <v/>
      </c>
    </row>
    <row r="11260" spans="9:14" x14ac:dyDescent="0.25">
      <c r="I11260" s="11" t="b">
        <f t="shared" si="544"/>
        <v>0</v>
      </c>
      <c r="M11260" s="17" t="str">
        <f t="shared" si="542"/>
        <v/>
      </c>
      <c r="N11260" s="11" t="str">
        <f t="shared" si="543"/>
        <v/>
      </c>
    </row>
    <row r="11261" spans="9:14" x14ac:dyDescent="0.25">
      <c r="I11261" s="11" t="b">
        <f t="shared" si="544"/>
        <v>0</v>
      </c>
      <c r="M11261" s="17" t="str">
        <f t="shared" si="542"/>
        <v/>
      </c>
      <c r="N11261" s="11" t="str">
        <f t="shared" si="543"/>
        <v/>
      </c>
    </row>
    <row r="11262" spans="9:14" x14ac:dyDescent="0.25">
      <c r="I11262" s="11" t="b">
        <f t="shared" si="544"/>
        <v>0</v>
      </c>
      <c r="M11262" s="17" t="str">
        <f t="shared" si="542"/>
        <v/>
      </c>
      <c r="N11262" s="11" t="str">
        <f t="shared" si="543"/>
        <v/>
      </c>
    </row>
    <row r="11263" spans="9:14" x14ac:dyDescent="0.25">
      <c r="I11263" s="11" t="b">
        <f t="shared" si="544"/>
        <v>0</v>
      </c>
      <c r="M11263" s="17" t="str">
        <f t="shared" si="542"/>
        <v/>
      </c>
      <c r="N11263" s="11" t="str">
        <f t="shared" si="543"/>
        <v/>
      </c>
    </row>
    <row r="11264" spans="9:14" x14ac:dyDescent="0.25">
      <c r="I11264" s="11" t="b">
        <f t="shared" si="544"/>
        <v>0</v>
      </c>
      <c r="M11264" s="17" t="str">
        <f t="shared" si="542"/>
        <v/>
      </c>
      <c r="N11264" s="11" t="str">
        <f t="shared" si="543"/>
        <v/>
      </c>
    </row>
    <row r="11265" spans="9:14" x14ac:dyDescent="0.25">
      <c r="I11265" s="11" t="b">
        <f t="shared" si="544"/>
        <v>0</v>
      </c>
      <c r="M11265" s="17" t="str">
        <f t="shared" ref="M11265:M11328" si="545">IF(B11265=0, "",M11264+ J11265-K11265)</f>
        <v/>
      </c>
      <c r="N11265" s="11" t="str">
        <f t="shared" ref="N11265:N11328" si="546">IF(B11265=0, "", MONTH(B11265))</f>
        <v/>
      </c>
    </row>
    <row r="11266" spans="9:14" x14ac:dyDescent="0.25">
      <c r="I11266" s="11" t="b">
        <f t="shared" si="544"/>
        <v>0</v>
      </c>
      <c r="M11266" s="17" t="str">
        <f t="shared" si="545"/>
        <v/>
      </c>
      <c r="N11266" s="11" t="str">
        <f t="shared" si="546"/>
        <v/>
      </c>
    </row>
    <row r="11267" spans="9:14" x14ac:dyDescent="0.25">
      <c r="I11267" s="11" t="b">
        <f t="shared" si="544"/>
        <v>0</v>
      </c>
      <c r="M11267" s="17" t="str">
        <f t="shared" si="545"/>
        <v/>
      </c>
      <c r="N11267" s="11" t="str">
        <f t="shared" si="546"/>
        <v/>
      </c>
    </row>
    <row r="11268" spans="9:14" x14ac:dyDescent="0.25">
      <c r="I11268" s="11" t="b">
        <f t="shared" si="544"/>
        <v>0</v>
      </c>
      <c r="M11268" s="17" t="str">
        <f t="shared" si="545"/>
        <v/>
      </c>
      <c r="N11268" s="11" t="str">
        <f t="shared" si="546"/>
        <v/>
      </c>
    </row>
    <row r="11269" spans="9:14" x14ac:dyDescent="0.25">
      <c r="I11269" s="11" t="b">
        <f t="shared" si="544"/>
        <v>0</v>
      </c>
      <c r="M11269" s="17" t="str">
        <f t="shared" si="545"/>
        <v/>
      </c>
      <c r="N11269" s="11" t="str">
        <f t="shared" si="546"/>
        <v/>
      </c>
    </row>
    <row r="11270" spans="9:14" x14ac:dyDescent="0.25">
      <c r="I11270" s="11" t="b">
        <f t="shared" si="544"/>
        <v>0</v>
      </c>
      <c r="M11270" s="17" t="str">
        <f t="shared" si="545"/>
        <v/>
      </c>
      <c r="N11270" s="11" t="str">
        <f t="shared" si="546"/>
        <v/>
      </c>
    </row>
    <row r="11271" spans="9:14" x14ac:dyDescent="0.25">
      <c r="I11271" s="11" t="b">
        <f t="shared" si="544"/>
        <v>0</v>
      </c>
      <c r="M11271" s="17" t="str">
        <f t="shared" si="545"/>
        <v/>
      </c>
      <c r="N11271" s="11" t="str">
        <f t="shared" si="546"/>
        <v/>
      </c>
    </row>
    <row r="11272" spans="9:14" x14ac:dyDescent="0.25">
      <c r="I11272" s="11" t="b">
        <f t="shared" si="544"/>
        <v>0</v>
      </c>
      <c r="M11272" s="17" t="str">
        <f t="shared" si="545"/>
        <v/>
      </c>
      <c r="N11272" s="11" t="str">
        <f t="shared" si="546"/>
        <v/>
      </c>
    </row>
    <row r="11273" spans="9:14" x14ac:dyDescent="0.25">
      <c r="I11273" s="11" t="b">
        <f t="shared" si="544"/>
        <v>0</v>
      </c>
      <c r="M11273" s="17" t="str">
        <f t="shared" si="545"/>
        <v/>
      </c>
      <c r="N11273" s="11" t="str">
        <f t="shared" si="546"/>
        <v/>
      </c>
    </row>
    <row r="11274" spans="9:14" x14ac:dyDescent="0.25">
      <c r="I11274" s="11" t="b">
        <f t="shared" si="544"/>
        <v>0</v>
      </c>
      <c r="M11274" s="17" t="str">
        <f t="shared" si="545"/>
        <v/>
      </c>
      <c r="N11274" s="11" t="str">
        <f t="shared" si="546"/>
        <v/>
      </c>
    </row>
    <row r="11275" spans="9:14" x14ac:dyDescent="0.25">
      <c r="I11275" s="11" t="b">
        <f t="shared" si="544"/>
        <v>0</v>
      </c>
      <c r="M11275" s="17" t="str">
        <f t="shared" si="545"/>
        <v/>
      </c>
      <c r="N11275" s="11" t="str">
        <f t="shared" si="546"/>
        <v/>
      </c>
    </row>
    <row r="11276" spans="9:14" x14ac:dyDescent="0.25">
      <c r="I11276" s="11" t="b">
        <f t="shared" si="544"/>
        <v>0</v>
      </c>
      <c r="M11276" s="17" t="str">
        <f t="shared" si="545"/>
        <v/>
      </c>
      <c r="N11276" s="11" t="str">
        <f t="shared" si="546"/>
        <v/>
      </c>
    </row>
    <row r="11277" spans="9:14" x14ac:dyDescent="0.25">
      <c r="I11277" s="11" t="b">
        <f t="shared" si="544"/>
        <v>0</v>
      </c>
      <c r="M11277" s="17" t="str">
        <f t="shared" si="545"/>
        <v/>
      </c>
      <c r="N11277" s="11" t="str">
        <f t="shared" si="546"/>
        <v/>
      </c>
    </row>
    <row r="11278" spans="9:14" x14ac:dyDescent="0.25">
      <c r="I11278" s="11" t="b">
        <f t="shared" si="544"/>
        <v>0</v>
      </c>
      <c r="M11278" s="17" t="str">
        <f t="shared" si="545"/>
        <v/>
      </c>
      <c r="N11278" s="11" t="str">
        <f t="shared" si="546"/>
        <v/>
      </c>
    </row>
    <row r="11279" spans="9:14" x14ac:dyDescent="0.25">
      <c r="I11279" s="11" t="b">
        <f t="shared" si="544"/>
        <v>0</v>
      </c>
      <c r="M11279" s="17" t="str">
        <f t="shared" si="545"/>
        <v/>
      </c>
      <c r="N11279" s="11" t="str">
        <f t="shared" si="546"/>
        <v/>
      </c>
    </row>
    <row r="11280" spans="9:14" x14ac:dyDescent="0.25">
      <c r="I11280" s="11" t="b">
        <f t="shared" si="544"/>
        <v>0</v>
      </c>
      <c r="M11280" s="17" t="str">
        <f t="shared" si="545"/>
        <v/>
      </c>
      <c r="N11280" s="11" t="str">
        <f t="shared" si="546"/>
        <v/>
      </c>
    </row>
    <row r="11281" spans="9:14" x14ac:dyDescent="0.25">
      <c r="I11281" s="11" t="b">
        <f t="shared" si="544"/>
        <v>0</v>
      </c>
      <c r="M11281" s="17" t="str">
        <f t="shared" si="545"/>
        <v/>
      </c>
      <c r="N11281" s="11" t="str">
        <f t="shared" si="546"/>
        <v/>
      </c>
    </row>
    <row r="11282" spans="9:14" x14ac:dyDescent="0.25">
      <c r="I11282" s="11" t="b">
        <f t="shared" si="544"/>
        <v>0</v>
      </c>
      <c r="M11282" s="17" t="str">
        <f t="shared" si="545"/>
        <v/>
      </c>
      <c r="N11282" s="11" t="str">
        <f t="shared" si="546"/>
        <v/>
      </c>
    </row>
    <row r="11283" spans="9:14" x14ac:dyDescent="0.25">
      <c r="I11283" s="11" t="b">
        <f t="shared" si="544"/>
        <v>0</v>
      </c>
      <c r="M11283" s="17" t="str">
        <f t="shared" si="545"/>
        <v/>
      </c>
      <c r="N11283" s="11" t="str">
        <f t="shared" si="546"/>
        <v/>
      </c>
    </row>
    <row r="11284" spans="9:14" x14ac:dyDescent="0.25">
      <c r="I11284" s="11" t="b">
        <f t="shared" si="544"/>
        <v>0</v>
      </c>
      <c r="M11284" s="17" t="str">
        <f t="shared" si="545"/>
        <v/>
      </c>
      <c r="N11284" s="11" t="str">
        <f t="shared" si="546"/>
        <v/>
      </c>
    </row>
    <row r="11285" spans="9:14" x14ac:dyDescent="0.25">
      <c r="I11285" s="11" t="b">
        <f t="shared" si="544"/>
        <v>0</v>
      </c>
      <c r="M11285" s="17" t="str">
        <f t="shared" si="545"/>
        <v/>
      </c>
      <c r="N11285" s="11" t="str">
        <f t="shared" si="546"/>
        <v/>
      </c>
    </row>
    <row r="11286" spans="9:14" x14ac:dyDescent="0.25">
      <c r="I11286" s="11" t="b">
        <f t="shared" si="544"/>
        <v>0</v>
      </c>
      <c r="M11286" s="17" t="str">
        <f t="shared" si="545"/>
        <v/>
      </c>
      <c r="N11286" s="11" t="str">
        <f t="shared" si="546"/>
        <v/>
      </c>
    </row>
    <row r="11287" spans="9:14" x14ac:dyDescent="0.25">
      <c r="I11287" s="11" t="b">
        <f t="shared" si="544"/>
        <v>0</v>
      </c>
      <c r="M11287" s="17" t="str">
        <f t="shared" si="545"/>
        <v/>
      </c>
      <c r="N11287" s="11" t="str">
        <f t="shared" si="546"/>
        <v/>
      </c>
    </row>
    <row r="11288" spans="9:14" x14ac:dyDescent="0.25">
      <c r="I11288" s="11" t="b">
        <f t="shared" si="544"/>
        <v>0</v>
      </c>
      <c r="M11288" s="17" t="str">
        <f t="shared" si="545"/>
        <v/>
      </c>
      <c r="N11288" s="11" t="str">
        <f t="shared" si="546"/>
        <v/>
      </c>
    </row>
    <row r="11289" spans="9:14" x14ac:dyDescent="0.25">
      <c r="I11289" s="11" t="b">
        <f t="shared" si="544"/>
        <v>0</v>
      </c>
      <c r="M11289" s="17" t="str">
        <f t="shared" si="545"/>
        <v/>
      </c>
      <c r="N11289" s="11" t="str">
        <f t="shared" si="546"/>
        <v/>
      </c>
    </row>
    <row r="11290" spans="9:14" x14ac:dyDescent="0.25">
      <c r="I11290" s="11" t="b">
        <f t="shared" si="544"/>
        <v>0</v>
      </c>
      <c r="M11290" s="17" t="str">
        <f t="shared" si="545"/>
        <v/>
      </c>
      <c r="N11290" s="11" t="str">
        <f t="shared" si="546"/>
        <v/>
      </c>
    </row>
    <row r="11291" spans="9:14" x14ac:dyDescent="0.25">
      <c r="I11291" s="11" t="b">
        <f t="shared" si="544"/>
        <v>0</v>
      </c>
      <c r="M11291" s="17" t="str">
        <f t="shared" si="545"/>
        <v/>
      </c>
      <c r="N11291" s="11" t="str">
        <f t="shared" si="546"/>
        <v/>
      </c>
    </row>
    <row r="11292" spans="9:14" x14ac:dyDescent="0.25">
      <c r="I11292" s="11" t="b">
        <f t="shared" si="544"/>
        <v>0</v>
      </c>
      <c r="M11292" s="17" t="str">
        <f t="shared" si="545"/>
        <v/>
      </c>
      <c r="N11292" s="11" t="str">
        <f t="shared" si="546"/>
        <v/>
      </c>
    </row>
    <row r="11293" spans="9:14" x14ac:dyDescent="0.25">
      <c r="I11293" s="11" t="b">
        <f t="shared" ref="I11293:I11356" si="547">IF(AND(G11293="MERCADO PAGO",A11293="FATURAMENTO"),1,IF(AND(OR(G11293="MERCADO PAGO",G11293="pix mercado pago",G11293= "débito automático mercado pago", G11293= "boleto mercado pago"),A11293="DESPESAS"),4,IF(AND(G11293="SAFRA",A11293="FATURAMENTO"),2,IF(AND(OR(G11293="SAFRA",G11293="PIX SAFRA", G11293="DÉBITO AUTOMÁTICO SAFRA", G11293= "BOLETO SAFRA", G11293= "transferência safra"), A11293="DESPESAS"),5,IF(AND(G11293="espécie",A11293="FATURAMENTO"),3,IF(AND(G11293="espécie",A11293="DESPESAS"),6))))))</f>
        <v>0</v>
      </c>
      <c r="M11293" s="17" t="str">
        <f t="shared" si="545"/>
        <v/>
      </c>
      <c r="N11293" s="11" t="str">
        <f t="shared" si="546"/>
        <v/>
      </c>
    </row>
    <row r="11294" spans="9:14" x14ac:dyDescent="0.25">
      <c r="I11294" s="11" t="b">
        <f t="shared" si="547"/>
        <v>0</v>
      </c>
      <c r="M11294" s="17" t="str">
        <f t="shared" si="545"/>
        <v/>
      </c>
      <c r="N11294" s="11" t="str">
        <f t="shared" si="546"/>
        <v/>
      </c>
    </row>
    <row r="11295" spans="9:14" x14ac:dyDescent="0.25">
      <c r="I11295" s="11" t="b">
        <f t="shared" si="547"/>
        <v>0</v>
      </c>
      <c r="M11295" s="17" t="str">
        <f t="shared" si="545"/>
        <v/>
      </c>
      <c r="N11295" s="11" t="str">
        <f t="shared" si="546"/>
        <v/>
      </c>
    </row>
    <row r="11296" spans="9:14" x14ac:dyDescent="0.25">
      <c r="I11296" s="11" t="b">
        <f t="shared" si="547"/>
        <v>0</v>
      </c>
      <c r="M11296" s="17" t="str">
        <f t="shared" si="545"/>
        <v/>
      </c>
      <c r="N11296" s="11" t="str">
        <f t="shared" si="546"/>
        <v/>
      </c>
    </row>
    <row r="11297" spans="9:14" x14ac:dyDescent="0.25">
      <c r="I11297" s="11" t="b">
        <f t="shared" si="547"/>
        <v>0</v>
      </c>
      <c r="M11297" s="17" t="str">
        <f t="shared" si="545"/>
        <v/>
      </c>
      <c r="N11297" s="11" t="str">
        <f t="shared" si="546"/>
        <v/>
      </c>
    </row>
    <row r="11298" spans="9:14" x14ac:dyDescent="0.25">
      <c r="I11298" s="11" t="b">
        <f t="shared" si="547"/>
        <v>0</v>
      </c>
      <c r="M11298" s="17" t="str">
        <f t="shared" si="545"/>
        <v/>
      </c>
      <c r="N11298" s="11" t="str">
        <f t="shared" si="546"/>
        <v/>
      </c>
    </row>
    <row r="11299" spans="9:14" x14ac:dyDescent="0.25">
      <c r="I11299" s="11" t="b">
        <f t="shared" si="547"/>
        <v>0</v>
      </c>
      <c r="M11299" s="17" t="str">
        <f t="shared" si="545"/>
        <v/>
      </c>
      <c r="N11299" s="11" t="str">
        <f t="shared" si="546"/>
        <v/>
      </c>
    </row>
    <row r="11300" spans="9:14" x14ac:dyDescent="0.25">
      <c r="I11300" s="11" t="b">
        <f t="shared" si="547"/>
        <v>0</v>
      </c>
      <c r="M11300" s="17" t="str">
        <f t="shared" si="545"/>
        <v/>
      </c>
      <c r="N11300" s="11" t="str">
        <f t="shared" si="546"/>
        <v/>
      </c>
    </row>
    <row r="11301" spans="9:14" x14ac:dyDescent="0.25">
      <c r="I11301" s="11" t="b">
        <f t="shared" si="547"/>
        <v>0</v>
      </c>
      <c r="M11301" s="17" t="str">
        <f t="shared" si="545"/>
        <v/>
      </c>
      <c r="N11301" s="11" t="str">
        <f t="shared" si="546"/>
        <v/>
      </c>
    </row>
    <row r="11302" spans="9:14" x14ac:dyDescent="0.25">
      <c r="I11302" s="11" t="b">
        <f t="shared" si="547"/>
        <v>0</v>
      </c>
      <c r="M11302" s="17" t="str">
        <f t="shared" si="545"/>
        <v/>
      </c>
      <c r="N11302" s="11" t="str">
        <f t="shared" si="546"/>
        <v/>
      </c>
    </row>
    <row r="11303" spans="9:14" x14ac:dyDescent="0.25">
      <c r="I11303" s="11" t="b">
        <f t="shared" si="547"/>
        <v>0</v>
      </c>
      <c r="M11303" s="17" t="str">
        <f t="shared" si="545"/>
        <v/>
      </c>
      <c r="N11303" s="11" t="str">
        <f t="shared" si="546"/>
        <v/>
      </c>
    </row>
    <row r="11304" spans="9:14" x14ac:dyDescent="0.25">
      <c r="I11304" s="11" t="b">
        <f t="shared" si="547"/>
        <v>0</v>
      </c>
      <c r="M11304" s="17" t="str">
        <f t="shared" si="545"/>
        <v/>
      </c>
      <c r="N11304" s="11" t="str">
        <f t="shared" si="546"/>
        <v/>
      </c>
    </row>
    <row r="11305" spans="9:14" x14ac:dyDescent="0.25">
      <c r="I11305" s="11" t="b">
        <f t="shared" si="547"/>
        <v>0</v>
      </c>
      <c r="M11305" s="17" t="str">
        <f t="shared" si="545"/>
        <v/>
      </c>
      <c r="N11305" s="11" t="str">
        <f t="shared" si="546"/>
        <v/>
      </c>
    </row>
    <row r="11306" spans="9:14" x14ac:dyDescent="0.25">
      <c r="I11306" s="11" t="b">
        <f t="shared" si="547"/>
        <v>0</v>
      </c>
      <c r="M11306" s="17" t="str">
        <f t="shared" si="545"/>
        <v/>
      </c>
      <c r="N11306" s="11" t="str">
        <f t="shared" si="546"/>
        <v/>
      </c>
    </row>
    <row r="11307" spans="9:14" x14ac:dyDescent="0.25">
      <c r="I11307" s="11" t="b">
        <f t="shared" si="547"/>
        <v>0</v>
      </c>
      <c r="M11307" s="17" t="str">
        <f t="shared" si="545"/>
        <v/>
      </c>
      <c r="N11307" s="11" t="str">
        <f t="shared" si="546"/>
        <v/>
      </c>
    </row>
    <row r="11308" spans="9:14" x14ac:dyDescent="0.25">
      <c r="I11308" s="11" t="b">
        <f t="shared" si="547"/>
        <v>0</v>
      </c>
      <c r="M11308" s="17" t="str">
        <f t="shared" si="545"/>
        <v/>
      </c>
      <c r="N11308" s="11" t="str">
        <f t="shared" si="546"/>
        <v/>
      </c>
    </row>
    <row r="11309" spans="9:14" x14ac:dyDescent="0.25">
      <c r="I11309" s="11" t="b">
        <f t="shared" si="547"/>
        <v>0</v>
      </c>
      <c r="M11309" s="17" t="str">
        <f t="shared" si="545"/>
        <v/>
      </c>
      <c r="N11309" s="11" t="str">
        <f t="shared" si="546"/>
        <v/>
      </c>
    </row>
    <row r="11310" spans="9:14" x14ac:dyDescent="0.25">
      <c r="I11310" s="11" t="b">
        <f t="shared" si="547"/>
        <v>0</v>
      </c>
      <c r="M11310" s="17" t="str">
        <f t="shared" si="545"/>
        <v/>
      </c>
      <c r="N11310" s="11" t="str">
        <f t="shared" si="546"/>
        <v/>
      </c>
    </row>
    <row r="11311" spans="9:14" x14ac:dyDescent="0.25">
      <c r="I11311" s="11" t="b">
        <f t="shared" si="547"/>
        <v>0</v>
      </c>
      <c r="M11311" s="17" t="str">
        <f t="shared" si="545"/>
        <v/>
      </c>
      <c r="N11311" s="11" t="str">
        <f t="shared" si="546"/>
        <v/>
      </c>
    </row>
    <row r="11312" spans="9:14" x14ac:dyDescent="0.25">
      <c r="I11312" s="11" t="b">
        <f t="shared" si="547"/>
        <v>0</v>
      </c>
      <c r="M11312" s="17" t="str">
        <f t="shared" si="545"/>
        <v/>
      </c>
      <c r="N11312" s="11" t="str">
        <f t="shared" si="546"/>
        <v/>
      </c>
    </row>
    <row r="11313" spans="9:14" x14ac:dyDescent="0.25">
      <c r="I11313" s="11" t="b">
        <f t="shared" si="547"/>
        <v>0</v>
      </c>
      <c r="M11313" s="17" t="str">
        <f t="shared" si="545"/>
        <v/>
      </c>
      <c r="N11313" s="11" t="str">
        <f t="shared" si="546"/>
        <v/>
      </c>
    </row>
    <row r="11314" spans="9:14" x14ac:dyDescent="0.25">
      <c r="I11314" s="11" t="b">
        <f t="shared" si="547"/>
        <v>0</v>
      </c>
      <c r="M11314" s="17" t="str">
        <f t="shared" si="545"/>
        <v/>
      </c>
      <c r="N11314" s="11" t="str">
        <f t="shared" si="546"/>
        <v/>
      </c>
    </row>
    <row r="11315" spans="9:14" x14ac:dyDescent="0.25">
      <c r="I11315" s="11" t="b">
        <f t="shared" si="547"/>
        <v>0</v>
      </c>
      <c r="M11315" s="17" t="str">
        <f t="shared" si="545"/>
        <v/>
      </c>
      <c r="N11315" s="11" t="str">
        <f t="shared" si="546"/>
        <v/>
      </c>
    </row>
    <row r="11316" spans="9:14" x14ac:dyDescent="0.25">
      <c r="I11316" s="11" t="b">
        <f t="shared" si="547"/>
        <v>0</v>
      </c>
      <c r="M11316" s="17" t="str">
        <f t="shared" si="545"/>
        <v/>
      </c>
      <c r="N11316" s="11" t="str">
        <f t="shared" si="546"/>
        <v/>
      </c>
    </row>
    <row r="11317" spans="9:14" x14ac:dyDescent="0.25">
      <c r="I11317" s="11" t="b">
        <f t="shared" si="547"/>
        <v>0</v>
      </c>
      <c r="M11317" s="17" t="str">
        <f t="shared" si="545"/>
        <v/>
      </c>
      <c r="N11317" s="11" t="str">
        <f t="shared" si="546"/>
        <v/>
      </c>
    </row>
    <row r="11318" spans="9:14" x14ac:dyDescent="0.25">
      <c r="I11318" s="11" t="b">
        <f t="shared" si="547"/>
        <v>0</v>
      </c>
      <c r="M11318" s="17" t="str">
        <f t="shared" si="545"/>
        <v/>
      </c>
      <c r="N11318" s="11" t="str">
        <f t="shared" si="546"/>
        <v/>
      </c>
    </row>
    <row r="11319" spans="9:14" x14ac:dyDescent="0.25">
      <c r="I11319" s="11" t="b">
        <f t="shared" si="547"/>
        <v>0</v>
      </c>
      <c r="M11319" s="17" t="str">
        <f t="shared" si="545"/>
        <v/>
      </c>
      <c r="N11319" s="11" t="str">
        <f t="shared" si="546"/>
        <v/>
      </c>
    </row>
    <row r="11320" spans="9:14" x14ac:dyDescent="0.25">
      <c r="I11320" s="11" t="b">
        <f t="shared" si="547"/>
        <v>0</v>
      </c>
      <c r="M11320" s="17" t="str">
        <f t="shared" si="545"/>
        <v/>
      </c>
      <c r="N11320" s="11" t="str">
        <f t="shared" si="546"/>
        <v/>
      </c>
    </row>
    <row r="11321" spans="9:14" x14ac:dyDescent="0.25">
      <c r="I11321" s="11" t="b">
        <f t="shared" si="547"/>
        <v>0</v>
      </c>
      <c r="M11321" s="17" t="str">
        <f t="shared" si="545"/>
        <v/>
      </c>
      <c r="N11321" s="11" t="str">
        <f t="shared" si="546"/>
        <v/>
      </c>
    </row>
    <row r="11322" spans="9:14" x14ac:dyDescent="0.25">
      <c r="I11322" s="11" t="b">
        <f t="shared" si="547"/>
        <v>0</v>
      </c>
      <c r="M11322" s="17" t="str">
        <f t="shared" si="545"/>
        <v/>
      </c>
      <c r="N11322" s="11" t="str">
        <f t="shared" si="546"/>
        <v/>
      </c>
    </row>
    <row r="11323" spans="9:14" x14ac:dyDescent="0.25">
      <c r="I11323" s="11" t="b">
        <f t="shared" si="547"/>
        <v>0</v>
      </c>
      <c r="M11323" s="17" t="str">
        <f t="shared" si="545"/>
        <v/>
      </c>
      <c r="N11323" s="11" t="str">
        <f t="shared" si="546"/>
        <v/>
      </c>
    </row>
    <row r="11324" spans="9:14" x14ac:dyDescent="0.25">
      <c r="I11324" s="11" t="b">
        <f t="shared" si="547"/>
        <v>0</v>
      </c>
      <c r="M11324" s="17" t="str">
        <f t="shared" si="545"/>
        <v/>
      </c>
      <c r="N11324" s="11" t="str">
        <f t="shared" si="546"/>
        <v/>
      </c>
    </row>
    <row r="11325" spans="9:14" x14ac:dyDescent="0.25">
      <c r="I11325" s="11" t="b">
        <f t="shared" si="547"/>
        <v>0</v>
      </c>
      <c r="M11325" s="17" t="str">
        <f t="shared" si="545"/>
        <v/>
      </c>
      <c r="N11325" s="11" t="str">
        <f t="shared" si="546"/>
        <v/>
      </c>
    </row>
    <row r="11326" spans="9:14" x14ac:dyDescent="0.25">
      <c r="I11326" s="11" t="b">
        <f t="shared" si="547"/>
        <v>0</v>
      </c>
      <c r="M11326" s="17" t="str">
        <f t="shared" si="545"/>
        <v/>
      </c>
      <c r="N11326" s="11" t="str">
        <f t="shared" si="546"/>
        <v/>
      </c>
    </row>
    <row r="11327" spans="9:14" x14ac:dyDescent="0.25">
      <c r="I11327" s="11" t="b">
        <f t="shared" si="547"/>
        <v>0</v>
      </c>
      <c r="M11327" s="17" t="str">
        <f t="shared" si="545"/>
        <v/>
      </c>
      <c r="N11327" s="11" t="str">
        <f t="shared" si="546"/>
        <v/>
      </c>
    </row>
    <row r="11328" spans="9:14" x14ac:dyDescent="0.25">
      <c r="I11328" s="11" t="b">
        <f t="shared" si="547"/>
        <v>0</v>
      </c>
      <c r="M11328" s="17" t="str">
        <f t="shared" si="545"/>
        <v/>
      </c>
      <c r="N11328" s="11" t="str">
        <f t="shared" si="546"/>
        <v/>
      </c>
    </row>
    <row r="11329" spans="9:14" x14ac:dyDescent="0.25">
      <c r="I11329" s="11" t="b">
        <f t="shared" si="547"/>
        <v>0</v>
      </c>
      <c r="M11329" s="17" t="str">
        <f t="shared" ref="M11329:M11392" si="548">IF(B11329=0, "",M11328+ J11329-K11329)</f>
        <v/>
      </c>
      <c r="N11329" s="11" t="str">
        <f t="shared" ref="N11329:N11392" si="549">IF(B11329=0, "", MONTH(B11329))</f>
        <v/>
      </c>
    </row>
    <row r="11330" spans="9:14" x14ac:dyDescent="0.25">
      <c r="I11330" s="11" t="b">
        <f t="shared" si="547"/>
        <v>0</v>
      </c>
      <c r="M11330" s="17" t="str">
        <f t="shared" si="548"/>
        <v/>
      </c>
      <c r="N11330" s="11" t="str">
        <f t="shared" si="549"/>
        <v/>
      </c>
    </row>
    <row r="11331" spans="9:14" x14ac:dyDescent="0.25">
      <c r="I11331" s="11" t="b">
        <f t="shared" si="547"/>
        <v>0</v>
      </c>
      <c r="M11331" s="17" t="str">
        <f t="shared" si="548"/>
        <v/>
      </c>
      <c r="N11331" s="11" t="str">
        <f t="shared" si="549"/>
        <v/>
      </c>
    </row>
    <row r="11332" spans="9:14" x14ac:dyDescent="0.25">
      <c r="I11332" s="11" t="b">
        <f t="shared" si="547"/>
        <v>0</v>
      </c>
      <c r="M11332" s="17" t="str">
        <f t="shared" si="548"/>
        <v/>
      </c>
      <c r="N11332" s="11" t="str">
        <f t="shared" si="549"/>
        <v/>
      </c>
    </row>
    <row r="11333" spans="9:14" x14ac:dyDescent="0.25">
      <c r="I11333" s="11" t="b">
        <f t="shared" si="547"/>
        <v>0</v>
      </c>
      <c r="M11333" s="17" t="str">
        <f t="shared" si="548"/>
        <v/>
      </c>
      <c r="N11333" s="11" t="str">
        <f t="shared" si="549"/>
        <v/>
      </c>
    </row>
    <row r="11334" spans="9:14" x14ac:dyDescent="0.25">
      <c r="I11334" s="11" t="b">
        <f t="shared" si="547"/>
        <v>0</v>
      </c>
      <c r="M11334" s="17" t="str">
        <f t="shared" si="548"/>
        <v/>
      </c>
      <c r="N11334" s="11" t="str">
        <f t="shared" si="549"/>
        <v/>
      </c>
    </row>
    <row r="11335" spans="9:14" x14ac:dyDescent="0.25">
      <c r="I11335" s="11" t="b">
        <f t="shared" si="547"/>
        <v>0</v>
      </c>
      <c r="M11335" s="17" t="str">
        <f t="shared" si="548"/>
        <v/>
      </c>
      <c r="N11335" s="11" t="str">
        <f t="shared" si="549"/>
        <v/>
      </c>
    </row>
    <row r="11336" spans="9:14" x14ac:dyDescent="0.25">
      <c r="I11336" s="11" t="b">
        <f t="shared" si="547"/>
        <v>0</v>
      </c>
      <c r="M11336" s="17" t="str">
        <f t="shared" si="548"/>
        <v/>
      </c>
      <c r="N11336" s="11" t="str">
        <f t="shared" si="549"/>
        <v/>
      </c>
    </row>
    <row r="11337" spans="9:14" x14ac:dyDescent="0.25">
      <c r="I11337" s="11" t="b">
        <f t="shared" si="547"/>
        <v>0</v>
      </c>
      <c r="M11337" s="17" t="str">
        <f t="shared" si="548"/>
        <v/>
      </c>
      <c r="N11337" s="11" t="str">
        <f t="shared" si="549"/>
        <v/>
      </c>
    </row>
    <row r="11338" spans="9:14" x14ac:dyDescent="0.25">
      <c r="I11338" s="11" t="b">
        <f t="shared" si="547"/>
        <v>0</v>
      </c>
      <c r="M11338" s="17" t="str">
        <f t="shared" si="548"/>
        <v/>
      </c>
      <c r="N11338" s="11" t="str">
        <f t="shared" si="549"/>
        <v/>
      </c>
    </row>
    <row r="11339" spans="9:14" x14ac:dyDescent="0.25">
      <c r="I11339" s="11" t="b">
        <f t="shared" si="547"/>
        <v>0</v>
      </c>
      <c r="M11339" s="17" t="str">
        <f t="shared" si="548"/>
        <v/>
      </c>
      <c r="N11339" s="11" t="str">
        <f t="shared" si="549"/>
        <v/>
      </c>
    </row>
    <row r="11340" spans="9:14" x14ac:dyDescent="0.25">
      <c r="I11340" s="11" t="b">
        <f t="shared" si="547"/>
        <v>0</v>
      </c>
      <c r="M11340" s="17" t="str">
        <f t="shared" si="548"/>
        <v/>
      </c>
      <c r="N11340" s="11" t="str">
        <f t="shared" si="549"/>
        <v/>
      </c>
    </row>
    <row r="11341" spans="9:14" x14ac:dyDescent="0.25">
      <c r="I11341" s="11" t="b">
        <f t="shared" si="547"/>
        <v>0</v>
      </c>
      <c r="M11341" s="17" t="str">
        <f t="shared" si="548"/>
        <v/>
      </c>
      <c r="N11341" s="11" t="str">
        <f t="shared" si="549"/>
        <v/>
      </c>
    </row>
    <row r="11342" spans="9:14" x14ac:dyDescent="0.25">
      <c r="I11342" s="11" t="b">
        <f t="shared" si="547"/>
        <v>0</v>
      </c>
      <c r="M11342" s="17" t="str">
        <f t="shared" si="548"/>
        <v/>
      </c>
      <c r="N11342" s="11" t="str">
        <f t="shared" si="549"/>
        <v/>
      </c>
    </row>
    <row r="11343" spans="9:14" x14ac:dyDescent="0.25">
      <c r="I11343" s="11" t="b">
        <f t="shared" si="547"/>
        <v>0</v>
      </c>
      <c r="M11343" s="17" t="str">
        <f t="shared" si="548"/>
        <v/>
      </c>
      <c r="N11343" s="11" t="str">
        <f t="shared" si="549"/>
        <v/>
      </c>
    </row>
    <row r="11344" spans="9:14" x14ac:dyDescent="0.25">
      <c r="I11344" s="11" t="b">
        <f t="shared" si="547"/>
        <v>0</v>
      </c>
      <c r="M11344" s="17" t="str">
        <f t="shared" si="548"/>
        <v/>
      </c>
      <c r="N11344" s="11" t="str">
        <f t="shared" si="549"/>
        <v/>
      </c>
    </row>
    <row r="11345" spans="9:14" x14ac:dyDescent="0.25">
      <c r="I11345" s="11" t="b">
        <f t="shared" si="547"/>
        <v>0</v>
      </c>
      <c r="M11345" s="17" t="str">
        <f t="shared" si="548"/>
        <v/>
      </c>
      <c r="N11345" s="11" t="str">
        <f t="shared" si="549"/>
        <v/>
      </c>
    </row>
    <row r="11346" spans="9:14" x14ac:dyDescent="0.25">
      <c r="I11346" s="11" t="b">
        <f t="shared" si="547"/>
        <v>0</v>
      </c>
      <c r="M11346" s="17" t="str">
        <f t="shared" si="548"/>
        <v/>
      </c>
      <c r="N11346" s="11" t="str">
        <f t="shared" si="549"/>
        <v/>
      </c>
    </row>
    <row r="11347" spans="9:14" x14ac:dyDescent="0.25">
      <c r="I11347" s="11" t="b">
        <f t="shared" si="547"/>
        <v>0</v>
      </c>
      <c r="M11347" s="17" t="str">
        <f t="shared" si="548"/>
        <v/>
      </c>
      <c r="N11347" s="11" t="str">
        <f t="shared" si="549"/>
        <v/>
      </c>
    </row>
    <row r="11348" spans="9:14" x14ac:dyDescent="0.25">
      <c r="I11348" s="11" t="b">
        <f t="shared" si="547"/>
        <v>0</v>
      </c>
      <c r="M11348" s="17" t="str">
        <f t="shared" si="548"/>
        <v/>
      </c>
      <c r="N11348" s="11" t="str">
        <f t="shared" si="549"/>
        <v/>
      </c>
    </row>
    <row r="11349" spans="9:14" x14ac:dyDescent="0.25">
      <c r="I11349" s="11" t="b">
        <f t="shared" si="547"/>
        <v>0</v>
      </c>
      <c r="M11349" s="17" t="str">
        <f t="shared" si="548"/>
        <v/>
      </c>
      <c r="N11349" s="11" t="str">
        <f t="shared" si="549"/>
        <v/>
      </c>
    </row>
    <row r="11350" spans="9:14" x14ac:dyDescent="0.25">
      <c r="I11350" s="11" t="b">
        <f t="shared" si="547"/>
        <v>0</v>
      </c>
      <c r="M11350" s="17" t="str">
        <f t="shared" si="548"/>
        <v/>
      </c>
      <c r="N11350" s="11" t="str">
        <f t="shared" si="549"/>
        <v/>
      </c>
    </row>
    <row r="11351" spans="9:14" x14ac:dyDescent="0.25">
      <c r="I11351" s="11" t="b">
        <f t="shared" si="547"/>
        <v>0</v>
      </c>
      <c r="M11351" s="17" t="str">
        <f t="shared" si="548"/>
        <v/>
      </c>
      <c r="N11351" s="11" t="str">
        <f t="shared" si="549"/>
        <v/>
      </c>
    </row>
    <row r="11352" spans="9:14" x14ac:dyDescent="0.25">
      <c r="I11352" s="11" t="b">
        <f t="shared" si="547"/>
        <v>0</v>
      </c>
      <c r="M11352" s="17" t="str">
        <f t="shared" si="548"/>
        <v/>
      </c>
      <c r="N11352" s="11" t="str">
        <f t="shared" si="549"/>
        <v/>
      </c>
    </row>
    <row r="11353" spans="9:14" x14ac:dyDescent="0.25">
      <c r="I11353" s="11" t="b">
        <f t="shared" si="547"/>
        <v>0</v>
      </c>
      <c r="M11353" s="17" t="str">
        <f t="shared" si="548"/>
        <v/>
      </c>
      <c r="N11353" s="11" t="str">
        <f t="shared" si="549"/>
        <v/>
      </c>
    </row>
    <row r="11354" spans="9:14" x14ac:dyDescent="0.25">
      <c r="I11354" s="11" t="b">
        <f t="shared" si="547"/>
        <v>0</v>
      </c>
      <c r="M11354" s="17" t="str">
        <f t="shared" si="548"/>
        <v/>
      </c>
      <c r="N11354" s="11" t="str">
        <f t="shared" si="549"/>
        <v/>
      </c>
    </row>
    <row r="11355" spans="9:14" x14ac:dyDescent="0.25">
      <c r="I11355" s="11" t="b">
        <f t="shared" si="547"/>
        <v>0</v>
      </c>
      <c r="M11355" s="17" t="str">
        <f t="shared" si="548"/>
        <v/>
      </c>
      <c r="N11355" s="11" t="str">
        <f t="shared" si="549"/>
        <v/>
      </c>
    </row>
    <row r="11356" spans="9:14" x14ac:dyDescent="0.25">
      <c r="I11356" s="11" t="b">
        <f t="shared" si="547"/>
        <v>0</v>
      </c>
      <c r="M11356" s="17" t="str">
        <f t="shared" si="548"/>
        <v/>
      </c>
      <c r="N11356" s="11" t="str">
        <f t="shared" si="549"/>
        <v/>
      </c>
    </row>
    <row r="11357" spans="9:14" x14ac:dyDescent="0.25">
      <c r="I11357" s="11" t="b">
        <f t="shared" ref="I11357:I11420" si="550">IF(AND(G11357="MERCADO PAGO",A11357="FATURAMENTO"),1,IF(AND(OR(G11357="MERCADO PAGO",G11357="pix mercado pago",G11357= "débito automático mercado pago", G11357= "boleto mercado pago"),A11357="DESPESAS"),4,IF(AND(G11357="SAFRA",A11357="FATURAMENTO"),2,IF(AND(OR(G11357="SAFRA",G11357="PIX SAFRA", G11357="DÉBITO AUTOMÁTICO SAFRA", G11357= "BOLETO SAFRA", G11357= "transferência safra"), A11357="DESPESAS"),5,IF(AND(G11357="espécie",A11357="FATURAMENTO"),3,IF(AND(G11357="espécie",A11357="DESPESAS"),6))))))</f>
        <v>0</v>
      </c>
      <c r="M11357" s="17" t="str">
        <f t="shared" si="548"/>
        <v/>
      </c>
      <c r="N11357" s="11" t="str">
        <f t="shared" si="549"/>
        <v/>
      </c>
    </row>
    <row r="11358" spans="9:14" x14ac:dyDescent="0.25">
      <c r="I11358" s="11" t="b">
        <f t="shared" si="550"/>
        <v>0</v>
      </c>
      <c r="M11358" s="17" t="str">
        <f t="shared" si="548"/>
        <v/>
      </c>
      <c r="N11358" s="11" t="str">
        <f t="shared" si="549"/>
        <v/>
      </c>
    </row>
    <row r="11359" spans="9:14" x14ac:dyDescent="0.25">
      <c r="I11359" s="11" t="b">
        <f t="shared" si="550"/>
        <v>0</v>
      </c>
      <c r="M11359" s="17" t="str">
        <f t="shared" si="548"/>
        <v/>
      </c>
      <c r="N11359" s="11" t="str">
        <f t="shared" si="549"/>
        <v/>
      </c>
    </row>
    <row r="11360" spans="9:14" x14ac:dyDescent="0.25">
      <c r="I11360" s="11" t="b">
        <f t="shared" si="550"/>
        <v>0</v>
      </c>
      <c r="M11360" s="17" t="str">
        <f t="shared" si="548"/>
        <v/>
      </c>
      <c r="N11360" s="11" t="str">
        <f t="shared" si="549"/>
        <v/>
      </c>
    </row>
    <row r="11361" spans="9:14" x14ac:dyDescent="0.25">
      <c r="I11361" s="11" t="b">
        <f t="shared" si="550"/>
        <v>0</v>
      </c>
      <c r="M11361" s="17" t="str">
        <f t="shared" si="548"/>
        <v/>
      </c>
      <c r="N11361" s="11" t="str">
        <f t="shared" si="549"/>
        <v/>
      </c>
    </row>
    <row r="11362" spans="9:14" x14ac:dyDescent="0.25">
      <c r="I11362" s="11" t="b">
        <f t="shared" si="550"/>
        <v>0</v>
      </c>
      <c r="M11362" s="17" t="str">
        <f t="shared" si="548"/>
        <v/>
      </c>
      <c r="N11362" s="11" t="str">
        <f t="shared" si="549"/>
        <v/>
      </c>
    </row>
    <row r="11363" spans="9:14" x14ac:dyDescent="0.25">
      <c r="I11363" s="11" t="b">
        <f t="shared" si="550"/>
        <v>0</v>
      </c>
      <c r="M11363" s="17" t="str">
        <f t="shared" si="548"/>
        <v/>
      </c>
      <c r="N11363" s="11" t="str">
        <f t="shared" si="549"/>
        <v/>
      </c>
    </row>
    <row r="11364" spans="9:14" x14ac:dyDescent="0.25">
      <c r="I11364" s="11" t="b">
        <f t="shared" si="550"/>
        <v>0</v>
      </c>
      <c r="M11364" s="17" t="str">
        <f t="shared" si="548"/>
        <v/>
      </c>
      <c r="N11364" s="11" t="str">
        <f t="shared" si="549"/>
        <v/>
      </c>
    </row>
    <row r="11365" spans="9:14" x14ac:dyDescent="0.25">
      <c r="I11365" s="11" t="b">
        <f t="shared" si="550"/>
        <v>0</v>
      </c>
      <c r="M11365" s="17" t="str">
        <f t="shared" si="548"/>
        <v/>
      </c>
      <c r="N11365" s="11" t="str">
        <f t="shared" si="549"/>
        <v/>
      </c>
    </row>
    <row r="11366" spans="9:14" x14ac:dyDescent="0.25">
      <c r="I11366" s="11" t="b">
        <f t="shared" si="550"/>
        <v>0</v>
      </c>
      <c r="M11366" s="17" t="str">
        <f t="shared" si="548"/>
        <v/>
      </c>
      <c r="N11366" s="11" t="str">
        <f t="shared" si="549"/>
        <v/>
      </c>
    </row>
    <row r="11367" spans="9:14" x14ac:dyDescent="0.25">
      <c r="I11367" s="11" t="b">
        <f t="shared" si="550"/>
        <v>0</v>
      </c>
      <c r="M11367" s="17" t="str">
        <f t="shared" si="548"/>
        <v/>
      </c>
      <c r="N11367" s="11" t="str">
        <f t="shared" si="549"/>
        <v/>
      </c>
    </row>
    <row r="11368" spans="9:14" x14ac:dyDescent="0.25">
      <c r="I11368" s="11" t="b">
        <f t="shared" si="550"/>
        <v>0</v>
      </c>
      <c r="M11368" s="17" t="str">
        <f t="shared" si="548"/>
        <v/>
      </c>
      <c r="N11368" s="11" t="str">
        <f t="shared" si="549"/>
        <v/>
      </c>
    </row>
    <row r="11369" spans="9:14" x14ac:dyDescent="0.25">
      <c r="I11369" s="11" t="b">
        <f t="shared" si="550"/>
        <v>0</v>
      </c>
      <c r="M11369" s="17" t="str">
        <f t="shared" si="548"/>
        <v/>
      </c>
      <c r="N11369" s="11" t="str">
        <f t="shared" si="549"/>
        <v/>
      </c>
    </row>
    <row r="11370" spans="9:14" x14ac:dyDescent="0.25">
      <c r="I11370" s="11" t="b">
        <f t="shared" si="550"/>
        <v>0</v>
      </c>
      <c r="M11370" s="17" t="str">
        <f t="shared" si="548"/>
        <v/>
      </c>
      <c r="N11370" s="11" t="str">
        <f t="shared" si="549"/>
        <v/>
      </c>
    </row>
    <row r="11371" spans="9:14" x14ac:dyDescent="0.25">
      <c r="I11371" s="11" t="b">
        <f t="shared" si="550"/>
        <v>0</v>
      </c>
      <c r="M11371" s="17" t="str">
        <f t="shared" si="548"/>
        <v/>
      </c>
      <c r="N11371" s="11" t="str">
        <f t="shared" si="549"/>
        <v/>
      </c>
    </row>
    <row r="11372" spans="9:14" x14ac:dyDescent="0.25">
      <c r="I11372" s="11" t="b">
        <f t="shared" si="550"/>
        <v>0</v>
      </c>
      <c r="M11372" s="17" t="str">
        <f t="shared" si="548"/>
        <v/>
      </c>
      <c r="N11372" s="11" t="str">
        <f t="shared" si="549"/>
        <v/>
      </c>
    </row>
    <row r="11373" spans="9:14" x14ac:dyDescent="0.25">
      <c r="I11373" s="11" t="b">
        <f t="shared" si="550"/>
        <v>0</v>
      </c>
      <c r="M11373" s="17" t="str">
        <f t="shared" si="548"/>
        <v/>
      </c>
      <c r="N11373" s="11" t="str">
        <f t="shared" si="549"/>
        <v/>
      </c>
    </row>
    <row r="11374" spans="9:14" x14ac:dyDescent="0.25">
      <c r="I11374" s="11" t="b">
        <f t="shared" si="550"/>
        <v>0</v>
      </c>
      <c r="M11374" s="17" t="str">
        <f t="shared" si="548"/>
        <v/>
      </c>
      <c r="N11374" s="11" t="str">
        <f t="shared" si="549"/>
        <v/>
      </c>
    </row>
    <row r="11375" spans="9:14" x14ac:dyDescent="0.25">
      <c r="I11375" s="11" t="b">
        <f t="shared" si="550"/>
        <v>0</v>
      </c>
      <c r="M11375" s="17" t="str">
        <f t="shared" si="548"/>
        <v/>
      </c>
      <c r="N11375" s="11" t="str">
        <f t="shared" si="549"/>
        <v/>
      </c>
    </row>
    <row r="11376" spans="9:14" x14ac:dyDescent="0.25">
      <c r="I11376" s="11" t="b">
        <f t="shared" si="550"/>
        <v>0</v>
      </c>
      <c r="M11376" s="17" t="str">
        <f t="shared" si="548"/>
        <v/>
      </c>
      <c r="N11376" s="11" t="str">
        <f t="shared" si="549"/>
        <v/>
      </c>
    </row>
    <row r="11377" spans="9:14" x14ac:dyDescent="0.25">
      <c r="I11377" s="11" t="b">
        <f t="shared" si="550"/>
        <v>0</v>
      </c>
      <c r="M11377" s="17" t="str">
        <f t="shared" si="548"/>
        <v/>
      </c>
      <c r="N11377" s="11" t="str">
        <f t="shared" si="549"/>
        <v/>
      </c>
    </row>
    <row r="11378" spans="9:14" x14ac:dyDescent="0.25">
      <c r="I11378" s="11" t="b">
        <f t="shared" si="550"/>
        <v>0</v>
      </c>
      <c r="M11378" s="17" t="str">
        <f t="shared" si="548"/>
        <v/>
      </c>
      <c r="N11378" s="11" t="str">
        <f t="shared" si="549"/>
        <v/>
      </c>
    </row>
    <row r="11379" spans="9:14" x14ac:dyDescent="0.25">
      <c r="I11379" s="11" t="b">
        <f t="shared" si="550"/>
        <v>0</v>
      </c>
      <c r="M11379" s="17" t="str">
        <f t="shared" si="548"/>
        <v/>
      </c>
      <c r="N11379" s="11" t="str">
        <f t="shared" si="549"/>
        <v/>
      </c>
    </row>
    <row r="11380" spans="9:14" x14ac:dyDescent="0.25">
      <c r="I11380" s="11" t="b">
        <f t="shared" si="550"/>
        <v>0</v>
      </c>
      <c r="M11380" s="17" t="str">
        <f t="shared" si="548"/>
        <v/>
      </c>
      <c r="N11380" s="11" t="str">
        <f t="shared" si="549"/>
        <v/>
      </c>
    </row>
    <row r="11381" spans="9:14" x14ac:dyDescent="0.25">
      <c r="I11381" s="11" t="b">
        <f t="shared" si="550"/>
        <v>0</v>
      </c>
      <c r="M11381" s="17" t="str">
        <f t="shared" si="548"/>
        <v/>
      </c>
      <c r="N11381" s="11" t="str">
        <f t="shared" si="549"/>
        <v/>
      </c>
    </row>
    <row r="11382" spans="9:14" x14ac:dyDescent="0.25">
      <c r="I11382" s="11" t="b">
        <f t="shared" si="550"/>
        <v>0</v>
      </c>
      <c r="M11382" s="17" t="str">
        <f t="shared" si="548"/>
        <v/>
      </c>
      <c r="N11382" s="11" t="str">
        <f t="shared" si="549"/>
        <v/>
      </c>
    </row>
    <row r="11383" spans="9:14" x14ac:dyDescent="0.25">
      <c r="I11383" s="11" t="b">
        <f t="shared" si="550"/>
        <v>0</v>
      </c>
      <c r="M11383" s="17" t="str">
        <f t="shared" si="548"/>
        <v/>
      </c>
      <c r="N11383" s="11" t="str">
        <f t="shared" si="549"/>
        <v/>
      </c>
    </row>
    <row r="11384" spans="9:14" x14ac:dyDescent="0.25">
      <c r="I11384" s="11" t="b">
        <f t="shared" si="550"/>
        <v>0</v>
      </c>
      <c r="M11384" s="17" t="str">
        <f t="shared" si="548"/>
        <v/>
      </c>
      <c r="N11384" s="11" t="str">
        <f t="shared" si="549"/>
        <v/>
      </c>
    </row>
    <row r="11385" spans="9:14" x14ac:dyDescent="0.25">
      <c r="I11385" s="11" t="b">
        <f t="shared" si="550"/>
        <v>0</v>
      </c>
      <c r="M11385" s="17" t="str">
        <f t="shared" si="548"/>
        <v/>
      </c>
      <c r="N11385" s="11" t="str">
        <f t="shared" si="549"/>
        <v/>
      </c>
    </row>
    <row r="11386" spans="9:14" x14ac:dyDescent="0.25">
      <c r="I11386" s="11" t="b">
        <f t="shared" si="550"/>
        <v>0</v>
      </c>
      <c r="M11386" s="17" t="str">
        <f t="shared" si="548"/>
        <v/>
      </c>
      <c r="N11386" s="11" t="str">
        <f t="shared" si="549"/>
        <v/>
      </c>
    </row>
    <row r="11387" spans="9:14" x14ac:dyDescent="0.25">
      <c r="I11387" s="11" t="b">
        <f t="shared" si="550"/>
        <v>0</v>
      </c>
      <c r="M11387" s="17" t="str">
        <f t="shared" si="548"/>
        <v/>
      </c>
      <c r="N11387" s="11" t="str">
        <f t="shared" si="549"/>
        <v/>
      </c>
    </row>
    <row r="11388" spans="9:14" x14ac:dyDescent="0.25">
      <c r="I11388" s="11" t="b">
        <f t="shared" si="550"/>
        <v>0</v>
      </c>
      <c r="M11388" s="17" t="str">
        <f t="shared" si="548"/>
        <v/>
      </c>
      <c r="N11388" s="11" t="str">
        <f t="shared" si="549"/>
        <v/>
      </c>
    </row>
    <row r="11389" spans="9:14" x14ac:dyDescent="0.25">
      <c r="I11389" s="11" t="b">
        <f t="shared" si="550"/>
        <v>0</v>
      </c>
      <c r="M11389" s="17" t="str">
        <f t="shared" si="548"/>
        <v/>
      </c>
      <c r="N11389" s="11" t="str">
        <f t="shared" si="549"/>
        <v/>
      </c>
    </row>
    <row r="11390" spans="9:14" x14ac:dyDescent="0.25">
      <c r="I11390" s="11" t="b">
        <f t="shared" si="550"/>
        <v>0</v>
      </c>
      <c r="M11390" s="17" t="str">
        <f t="shared" si="548"/>
        <v/>
      </c>
      <c r="N11390" s="11" t="str">
        <f t="shared" si="549"/>
        <v/>
      </c>
    </row>
    <row r="11391" spans="9:14" x14ac:dyDescent="0.25">
      <c r="I11391" s="11" t="b">
        <f t="shared" si="550"/>
        <v>0</v>
      </c>
      <c r="M11391" s="17" t="str">
        <f t="shared" si="548"/>
        <v/>
      </c>
      <c r="N11391" s="11" t="str">
        <f t="shared" si="549"/>
        <v/>
      </c>
    </row>
    <row r="11392" spans="9:14" x14ac:dyDescent="0.25">
      <c r="I11392" s="11" t="b">
        <f t="shared" si="550"/>
        <v>0</v>
      </c>
      <c r="M11392" s="17" t="str">
        <f t="shared" si="548"/>
        <v/>
      </c>
      <c r="N11392" s="11" t="str">
        <f t="shared" si="549"/>
        <v/>
      </c>
    </row>
    <row r="11393" spans="9:14" x14ac:dyDescent="0.25">
      <c r="I11393" s="11" t="b">
        <f t="shared" si="550"/>
        <v>0</v>
      </c>
      <c r="M11393" s="17" t="str">
        <f t="shared" ref="M11393:M11456" si="551">IF(B11393=0, "",M11392+ J11393-K11393)</f>
        <v/>
      </c>
      <c r="N11393" s="11" t="str">
        <f t="shared" ref="N11393:N11456" si="552">IF(B11393=0, "", MONTH(B11393))</f>
        <v/>
      </c>
    </row>
    <row r="11394" spans="9:14" x14ac:dyDescent="0.25">
      <c r="I11394" s="11" t="b">
        <f t="shared" si="550"/>
        <v>0</v>
      </c>
      <c r="M11394" s="17" t="str">
        <f t="shared" si="551"/>
        <v/>
      </c>
      <c r="N11394" s="11" t="str">
        <f t="shared" si="552"/>
        <v/>
      </c>
    </row>
    <row r="11395" spans="9:14" x14ac:dyDescent="0.25">
      <c r="I11395" s="11" t="b">
        <f t="shared" si="550"/>
        <v>0</v>
      </c>
      <c r="M11395" s="17" t="str">
        <f t="shared" si="551"/>
        <v/>
      </c>
      <c r="N11395" s="11" t="str">
        <f t="shared" si="552"/>
        <v/>
      </c>
    </row>
    <row r="11396" spans="9:14" x14ac:dyDescent="0.25">
      <c r="I11396" s="11" t="b">
        <f t="shared" si="550"/>
        <v>0</v>
      </c>
      <c r="M11396" s="17" t="str">
        <f t="shared" si="551"/>
        <v/>
      </c>
      <c r="N11396" s="11" t="str">
        <f t="shared" si="552"/>
        <v/>
      </c>
    </row>
    <row r="11397" spans="9:14" x14ac:dyDescent="0.25">
      <c r="I11397" s="11" t="b">
        <f t="shared" si="550"/>
        <v>0</v>
      </c>
      <c r="M11397" s="17" t="str">
        <f t="shared" si="551"/>
        <v/>
      </c>
      <c r="N11397" s="11" t="str">
        <f t="shared" si="552"/>
        <v/>
      </c>
    </row>
    <row r="11398" spans="9:14" x14ac:dyDescent="0.25">
      <c r="I11398" s="11" t="b">
        <f t="shared" si="550"/>
        <v>0</v>
      </c>
      <c r="M11398" s="17" t="str">
        <f t="shared" si="551"/>
        <v/>
      </c>
      <c r="N11398" s="11" t="str">
        <f t="shared" si="552"/>
        <v/>
      </c>
    </row>
    <row r="11399" spans="9:14" x14ac:dyDescent="0.25">
      <c r="I11399" s="11" t="b">
        <f t="shared" si="550"/>
        <v>0</v>
      </c>
      <c r="M11399" s="17" t="str">
        <f t="shared" si="551"/>
        <v/>
      </c>
      <c r="N11399" s="11" t="str">
        <f t="shared" si="552"/>
        <v/>
      </c>
    </row>
    <row r="11400" spans="9:14" x14ac:dyDescent="0.25">
      <c r="I11400" s="11" t="b">
        <f t="shared" si="550"/>
        <v>0</v>
      </c>
      <c r="M11400" s="17" t="str">
        <f t="shared" si="551"/>
        <v/>
      </c>
      <c r="N11400" s="11" t="str">
        <f t="shared" si="552"/>
        <v/>
      </c>
    </row>
    <row r="11401" spans="9:14" x14ac:dyDescent="0.25">
      <c r="I11401" s="11" t="b">
        <f t="shared" si="550"/>
        <v>0</v>
      </c>
      <c r="M11401" s="17" t="str">
        <f t="shared" si="551"/>
        <v/>
      </c>
      <c r="N11401" s="11" t="str">
        <f t="shared" si="552"/>
        <v/>
      </c>
    </row>
    <row r="11402" spans="9:14" x14ac:dyDescent="0.25">
      <c r="I11402" s="11" t="b">
        <f t="shared" si="550"/>
        <v>0</v>
      </c>
      <c r="M11402" s="17" t="str">
        <f t="shared" si="551"/>
        <v/>
      </c>
      <c r="N11402" s="11" t="str">
        <f t="shared" si="552"/>
        <v/>
      </c>
    </row>
    <row r="11403" spans="9:14" x14ac:dyDescent="0.25">
      <c r="I11403" s="11" t="b">
        <f t="shared" si="550"/>
        <v>0</v>
      </c>
      <c r="M11403" s="17" t="str">
        <f t="shared" si="551"/>
        <v/>
      </c>
      <c r="N11403" s="11" t="str">
        <f t="shared" si="552"/>
        <v/>
      </c>
    </row>
    <row r="11404" spans="9:14" x14ac:dyDescent="0.25">
      <c r="I11404" s="11" t="b">
        <f t="shared" si="550"/>
        <v>0</v>
      </c>
      <c r="M11404" s="17" t="str">
        <f t="shared" si="551"/>
        <v/>
      </c>
      <c r="N11404" s="11" t="str">
        <f t="shared" si="552"/>
        <v/>
      </c>
    </row>
    <row r="11405" spans="9:14" x14ac:dyDescent="0.25">
      <c r="I11405" s="11" t="b">
        <f t="shared" si="550"/>
        <v>0</v>
      </c>
      <c r="M11405" s="17" t="str">
        <f t="shared" si="551"/>
        <v/>
      </c>
      <c r="N11405" s="11" t="str">
        <f t="shared" si="552"/>
        <v/>
      </c>
    </row>
    <row r="11406" spans="9:14" x14ac:dyDescent="0.25">
      <c r="I11406" s="11" t="b">
        <f t="shared" si="550"/>
        <v>0</v>
      </c>
      <c r="M11406" s="17" t="str">
        <f t="shared" si="551"/>
        <v/>
      </c>
      <c r="N11406" s="11" t="str">
        <f t="shared" si="552"/>
        <v/>
      </c>
    </row>
    <row r="11407" spans="9:14" x14ac:dyDescent="0.25">
      <c r="I11407" s="11" t="b">
        <f t="shared" si="550"/>
        <v>0</v>
      </c>
      <c r="M11407" s="17" t="str">
        <f t="shared" si="551"/>
        <v/>
      </c>
      <c r="N11407" s="11" t="str">
        <f t="shared" si="552"/>
        <v/>
      </c>
    </row>
    <row r="11408" spans="9:14" x14ac:dyDescent="0.25">
      <c r="I11408" s="11" t="b">
        <f t="shared" si="550"/>
        <v>0</v>
      </c>
      <c r="M11408" s="17" t="str">
        <f t="shared" si="551"/>
        <v/>
      </c>
      <c r="N11408" s="11" t="str">
        <f t="shared" si="552"/>
        <v/>
      </c>
    </row>
    <row r="11409" spans="9:14" x14ac:dyDescent="0.25">
      <c r="I11409" s="11" t="b">
        <f t="shared" si="550"/>
        <v>0</v>
      </c>
      <c r="M11409" s="17" t="str">
        <f t="shared" si="551"/>
        <v/>
      </c>
      <c r="N11409" s="11" t="str">
        <f t="shared" si="552"/>
        <v/>
      </c>
    </row>
    <row r="11410" spans="9:14" x14ac:dyDescent="0.25">
      <c r="I11410" s="11" t="b">
        <f t="shared" si="550"/>
        <v>0</v>
      </c>
      <c r="M11410" s="17" t="str">
        <f t="shared" si="551"/>
        <v/>
      </c>
      <c r="N11410" s="11" t="str">
        <f t="shared" si="552"/>
        <v/>
      </c>
    </row>
    <row r="11411" spans="9:14" x14ac:dyDescent="0.25">
      <c r="I11411" s="11" t="b">
        <f t="shared" si="550"/>
        <v>0</v>
      </c>
      <c r="M11411" s="17" t="str">
        <f t="shared" si="551"/>
        <v/>
      </c>
      <c r="N11411" s="11" t="str">
        <f t="shared" si="552"/>
        <v/>
      </c>
    </row>
    <row r="11412" spans="9:14" x14ac:dyDescent="0.25">
      <c r="I11412" s="11" t="b">
        <f t="shared" si="550"/>
        <v>0</v>
      </c>
      <c r="M11412" s="17" t="str">
        <f t="shared" si="551"/>
        <v/>
      </c>
      <c r="N11412" s="11" t="str">
        <f t="shared" si="552"/>
        <v/>
      </c>
    </row>
    <row r="11413" spans="9:14" x14ac:dyDescent="0.25">
      <c r="I11413" s="11" t="b">
        <f t="shared" si="550"/>
        <v>0</v>
      </c>
      <c r="M11413" s="17" t="str">
        <f t="shared" si="551"/>
        <v/>
      </c>
      <c r="N11413" s="11" t="str">
        <f t="shared" si="552"/>
        <v/>
      </c>
    </row>
    <row r="11414" spans="9:14" x14ac:dyDescent="0.25">
      <c r="I11414" s="11" t="b">
        <f t="shared" si="550"/>
        <v>0</v>
      </c>
      <c r="M11414" s="17" t="str">
        <f t="shared" si="551"/>
        <v/>
      </c>
      <c r="N11414" s="11" t="str">
        <f t="shared" si="552"/>
        <v/>
      </c>
    </row>
    <row r="11415" spans="9:14" x14ac:dyDescent="0.25">
      <c r="I11415" s="11" t="b">
        <f t="shared" si="550"/>
        <v>0</v>
      </c>
      <c r="M11415" s="17" t="str">
        <f t="shared" si="551"/>
        <v/>
      </c>
      <c r="N11415" s="11" t="str">
        <f t="shared" si="552"/>
        <v/>
      </c>
    </row>
    <row r="11416" spans="9:14" x14ac:dyDescent="0.25">
      <c r="I11416" s="11" t="b">
        <f t="shared" si="550"/>
        <v>0</v>
      </c>
      <c r="M11416" s="17" t="str">
        <f t="shared" si="551"/>
        <v/>
      </c>
      <c r="N11416" s="11" t="str">
        <f t="shared" si="552"/>
        <v/>
      </c>
    </row>
    <row r="11417" spans="9:14" x14ac:dyDescent="0.25">
      <c r="I11417" s="11" t="b">
        <f t="shared" si="550"/>
        <v>0</v>
      </c>
      <c r="M11417" s="17" t="str">
        <f t="shared" si="551"/>
        <v/>
      </c>
      <c r="N11417" s="11" t="str">
        <f t="shared" si="552"/>
        <v/>
      </c>
    </row>
    <row r="11418" spans="9:14" x14ac:dyDescent="0.25">
      <c r="I11418" s="11" t="b">
        <f t="shared" si="550"/>
        <v>0</v>
      </c>
      <c r="M11418" s="17" t="str">
        <f t="shared" si="551"/>
        <v/>
      </c>
      <c r="N11418" s="11" t="str">
        <f t="shared" si="552"/>
        <v/>
      </c>
    </row>
    <row r="11419" spans="9:14" x14ac:dyDescent="0.25">
      <c r="I11419" s="11" t="b">
        <f t="shared" si="550"/>
        <v>0</v>
      </c>
      <c r="M11419" s="17" t="str">
        <f t="shared" si="551"/>
        <v/>
      </c>
      <c r="N11419" s="11" t="str">
        <f t="shared" si="552"/>
        <v/>
      </c>
    </row>
    <row r="11420" spans="9:14" x14ac:dyDescent="0.25">
      <c r="I11420" s="11" t="b">
        <f t="shared" si="550"/>
        <v>0</v>
      </c>
      <c r="M11420" s="17" t="str">
        <f t="shared" si="551"/>
        <v/>
      </c>
      <c r="N11420" s="11" t="str">
        <f t="shared" si="552"/>
        <v/>
      </c>
    </row>
    <row r="11421" spans="9:14" x14ac:dyDescent="0.25">
      <c r="I11421" s="11" t="b">
        <f t="shared" ref="I11421:I11484" si="553">IF(AND(G11421="MERCADO PAGO",A11421="FATURAMENTO"),1,IF(AND(OR(G11421="MERCADO PAGO",G11421="pix mercado pago",G11421= "débito automático mercado pago", G11421= "boleto mercado pago"),A11421="DESPESAS"),4,IF(AND(G11421="SAFRA",A11421="FATURAMENTO"),2,IF(AND(OR(G11421="SAFRA",G11421="PIX SAFRA", G11421="DÉBITO AUTOMÁTICO SAFRA", G11421= "BOLETO SAFRA", G11421= "transferência safra"), A11421="DESPESAS"),5,IF(AND(G11421="espécie",A11421="FATURAMENTO"),3,IF(AND(G11421="espécie",A11421="DESPESAS"),6))))))</f>
        <v>0</v>
      </c>
      <c r="M11421" s="17" t="str">
        <f t="shared" si="551"/>
        <v/>
      </c>
      <c r="N11421" s="11" t="str">
        <f t="shared" si="552"/>
        <v/>
      </c>
    </row>
    <row r="11422" spans="9:14" x14ac:dyDescent="0.25">
      <c r="I11422" s="11" t="b">
        <f t="shared" si="553"/>
        <v>0</v>
      </c>
      <c r="M11422" s="17" t="str">
        <f t="shared" si="551"/>
        <v/>
      </c>
      <c r="N11422" s="11" t="str">
        <f t="shared" si="552"/>
        <v/>
      </c>
    </row>
    <row r="11423" spans="9:14" x14ac:dyDescent="0.25">
      <c r="I11423" s="11" t="b">
        <f t="shared" si="553"/>
        <v>0</v>
      </c>
      <c r="M11423" s="17" t="str">
        <f t="shared" si="551"/>
        <v/>
      </c>
      <c r="N11423" s="11" t="str">
        <f t="shared" si="552"/>
        <v/>
      </c>
    </row>
    <row r="11424" spans="9:14" x14ac:dyDescent="0.25">
      <c r="I11424" s="11" t="b">
        <f t="shared" si="553"/>
        <v>0</v>
      </c>
      <c r="M11424" s="17" t="str">
        <f t="shared" si="551"/>
        <v/>
      </c>
      <c r="N11424" s="11" t="str">
        <f t="shared" si="552"/>
        <v/>
      </c>
    </row>
    <row r="11425" spans="9:14" x14ac:dyDescent="0.25">
      <c r="I11425" s="11" t="b">
        <f t="shared" si="553"/>
        <v>0</v>
      </c>
      <c r="M11425" s="17" t="str">
        <f t="shared" si="551"/>
        <v/>
      </c>
      <c r="N11425" s="11" t="str">
        <f t="shared" si="552"/>
        <v/>
      </c>
    </row>
    <row r="11426" spans="9:14" x14ac:dyDescent="0.25">
      <c r="I11426" s="11" t="b">
        <f t="shared" si="553"/>
        <v>0</v>
      </c>
      <c r="M11426" s="17" t="str">
        <f t="shared" si="551"/>
        <v/>
      </c>
      <c r="N11426" s="11" t="str">
        <f t="shared" si="552"/>
        <v/>
      </c>
    </row>
    <row r="11427" spans="9:14" x14ac:dyDescent="0.25">
      <c r="I11427" s="11" t="b">
        <f t="shared" si="553"/>
        <v>0</v>
      </c>
      <c r="M11427" s="17" t="str">
        <f t="shared" si="551"/>
        <v/>
      </c>
      <c r="N11427" s="11" t="str">
        <f t="shared" si="552"/>
        <v/>
      </c>
    </row>
    <row r="11428" spans="9:14" x14ac:dyDescent="0.25">
      <c r="I11428" s="11" t="b">
        <f t="shared" si="553"/>
        <v>0</v>
      </c>
      <c r="M11428" s="17" t="str">
        <f t="shared" si="551"/>
        <v/>
      </c>
      <c r="N11428" s="11" t="str">
        <f t="shared" si="552"/>
        <v/>
      </c>
    </row>
    <row r="11429" spans="9:14" x14ac:dyDescent="0.25">
      <c r="I11429" s="11" t="b">
        <f t="shared" si="553"/>
        <v>0</v>
      </c>
      <c r="M11429" s="17" t="str">
        <f t="shared" si="551"/>
        <v/>
      </c>
      <c r="N11429" s="11" t="str">
        <f t="shared" si="552"/>
        <v/>
      </c>
    </row>
    <row r="11430" spans="9:14" x14ac:dyDescent="0.25">
      <c r="I11430" s="11" t="b">
        <f t="shared" si="553"/>
        <v>0</v>
      </c>
      <c r="M11430" s="17" t="str">
        <f t="shared" si="551"/>
        <v/>
      </c>
      <c r="N11430" s="11" t="str">
        <f t="shared" si="552"/>
        <v/>
      </c>
    </row>
    <row r="11431" spans="9:14" x14ac:dyDescent="0.25">
      <c r="I11431" s="11" t="b">
        <f t="shared" si="553"/>
        <v>0</v>
      </c>
      <c r="M11431" s="17" t="str">
        <f t="shared" si="551"/>
        <v/>
      </c>
      <c r="N11431" s="11" t="str">
        <f t="shared" si="552"/>
        <v/>
      </c>
    </row>
    <row r="11432" spans="9:14" x14ac:dyDescent="0.25">
      <c r="I11432" s="11" t="b">
        <f t="shared" si="553"/>
        <v>0</v>
      </c>
      <c r="M11432" s="17" t="str">
        <f t="shared" si="551"/>
        <v/>
      </c>
      <c r="N11432" s="11" t="str">
        <f t="shared" si="552"/>
        <v/>
      </c>
    </row>
    <row r="11433" spans="9:14" x14ac:dyDescent="0.25">
      <c r="I11433" s="11" t="b">
        <f t="shared" si="553"/>
        <v>0</v>
      </c>
      <c r="M11433" s="17" t="str">
        <f t="shared" si="551"/>
        <v/>
      </c>
      <c r="N11433" s="11" t="str">
        <f t="shared" si="552"/>
        <v/>
      </c>
    </row>
    <row r="11434" spans="9:14" x14ac:dyDescent="0.25">
      <c r="I11434" s="11" t="b">
        <f t="shared" si="553"/>
        <v>0</v>
      </c>
      <c r="M11434" s="17" t="str">
        <f t="shared" si="551"/>
        <v/>
      </c>
      <c r="N11434" s="11" t="str">
        <f t="shared" si="552"/>
        <v/>
      </c>
    </row>
    <row r="11435" spans="9:14" x14ac:dyDescent="0.25">
      <c r="I11435" s="11" t="b">
        <f t="shared" si="553"/>
        <v>0</v>
      </c>
      <c r="M11435" s="17" t="str">
        <f t="shared" si="551"/>
        <v/>
      </c>
      <c r="N11435" s="11" t="str">
        <f t="shared" si="552"/>
        <v/>
      </c>
    </row>
    <row r="11436" spans="9:14" x14ac:dyDescent="0.25">
      <c r="I11436" s="11" t="b">
        <f t="shared" si="553"/>
        <v>0</v>
      </c>
      <c r="M11436" s="17" t="str">
        <f t="shared" si="551"/>
        <v/>
      </c>
      <c r="N11436" s="11" t="str">
        <f t="shared" si="552"/>
        <v/>
      </c>
    </row>
    <row r="11437" spans="9:14" x14ac:dyDescent="0.25">
      <c r="I11437" s="11" t="b">
        <f t="shared" si="553"/>
        <v>0</v>
      </c>
      <c r="M11437" s="17" t="str">
        <f t="shared" si="551"/>
        <v/>
      </c>
      <c r="N11437" s="11" t="str">
        <f t="shared" si="552"/>
        <v/>
      </c>
    </row>
    <row r="11438" spans="9:14" x14ac:dyDescent="0.25">
      <c r="I11438" s="11" t="b">
        <f t="shared" si="553"/>
        <v>0</v>
      </c>
      <c r="M11438" s="17" t="str">
        <f t="shared" si="551"/>
        <v/>
      </c>
      <c r="N11438" s="11" t="str">
        <f t="shared" si="552"/>
        <v/>
      </c>
    </row>
    <row r="11439" spans="9:14" x14ac:dyDescent="0.25">
      <c r="I11439" s="11" t="b">
        <f t="shared" si="553"/>
        <v>0</v>
      </c>
      <c r="M11439" s="17" t="str">
        <f t="shared" si="551"/>
        <v/>
      </c>
      <c r="N11439" s="11" t="str">
        <f t="shared" si="552"/>
        <v/>
      </c>
    </row>
    <row r="11440" spans="9:14" x14ac:dyDescent="0.25">
      <c r="I11440" s="11" t="b">
        <f t="shared" si="553"/>
        <v>0</v>
      </c>
      <c r="M11440" s="17" t="str">
        <f t="shared" si="551"/>
        <v/>
      </c>
      <c r="N11440" s="11" t="str">
        <f t="shared" si="552"/>
        <v/>
      </c>
    </row>
    <row r="11441" spans="9:14" x14ac:dyDescent="0.25">
      <c r="I11441" s="11" t="b">
        <f t="shared" si="553"/>
        <v>0</v>
      </c>
      <c r="M11441" s="17" t="str">
        <f t="shared" si="551"/>
        <v/>
      </c>
      <c r="N11441" s="11" t="str">
        <f t="shared" si="552"/>
        <v/>
      </c>
    </row>
    <row r="11442" spans="9:14" x14ac:dyDescent="0.25">
      <c r="I11442" s="11" t="b">
        <f t="shared" si="553"/>
        <v>0</v>
      </c>
      <c r="M11442" s="17" t="str">
        <f t="shared" si="551"/>
        <v/>
      </c>
      <c r="N11442" s="11" t="str">
        <f t="shared" si="552"/>
        <v/>
      </c>
    </row>
    <row r="11443" spans="9:14" x14ac:dyDescent="0.25">
      <c r="I11443" s="11" t="b">
        <f t="shared" si="553"/>
        <v>0</v>
      </c>
      <c r="M11443" s="17" t="str">
        <f t="shared" si="551"/>
        <v/>
      </c>
      <c r="N11443" s="11" t="str">
        <f t="shared" si="552"/>
        <v/>
      </c>
    </row>
    <row r="11444" spans="9:14" x14ac:dyDescent="0.25">
      <c r="I11444" s="11" t="b">
        <f t="shared" si="553"/>
        <v>0</v>
      </c>
      <c r="M11444" s="17" t="str">
        <f t="shared" si="551"/>
        <v/>
      </c>
      <c r="N11444" s="11" t="str">
        <f t="shared" si="552"/>
        <v/>
      </c>
    </row>
    <row r="11445" spans="9:14" x14ac:dyDescent="0.25">
      <c r="I11445" s="11" t="b">
        <f t="shared" si="553"/>
        <v>0</v>
      </c>
      <c r="M11445" s="17" t="str">
        <f t="shared" si="551"/>
        <v/>
      </c>
      <c r="N11445" s="11" t="str">
        <f t="shared" si="552"/>
        <v/>
      </c>
    </row>
    <row r="11446" spans="9:14" x14ac:dyDescent="0.25">
      <c r="I11446" s="11" t="b">
        <f t="shared" si="553"/>
        <v>0</v>
      </c>
      <c r="M11446" s="17" t="str">
        <f t="shared" si="551"/>
        <v/>
      </c>
      <c r="N11446" s="11" t="str">
        <f t="shared" si="552"/>
        <v/>
      </c>
    </row>
    <row r="11447" spans="9:14" x14ac:dyDescent="0.25">
      <c r="I11447" s="11" t="b">
        <f t="shared" si="553"/>
        <v>0</v>
      </c>
      <c r="M11447" s="17" t="str">
        <f t="shared" si="551"/>
        <v/>
      </c>
      <c r="N11447" s="11" t="str">
        <f t="shared" si="552"/>
        <v/>
      </c>
    </row>
    <row r="11448" spans="9:14" x14ac:dyDescent="0.25">
      <c r="I11448" s="11" t="b">
        <f t="shared" si="553"/>
        <v>0</v>
      </c>
      <c r="M11448" s="17" t="str">
        <f t="shared" si="551"/>
        <v/>
      </c>
      <c r="N11448" s="11" t="str">
        <f t="shared" si="552"/>
        <v/>
      </c>
    </row>
    <row r="11449" spans="9:14" x14ac:dyDescent="0.25">
      <c r="I11449" s="11" t="b">
        <f t="shared" si="553"/>
        <v>0</v>
      </c>
      <c r="M11449" s="17" t="str">
        <f t="shared" si="551"/>
        <v/>
      </c>
      <c r="N11449" s="11" t="str">
        <f t="shared" si="552"/>
        <v/>
      </c>
    </row>
    <row r="11450" spans="9:14" x14ac:dyDescent="0.25">
      <c r="I11450" s="11" t="b">
        <f t="shared" si="553"/>
        <v>0</v>
      </c>
      <c r="M11450" s="17" t="str">
        <f t="shared" si="551"/>
        <v/>
      </c>
      <c r="N11450" s="11" t="str">
        <f t="shared" si="552"/>
        <v/>
      </c>
    </row>
    <row r="11451" spans="9:14" x14ac:dyDescent="0.25">
      <c r="I11451" s="11" t="b">
        <f t="shared" si="553"/>
        <v>0</v>
      </c>
      <c r="M11451" s="17" t="str">
        <f t="shared" si="551"/>
        <v/>
      </c>
      <c r="N11451" s="11" t="str">
        <f t="shared" si="552"/>
        <v/>
      </c>
    </row>
    <row r="11452" spans="9:14" x14ac:dyDescent="0.25">
      <c r="I11452" s="11" t="b">
        <f t="shared" si="553"/>
        <v>0</v>
      </c>
      <c r="M11452" s="17" t="str">
        <f t="shared" si="551"/>
        <v/>
      </c>
      <c r="N11452" s="11" t="str">
        <f t="shared" si="552"/>
        <v/>
      </c>
    </row>
    <row r="11453" spans="9:14" x14ac:dyDescent="0.25">
      <c r="I11453" s="11" t="b">
        <f t="shared" si="553"/>
        <v>0</v>
      </c>
      <c r="M11453" s="17" t="str">
        <f t="shared" si="551"/>
        <v/>
      </c>
      <c r="N11453" s="11" t="str">
        <f t="shared" si="552"/>
        <v/>
      </c>
    </row>
    <row r="11454" spans="9:14" x14ac:dyDescent="0.25">
      <c r="I11454" s="11" t="b">
        <f t="shared" si="553"/>
        <v>0</v>
      </c>
      <c r="M11454" s="17" t="str">
        <f t="shared" si="551"/>
        <v/>
      </c>
      <c r="N11454" s="11" t="str">
        <f t="shared" si="552"/>
        <v/>
      </c>
    </row>
    <row r="11455" spans="9:14" x14ac:dyDescent="0.25">
      <c r="I11455" s="11" t="b">
        <f t="shared" si="553"/>
        <v>0</v>
      </c>
      <c r="M11455" s="17" t="str">
        <f t="shared" si="551"/>
        <v/>
      </c>
      <c r="N11455" s="11" t="str">
        <f t="shared" si="552"/>
        <v/>
      </c>
    </row>
    <row r="11456" spans="9:14" x14ac:dyDescent="0.25">
      <c r="I11456" s="11" t="b">
        <f t="shared" si="553"/>
        <v>0</v>
      </c>
      <c r="M11456" s="17" t="str">
        <f t="shared" si="551"/>
        <v/>
      </c>
      <c r="N11456" s="11" t="str">
        <f t="shared" si="552"/>
        <v/>
      </c>
    </row>
    <row r="11457" spans="9:14" x14ac:dyDescent="0.25">
      <c r="I11457" s="11" t="b">
        <f t="shared" si="553"/>
        <v>0</v>
      </c>
      <c r="M11457" s="17" t="str">
        <f t="shared" ref="M11457:M11520" si="554">IF(B11457=0, "",M11456+ J11457-K11457)</f>
        <v/>
      </c>
      <c r="N11457" s="11" t="str">
        <f t="shared" ref="N11457:N11520" si="555">IF(B11457=0, "", MONTH(B11457))</f>
        <v/>
      </c>
    </row>
    <row r="11458" spans="9:14" x14ac:dyDescent="0.25">
      <c r="I11458" s="11" t="b">
        <f t="shared" si="553"/>
        <v>0</v>
      </c>
      <c r="M11458" s="17" t="str">
        <f t="shared" si="554"/>
        <v/>
      </c>
      <c r="N11458" s="11" t="str">
        <f t="shared" si="555"/>
        <v/>
      </c>
    </row>
    <row r="11459" spans="9:14" x14ac:dyDescent="0.25">
      <c r="I11459" s="11" t="b">
        <f t="shared" si="553"/>
        <v>0</v>
      </c>
      <c r="M11459" s="17" t="str">
        <f t="shared" si="554"/>
        <v/>
      </c>
      <c r="N11459" s="11" t="str">
        <f t="shared" si="555"/>
        <v/>
      </c>
    </row>
    <row r="11460" spans="9:14" x14ac:dyDescent="0.25">
      <c r="I11460" s="11" t="b">
        <f t="shared" si="553"/>
        <v>0</v>
      </c>
      <c r="M11460" s="17" t="str">
        <f t="shared" si="554"/>
        <v/>
      </c>
      <c r="N11460" s="11" t="str">
        <f t="shared" si="555"/>
        <v/>
      </c>
    </row>
    <row r="11461" spans="9:14" x14ac:dyDescent="0.25">
      <c r="I11461" s="11" t="b">
        <f t="shared" si="553"/>
        <v>0</v>
      </c>
      <c r="M11461" s="17" t="str">
        <f t="shared" si="554"/>
        <v/>
      </c>
      <c r="N11461" s="11" t="str">
        <f t="shared" si="555"/>
        <v/>
      </c>
    </row>
    <row r="11462" spans="9:14" x14ac:dyDescent="0.25">
      <c r="I11462" s="11" t="b">
        <f t="shared" si="553"/>
        <v>0</v>
      </c>
      <c r="M11462" s="17" t="str">
        <f t="shared" si="554"/>
        <v/>
      </c>
      <c r="N11462" s="11" t="str">
        <f t="shared" si="555"/>
        <v/>
      </c>
    </row>
    <row r="11463" spans="9:14" x14ac:dyDescent="0.25">
      <c r="I11463" s="11" t="b">
        <f t="shared" si="553"/>
        <v>0</v>
      </c>
      <c r="M11463" s="17" t="str">
        <f t="shared" si="554"/>
        <v/>
      </c>
      <c r="N11463" s="11" t="str">
        <f t="shared" si="555"/>
        <v/>
      </c>
    </row>
    <row r="11464" spans="9:14" x14ac:dyDescent="0.25">
      <c r="I11464" s="11" t="b">
        <f t="shared" si="553"/>
        <v>0</v>
      </c>
      <c r="M11464" s="17" t="str">
        <f t="shared" si="554"/>
        <v/>
      </c>
      <c r="N11464" s="11" t="str">
        <f t="shared" si="555"/>
        <v/>
      </c>
    </row>
    <row r="11465" spans="9:14" x14ac:dyDescent="0.25">
      <c r="I11465" s="11" t="b">
        <f t="shared" si="553"/>
        <v>0</v>
      </c>
      <c r="M11465" s="17" t="str">
        <f t="shared" si="554"/>
        <v/>
      </c>
      <c r="N11465" s="11" t="str">
        <f t="shared" si="555"/>
        <v/>
      </c>
    </row>
    <row r="11466" spans="9:14" x14ac:dyDescent="0.25">
      <c r="I11466" s="11" t="b">
        <f t="shared" si="553"/>
        <v>0</v>
      </c>
      <c r="M11466" s="17" t="str">
        <f t="shared" si="554"/>
        <v/>
      </c>
      <c r="N11466" s="11" t="str">
        <f t="shared" si="555"/>
        <v/>
      </c>
    </row>
    <row r="11467" spans="9:14" x14ac:dyDescent="0.25">
      <c r="I11467" s="11" t="b">
        <f t="shared" si="553"/>
        <v>0</v>
      </c>
      <c r="M11467" s="17" t="str">
        <f t="shared" si="554"/>
        <v/>
      </c>
      <c r="N11467" s="11" t="str">
        <f t="shared" si="555"/>
        <v/>
      </c>
    </row>
    <row r="11468" spans="9:14" x14ac:dyDescent="0.25">
      <c r="I11468" s="11" t="b">
        <f t="shared" si="553"/>
        <v>0</v>
      </c>
      <c r="M11468" s="17" t="str">
        <f t="shared" si="554"/>
        <v/>
      </c>
      <c r="N11468" s="11" t="str">
        <f t="shared" si="555"/>
        <v/>
      </c>
    </row>
    <row r="11469" spans="9:14" x14ac:dyDescent="0.25">
      <c r="I11469" s="11" t="b">
        <f t="shared" si="553"/>
        <v>0</v>
      </c>
      <c r="M11469" s="17" t="str">
        <f t="shared" si="554"/>
        <v/>
      </c>
      <c r="N11469" s="11" t="str">
        <f t="shared" si="555"/>
        <v/>
      </c>
    </row>
    <row r="11470" spans="9:14" x14ac:dyDescent="0.25">
      <c r="I11470" s="11" t="b">
        <f t="shared" si="553"/>
        <v>0</v>
      </c>
      <c r="M11470" s="17" t="str">
        <f t="shared" si="554"/>
        <v/>
      </c>
      <c r="N11470" s="11" t="str">
        <f t="shared" si="555"/>
        <v/>
      </c>
    </row>
    <row r="11471" spans="9:14" x14ac:dyDescent="0.25">
      <c r="I11471" s="11" t="b">
        <f t="shared" si="553"/>
        <v>0</v>
      </c>
      <c r="M11471" s="17" t="str">
        <f t="shared" si="554"/>
        <v/>
      </c>
      <c r="N11471" s="11" t="str">
        <f t="shared" si="555"/>
        <v/>
      </c>
    </row>
    <row r="11472" spans="9:14" x14ac:dyDescent="0.25">
      <c r="I11472" s="11" t="b">
        <f t="shared" si="553"/>
        <v>0</v>
      </c>
      <c r="M11472" s="17" t="str">
        <f t="shared" si="554"/>
        <v/>
      </c>
      <c r="N11472" s="11" t="str">
        <f t="shared" si="555"/>
        <v/>
      </c>
    </row>
    <row r="11473" spans="9:14" x14ac:dyDescent="0.25">
      <c r="I11473" s="11" t="b">
        <f t="shared" si="553"/>
        <v>0</v>
      </c>
      <c r="M11473" s="17" t="str">
        <f t="shared" si="554"/>
        <v/>
      </c>
      <c r="N11473" s="11" t="str">
        <f t="shared" si="555"/>
        <v/>
      </c>
    </row>
    <row r="11474" spans="9:14" x14ac:dyDescent="0.25">
      <c r="I11474" s="11" t="b">
        <f t="shared" si="553"/>
        <v>0</v>
      </c>
      <c r="M11474" s="17" t="str">
        <f t="shared" si="554"/>
        <v/>
      </c>
      <c r="N11474" s="11" t="str">
        <f t="shared" si="555"/>
        <v/>
      </c>
    </row>
    <row r="11475" spans="9:14" x14ac:dyDescent="0.25">
      <c r="I11475" s="11" t="b">
        <f t="shared" si="553"/>
        <v>0</v>
      </c>
      <c r="M11475" s="17" t="str">
        <f t="shared" si="554"/>
        <v/>
      </c>
      <c r="N11475" s="11" t="str">
        <f t="shared" si="555"/>
        <v/>
      </c>
    </row>
    <row r="11476" spans="9:14" x14ac:dyDescent="0.25">
      <c r="I11476" s="11" t="b">
        <f t="shared" si="553"/>
        <v>0</v>
      </c>
      <c r="M11476" s="17" t="str">
        <f t="shared" si="554"/>
        <v/>
      </c>
      <c r="N11476" s="11" t="str">
        <f t="shared" si="555"/>
        <v/>
      </c>
    </row>
    <row r="11477" spans="9:14" x14ac:dyDescent="0.25">
      <c r="I11477" s="11" t="b">
        <f t="shared" si="553"/>
        <v>0</v>
      </c>
      <c r="M11477" s="17" t="str">
        <f t="shared" si="554"/>
        <v/>
      </c>
      <c r="N11477" s="11" t="str">
        <f t="shared" si="555"/>
        <v/>
      </c>
    </row>
    <row r="11478" spans="9:14" x14ac:dyDescent="0.25">
      <c r="I11478" s="11" t="b">
        <f t="shared" si="553"/>
        <v>0</v>
      </c>
      <c r="M11478" s="17" t="str">
        <f t="shared" si="554"/>
        <v/>
      </c>
      <c r="N11478" s="11" t="str">
        <f t="shared" si="555"/>
        <v/>
      </c>
    </row>
    <row r="11479" spans="9:14" x14ac:dyDescent="0.25">
      <c r="I11479" s="11" t="b">
        <f t="shared" si="553"/>
        <v>0</v>
      </c>
      <c r="M11479" s="17" t="str">
        <f t="shared" si="554"/>
        <v/>
      </c>
      <c r="N11479" s="11" t="str">
        <f t="shared" si="555"/>
        <v/>
      </c>
    </row>
    <row r="11480" spans="9:14" x14ac:dyDescent="0.25">
      <c r="I11480" s="11" t="b">
        <f t="shared" si="553"/>
        <v>0</v>
      </c>
      <c r="M11480" s="17" t="str">
        <f t="shared" si="554"/>
        <v/>
      </c>
      <c r="N11480" s="11" t="str">
        <f t="shared" si="555"/>
        <v/>
      </c>
    </row>
    <row r="11481" spans="9:14" x14ac:dyDescent="0.25">
      <c r="I11481" s="11" t="b">
        <f t="shared" si="553"/>
        <v>0</v>
      </c>
      <c r="M11481" s="17" t="str">
        <f t="shared" si="554"/>
        <v/>
      </c>
      <c r="N11481" s="11" t="str">
        <f t="shared" si="555"/>
        <v/>
      </c>
    </row>
    <row r="11482" spans="9:14" x14ac:dyDescent="0.25">
      <c r="I11482" s="11" t="b">
        <f t="shared" si="553"/>
        <v>0</v>
      </c>
      <c r="M11482" s="17" t="str">
        <f t="shared" si="554"/>
        <v/>
      </c>
      <c r="N11482" s="11" t="str">
        <f t="shared" si="555"/>
        <v/>
      </c>
    </row>
    <row r="11483" spans="9:14" x14ac:dyDescent="0.25">
      <c r="I11483" s="11" t="b">
        <f t="shared" si="553"/>
        <v>0</v>
      </c>
      <c r="M11483" s="17" t="str">
        <f t="shared" si="554"/>
        <v/>
      </c>
      <c r="N11483" s="11" t="str">
        <f t="shared" si="555"/>
        <v/>
      </c>
    </row>
    <row r="11484" spans="9:14" x14ac:dyDescent="0.25">
      <c r="I11484" s="11" t="b">
        <f t="shared" si="553"/>
        <v>0</v>
      </c>
      <c r="M11484" s="17" t="str">
        <f t="shared" si="554"/>
        <v/>
      </c>
      <c r="N11484" s="11" t="str">
        <f t="shared" si="555"/>
        <v/>
      </c>
    </row>
    <row r="11485" spans="9:14" x14ac:dyDescent="0.25">
      <c r="I11485" s="11" t="b">
        <f t="shared" ref="I11485:I11548" si="556">IF(AND(G11485="MERCADO PAGO",A11485="FATURAMENTO"),1,IF(AND(OR(G11485="MERCADO PAGO",G11485="pix mercado pago",G11485= "débito automático mercado pago", G11485= "boleto mercado pago"),A11485="DESPESAS"),4,IF(AND(G11485="SAFRA",A11485="FATURAMENTO"),2,IF(AND(OR(G11485="SAFRA",G11485="PIX SAFRA", G11485="DÉBITO AUTOMÁTICO SAFRA", G11485= "BOLETO SAFRA", G11485= "transferência safra"), A11485="DESPESAS"),5,IF(AND(G11485="espécie",A11485="FATURAMENTO"),3,IF(AND(G11485="espécie",A11485="DESPESAS"),6))))))</f>
        <v>0</v>
      </c>
      <c r="M11485" s="17" t="str">
        <f t="shared" si="554"/>
        <v/>
      </c>
      <c r="N11485" s="11" t="str">
        <f t="shared" si="555"/>
        <v/>
      </c>
    </row>
    <row r="11486" spans="9:14" x14ac:dyDescent="0.25">
      <c r="I11486" s="11" t="b">
        <f t="shared" si="556"/>
        <v>0</v>
      </c>
      <c r="M11486" s="17" t="str">
        <f t="shared" si="554"/>
        <v/>
      </c>
      <c r="N11486" s="11" t="str">
        <f t="shared" si="555"/>
        <v/>
      </c>
    </row>
    <row r="11487" spans="9:14" x14ac:dyDescent="0.25">
      <c r="I11487" s="11" t="b">
        <f t="shared" si="556"/>
        <v>0</v>
      </c>
      <c r="M11487" s="17" t="str">
        <f t="shared" si="554"/>
        <v/>
      </c>
      <c r="N11487" s="11" t="str">
        <f t="shared" si="555"/>
        <v/>
      </c>
    </row>
    <row r="11488" spans="9:14" x14ac:dyDescent="0.25">
      <c r="I11488" s="11" t="b">
        <f t="shared" si="556"/>
        <v>0</v>
      </c>
      <c r="M11488" s="17" t="str">
        <f t="shared" si="554"/>
        <v/>
      </c>
      <c r="N11488" s="11" t="str">
        <f t="shared" si="555"/>
        <v/>
      </c>
    </row>
    <row r="11489" spans="9:14" x14ac:dyDescent="0.25">
      <c r="I11489" s="11" t="b">
        <f t="shared" si="556"/>
        <v>0</v>
      </c>
      <c r="M11489" s="17" t="str">
        <f t="shared" si="554"/>
        <v/>
      </c>
      <c r="N11489" s="11" t="str">
        <f t="shared" si="555"/>
        <v/>
      </c>
    </row>
    <row r="11490" spans="9:14" x14ac:dyDescent="0.25">
      <c r="I11490" s="11" t="b">
        <f t="shared" si="556"/>
        <v>0</v>
      </c>
      <c r="M11490" s="17" t="str">
        <f t="shared" si="554"/>
        <v/>
      </c>
      <c r="N11490" s="11" t="str">
        <f t="shared" si="555"/>
        <v/>
      </c>
    </row>
    <row r="11491" spans="9:14" x14ac:dyDescent="0.25">
      <c r="I11491" s="11" t="b">
        <f t="shared" si="556"/>
        <v>0</v>
      </c>
      <c r="M11491" s="17" t="str">
        <f t="shared" si="554"/>
        <v/>
      </c>
      <c r="N11491" s="11" t="str">
        <f t="shared" si="555"/>
        <v/>
      </c>
    </row>
    <row r="11492" spans="9:14" x14ac:dyDescent="0.25">
      <c r="I11492" s="11" t="b">
        <f t="shared" si="556"/>
        <v>0</v>
      </c>
      <c r="M11492" s="17" t="str">
        <f t="shared" si="554"/>
        <v/>
      </c>
      <c r="N11492" s="11" t="str">
        <f t="shared" si="555"/>
        <v/>
      </c>
    </row>
    <row r="11493" spans="9:14" x14ac:dyDescent="0.25">
      <c r="I11493" s="11" t="b">
        <f t="shared" si="556"/>
        <v>0</v>
      </c>
      <c r="M11493" s="17" t="str">
        <f t="shared" si="554"/>
        <v/>
      </c>
      <c r="N11493" s="11" t="str">
        <f t="shared" si="555"/>
        <v/>
      </c>
    </row>
    <row r="11494" spans="9:14" x14ac:dyDescent="0.25">
      <c r="I11494" s="11" t="b">
        <f t="shared" si="556"/>
        <v>0</v>
      </c>
      <c r="M11494" s="17" t="str">
        <f t="shared" si="554"/>
        <v/>
      </c>
      <c r="N11494" s="11" t="str">
        <f t="shared" si="555"/>
        <v/>
      </c>
    </row>
    <row r="11495" spans="9:14" x14ac:dyDescent="0.25">
      <c r="I11495" s="11" t="b">
        <f t="shared" si="556"/>
        <v>0</v>
      </c>
      <c r="M11495" s="17" t="str">
        <f t="shared" si="554"/>
        <v/>
      </c>
      <c r="N11495" s="11" t="str">
        <f t="shared" si="555"/>
        <v/>
      </c>
    </row>
    <row r="11496" spans="9:14" x14ac:dyDescent="0.25">
      <c r="I11496" s="11" t="b">
        <f t="shared" si="556"/>
        <v>0</v>
      </c>
      <c r="M11496" s="17" t="str">
        <f t="shared" si="554"/>
        <v/>
      </c>
      <c r="N11496" s="11" t="str">
        <f t="shared" si="555"/>
        <v/>
      </c>
    </row>
    <row r="11497" spans="9:14" x14ac:dyDescent="0.25">
      <c r="I11497" s="11" t="b">
        <f t="shared" si="556"/>
        <v>0</v>
      </c>
      <c r="M11497" s="17" t="str">
        <f t="shared" si="554"/>
        <v/>
      </c>
      <c r="N11497" s="11" t="str">
        <f t="shared" si="555"/>
        <v/>
      </c>
    </row>
    <row r="11498" spans="9:14" x14ac:dyDescent="0.25">
      <c r="I11498" s="11" t="b">
        <f t="shared" si="556"/>
        <v>0</v>
      </c>
      <c r="M11498" s="17" t="str">
        <f t="shared" si="554"/>
        <v/>
      </c>
      <c r="N11498" s="11" t="str">
        <f t="shared" si="555"/>
        <v/>
      </c>
    </row>
    <row r="11499" spans="9:14" x14ac:dyDescent="0.25">
      <c r="I11499" s="11" t="b">
        <f t="shared" si="556"/>
        <v>0</v>
      </c>
      <c r="M11499" s="17" t="str">
        <f t="shared" si="554"/>
        <v/>
      </c>
      <c r="N11499" s="11" t="str">
        <f t="shared" si="555"/>
        <v/>
      </c>
    </row>
    <row r="11500" spans="9:14" x14ac:dyDescent="0.25">
      <c r="I11500" s="11" t="b">
        <f t="shared" si="556"/>
        <v>0</v>
      </c>
      <c r="M11500" s="17" t="str">
        <f t="shared" si="554"/>
        <v/>
      </c>
      <c r="N11500" s="11" t="str">
        <f t="shared" si="555"/>
        <v/>
      </c>
    </row>
    <row r="11501" spans="9:14" x14ac:dyDescent="0.25">
      <c r="I11501" s="11" t="b">
        <f t="shared" si="556"/>
        <v>0</v>
      </c>
      <c r="M11501" s="17" t="str">
        <f t="shared" si="554"/>
        <v/>
      </c>
      <c r="N11501" s="11" t="str">
        <f t="shared" si="555"/>
        <v/>
      </c>
    </row>
    <row r="11502" spans="9:14" x14ac:dyDescent="0.25">
      <c r="I11502" s="11" t="b">
        <f t="shared" si="556"/>
        <v>0</v>
      </c>
      <c r="M11502" s="17" t="str">
        <f t="shared" si="554"/>
        <v/>
      </c>
      <c r="N11502" s="11" t="str">
        <f t="shared" si="555"/>
        <v/>
      </c>
    </row>
    <row r="11503" spans="9:14" x14ac:dyDescent="0.25">
      <c r="I11503" s="11" t="b">
        <f t="shared" si="556"/>
        <v>0</v>
      </c>
      <c r="M11503" s="17" t="str">
        <f t="shared" si="554"/>
        <v/>
      </c>
      <c r="N11503" s="11" t="str">
        <f t="shared" si="555"/>
        <v/>
      </c>
    </row>
    <row r="11504" spans="9:14" x14ac:dyDescent="0.25">
      <c r="I11504" s="11" t="b">
        <f t="shared" si="556"/>
        <v>0</v>
      </c>
      <c r="M11504" s="17" t="str">
        <f t="shared" si="554"/>
        <v/>
      </c>
      <c r="N11504" s="11" t="str">
        <f t="shared" si="555"/>
        <v/>
      </c>
    </row>
    <row r="11505" spans="9:14" x14ac:dyDescent="0.25">
      <c r="I11505" s="11" t="b">
        <f t="shared" si="556"/>
        <v>0</v>
      </c>
      <c r="M11505" s="17" t="str">
        <f t="shared" si="554"/>
        <v/>
      </c>
      <c r="N11505" s="11" t="str">
        <f t="shared" si="555"/>
        <v/>
      </c>
    </row>
    <row r="11506" spans="9:14" x14ac:dyDescent="0.25">
      <c r="I11506" s="11" t="b">
        <f t="shared" si="556"/>
        <v>0</v>
      </c>
      <c r="M11506" s="17" t="str">
        <f t="shared" si="554"/>
        <v/>
      </c>
      <c r="N11506" s="11" t="str">
        <f t="shared" si="555"/>
        <v/>
      </c>
    </row>
    <row r="11507" spans="9:14" x14ac:dyDescent="0.25">
      <c r="I11507" s="11" t="b">
        <f t="shared" si="556"/>
        <v>0</v>
      </c>
      <c r="M11507" s="17" t="str">
        <f t="shared" si="554"/>
        <v/>
      </c>
      <c r="N11507" s="11" t="str">
        <f t="shared" si="555"/>
        <v/>
      </c>
    </row>
    <row r="11508" spans="9:14" x14ac:dyDescent="0.25">
      <c r="I11508" s="11" t="b">
        <f t="shared" si="556"/>
        <v>0</v>
      </c>
      <c r="M11508" s="17" t="str">
        <f t="shared" si="554"/>
        <v/>
      </c>
      <c r="N11508" s="11" t="str">
        <f t="shared" si="555"/>
        <v/>
      </c>
    </row>
    <row r="11509" spans="9:14" x14ac:dyDescent="0.25">
      <c r="I11509" s="11" t="b">
        <f t="shared" si="556"/>
        <v>0</v>
      </c>
      <c r="M11509" s="17" t="str">
        <f t="shared" si="554"/>
        <v/>
      </c>
      <c r="N11509" s="11" t="str">
        <f t="shared" si="555"/>
        <v/>
      </c>
    </row>
    <row r="11510" spans="9:14" x14ac:dyDescent="0.25">
      <c r="I11510" s="11" t="b">
        <f t="shared" si="556"/>
        <v>0</v>
      </c>
      <c r="M11510" s="17" t="str">
        <f t="shared" si="554"/>
        <v/>
      </c>
      <c r="N11510" s="11" t="str">
        <f t="shared" si="555"/>
        <v/>
      </c>
    </row>
    <row r="11511" spans="9:14" x14ac:dyDescent="0.25">
      <c r="I11511" s="11" t="b">
        <f t="shared" si="556"/>
        <v>0</v>
      </c>
      <c r="M11511" s="17" t="str">
        <f t="shared" si="554"/>
        <v/>
      </c>
      <c r="N11511" s="11" t="str">
        <f t="shared" si="555"/>
        <v/>
      </c>
    </row>
    <row r="11512" spans="9:14" x14ac:dyDescent="0.25">
      <c r="I11512" s="11" t="b">
        <f t="shared" si="556"/>
        <v>0</v>
      </c>
      <c r="M11512" s="17" t="str">
        <f t="shared" si="554"/>
        <v/>
      </c>
      <c r="N11512" s="11" t="str">
        <f t="shared" si="555"/>
        <v/>
      </c>
    </row>
    <row r="11513" spans="9:14" x14ac:dyDescent="0.25">
      <c r="I11513" s="11" t="b">
        <f t="shared" si="556"/>
        <v>0</v>
      </c>
      <c r="M11513" s="17" t="str">
        <f t="shared" si="554"/>
        <v/>
      </c>
      <c r="N11513" s="11" t="str">
        <f t="shared" si="555"/>
        <v/>
      </c>
    </row>
    <row r="11514" spans="9:14" x14ac:dyDescent="0.25">
      <c r="I11514" s="11" t="b">
        <f t="shared" si="556"/>
        <v>0</v>
      </c>
      <c r="M11514" s="17" t="str">
        <f t="shared" si="554"/>
        <v/>
      </c>
      <c r="N11514" s="11" t="str">
        <f t="shared" si="555"/>
        <v/>
      </c>
    </row>
    <row r="11515" spans="9:14" x14ac:dyDescent="0.25">
      <c r="I11515" s="11" t="b">
        <f t="shared" si="556"/>
        <v>0</v>
      </c>
      <c r="M11515" s="17" t="str">
        <f t="shared" si="554"/>
        <v/>
      </c>
      <c r="N11515" s="11" t="str">
        <f t="shared" si="555"/>
        <v/>
      </c>
    </row>
    <row r="11516" spans="9:14" x14ac:dyDescent="0.25">
      <c r="I11516" s="11" t="b">
        <f t="shared" si="556"/>
        <v>0</v>
      </c>
      <c r="M11516" s="17" t="str">
        <f t="shared" si="554"/>
        <v/>
      </c>
      <c r="N11516" s="11" t="str">
        <f t="shared" si="555"/>
        <v/>
      </c>
    </row>
    <row r="11517" spans="9:14" x14ac:dyDescent="0.25">
      <c r="I11517" s="11" t="b">
        <f t="shared" si="556"/>
        <v>0</v>
      </c>
      <c r="M11517" s="17" t="str">
        <f t="shared" si="554"/>
        <v/>
      </c>
      <c r="N11517" s="11" t="str">
        <f t="shared" si="555"/>
        <v/>
      </c>
    </row>
    <row r="11518" spans="9:14" x14ac:dyDescent="0.25">
      <c r="I11518" s="11" t="b">
        <f t="shared" si="556"/>
        <v>0</v>
      </c>
      <c r="M11518" s="17" t="str">
        <f t="shared" si="554"/>
        <v/>
      </c>
      <c r="N11518" s="11" t="str">
        <f t="shared" si="555"/>
        <v/>
      </c>
    </row>
    <row r="11519" spans="9:14" x14ac:dyDescent="0.25">
      <c r="I11519" s="11" t="b">
        <f t="shared" si="556"/>
        <v>0</v>
      </c>
      <c r="M11519" s="17" t="str">
        <f t="shared" si="554"/>
        <v/>
      </c>
      <c r="N11519" s="11" t="str">
        <f t="shared" si="555"/>
        <v/>
      </c>
    </row>
    <row r="11520" spans="9:14" x14ac:dyDescent="0.25">
      <c r="I11520" s="11" t="b">
        <f t="shared" si="556"/>
        <v>0</v>
      </c>
      <c r="M11520" s="17" t="str">
        <f t="shared" si="554"/>
        <v/>
      </c>
      <c r="N11520" s="11" t="str">
        <f t="shared" si="555"/>
        <v/>
      </c>
    </row>
    <row r="11521" spans="9:14" x14ac:dyDescent="0.25">
      <c r="I11521" s="11" t="b">
        <f t="shared" si="556"/>
        <v>0</v>
      </c>
      <c r="M11521" s="17" t="str">
        <f t="shared" ref="M11521:M11584" si="557">IF(B11521=0, "",M11520+ J11521-K11521)</f>
        <v/>
      </c>
      <c r="N11521" s="11" t="str">
        <f t="shared" ref="N11521:N11584" si="558">IF(B11521=0, "", MONTH(B11521))</f>
        <v/>
      </c>
    </row>
    <row r="11522" spans="9:14" x14ac:dyDescent="0.25">
      <c r="I11522" s="11" t="b">
        <f t="shared" si="556"/>
        <v>0</v>
      </c>
      <c r="M11522" s="17" t="str">
        <f t="shared" si="557"/>
        <v/>
      </c>
      <c r="N11522" s="11" t="str">
        <f t="shared" si="558"/>
        <v/>
      </c>
    </row>
    <row r="11523" spans="9:14" x14ac:dyDescent="0.25">
      <c r="I11523" s="11" t="b">
        <f t="shared" si="556"/>
        <v>0</v>
      </c>
      <c r="M11523" s="17" t="str">
        <f t="shared" si="557"/>
        <v/>
      </c>
      <c r="N11523" s="11" t="str">
        <f t="shared" si="558"/>
        <v/>
      </c>
    </row>
    <row r="11524" spans="9:14" x14ac:dyDescent="0.25">
      <c r="I11524" s="11" t="b">
        <f t="shared" si="556"/>
        <v>0</v>
      </c>
      <c r="M11524" s="17" t="str">
        <f t="shared" si="557"/>
        <v/>
      </c>
      <c r="N11524" s="11" t="str">
        <f t="shared" si="558"/>
        <v/>
      </c>
    </row>
    <row r="11525" spans="9:14" x14ac:dyDescent="0.25">
      <c r="I11525" s="11" t="b">
        <f t="shared" si="556"/>
        <v>0</v>
      </c>
      <c r="M11525" s="17" t="str">
        <f t="shared" si="557"/>
        <v/>
      </c>
      <c r="N11525" s="11" t="str">
        <f t="shared" si="558"/>
        <v/>
      </c>
    </row>
    <row r="11526" spans="9:14" x14ac:dyDescent="0.25">
      <c r="I11526" s="11" t="b">
        <f t="shared" si="556"/>
        <v>0</v>
      </c>
      <c r="M11526" s="17" t="str">
        <f t="shared" si="557"/>
        <v/>
      </c>
      <c r="N11526" s="11" t="str">
        <f t="shared" si="558"/>
        <v/>
      </c>
    </row>
    <row r="11527" spans="9:14" x14ac:dyDescent="0.25">
      <c r="I11527" s="11" t="b">
        <f t="shared" si="556"/>
        <v>0</v>
      </c>
      <c r="M11527" s="17" t="str">
        <f t="shared" si="557"/>
        <v/>
      </c>
      <c r="N11527" s="11" t="str">
        <f t="shared" si="558"/>
        <v/>
      </c>
    </row>
    <row r="11528" spans="9:14" x14ac:dyDescent="0.25">
      <c r="I11528" s="11" t="b">
        <f t="shared" si="556"/>
        <v>0</v>
      </c>
      <c r="M11528" s="17" t="str">
        <f t="shared" si="557"/>
        <v/>
      </c>
      <c r="N11528" s="11" t="str">
        <f t="shared" si="558"/>
        <v/>
      </c>
    </row>
    <row r="11529" spans="9:14" x14ac:dyDescent="0.25">
      <c r="I11529" s="11" t="b">
        <f t="shared" si="556"/>
        <v>0</v>
      </c>
      <c r="M11529" s="17" t="str">
        <f t="shared" si="557"/>
        <v/>
      </c>
      <c r="N11529" s="11" t="str">
        <f t="shared" si="558"/>
        <v/>
      </c>
    </row>
    <row r="11530" spans="9:14" x14ac:dyDescent="0.25">
      <c r="I11530" s="11" t="b">
        <f t="shared" si="556"/>
        <v>0</v>
      </c>
      <c r="M11530" s="17" t="str">
        <f t="shared" si="557"/>
        <v/>
      </c>
      <c r="N11530" s="11" t="str">
        <f t="shared" si="558"/>
        <v/>
      </c>
    </row>
    <row r="11531" spans="9:14" x14ac:dyDescent="0.25">
      <c r="I11531" s="11" t="b">
        <f t="shared" si="556"/>
        <v>0</v>
      </c>
      <c r="M11531" s="17" t="str">
        <f t="shared" si="557"/>
        <v/>
      </c>
      <c r="N11531" s="11" t="str">
        <f t="shared" si="558"/>
        <v/>
      </c>
    </row>
    <row r="11532" spans="9:14" x14ac:dyDescent="0.25">
      <c r="I11532" s="11" t="b">
        <f t="shared" si="556"/>
        <v>0</v>
      </c>
      <c r="M11532" s="17" t="str">
        <f t="shared" si="557"/>
        <v/>
      </c>
      <c r="N11532" s="11" t="str">
        <f t="shared" si="558"/>
        <v/>
      </c>
    </row>
    <row r="11533" spans="9:14" x14ac:dyDescent="0.25">
      <c r="I11533" s="11" t="b">
        <f t="shared" si="556"/>
        <v>0</v>
      </c>
      <c r="M11533" s="17" t="str">
        <f t="shared" si="557"/>
        <v/>
      </c>
      <c r="N11533" s="11" t="str">
        <f t="shared" si="558"/>
        <v/>
      </c>
    </row>
    <row r="11534" spans="9:14" x14ac:dyDescent="0.25">
      <c r="I11534" s="11" t="b">
        <f t="shared" si="556"/>
        <v>0</v>
      </c>
      <c r="M11534" s="17" t="str">
        <f t="shared" si="557"/>
        <v/>
      </c>
      <c r="N11534" s="11" t="str">
        <f t="shared" si="558"/>
        <v/>
      </c>
    </row>
    <row r="11535" spans="9:14" x14ac:dyDescent="0.25">
      <c r="I11535" s="11" t="b">
        <f t="shared" si="556"/>
        <v>0</v>
      </c>
      <c r="M11535" s="17" t="str">
        <f t="shared" si="557"/>
        <v/>
      </c>
      <c r="N11535" s="11" t="str">
        <f t="shared" si="558"/>
        <v/>
      </c>
    </row>
    <row r="11536" spans="9:14" x14ac:dyDescent="0.25">
      <c r="I11536" s="11" t="b">
        <f t="shared" si="556"/>
        <v>0</v>
      </c>
      <c r="M11536" s="17" t="str">
        <f t="shared" si="557"/>
        <v/>
      </c>
      <c r="N11536" s="11" t="str">
        <f t="shared" si="558"/>
        <v/>
      </c>
    </row>
    <row r="11537" spans="9:14" x14ac:dyDescent="0.25">
      <c r="I11537" s="11" t="b">
        <f t="shared" si="556"/>
        <v>0</v>
      </c>
      <c r="M11537" s="17" t="str">
        <f t="shared" si="557"/>
        <v/>
      </c>
      <c r="N11537" s="11" t="str">
        <f t="shared" si="558"/>
        <v/>
      </c>
    </row>
    <row r="11538" spans="9:14" x14ac:dyDescent="0.25">
      <c r="I11538" s="11" t="b">
        <f t="shared" si="556"/>
        <v>0</v>
      </c>
      <c r="M11538" s="17" t="str">
        <f t="shared" si="557"/>
        <v/>
      </c>
      <c r="N11538" s="11" t="str">
        <f t="shared" si="558"/>
        <v/>
      </c>
    </row>
    <row r="11539" spans="9:14" x14ac:dyDescent="0.25">
      <c r="I11539" s="11" t="b">
        <f t="shared" si="556"/>
        <v>0</v>
      </c>
      <c r="M11539" s="17" t="str">
        <f t="shared" si="557"/>
        <v/>
      </c>
      <c r="N11539" s="11" t="str">
        <f t="shared" si="558"/>
        <v/>
      </c>
    </row>
    <row r="11540" spans="9:14" x14ac:dyDescent="0.25">
      <c r="I11540" s="11" t="b">
        <f t="shared" si="556"/>
        <v>0</v>
      </c>
      <c r="M11540" s="17" t="str">
        <f t="shared" si="557"/>
        <v/>
      </c>
      <c r="N11540" s="11" t="str">
        <f t="shared" si="558"/>
        <v/>
      </c>
    </row>
    <row r="11541" spans="9:14" x14ac:dyDescent="0.25">
      <c r="I11541" s="11" t="b">
        <f t="shared" si="556"/>
        <v>0</v>
      </c>
      <c r="M11541" s="17" t="str">
        <f t="shared" si="557"/>
        <v/>
      </c>
      <c r="N11541" s="11" t="str">
        <f t="shared" si="558"/>
        <v/>
      </c>
    </row>
    <row r="11542" spans="9:14" x14ac:dyDescent="0.25">
      <c r="I11542" s="11" t="b">
        <f t="shared" si="556"/>
        <v>0</v>
      </c>
      <c r="M11542" s="17" t="str">
        <f t="shared" si="557"/>
        <v/>
      </c>
      <c r="N11542" s="11" t="str">
        <f t="shared" si="558"/>
        <v/>
      </c>
    </row>
    <row r="11543" spans="9:14" x14ac:dyDescent="0.25">
      <c r="I11543" s="11" t="b">
        <f t="shared" si="556"/>
        <v>0</v>
      </c>
      <c r="M11543" s="17" t="str">
        <f t="shared" si="557"/>
        <v/>
      </c>
      <c r="N11543" s="11" t="str">
        <f t="shared" si="558"/>
        <v/>
      </c>
    </row>
    <row r="11544" spans="9:14" x14ac:dyDescent="0.25">
      <c r="I11544" s="11" t="b">
        <f t="shared" si="556"/>
        <v>0</v>
      </c>
      <c r="M11544" s="17" t="str">
        <f t="shared" si="557"/>
        <v/>
      </c>
      <c r="N11544" s="11" t="str">
        <f t="shared" si="558"/>
        <v/>
      </c>
    </row>
    <row r="11545" spans="9:14" x14ac:dyDescent="0.25">
      <c r="I11545" s="11" t="b">
        <f t="shared" si="556"/>
        <v>0</v>
      </c>
      <c r="M11545" s="17" t="str">
        <f t="shared" si="557"/>
        <v/>
      </c>
      <c r="N11545" s="11" t="str">
        <f t="shared" si="558"/>
        <v/>
      </c>
    </row>
    <row r="11546" spans="9:14" x14ac:dyDescent="0.25">
      <c r="I11546" s="11" t="b">
        <f t="shared" si="556"/>
        <v>0</v>
      </c>
      <c r="M11546" s="17" t="str">
        <f t="shared" si="557"/>
        <v/>
      </c>
      <c r="N11546" s="11" t="str">
        <f t="shared" si="558"/>
        <v/>
      </c>
    </row>
    <row r="11547" spans="9:14" x14ac:dyDescent="0.25">
      <c r="I11547" s="11" t="b">
        <f t="shared" si="556"/>
        <v>0</v>
      </c>
      <c r="M11547" s="17" t="str">
        <f t="shared" si="557"/>
        <v/>
      </c>
      <c r="N11547" s="11" t="str">
        <f t="shared" si="558"/>
        <v/>
      </c>
    </row>
    <row r="11548" spans="9:14" x14ac:dyDescent="0.25">
      <c r="I11548" s="11" t="b">
        <f t="shared" si="556"/>
        <v>0</v>
      </c>
      <c r="M11548" s="17" t="str">
        <f t="shared" si="557"/>
        <v/>
      </c>
      <c r="N11548" s="11" t="str">
        <f t="shared" si="558"/>
        <v/>
      </c>
    </row>
    <row r="11549" spans="9:14" x14ac:dyDescent="0.25">
      <c r="I11549" s="11" t="b">
        <f t="shared" ref="I11549:I11612" si="559">IF(AND(G11549="MERCADO PAGO",A11549="FATURAMENTO"),1,IF(AND(OR(G11549="MERCADO PAGO",G11549="pix mercado pago",G11549= "débito automático mercado pago", G11549= "boleto mercado pago"),A11549="DESPESAS"),4,IF(AND(G11549="SAFRA",A11549="FATURAMENTO"),2,IF(AND(OR(G11549="SAFRA",G11549="PIX SAFRA", G11549="DÉBITO AUTOMÁTICO SAFRA", G11549= "BOLETO SAFRA", G11549= "transferência safra"), A11549="DESPESAS"),5,IF(AND(G11549="espécie",A11549="FATURAMENTO"),3,IF(AND(G11549="espécie",A11549="DESPESAS"),6))))))</f>
        <v>0</v>
      </c>
      <c r="M11549" s="17" t="str">
        <f t="shared" si="557"/>
        <v/>
      </c>
      <c r="N11549" s="11" t="str">
        <f t="shared" si="558"/>
        <v/>
      </c>
    </row>
    <row r="11550" spans="9:14" x14ac:dyDescent="0.25">
      <c r="I11550" s="11" t="b">
        <f t="shared" si="559"/>
        <v>0</v>
      </c>
      <c r="M11550" s="17" t="str">
        <f t="shared" si="557"/>
        <v/>
      </c>
      <c r="N11550" s="11" t="str">
        <f t="shared" si="558"/>
        <v/>
      </c>
    </row>
    <row r="11551" spans="9:14" x14ac:dyDescent="0.25">
      <c r="I11551" s="11" t="b">
        <f t="shared" si="559"/>
        <v>0</v>
      </c>
      <c r="M11551" s="17" t="str">
        <f t="shared" si="557"/>
        <v/>
      </c>
      <c r="N11551" s="11" t="str">
        <f t="shared" si="558"/>
        <v/>
      </c>
    </row>
    <row r="11552" spans="9:14" x14ac:dyDescent="0.25">
      <c r="I11552" s="11" t="b">
        <f t="shared" si="559"/>
        <v>0</v>
      </c>
      <c r="M11552" s="17" t="str">
        <f t="shared" si="557"/>
        <v/>
      </c>
      <c r="N11552" s="11" t="str">
        <f t="shared" si="558"/>
        <v/>
      </c>
    </row>
    <row r="11553" spans="9:14" x14ac:dyDescent="0.25">
      <c r="I11553" s="11" t="b">
        <f t="shared" si="559"/>
        <v>0</v>
      </c>
      <c r="M11553" s="17" t="str">
        <f t="shared" si="557"/>
        <v/>
      </c>
      <c r="N11553" s="11" t="str">
        <f t="shared" si="558"/>
        <v/>
      </c>
    </row>
    <row r="11554" spans="9:14" x14ac:dyDescent="0.25">
      <c r="I11554" s="11" t="b">
        <f t="shared" si="559"/>
        <v>0</v>
      </c>
      <c r="M11554" s="17" t="str">
        <f t="shared" si="557"/>
        <v/>
      </c>
      <c r="N11554" s="11" t="str">
        <f t="shared" si="558"/>
        <v/>
      </c>
    </row>
    <row r="11555" spans="9:14" x14ac:dyDescent="0.25">
      <c r="I11555" s="11" t="b">
        <f t="shared" si="559"/>
        <v>0</v>
      </c>
      <c r="M11555" s="17" t="str">
        <f t="shared" si="557"/>
        <v/>
      </c>
      <c r="N11555" s="11" t="str">
        <f t="shared" si="558"/>
        <v/>
      </c>
    </row>
    <row r="11556" spans="9:14" x14ac:dyDescent="0.25">
      <c r="I11556" s="11" t="b">
        <f t="shared" si="559"/>
        <v>0</v>
      </c>
      <c r="M11556" s="17" t="str">
        <f t="shared" si="557"/>
        <v/>
      </c>
      <c r="N11556" s="11" t="str">
        <f t="shared" si="558"/>
        <v/>
      </c>
    </row>
    <row r="11557" spans="9:14" x14ac:dyDescent="0.25">
      <c r="I11557" s="11" t="b">
        <f t="shared" si="559"/>
        <v>0</v>
      </c>
      <c r="M11557" s="17" t="str">
        <f t="shared" si="557"/>
        <v/>
      </c>
      <c r="N11557" s="11" t="str">
        <f t="shared" si="558"/>
        <v/>
      </c>
    </row>
    <row r="11558" spans="9:14" x14ac:dyDescent="0.25">
      <c r="I11558" s="11" t="b">
        <f t="shared" si="559"/>
        <v>0</v>
      </c>
      <c r="M11558" s="17" t="str">
        <f t="shared" si="557"/>
        <v/>
      </c>
      <c r="N11558" s="11" t="str">
        <f t="shared" si="558"/>
        <v/>
      </c>
    </row>
    <row r="11559" spans="9:14" x14ac:dyDescent="0.25">
      <c r="I11559" s="11" t="b">
        <f t="shared" si="559"/>
        <v>0</v>
      </c>
      <c r="M11559" s="17" t="str">
        <f t="shared" si="557"/>
        <v/>
      </c>
      <c r="N11559" s="11" t="str">
        <f t="shared" si="558"/>
        <v/>
      </c>
    </row>
    <row r="11560" spans="9:14" x14ac:dyDescent="0.25">
      <c r="I11560" s="11" t="b">
        <f t="shared" si="559"/>
        <v>0</v>
      </c>
      <c r="M11560" s="17" t="str">
        <f t="shared" si="557"/>
        <v/>
      </c>
      <c r="N11560" s="11" t="str">
        <f t="shared" si="558"/>
        <v/>
      </c>
    </row>
    <row r="11561" spans="9:14" x14ac:dyDescent="0.25">
      <c r="I11561" s="11" t="b">
        <f t="shared" si="559"/>
        <v>0</v>
      </c>
      <c r="M11561" s="17" t="str">
        <f t="shared" si="557"/>
        <v/>
      </c>
      <c r="N11561" s="11" t="str">
        <f t="shared" si="558"/>
        <v/>
      </c>
    </row>
    <row r="11562" spans="9:14" x14ac:dyDescent="0.25">
      <c r="I11562" s="11" t="b">
        <f t="shared" si="559"/>
        <v>0</v>
      </c>
      <c r="M11562" s="17" t="str">
        <f t="shared" si="557"/>
        <v/>
      </c>
      <c r="N11562" s="11" t="str">
        <f t="shared" si="558"/>
        <v/>
      </c>
    </row>
    <row r="11563" spans="9:14" x14ac:dyDescent="0.25">
      <c r="I11563" s="11" t="b">
        <f t="shared" si="559"/>
        <v>0</v>
      </c>
      <c r="M11563" s="17" t="str">
        <f t="shared" si="557"/>
        <v/>
      </c>
      <c r="N11563" s="11" t="str">
        <f t="shared" si="558"/>
        <v/>
      </c>
    </row>
    <row r="11564" spans="9:14" x14ac:dyDescent="0.25">
      <c r="I11564" s="11" t="b">
        <f t="shared" si="559"/>
        <v>0</v>
      </c>
      <c r="M11564" s="17" t="str">
        <f t="shared" si="557"/>
        <v/>
      </c>
      <c r="N11564" s="11" t="str">
        <f t="shared" si="558"/>
        <v/>
      </c>
    </row>
    <row r="11565" spans="9:14" x14ac:dyDescent="0.25">
      <c r="I11565" s="11" t="b">
        <f t="shared" si="559"/>
        <v>0</v>
      </c>
      <c r="M11565" s="17" t="str">
        <f t="shared" si="557"/>
        <v/>
      </c>
      <c r="N11565" s="11" t="str">
        <f t="shared" si="558"/>
        <v/>
      </c>
    </row>
    <row r="11566" spans="9:14" x14ac:dyDescent="0.25">
      <c r="I11566" s="11" t="b">
        <f t="shared" si="559"/>
        <v>0</v>
      </c>
      <c r="M11566" s="17" t="str">
        <f t="shared" si="557"/>
        <v/>
      </c>
      <c r="N11566" s="11" t="str">
        <f t="shared" si="558"/>
        <v/>
      </c>
    </row>
    <row r="11567" spans="9:14" x14ac:dyDescent="0.25">
      <c r="I11567" s="11" t="b">
        <f t="shared" si="559"/>
        <v>0</v>
      </c>
      <c r="M11567" s="17" t="str">
        <f t="shared" si="557"/>
        <v/>
      </c>
      <c r="N11567" s="11" t="str">
        <f t="shared" si="558"/>
        <v/>
      </c>
    </row>
    <row r="11568" spans="9:14" x14ac:dyDescent="0.25">
      <c r="I11568" s="11" t="b">
        <f t="shared" si="559"/>
        <v>0</v>
      </c>
      <c r="M11568" s="17" t="str">
        <f t="shared" si="557"/>
        <v/>
      </c>
      <c r="N11568" s="11" t="str">
        <f t="shared" si="558"/>
        <v/>
      </c>
    </row>
    <row r="11569" spans="9:14" x14ac:dyDescent="0.25">
      <c r="I11569" s="11" t="b">
        <f t="shared" si="559"/>
        <v>0</v>
      </c>
      <c r="M11569" s="17" t="str">
        <f t="shared" si="557"/>
        <v/>
      </c>
      <c r="N11569" s="11" t="str">
        <f t="shared" si="558"/>
        <v/>
      </c>
    </row>
    <row r="11570" spans="9:14" x14ac:dyDescent="0.25">
      <c r="I11570" s="11" t="b">
        <f t="shared" si="559"/>
        <v>0</v>
      </c>
      <c r="M11570" s="17" t="str">
        <f t="shared" si="557"/>
        <v/>
      </c>
      <c r="N11570" s="11" t="str">
        <f t="shared" si="558"/>
        <v/>
      </c>
    </row>
    <row r="11571" spans="9:14" x14ac:dyDescent="0.25">
      <c r="I11571" s="11" t="b">
        <f t="shared" si="559"/>
        <v>0</v>
      </c>
      <c r="M11571" s="17" t="str">
        <f t="shared" si="557"/>
        <v/>
      </c>
      <c r="N11571" s="11" t="str">
        <f t="shared" si="558"/>
        <v/>
      </c>
    </row>
    <row r="11572" spans="9:14" x14ac:dyDescent="0.25">
      <c r="I11572" s="11" t="b">
        <f t="shared" si="559"/>
        <v>0</v>
      </c>
      <c r="M11572" s="17" t="str">
        <f t="shared" si="557"/>
        <v/>
      </c>
      <c r="N11572" s="11" t="str">
        <f t="shared" si="558"/>
        <v/>
      </c>
    </row>
    <row r="11573" spans="9:14" x14ac:dyDescent="0.25">
      <c r="I11573" s="11" t="b">
        <f t="shared" si="559"/>
        <v>0</v>
      </c>
      <c r="M11573" s="17" t="str">
        <f t="shared" si="557"/>
        <v/>
      </c>
      <c r="N11573" s="11" t="str">
        <f t="shared" si="558"/>
        <v/>
      </c>
    </row>
    <row r="11574" spans="9:14" x14ac:dyDescent="0.25">
      <c r="I11574" s="11" t="b">
        <f t="shared" si="559"/>
        <v>0</v>
      </c>
      <c r="M11574" s="17" t="str">
        <f t="shared" si="557"/>
        <v/>
      </c>
      <c r="N11574" s="11" t="str">
        <f t="shared" si="558"/>
        <v/>
      </c>
    </row>
    <row r="11575" spans="9:14" x14ac:dyDescent="0.25">
      <c r="I11575" s="11" t="b">
        <f t="shared" si="559"/>
        <v>0</v>
      </c>
      <c r="M11575" s="17" t="str">
        <f t="shared" si="557"/>
        <v/>
      </c>
      <c r="N11575" s="11" t="str">
        <f t="shared" si="558"/>
        <v/>
      </c>
    </row>
    <row r="11576" spans="9:14" x14ac:dyDescent="0.25">
      <c r="I11576" s="11" t="b">
        <f t="shared" si="559"/>
        <v>0</v>
      </c>
      <c r="M11576" s="17" t="str">
        <f t="shared" si="557"/>
        <v/>
      </c>
      <c r="N11576" s="11" t="str">
        <f t="shared" si="558"/>
        <v/>
      </c>
    </row>
    <row r="11577" spans="9:14" x14ac:dyDescent="0.25">
      <c r="I11577" s="11" t="b">
        <f t="shared" si="559"/>
        <v>0</v>
      </c>
      <c r="M11577" s="17" t="str">
        <f t="shared" si="557"/>
        <v/>
      </c>
      <c r="N11577" s="11" t="str">
        <f t="shared" si="558"/>
        <v/>
      </c>
    </row>
    <row r="11578" spans="9:14" x14ac:dyDescent="0.25">
      <c r="I11578" s="11" t="b">
        <f t="shared" si="559"/>
        <v>0</v>
      </c>
      <c r="M11578" s="17" t="str">
        <f t="shared" si="557"/>
        <v/>
      </c>
      <c r="N11578" s="11" t="str">
        <f t="shared" si="558"/>
        <v/>
      </c>
    </row>
    <row r="11579" spans="9:14" x14ac:dyDescent="0.25">
      <c r="I11579" s="11" t="b">
        <f t="shared" si="559"/>
        <v>0</v>
      </c>
      <c r="M11579" s="17" t="str">
        <f t="shared" si="557"/>
        <v/>
      </c>
      <c r="N11579" s="11" t="str">
        <f t="shared" si="558"/>
        <v/>
      </c>
    </row>
    <row r="11580" spans="9:14" x14ac:dyDescent="0.25">
      <c r="I11580" s="11" t="b">
        <f t="shared" si="559"/>
        <v>0</v>
      </c>
      <c r="M11580" s="17" t="str">
        <f t="shared" si="557"/>
        <v/>
      </c>
      <c r="N11580" s="11" t="str">
        <f t="shared" si="558"/>
        <v/>
      </c>
    </row>
    <row r="11581" spans="9:14" x14ac:dyDescent="0.25">
      <c r="I11581" s="11" t="b">
        <f t="shared" si="559"/>
        <v>0</v>
      </c>
      <c r="M11581" s="17" t="str">
        <f t="shared" si="557"/>
        <v/>
      </c>
      <c r="N11581" s="11" t="str">
        <f t="shared" si="558"/>
        <v/>
      </c>
    </row>
    <row r="11582" spans="9:14" x14ac:dyDescent="0.25">
      <c r="I11582" s="11" t="b">
        <f t="shared" si="559"/>
        <v>0</v>
      </c>
      <c r="M11582" s="17" t="str">
        <f t="shared" si="557"/>
        <v/>
      </c>
      <c r="N11582" s="11" t="str">
        <f t="shared" si="558"/>
        <v/>
      </c>
    </row>
    <row r="11583" spans="9:14" x14ac:dyDescent="0.25">
      <c r="I11583" s="11" t="b">
        <f t="shared" si="559"/>
        <v>0</v>
      </c>
      <c r="M11583" s="17" t="str">
        <f t="shared" si="557"/>
        <v/>
      </c>
      <c r="N11583" s="11" t="str">
        <f t="shared" si="558"/>
        <v/>
      </c>
    </row>
    <row r="11584" spans="9:14" x14ac:dyDescent="0.25">
      <c r="I11584" s="11" t="b">
        <f t="shared" si="559"/>
        <v>0</v>
      </c>
      <c r="M11584" s="17" t="str">
        <f t="shared" si="557"/>
        <v/>
      </c>
      <c r="N11584" s="11" t="str">
        <f t="shared" si="558"/>
        <v/>
      </c>
    </row>
    <row r="11585" spans="9:14" x14ac:dyDescent="0.25">
      <c r="I11585" s="11" t="b">
        <f t="shared" si="559"/>
        <v>0</v>
      </c>
      <c r="M11585" s="17" t="str">
        <f t="shared" ref="M11585:M11648" si="560">IF(B11585=0, "",M11584+ J11585-K11585)</f>
        <v/>
      </c>
      <c r="N11585" s="11" t="str">
        <f t="shared" ref="N11585:N11648" si="561">IF(B11585=0, "", MONTH(B11585))</f>
        <v/>
      </c>
    </row>
    <row r="11586" spans="9:14" x14ac:dyDescent="0.25">
      <c r="I11586" s="11" t="b">
        <f t="shared" si="559"/>
        <v>0</v>
      </c>
      <c r="M11586" s="17" t="str">
        <f t="shared" si="560"/>
        <v/>
      </c>
      <c r="N11586" s="11" t="str">
        <f t="shared" si="561"/>
        <v/>
      </c>
    </row>
    <row r="11587" spans="9:14" x14ac:dyDescent="0.25">
      <c r="I11587" s="11" t="b">
        <f t="shared" si="559"/>
        <v>0</v>
      </c>
      <c r="M11587" s="17" t="str">
        <f t="shared" si="560"/>
        <v/>
      </c>
      <c r="N11587" s="11" t="str">
        <f t="shared" si="561"/>
        <v/>
      </c>
    </row>
    <row r="11588" spans="9:14" x14ac:dyDescent="0.25">
      <c r="I11588" s="11" t="b">
        <f t="shared" si="559"/>
        <v>0</v>
      </c>
      <c r="M11588" s="17" t="str">
        <f t="shared" si="560"/>
        <v/>
      </c>
      <c r="N11588" s="11" t="str">
        <f t="shared" si="561"/>
        <v/>
      </c>
    </row>
    <row r="11589" spans="9:14" x14ac:dyDescent="0.25">
      <c r="I11589" s="11" t="b">
        <f t="shared" si="559"/>
        <v>0</v>
      </c>
      <c r="M11589" s="17" t="str">
        <f t="shared" si="560"/>
        <v/>
      </c>
      <c r="N11589" s="11" t="str">
        <f t="shared" si="561"/>
        <v/>
      </c>
    </row>
    <row r="11590" spans="9:14" x14ac:dyDescent="0.25">
      <c r="I11590" s="11" t="b">
        <f t="shared" si="559"/>
        <v>0</v>
      </c>
      <c r="M11590" s="17" t="str">
        <f t="shared" si="560"/>
        <v/>
      </c>
      <c r="N11590" s="11" t="str">
        <f t="shared" si="561"/>
        <v/>
      </c>
    </row>
    <row r="11591" spans="9:14" x14ac:dyDescent="0.25">
      <c r="I11591" s="11" t="b">
        <f t="shared" si="559"/>
        <v>0</v>
      </c>
      <c r="M11591" s="17" t="str">
        <f t="shared" si="560"/>
        <v/>
      </c>
      <c r="N11591" s="11" t="str">
        <f t="shared" si="561"/>
        <v/>
      </c>
    </row>
    <row r="11592" spans="9:14" x14ac:dyDescent="0.25">
      <c r="I11592" s="11" t="b">
        <f t="shared" si="559"/>
        <v>0</v>
      </c>
      <c r="M11592" s="17" t="str">
        <f t="shared" si="560"/>
        <v/>
      </c>
      <c r="N11592" s="11" t="str">
        <f t="shared" si="561"/>
        <v/>
      </c>
    </row>
    <row r="11593" spans="9:14" x14ac:dyDescent="0.25">
      <c r="I11593" s="11" t="b">
        <f t="shared" si="559"/>
        <v>0</v>
      </c>
      <c r="M11593" s="17" t="str">
        <f t="shared" si="560"/>
        <v/>
      </c>
      <c r="N11593" s="11" t="str">
        <f t="shared" si="561"/>
        <v/>
      </c>
    </row>
    <row r="11594" spans="9:14" x14ac:dyDescent="0.25">
      <c r="I11594" s="11" t="b">
        <f t="shared" si="559"/>
        <v>0</v>
      </c>
      <c r="M11594" s="17" t="str">
        <f t="shared" si="560"/>
        <v/>
      </c>
      <c r="N11594" s="11" t="str">
        <f t="shared" si="561"/>
        <v/>
      </c>
    </row>
    <row r="11595" spans="9:14" x14ac:dyDescent="0.25">
      <c r="I11595" s="11" t="b">
        <f t="shared" si="559"/>
        <v>0</v>
      </c>
      <c r="M11595" s="17" t="str">
        <f t="shared" si="560"/>
        <v/>
      </c>
      <c r="N11595" s="11" t="str">
        <f t="shared" si="561"/>
        <v/>
      </c>
    </row>
    <row r="11596" spans="9:14" x14ac:dyDescent="0.25">
      <c r="I11596" s="11" t="b">
        <f t="shared" si="559"/>
        <v>0</v>
      </c>
      <c r="M11596" s="17" t="str">
        <f t="shared" si="560"/>
        <v/>
      </c>
      <c r="N11596" s="11" t="str">
        <f t="shared" si="561"/>
        <v/>
      </c>
    </row>
    <row r="11597" spans="9:14" x14ac:dyDescent="0.25">
      <c r="I11597" s="11" t="b">
        <f t="shared" si="559"/>
        <v>0</v>
      </c>
      <c r="M11597" s="17" t="str">
        <f t="shared" si="560"/>
        <v/>
      </c>
      <c r="N11597" s="11" t="str">
        <f t="shared" si="561"/>
        <v/>
      </c>
    </row>
    <row r="11598" spans="9:14" x14ac:dyDescent="0.25">
      <c r="I11598" s="11" t="b">
        <f t="shared" si="559"/>
        <v>0</v>
      </c>
      <c r="M11598" s="17" t="str">
        <f t="shared" si="560"/>
        <v/>
      </c>
      <c r="N11598" s="11" t="str">
        <f t="shared" si="561"/>
        <v/>
      </c>
    </row>
    <row r="11599" spans="9:14" x14ac:dyDescent="0.25">
      <c r="I11599" s="11" t="b">
        <f t="shared" si="559"/>
        <v>0</v>
      </c>
      <c r="M11599" s="17" t="str">
        <f t="shared" si="560"/>
        <v/>
      </c>
      <c r="N11599" s="11" t="str">
        <f t="shared" si="561"/>
        <v/>
      </c>
    </row>
    <row r="11600" spans="9:14" x14ac:dyDescent="0.25">
      <c r="I11600" s="11" t="b">
        <f t="shared" si="559"/>
        <v>0</v>
      </c>
      <c r="M11600" s="17" t="str">
        <f t="shared" si="560"/>
        <v/>
      </c>
      <c r="N11600" s="11" t="str">
        <f t="shared" si="561"/>
        <v/>
      </c>
    </row>
    <row r="11601" spans="9:14" x14ac:dyDescent="0.25">
      <c r="I11601" s="11" t="b">
        <f t="shared" si="559"/>
        <v>0</v>
      </c>
      <c r="M11601" s="17" t="str">
        <f t="shared" si="560"/>
        <v/>
      </c>
      <c r="N11601" s="11" t="str">
        <f t="shared" si="561"/>
        <v/>
      </c>
    </row>
    <row r="11602" spans="9:14" x14ac:dyDescent="0.25">
      <c r="I11602" s="11" t="b">
        <f t="shared" si="559"/>
        <v>0</v>
      </c>
      <c r="M11602" s="17" t="str">
        <f t="shared" si="560"/>
        <v/>
      </c>
      <c r="N11602" s="11" t="str">
        <f t="shared" si="561"/>
        <v/>
      </c>
    </row>
    <row r="11603" spans="9:14" x14ac:dyDescent="0.25">
      <c r="I11603" s="11" t="b">
        <f t="shared" si="559"/>
        <v>0</v>
      </c>
      <c r="M11603" s="17" t="str">
        <f t="shared" si="560"/>
        <v/>
      </c>
      <c r="N11603" s="11" t="str">
        <f t="shared" si="561"/>
        <v/>
      </c>
    </row>
    <row r="11604" spans="9:14" x14ac:dyDescent="0.25">
      <c r="I11604" s="11" t="b">
        <f t="shared" si="559"/>
        <v>0</v>
      </c>
      <c r="M11604" s="17" t="str">
        <f t="shared" si="560"/>
        <v/>
      </c>
      <c r="N11604" s="11" t="str">
        <f t="shared" si="561"/>
        <v/>
      </c>
    </row>
    <row r="11605" spans="9:14" x14ac:dyDescent="0.25">
      <c r="I11605" s="11" t="b">
        <f t="shared" si="559"/>
        <v>0</v>
      </c>
      <c r="M11605" s="17" t="str">
        <f t="shared" si="560"/>
        <v/>
      </c>
      <c r="N11605" s="11" t="str">
        <f t="shared" si="561"/>
        <v/>
      </c>
    </row>
    <row r="11606" spans="9:14" x14ac:dyDescent="0.25">
      <c r="I11606" s="11" t="b">
        <f t="shared" si="559"/>
        <v>0</v>
      </c>
      <c r="M11606" s="17" t="str">
        <f t="shared" si="560"/>
        <v/>
      </c>
      <c r="N11606" s="11" t="str">
        <f t="shared" si="561"/>
        <v/>
      </c>
    </row>
    <row r="11607" spans="9:14" x14ac:dyDescent="0.25">
      <c r="I11607" s="11" t="b">
        <f t="shared" si="559"/>
        <v>0</v>
      </c>
      <c r="M11607" s="17" t="str">
        <f t="shared" si="560"/>
        <v/>
      </c>
      <c r="N11607" s="11" t="str">
        <f t="shared" si="561"/>
        <v/>
      </c>
    </row>
    <row r="11608" spans="9:14" x14ac:dyDescent="0.25">
      <c r="I11608" s="11" t="b">
        <f t="shared" si="559"/>
        <v>0</v>
      </c>
      <c r="M11608" s="17" t="str">
        <f t="shared" si="560"/>
        <v/>
      </c>
      <c r="N11608" s="11" t="str">
        <f t="shared" si="561"/>
        <v/>
      </c>
    </row>
    <row r="11609" spans="9:14" x14ac:dyDescent="0.25">
      <c r="I11609" s="11" t="b">
        <f t="shared" si="559"/>
        <v>0</v>
      </c>
      <c r="M11609" s="17" t="str">
        <f t="shared" si="560"/>
        <v/>
      </c>
      <c r="N11609" s="11" t="str">
        <f t="shared" si="561"/>
        <v/>
      </c>
    </row>
    <row r="11610" spans="9:14" x14ac:dyDescent="0.25">
      <c r="I11610" s="11" t="b">
        <f t="shared" si="559"/>
        <v>0</v>
      </c>
      <c r="M11610" s="17" t="str">
        <f t="shared" si="560"/>
        <v/>
      </c>
      <c r="N11610" s="11" t="str">
        <f t="shared" si="561"/>
        <v/>
      </c>
    </row>
    <row r="11611" spans="9:14" x14ac:dyDescent="0.25">
      <c r="I11611" s="11" t="b">
        <f t="shared" si="559"/>
        <v>0</v>
      </c>
      <c r="M11611" s="17" t="str">
        <f t="shared" si="560"/>
        <v/>
      </c>
      <c r="N11611" s="11" t="str">
        <f t="shared" si="561"/>
        <v/>
      </c>
    </row>
    <row r="11612" spans="9:14" x14ac:dyDescent="0.25">
      <c r="I11612" s="11" t="b">
        <f t="shared" si="559"/>
        <v>0</v>
      </c>
      <c r="M11612" s="17" t="str">
        <f t="shared" si="560"/>
        <v/>
      </c>
      <c r="N11612" s="11" t="str">
        <f t="shared" si="561"/>
        <v/>
      </c>
    </row>
    <row r="11613" spans="9:14" x14ac:dyDescent="0.25">
      <c r="I11613" s="11" t="b">
        <f t="shared" ref="I11613:I11676" si="562">IF(AND(G11613="MERCADO PAGO",A11613="FATURAMENTO"),1,IF(AND(OR(G11613="MERCADO PAGO",G11613="pix mercado pago",G11613= "débito automático mercado pago", G11613= "boleto mercado pago"),A11613="DESPESAS"),4,IF(AND(G11613="SAFRA",A11613="FATURAMENTO"),2,IF(AND(OR(G11613="SAFRA",G11613="PIX SAFRA", G11613="DÉBITO AUTOMÁTICO SAFRA", G11613= "BOLETO SAFRA", G11613= "transferência safra"), A11613="DESPESAS"),5,IF(AND(G11613="espécie",A11613="FATURAMENTO"),3,IF(AND(G11613="espécie",A11613="DESPESAS"),6))))))</f>
        <v>0</v>
      </c>
      <c r="M11613" s="17" t="str">
        <f t="shared" si="560"/>
        <v/>
      </c>
      <c r="N11613" s="11" t="str">
        <f t="shared" si="561"/>
        <v/>
      </c>
    </row>
    <row r="11614" spans="9:14" x14ac:dyDescent="0.25">
      <c r="I11614" s="11" t="b">
        <f t="shared" si="562"/>
        <v>0</v>
      </c>
      <c r="M11614" s="17" t="str">
        <f t="shared" si="560"/>
        <v/>
      </c>
      <c r="N11614" s="11" t="str">
        <f t="shared" si="561"/>
        <v/>
      </c>
    </row>
    <row r="11615" spans="9:14" x14ac:dyDescent="0.25">
      <c r="I11615" s="11" t="b">
        <f t="shared" si="562"/>
        <v>0</v>
      </c>
      <c r="M11615" s="17" t="str">
        <f t="shared" si="560"/>
        <v/>
      </c>
      <c r="N11615" s="11" t="str">
        <f t="shared" si="561"/>
        <v/>
      </c>
    </row>
    <row r="11616" spans="9:14" x14ac:dyDescent="0.25">
      <c r="I11616" s="11" t="b">
        <f t="shared" si="562"/>
        <v>0</v>
      </c>
      <c r="M11616" s="17" t="str">
        <f t="shared" si="560"/>
        <v/>
      </c>
      <c r="N11616" s="11" t="str">
        <f t="shared" si="561"/>
        <v/>
      </c>
    </row>
    <row r="11617" spans="9:14" x14ac:dyDescent="0.25">
      <c r="I11617" s="11" t="b">
        <f t="shared" si="562"/>
        <v>0</v>
      </c>
      <c r="M11617" s="17" t="str">
        <f t="shared" si="560"/>
        <v/>
      </c>
      <c r="N11617" s="11" t="str">
        <f t="shared" si="561"/>
        <v/>
      </c>
    </row>
    <row r="11618" spans="9:14" x14ac:dyDescent="0.25">
      <c r="I11618" s="11" t="b">
        <f t="shared" si="562"/>
        <v>0</v>
      </c>
      <c r="M11618" s="17" t="str">
        <f t="shared" si="560"/>
        <v/>
      </c>
      <c r="N11618" s="11" t="str">
        <f t="shared" si="561"/>
        <v/>
      </c>
    </row>
    <row r="11619" spans="9:14" x14ac:dyDescent="0.25">
      <c r="I11619" s="11" t="b">
        <f t="shared" si="562"/>
        <v>0</v>
      </c>
      <c r="M11619" s="17" t="str">
        <f t="shared" si="560"/>
        <v/>
      </c>
      <c r="N11619" s="11" t="str">
        <f t="shared" si="561"/>
        <v/>
      </c>
    </row>
    <row r="11620" spans="9:14" x14ac:dyDescent="0.25">
      <c r="I11620" s="11" t="b">
        <f t="shared" si="562"/>
        <v>0</v>
      </c>
      <c r="M11620" s="17" t="str">
        <f t="shared" si="560"/>
        <v/>
      </c>
      <c r="N11620" s="11" t="str">
        <f t="shared" si="561"/>
        <v/>
      </c>
    </row>
    <row r="11621" spans="9:14" x14ac:dyDescent="0.25">
      <c r="I11621" s="11" t="b">
        <f t="shared" si="562"/>
        <v>0</v>
      </c>
      <c r="M11621" s="17" t="str">
        <f t="shared" si="560"/>
        <v/>
      </c>
      <c r="N11621" s="11" t="str">
        <f t="shared" si="561"/>
        <v/>
      </c>
    </row>
    <row r="11622" spans="9:14" x14ac:dyDescent="0.25">
      <c r="I11622" s="11" t="b">
        <f t="shared" si="562"/>
        <v>0</v>
      </c>
      <c r="M11622" s="17" t="str">
        <f t="shared" si="560"/>
        <v/>
      </c>
      <c r="N11622" s="11" t="str">
        <f t="shared" si="561"/>
        <v/>
      </c>
    </row>
    <row r="11623" spans="9:14" x14ac:dyDescent="0.25">
      <c r="I11623" s="11" t="b">
        <f t="shared" si="562"/>
        <v>0</v>
      </c>
      <c r="M11623" s="17" t="str">
        <f t="shared" si="560"/>
        <v/>
      </c>
      <c r="N11623" s="11" t="str">
        <f t="shared" si="561"/>
        <v/>
      </c>
    </row>
    <row r="11624" spans="9:14" x14ac:dyDescent="0.25">
      <c r="I11624" s="11" t="b">
        <f t="shared" si="562"/>
        <v>0</v>
      </c>
      <c r="M11624" s="17" t="str">
        <f t="shared" si="560"/>
        <v/>
      </c>
      <c r="N11624" s="11" t="str">
        <f t="shared" si="561"/>
        <v/>
      </c>
    </row>
    <row r="11625" spans="9:14" x14ac:dyDescent="0.25">
      <c r="I11625" s="11" t="b">
        <f t="shared" si="562"/>
        <v>0</v>
      </c>
      <c r="M11625" s="17" t="str">
        <f t="shared" si="560"/>
        <v/>
      </c>
      <c r="N11625" s="11" t="str">
        <f t="shared" si="561"/>
        <v/>
      </c>
    </row>
    <row r="11626" spans="9:14" x14ac:dyDescent="0.25">
      <c r="I11626" s="11" t="b">
        <f t="shared" si="562"/>
        <v>0</v>
      </c>
      <c r="M11626" s="17" t="str">
        <f t="shared" si="560"/>
        <v/>
      </c>
      <c r="N11626" s="11" t="str">
        <f t="shared" si="561"/>
        <v/>
      </c>
    </row>
    <row r="11627" spans="9:14" x14ac:dyDescent="0.25">
      <c r="I11627" s="11" t="b">
        <f t="shared" si="562"/>
        <v>0</v>
      </c>
      <c r="M11627" s="17" t="str">
        <f t="shared" si="560"/>
        <v/>
      </c>
      <c r="N11627" s="11" t="str">
        <f t="shared" si="561"/>
        <v/>
      </c>
    </row>
    <row r="11628" spans="9:14" x14ac:dyDescent="0.25">
      <c r="I11628" s="11" t="b">
        <f t="shared" si="562"/>
        <v>0</v>
      </c>
      <c r="M11628" s="17" t="str">
        <f t="shared" si="560"/>
        <v/>
      </c>
      <c r="N11628" s="11" t="str">
        <f t="shared" si="561"/>
        <v/>
      </c>
    </row>
    <row r="11629" spans="9:14" x14ac:dyDescent="0.25">
      <c r="I11629" s="11" t="b">
        <f t="shared" si="562"/>
        <v>0</v>
      </c>
      <c r="M11629" s="17" t="str">
        <f t="shared" si="560"/>
        <v/>
      </c>
      <c r="N11629" s="11" t="str">
        <f t="shared" si="561"/>
        <v/>
      </c>
    </row>
    <row r="11630" spans="9:14" x14ac:dyDescent="0.25">
      <c r="I11630" s="11" t="b">
        <f t="shared" si="562"/>
        <v>0</v>
      </c>
      <c r="M11630" s="17" t="str">
        <f t="shared" si="560"/>
        <v/>
      </c>
      <c r="N11630" s="11" t="str">
        <f t="shared" si="561"/>
        <v/>
      </c>
    </row>
    <row r="11631" spans="9:14" x14ac:dyDescent="0.25">
      <c r="I11631" s="11" t="b">
        <f t="shared" si="562"/>
        <v>0</v>
      </c>
      <c r="M11631" s="17" t="str">
        <f t="shared" si="560"/>
        <v/>
      </c>
      <c r="N11631" s="11" t="str">
        <f t="shared" si="561"/>
        <v/>
      </c>
    </row>
    <row r="11632" spans="9:14" x14ac:dyDescent="0.25">
      <c r="I11632" s="11" t="b">
        <f t="shared" si="562"/>
        <v>0</v>
      </c>
      <c r="M11632" s="17" t="str">
        <f t="shared" si="560"/>
        <v/>
      </c>
      <c r="N11632" s="11" t="str">
        <f t="shared" si="561"/>
        <v/>
      </c>
    </row>
    <row r="11633" spans="9:14" x14ac:dyDescent="0.25">
      <c r="I11633" s="11" t="b">
        <f t="shared" si="562"/>
        <v>0</v>
      </c>
      <c r="M11633" s="17" t="str">
        <f t="shared" si="560"/>
        <v/>
      </c>
      <c r="N11633" s="11" t="str">
        <f t="shared" si="561"/>
        <v/>
      </c>
    </row>
    <row r="11634" spans="9:14" x14ac:dyDescent="0.25">
      <c r="I11634" s="11" t="b">
        <f t="shared" si="562"/>
        <v>0</v>
      </c>
      <c r="M11634" s="17" t="str">
        <f t="shared" si="560"/>
        <v/>
      </c>
      <c r="N11634" s="11" t="str">
        <f t="shared" si="561"/>
        <v/>
      </c>
    </row>
    <row r="11635" spans="9:14" x14ac:dyDescent="0.25">
      <c r="I11635" s="11" t="b">
        <f t="shared" si="562"/>
        <v>0</v>
      </c>
      <c r="M11635" s="17" t="str">
        <f t="shared" si="560"/>
        <v/>
      </c>
      <c r="N11635" s="11" t="str">
        <f t="shared" si="561"/>
        <v/>
      </c>
    </row>
    <row r="11636" spans="9:14" x14ac:dyDescent="0.25">
      <c r="I11636" s="11" t="b">
        <f t="shared" si="562"/>
        <v>0</v>
      </c>
      <c r="M11636" s="17" t="str">
        <f t="shared" si="560"/>
        <v/>
      </c>
      <c r="N11636" s="11" t="str">
        <f t="shared" si="561"/>
        <v/>
      </c>
    </row>
    <row r="11637" spans="9:14" x14ac:dyDescent="0.25">
      <c r="I11637" s="11" t="b">
        <f t="shared" si="562"/>
        <v>0</v>
      </c>
      <c r="M11637" s="17" t="str">
        <f t="shared" si="560"/>
        <v/>
      </c>
      <c r="N11637" s="11" t="str">
        <f t="shared" si="561"/>
        <v/>
      </c>
    </row>
    <row r="11638" spans="9:14" x14ac:dyDescent="0.25">
      <c r="I11638" s="11" t="b">
        <f t="shared" si="562"/>
        <v>0</v>
      </c>
      <c r="M11638" s="17" t="str">
        <f t="shared" si="560"/>
        <v/>
      </c>
      <c r="N11638" s="11" t="str">
        <f t="shared" si="561"/>
        <v/>
      </c>
    </row>
    <row r="11639" spans="9:14" x14ac:dyDescent="0.25">
      <c r="I11639" s="11" t="b">
        <f t="shared" si="562"/>
        <v>0</v>
      </c>
      <c r="M11639" s="17" t="str">
        <f t="shared" si="560"/>
        <v/>
      </c>
      <c r="N11639" s="11" t="str">
        <f t="shared" si="561"/>
        <v/>
      </c>
    </row>
    <row r="11640" spans="9:14" x14ac:dyDescent="0.25">
      <c r="I11640" s="11" t="b">
        <f t="shared" si="562"/>
        <v>0</v>
      </c>
      <c r="M11640" s="17" t="str">
        <f t="shared" si="560"/>
        <v/>
      </c>
      <c r="N11640" s="11" t="str">
        <f t="shared" si="561"/>
        <v/>
      </c>
    </row>
    <row r="11641" spans="9:14" x14ac:dyDescent="0.25">
      <c r="I11641" s="11" t="b">
        <f t="shared" si="562"/>
        <v>0</v>
      </c>
      <c r="M11641" s="17" t="str">
        <f t="shared" si="560"/>
        <v/>
      </c>
      <c r="N11641" s="11" t="str">
        <f t="shared" si="561"/>
        <v/>
      </c>
    </row>
    <row r="11642" spans="9:14" x14ac:dyDescent="0.25">
      <c r="I11642" s="11" t="b">
        <f t="shared" si="562"/>
        <v>0</v>
      </c>
      <c r="M11642" s="17" t="str">
        <f t="shared" si="560"/>
        <v/>
      </c>
      <c r="N11642" s="11" t="str">
        <f t="shared" si="561"/>
        <v/>
      </c>
    </row>
    <row r="11643" spans="9:14" x14ac:dyDescent="0.25">
      <c r="I11643" s="11" t="b">
        <f t="shared" si="562"/>
        <v>0</v>
      </c>
      <c r="M11643" s="17" t="str">
        <f t="shared" si="560"/>
        <v/>
      </c>
      <c r="N11643" s="11" t="str">
        <f t="shared" si="561"/>
        <v/>
      </c>
    </row>
    <row r="11644" spans="9:14" x14ac:dyDescent="0.25">
      <c r="I11644" s="11" t="b">
        <f t="shared" si="562"/>
        <v>0</v>
      </c>
      <c r="M11644" s="17" t="str">
        <f t="shared" si="560"/>
        <v/>
      </c>
      <c r="N11644" s="11" t="str">
        <f t="shared" si="561"/>
        <v/>
      </c>
    </row>
    <row r="11645" spans="9:14" x14ac:dyDescent="0.25">
      <c r="I11645" s="11" t="b">
        <f t="shared" si="562"/>
        <v>0</v>
      </c>
      <c r="M11645" s="17" t="str">
        <f t="shared" si="560"/>
        <v/>
      </c>
      <c r="N11645" s="11" t="str">
        <f t="shared" si="561"/>
        <v/>
      </c>
    </row>
    <row r="11646" spans="9:14" x14ac:dyDescent="0.25">
      <c r="I11646" s="11" t="b">
        <f t="shared" si="562"/>
        <v>0</v>
      </c>
      <c r="M11646" s="17" t="str">
        <f t="shared" si="560"/>
        <v/>
      </c>
      <c r="N11646" s="11" t="str">
        <f t="shared" si="561"/>
        <v/>
      </c>
    </row>
    <row r="11647" spans="9:14" x14ac:dyDescent="0.25">
      <c r="I11647" s="11" t="b">
        <f t="shared" si="562"/>
        <v>0</v>
      </c>
      <c r="M11647" s="17" t="str">
        <f t="shared" si="560"/>
        <v/>
      </c>
      <c r="N11647" s="11" t="str">
        <f t="shared" si="561"/>
        <v/>
      </c>
    </row>
    <row r="11648" spans="9:14" x14ac:dyDescent="0.25">
      <c r="I11648" s="11" t="b">
        <f t="shared" si="562"/>
        <v>0</v>
      </c>
      <c r="M11648" s="17" t="str">
        <f t="shared" si="560"/>
        <v/>
      </c>
      <c r="N11648" s="11" t="str">
        <f t="shared" si="561"/>
        <v/>
      </c>
    </row>
    <row r="11649" spans="9:14" x14ac:dyDescent="0.25">
      <c r="I11649" s="11" t="b">
        <f t="shared" si="562"/>
        <v>0</v>
      </c>
      <c r="M11649" s="17" t="str">
        <f t="shared" ref="M11649:M11712" si="563">IF(B11649=0, "",M11648+ J11649-K11649)</f>
        <v/>
      </c>
      <c r="N11649" s="11" t="str">
        <f t="shared" ref="N11649:N11712" si="564">IF(B11649=0, "", MONTH(B11649))</f>
        <v/>
      </c>
    </row>
    <row r="11650" spans="9:14" x14ac:dyDescent="0.25">
      <c r="I11650" s="11" t="b">
        <f t="shared" si="562"/>
        <v>0</v>
      </c>
      <c r="M11650" s="17" t="str">
        <f t="shared" si="563"/>
        <v/>
      </c>
      <c r="N11650" s="11" t="str">
        <f t="shared" si="564"/>
        <v/>
      </c>
    </row>
    <row r="11651" spans="9:14" x14ac:dyDescent="0.25">
      <c r="I11651" s="11" t="b">
        <f t="shared" si="562"/>
        <v>0</v>
      </c>
      <c r="M11651" s="17" t="str">
        <f t="shared" si="563"/>
        <v/>
      </c>
      <c r="N11651" s="11" t="str">
        <f t="shared" si="564"/>
        <v/>
      </c>
    </row>
    <row r="11652" spans="9:14" x14ac:dyDescent="0.25">
      <c r="I11652" s="11" t="b">
        <f t="shared" si="562"/>
        <v>0</v>
      </c>
      <c r="M11652" s="17" t="str">
        <f t="shared" si="563"/>
        <v/>
      </c>
      <c r="N11652" s="11" t="str">
        <f t="shared" si="564"/>
        <v/>
      </c>
    </row>
    <row r="11653" spans="9:14" x14ac:dyDescent="0.25">
      <c r="I11653" s="11" t="b">
        <f t="shared" si="562"/>
        <v>0</v>
      </c>
      <c r="M11653" s="17" t="str">
        <f t="shared" si="563"/>
        <v/>
      </c>
      <c r="N11653" s="11" t="str">
        <f t="shared" si="564"/>
        <v/>
      </c>
    </row>
    <row r="11654" spans="9:14" x14ac:dyDescent="0.25">
      <c r="I11654" s="11" t="b">
        <f t="shared" si="562"/>
        <v>0</v>
      </c>
      <c r="M11654" s="17" t="str">
        <f t="shared" si="563"/>
        <v/>
      </c>
      <c r="N11654" s="11" t="str">
        <f t="shared" si="564"/>
        <v/>
      </c>
    </row>
    <row r="11655" spans="9:14" x14ac:dyDescent="0.25">
      <c r="I11655" s="11" t="b">
        <f t="shared" si="562"/>
        <v>0</v>
      </c>
      <c r="M11655" s="17" t="str">
        <f t="shared" si="563"/>
        <v/>
      </c>
      <c r="N11655" s="11" t="str">
        <f t="shared" si="564"/>
        <v/>
      </c>
    </row>
    <row r="11656" spans="9:14" x14ac:dyDescent="0.25">
      <c r="I11656" s="11" t="b">
        <f t="shared" si="562"/>
        <v>0</v>
      </c>
      <c r="M11656" s="17" t="str">
        <f t="shared" si="563"/>
        <v/>
      </c>
      <c r="N11656" s="11" t="str">
        <f t="shared" si="564"/>
        <v/>
      </c>
    </row>
    <row r="11657" spans="9:14" x14ac:dyDescent="0.25">
      <c r="I11657" s="11" t="b">
        <f t="shared" si="562"/>
        <v>0</v>
      </c>
      <c r="M11657" s="17" t="str">
        <f t="shared" si="563"/>
        <v/>
      </c>
      <c r="N11657" s="11" t="str">
        <f t="shared" si="564"/>
        <v/>
      </c>
    </row>
    <row r="11658" spans="9:14" x14ac:dyDescent="0.25">
      <c r="I11658" s="11" t="b">
        <f t="shared" si="562"/>
        <v>0</v>
      </c>
      <c r="M11658" s="17" t="str">
        <f t="shared" si="563"/>
        <v/>
      </c>
      <c r="N11658" s="11" t="str">
        <f t="shared" si="564"/>
        <v/>
      </c>
    </row>
    <row r="11659" spans="9:14" x14ac:dyDescent="0.25">
      <c r="I11659" s="11" t="b">
        <f t="shared" si="562"/>
        <v>0</v>
      </c>
      <c r="M11659" s="17" t="str">
        <f t="shared" si="563"/>
        <v/>
      </c>
      <c r="N11659" s="11" t="str">
        <f t="shared" si="564"/>
        <v/>
      </c>
    </row>
    <row r="11660" spans="9:14" x14ac:dyDescent="0.25">
      <c r="I11660" s="11" t="b">
        <f t="shared" si="562"/>
        <v>0</v>
      </c>
      <c r="M11660" s="17" t="str">
        <f t="shared" si="563"/>
        <v/>
      </c>
      <c r="N11660" s="11" t="str">
        <f t="shared" si="564"/>
        <v/>
      </c>
    </row>
    <row r="11661" spans="9:14" x14ac:dyDescent="0.25">
      <c r="I11661" s="11" t="b">
        <f t="shared" si="562"/>
        <v>0</v>
      </c>
      <c r="M11661" s="17" t="str">
        <f t="shared" si="563"/>
        <v/>
      </c>
      <c r="N11661" s="11" t="str">
        <f t="shared" si="564"/>
        <v/>
      </c>
    </row>
    <row r="11662" spans="9:14" x14ac:dyDescent="0.25">
      <c r="I11662" s="11" t="b">
        <f t="shared" si="562"/>
        <v>0</v>
      </c>
      <c r="M11662" s="17" t="str">
        <f t="shared" si="563"/>
        <v/>
      </c>
      <c r="N11662" s="11" t="str">
        <f t="shared" si="564"/>
        <v/>
      </c>
    </row>
    <row r="11663" spans="9:14" x14ac:dyDescent="0.25">
      <c r="I11663" s="11" t="b">
        <f t="shared" si="562"/>
        <v>0</v>
      </c>
      <c r="M11663" s="17" t="str">
        <f t="shared" si="563"/>
        <v/>
      </c>
      <c r="N11663" s="11" t="str">
        <f t="shared" si="564"/>
        <v/>
      </c>
    </row>
    <row r="11664" spans="9:14" x14ac:dyDescent="0.25">
      <c r="I11664" s="11" t="b">
        <f t="shared" si="562"/>
        <v>0</v>
      </c>
      <c r="M11664" s="17" t="str">
        <f t="shared" si="563"/>
        <v/>
      </c>
      <c r="N11664" s="11" t="str">
        <f t="shared" si="564"/>
        <v/>
      </c>
    </row>
    <row r="11665" spans="9:14" x14ac:dyDescent="0.25">
      <c r="I11665" s="11" t="b">
        <f t="shared" si="562"/>
        <v>0</v>
      </c>
      <c r="M11665" s="17" t="str">
        <f t="shared" si="563"/>
        <v/>
      </c>
      <c r="N11665" s="11" t="str">
        <f t="shared" si="564"/>
        <v/>
      </c>
    </row>
    <row r="11666" spans="9:14" x14ac:dyDescent="0.25">
      <c r="I11666" s="11" t="b">
        <f t="shared" si="562"/>
        <v>0</v>
      </c>
      <c r="M11666" s="17" t="str">
        <f t="shared" si="563"/>
        <v/>
      </c>
      <c r="N11666" s="11" t="str">
        <f t="shared" si="564"/>
        <v/>
      </c>
    </row>
    <row r="11667" spans="9:14" x14ac:dyDescent="0.25">
      <c r="I11667" s="11" t="b">
        <f t="shared" si="562"/>
        <v>0</v>
      </c>
      <c r="M11667" s="17" t="str">
        <f t="shared" si="563"/>
        <v/>
      </c>
      <c r="N11667" s="11" t="str">
        <f t="shared" si="564"/>
        <v/>
      </c>
    </row>
    <row r="11668" spans="9:14" x14ac:dyDescent="0.25">
      <c r="I11668" s="11" t="b">
        <f t="shared" si="562"/>
        <v>0</v>
      </c>
      <c r="M11668" s="17" t="str">
        <f t="shared" si="563"/>
        <v/>
      </c>
      <c r="N11668" s="11" t="str">
        <f t="shared" si="564"/>
        <v/>
      </c>
    </row>
    <row r="11669" spans="9:14" x14ac:dyDescent="0.25">
      <c r="I11669" s="11" t="b">
        <f t="shared" si="562"/>
        <v>0</v>
      </c>
      <c r="M11669" s="17" t="str">
        <f t="shared" si="563"/>
        <v/>
      </c>
      <c r="N11669" s="11" t="str">
        <f t="shared" si="564"/>
        <v/>
      </c>
    </row>
    <row r="11670" spans="9:14" x14ac:dyDescent="0.25">
      <c r="I11670" s="11" t="b">
        <f t="shared" si="562"/>
        <v>0</v>
      </c>
      <c r="M11670" s="17" t="str">
        <f t="shared" si="563"/>
        <v/>
      </c>
      <c r="N11670" s="11" t="str">
        <f t="shared" si="564"/>
        <v/>
      </c>
    </row>
    <row r="11671" spans="9:14" x14ac:dyDescent="0.25">
      <c r="I11671" s="11" t="b">
        <f t="shared" si="562"/>
        <v>0</v>
      </c>
      <c r="M11671" s="17" t="str">
        <f t="shared" si="563"/>
        <v/>
      </c>
      <c r="N11671" s="11" t="str">
        <f t="shared" si="564"/>
        <v/>
      </c>
    </row>
    <row r="11672" spans="9:14" x14ac:dyDescent="0.25">
      <c r="I11672" s="11" t="b">
        <f t="shared" si="562"/>
        <v>0</v>
      </c>
      <c r="M11672" s="17" t="str">
        <f t="shared" si="563"/>
        <v/>
      </c>
      <c r="N11672" s="11" t="str">
        <f t="shared" si="564"/>
        <v/>
      </c>
    </row>
    <row r="11673" spans="9:14" x14ac:dyDescent="0.25">
      <c r="I11673" s="11" t="b">
        <f t="shared" si="562"/>
        <v>0</v>
      </c>
      <c r="M11673" s="17" t="str">
        <f t="shared" si="563"/>
        <v/>
      </c>
      <c r="N11673" s="11" t="str">
        <f t="shared" si="564"/>
        <v/>
      </c>
    </row>
    <row r="11674" spans="9:14" x14ac:dyDescent="0.25">
      <c r="I11674" s="11" t="b">
        <f t="shared" si="562"/>
        <v>0</v>
      </c>
      <c r="M11674" s="17" t="str">
        <f t="shared" si="563"/>
        <v/>
      </c>
      <c r="N11674" s="11" t="str">
        <f t="shared" si="564"/>
        <v/>
      </c>
    </row>
    <row r="11675" spans="9:14" x14ac:dyDescent="0.25">
      <c r="I11675" s="11" t="b">
        <f t="shared" si="562"/>
        <v>0</v>
      </c>
      <c r="M11675" s="17" t="str">
        <f t="shared" si="563"/>
        <v/>
      </c>
      <c r="N11675" s="11" t="str">
        <f t="shared" si="564"/>
        <v/>
      </c>
    </row>
    <row r="11676" spans="9:14" x14ac:dyDescent="0.25">
      <c r="I11676" s="11" t="b">
        <f t="shared" si="562"/>
        <v>0</v>
      </c>
      <c r="M11676" s="17" t="str">
        <f t="shared" si="563"/>
        <v/>
      </c>
      <c r="N11676" s="11" t="str">
        <f t="shared" si="564"/>
        <v/>
      </c>
    </row>
    <row r="11677" spans="9:14" x14ac:dyDescent="0.25">
      <c r="I11677" s="11" t="b">
        <f t="shared" ref="I11677:I11740" si="565">IF(AND(G11677="MERCADO PAGO",A11677="FATURAMENTO"),1,IF(AND(OR(G11677="MERCADO PAGO",G11677="pix mercado pago",G11677= "débito automático mercado pago", G11677= "boleto mercado pago"),A11677="DESPESAS"),4,IF(AND(G11677="SAFRA",A11677="FATURAMENTO"),2,IF(AND(OR(G11677="SAFRA",G11677="PIX SAFRA", G11677="DÉBITO AUTOMÁTICO SAFRA", G11677= "BOLETO SAFRA", G11677= "transferência safra"), A11677="DESPESAS"),5,IF(AND(G11677="espécie",A11677="FATURAMENTO"),3,IF(AND(G11677="espécie",A11677="DESPESAS"),6))))))</f>
        <v>0</v>
      </c>
      <c r="M11677" s="17" t="str">
        <f t="shared" si="563"/>
        <v/>
      </c>
      <c r="N11677" s="11" t="str">
        <f t="shared" si="564"/>
        <v/>
      </c>
    </row>
    <row r="11678" spans="9:14" x14ac:dyDescent="0.25">
      <c r="I11678" s="11" t="b">
        <f t="shared" si="565"/>
        <v>0</v>
      </c>
      <c r="M11678" s="17" t="str">
        <f t="shared" si="563"/>
        <v/>
      </c>
      <c r="N11678" s="11" t="str">
        <f t="shared" si="564"/>
        <v/>
      </c>
    </row>
    <row r="11679" spans="9:14" x14ac:dyDescent="0.25">
      <c r="I11679" s="11" t="b">
        <f t="shared" si="565"/>
        <v>0</v>
      </c>
      <c r="M11679" s="17" t="str">
        <f t="shared" si="563"/>
        <v/>
      </c>
      <c r="N11679" s="11" t="str">
        <f t="shared" si="564"/>
        <v/>
      </c>
    </row>
    <row r="11680" spans="9:14" x14ac:dyDescent="0.25">
      <c r="I11680" s="11" t="b">
        <f t="shared" si="565"/>
        <v>0</v>
      </c>
      <c r="M11680" s="17" t="str">
        <f t="shared" si="563"/>
        <v/>
      </c>
      <c r="N11680" s="11" t="str">
        <f t="shared" si="564"/>
        <v/>
      </c>
    </row>
    <row r="11681" spans="9:14" x14ac:dyDescent="0.25">
      <c r="I11681" s="11" t="b">
        <f t="shared" si="565"/>
        <v>0</v>
      </c>
      <c r="M11681" s="17" t="str">
        <f t="shared" si="563"/>
        <v/>
      </c>
      <c r="N11681" s="11" t="str">
        <f t="shared" si="564"/>
        <v/>
      </c>
    </row>
    <row r="11682" spans="9:14" x14ac:dyDescent="0.25">
      <c r="I11682" s="11" t="b">
        <f t="shared" si="565"/>
        <v>0</v>
      </c>
      <c r="M11682" s="17" t="str">
        <f t="shared" si="563"/>
        <v/>
      </c>
      <c r="N11682" s="11" t="str">
        <f t="shared" si="564"/>
        <v/>
      </c>
    </row>
    <row r="11683" spans="9:14" x14ac:dyDescent="0.25">
      <c r="I11683" s="11" t="b">
        <f t="shared" si="565"/>
        <v>0</v>
      </c>
      <c r="M11683" s="17" t="str">
        <f t="shared" si="563"/>
        <v/>
      </c>
      <c r="N11683" s="11" t="str">
        <f t="shared" si="564"/>
        <v/>
      </c>
    </row>
    <row r="11684" spans="9:14" x14ac:dyDescent="0.25">
      <c r="I11684" s="11" t="b">
        <f t="shared" si="565"/>
        <v>0</v>
      </c>
      <c r="M11684" s="17" t="str">
        <f t="shared" si="563"/>
        <v/>
      </c>
      <c r="N11684" s="11" t="str">
        <f t="shared" si="564"/>
        <v/>
      </c>
    </row>
    <row r="11685" spans="9:14" x14ac:dyDescent="0.25">
      <c r="I11685" s="11" t="b">
        <f t="shared" si="565"/>
        <v>0</v>
      </c>
      <c r="M11685" s="17" t="str">
        <f t="shared" si="563"/>
        <v/>
      </c>
      <c r="N11685" s="11" t="str">
        <f t="shared" si="564"/>
        <v/>
      </c>
    </row>
    <row r="11686" spans="9:14" x14ac:dyDescent="0.25">
      <c r="I11686" s="11" t="b">
        <f t="shared" si="565"/>
        <v>0</v>
      </c>
      <c r="M11686" s="17" t="str">
        <f t="shared" si="563"/>
        <v/>
      </c>
      <c r="N11686" s="11" t="str">
        <f t="shared" si="564"/>
        <v/>
      </c>
    </row>
    <row r="11687" spans="9:14" x14ac:dyDescent="0.25">
      <c r="I11687" s="11" t="b">
        <f t="shared" si="565"/>
        <v>0</v>
      </c>
      <c r="M11687" s="17" t="str">
        <f t="shared" si="563"/>
        <v/>
      </c>
      <c r="N11687" s="11" t="str">
        <f t="shared" si="564"/>
        <v/>
      </c>
    </row>
    <row r="11688" spans="9:14" x14ac:dyDescent="0.25">
      <c r="I11688" s="11" t="b">
        <f t="shared" si="565"/>
        <v>0</v>
      </c>
      <c r="M11688" s="17" t="str">
        <f t="shared" si="563"/>
        <v/>
      </c>
      <c r="N11688" s="11" t="str">
        <f t="shared" si="564"/>
        <v/>
      </c>
    </row>
    <row r="11689" spans="9:14" x14ac:dyDescent="0.25">
      <c r="I11689" s="11" t="b">
        <f t="shared" si="565"/>
        <v>0</v>
      </c>
      <c r="M11689" s="17" t="str">
        <f t="shared" si="563"/>
        <v/>
      </c>
      <c r="N11689" s="11" t="str">
        <f t="shared" si="564"/>
        <v/>
      </c>
    </row>
    <row r="11690" spans="9:14" x14ac:dyDescent="0.25">
      <c r="I11690" s="11" t="b">
        <f t="shared" si="565"/>
        <v>0</v>
      </c>
      <c r="M11690" s="17" t="str">
        <f t="shared" si="563"/>
        <v/>
      </c>
      <c r="N11690" s="11" t="str">
        <f t="shared" si="564"/>
        <v/>
      </c>
    </row>
    <row r="11691" spans="9:14" x14ac:dyDescent="0.25">
      <c r="I11691" s="11" t="b">
        <f t="shared" si="565"/>
        <v>0</v>
      </c>
      <c r="M11691" s="17" t="str">
        <f t="shared" si="563"/>
        <v/>
      </c>
      <c r="N11691" s="11" t="str">
        <f t="shared" si="564"/>
        <v/>
      </c>
    </row>
    <row r="11692" spans="9:14" x14ac:dyDescent="0.25">
      <c r="I11692" s="11" t="b">
        <f t="shared" si="565"/>
        <v>0</v>
      </c>
      <c r="M11692" s="17" t="str">
        <f t="shared" si="563"/>
        <v/>
      </c>
      <c r="N11692" s="11" t="str">
        <f t="shared" si="564"/>
        <v/>
      </c>
    </row>
    <row r="11693" spans="9:14" x14ac:dyDescent="0.25">
      <c r="I11693" s="11" t="b">
        <f t="shared" si="565"/>
        <v>0</v>
      </c>
      <c r="M11693" s="17" t="str">
        <f t="shared" si="563"/>
        <v/>
      </c>
      <c r="N11693" s="11" t="str">
        <f t="shared" si="564"/>
        <v/>
      </c>
    </row>
    <row r="11694" spans="9:14" x14ac:dyDescent="0.25">
      <c r="I11694" s="11" t="b">
        <f t="shared" si="565"/>
        <v>0</v>
      </c>
      <c r="M11694" s="17" t="str">
        <f t="shared" si="563"/>
        <v/>
      </c>
      <c r="N11694" s="11" t="str">
        <f t="shared" si="564"/>
        <v/>
      </c>
    </row>
    <row r="11695" spans="9:14" x14ac:dyDescent="0.25">
      <c r="I11695" s="11" t="b">
        <f t="shared" si="565"/>
        <v>0</v>
      </c>
      <c r="M11695" s="17" t="str">
        <f t="shared" si="563"/>
        <v/>
      </c>
      <c r="N11695" s="11" t="str">
        <f t="shared" si="564"/>
        <v/>
      </c>
    </row>
    <row r="11696" spans="9:14" x14ac:dyDescent="0.25">
      <c r="I11696" s="11" t="b">
        <f t="shared" si="565"/>
        <v>0</v>
      </c>
      <c r="M11696" s="17" t="str">
        <f t="shared" si="563"/>
        <v/>
      </c>
      <c r="N11696" s="11" t="str">
        <f t="shared" si="564"/>
        <v/>
      </c>
    </row>
    <row r="11697" spans="9:14" x14ac:dyDescent="0.25">
      <c r="I11697" s="11" t="b">
        <f t="shared" si="565"/>
        <v>0</v>
      </c>
      <c r="M11697" s="17" t="str">
        <f t="shared" si="563"/>
        <v/>
      </c>
      <c r="N11697" s="11" t="str">
        <f t="shared" si="564"/>
        <v/>
      </c>
    </row>
    <row r="11698" spans="9:14" x14ac:dyDescent="0.25">
      <c r="I11698" s="11" t="b">
        <f t="shared" si="565"/>
        <v>0</v>
      </c>
      <c r="M11698" s="17" t="str">
        <f t="shared" si="563"/>
        <v/>
      </c>
      <c r="N11698" s="11" t="str">
        <f t="shared" si="564"/>
        <v/>
      </c>
    </row>
    <row r="11699" spans="9:14" x14ac:dyDescent="0.25">
      <c r="I11699" s="11" t="b">
        <f t="shared" si="565"/>
        <v>0</v>
      </c>
      <c r="M11699" s="17" t="str">
        <f t="shared" si="563"/>
        <v/>
      </c>
      <c r="N11699" s="11" t="str">
        <f t="shared" si="564"/>
        <v/>
      </c>
    </row>
    <row r="11700" spans="9:14" x14ac:dyDescent="0.25">
      <c r="I11700" s="11" t="b">
        <f t="shared" si="565"/>
        <v>0</v>
      </c>
      <c r="M11700" s="17" t="str">
        <f t="shared" si="563"/>
        <v/>
      </c>
      <c r="N11700" s="11" t="str">
        <f t="shared" si="564"/>
        <v/>
      </c>
    </row>
    <row r="11701" spans="9:14" x14ac:dyDescent="0.25">
      <c r="I11701" s="11" t="b">
        <f t="shared" si="565"/>
        <v>0</v>
      </c>
      <c r="M11701" s="17" t="str">
        <f t="shared" si="563"/>
        <v/>
      </c>
      <c r="N11701" s="11" t="str">
        <f t="shared" si="564"/>
        <v/>
      </c>
    </row>
    <row r="11702" spans="9:14" x14ac:dyDescent="0.25">
      <c r="I11702" s="11" t="b">
        <f t="shared" si="565"/>
        <v>0</v>
      </c>
      <c r="M11702" s="17" t="str">
        <f t="shared" si="563"/>
        <v/>
      </c>
      <c r="N11702" s="11" t="str">
        <f t="shared" si="564"/>
        <v/>
      </c>
    </row>
    <row r="11703" spans="9:14" x14ac:dyDescent="0.25">
      <c r="I11703" s="11" t="b">
        <f t="shared" si="565"/>
        <v>0</v>
      </c>
      <c r="M11703" s="17" t="str">
        <f t="shared" si="563"/>
        <v/>
      </c>
      <c r="N11703" s="11" t="str">
        <f t="shared" si="564"/>
        <v/>
      </c>
    </row>
    <row r="11704" spans="9:14" x14ac:dyDescent="0.25">
      <c r="I11704" s="11" t="b">
        <f t="shared" si="565"/>
        <v>0</v>
      </c>
      <c r="M11704" s="17" t="str">
        <f t="shared" si="563"/>
        <v/>
      </c>
      <c r="N11704" s="11" t="str">
        <f t="shared" si="564"/>
        <v/>
      </c>
    </row>
    <row r="11705" spans="9:14" x14ac:dyDescent="0.25">
      <c r="I11705" s="11" t="b">
        <f t="shared" si="565"/>
        <v>0</v>
      </c>
      <c r="M11705" s="17" t="str">
        <f t="shared" si="563"/>
        <v/>
      </c>
      <c r="N11705" s="11" t="str">
        <f t="shared" si="564"/>
        <v/>
      </c>
    </row>
    <row r="11706" spans="9:14" x14ac:dyDescent="0.25">
      <c r="I11706" s="11" t="b">
        <f t="shared" si="565"/>
        <v>0</v>
      </c>
      <c r="M11706" s="17" t="str">
        <f t="shared" si="563"/>
        <v/>
      </c>
      <c r="N11706" s="11" t="str">
        <f t="shared" si="564"/>
        <v/>
      </c>
    </row>
    <row r="11707" spans="9:14" x14ac:dyDescent="0.25">
      <c r="I11707" s="11" t="b">
        <f t="shared" si="565"/>
        <v>0</v>
      </c>
      <c r="M11707" s="17" t="str">
        <f t="shared" si="563"/>
        <v/>
      </c>
      <c r="N11707" s="11" t="str">
        <f t="shared" si="564"/>
        <v/>
      </c>
    </row>
    <row r="11708" spans="9:14" x14ac:dyDescent="0.25">
      <c r="I11708" s="11" t="b">
        <f t="shared" si="565"/>
        <v>0</v>
      </c>
      <c r="M11708" s="17" t="str">
        <f t="shared" si="563"/>
        <v/>
      </c>
      <c r="N11708" s="11" t="str">
        <f t="shared" si="564"/>
        <v/>
      </c>
    </row>
    <row r="11709" spans="9:14" x14ac:dyDescent="0.25">
      <c r="I11709" s="11" t="b">
        <f t="shared" si="565"/>
        <v>0</v>
      </c>
      <c r="M11709" s="17" t="str">
        <f t="shared" si="563"/>
        <v/>
      </c>
      <c r="N11709" s="11" t="str">
        <f t="shared" si="564"/>
        <v/>
      </c>
    </row>
    <row r="11710" spans="9:14" x14ac:dyDescent="0.25">
      <c r="I11710" s="11" t="b">
        <f t="shared" si="565"/>
        <v>0</v>
      </c>
      <c r="M11710" s="17" t="str">
        <f t="shared" si="563"/>
        <v/>
      </c>
      <c r="N11710" s="11" t="str">
        <f t="shared" si="564"/>
        <v/>
      </c>
    </row>
    <row r="11711" spans="9:14" x14ac:dyDescent="0.25">
      <c r="I11711" s="11" t="b">
        <f t="shared" si="565"/>
        <v>0</v>
      </c>
      <c r="M11711" s="17" t="str">
        <f t="shared" si="563"/>
        <v/>
      </c>
      <c r="N11711" s="11" t="str">
        <f t="shared" si="564"/>
        <v/>
      </c>
    </row>
    <row r="11712" spans="9:14" x14ac:dyDescent="0.25">
      <c r="I11712" s="11" t="b">
        <f t="shared" si="565"/>
        <v>0</v>
      </c>
      <c r="M11712" s="17" t="str">
        <f t="shared" si="563"/>
        <v/>
      </c>
      <c r="N11712" s="11" t="str">
        <f t="shared" si="564"/>
        <v/>
      </c>
    </row>
    <row r="11713" spans="9:14" x14ac:dyDescent="0.25">
      <c r="I11713" s="11" t="b">
        <f t="shared" si="565"/>
        <v>0</v>
      </c>
      <c r="M11713" s="17" t="str">
        <f t="shared" ref="M11713:M11776" si="566">IF(B11713=0, "",M11712+ J11713-K11713)</f>
        <v/>
      </c>
      <c r="N11713" s="11" t="str">
        <f t="shared" ref="N11713:N11776" si="567">IF(B11713=0, "", MONTH(B11713))</f>
        <v/>
      </c>
    </row>
    <row r="11714" spans="9:14" x14ac:dyDescent="0.25">
      <c r="I11714" s="11" t="b">
        <f t="shared" si="565"/>
        <v>0</v>
      </c>
      <c r="M11714" s="17" t="str">
        <f t="shared" si="566"/>
        <v/>
      </c>
      <c r="N11714" s="11" t="str">
        <f t="shared" si="567"/>
        <v/>
      </c>
    </row>
    <row r="11715" spans="9:14" x14ac:dyDescent="0.25">
      <c r="I11715" s="11" t="b">
        <f t="shared" si="565"/>
        <v>0</v>
      </c>
      <c r="M11715" s="17" t="str">
        <f t="shared" si="566"/>
        <v/>
      </c>
      <c r="N11715" s="11" t="str">
        <f t="shared" si="567"/>
        <v/>
      </c>
    </row>
    <row r="11716" spans="9:14" x14ac:dyDescent="0.25">
      <c r="I11716" s="11" t="b">
        <f t="shared" si="565"/>
        <v>0</v>
      </c>
      <c r="M11716" s="17" t="str">
        <f t="shared" si="566"/>
        <v/>
      </c>
      <c r="N11716" s="11" t="str">
        <f t="shared" si="567"/>
        <v/>
      </c>
    </row>
    <row r="11717" spans="9:14" x14ac:dyDescent="0.25">
      <c r="I11717" s="11" t="b">
        <f t="shared" si="565"/>
        <v>0</v>
      </c>
      <c r="M11717" s="17" t="str">
        <f t="shared" si="566"/>
        <v/>
      </c>
      <c r="N11717" s="11" t="str">
        <f t="shared" si="567"/>
        <v/>
      </c>
    </row>
    <row r="11718" spans="9:14" x14ac:dyDescent="0.25">
      <c r="I11718" s="11" t="b">
        <f t="shared" si="565"/>
        <v>0</v>
      </c>
      <c r="M11718" s="17" t="str">
        <f t="shared" si="566"/>
        <v/>
      </c>
      <c r="N11718" s="11" t="str">
        <f t="shared" si="567"/>
        <v/>
      </c>
    </row>
    <row r="11719" spans="9:14" x14ac:dyDescent="0.25">
      <c r="I11719" s="11" t="b">
        <f t="shared" si="565"/>
        <v>0</v>
      </c>
      <c r="M11719" s="17" t="str">
        <f t="shared" si="566"/>
        <v/>
      </c>
      <c r="N11719" s="11" t="str">
        <f t="shared" si="567"/>
        <v/>
      </c>
    </row>
    <row r="11720" spans="9:14" x14ac:dyDescent="0.25">
      <c r="I11720" s="11" t="b">
        <f t="shared" si="565"/>
        <v>0</v>
      </c>
      <c r="M11720" s="17" t="str">
        <f t="shared" si="566"/>
        <v/>
      </c>
      <c r="N11720" s="11" t="str">
        <f t="shared" si="567"/>
        <v/>
      </c>
    </row>
    <row r="11721" spans="9:14" x14ac:dyDescent="0.25">
      <c r="I11721" s="11" t="b">
        <f t="shared" si="565"/>
        <v>0</v>
      </c>
      <c r="M11721" s="17" t="str">
        <f t="shared" si="566"/>
        <v/>
      </c>
      <c r="N11721" s="11" t="str">
        <f t="shared" si="567"/>
        <v/>
      </c>
    </row>
    <row r="11722" spans="9:14" x14ac:dyDescent="0.25">
      <c r="I11722" s="11" t="b">
        <f t="shared" si="565"/>
        <v>0</v>
      </c>
      <c r="M11722" s="17" t="str">
        <f t="shared" si="566"/>
        <v/>
      </c>
      <c r="N11722" s="11" t="str">
        <f t="shared" si="567"/>
        <v/>
      </c>
    </row>
    <row r="11723" spans="9:14" x14ac:dyDescent="0.25">
      <c r="I11723" s="11" t="b">
        <f t="shared" si="565"/>
        <v>0</v>
      </c>
      <c r="M11723" s="17" t="str">
        <f t="shared" si="566"/>
        <v/>
      </c>
      <c r="N11723" s="11" t="str">
        <f t="shared" si="567"/>
        <v/>
      </c>
    </row>
    <row r="11724" spans="9:14" x14ac:dyDescent="0.25">
      <c r="I11724" s="11" t="b">
        <f t="shared" si="565"/>
        <v>0</v>
      </c>
      <c r="M11724" s="17" t="str">
        <f t="shared" si="566"/>
        <v/>
      </c>
      <c r="N11724" s="11" t="str">
        <f t="shared" si="567"/>
        <v/>
      </c>
    </row>
    <row r="11725" spans="9:14" x14ac:dyDescent="0.25">
      <c r="I11725" s="11" t="b">
        <f t="shared" si="565"/>
        <v>0</v>
      </c>
      <c r="M11725" s="17" t="str">
        <f t="shared" si="566"/>
        <v/>
      </c>
      <c r="N11725" s="11" t="str">
        <f t="shared" si="567"/>
        <v/>
      </c>
    </row>
    <row r="11726" spans="9:14" x14ac:dyDescent="0.25">
      <c r="I11726" s="11" t="b">
        <f t="shared" si="565"/>
        <v>0</v>
      </c>
      <c r="M11726" s="17" t="str">
        <f t="shared" si="566"/>
        <v/>
      </c>
      <c r="N11726" s="11" t="str">
        <f t="shared" si="567"/>
        <v/>
      </c>
    </row>
    <row r="11727" spans="9:14" x14ac:dyDescent="0.25">
      <c r="I11727" s="11" t="b">
        <f t="shared" si="565"/>
        <v>0</v>
      </c>
      <c r="M11727" s="17" t="str">
        <f t="shared" si="566"/>
        <v/>
      </c>
      <c r="N11727" s="11" t="str">
        <f t="shared" si="567"/>
        <v/>
      </c>
    </row>
    <row r="11728" spans="9:14" x14ac:dyDescent="0.25">
      <c r="I11728" s="11" t="b">
        <f t="shared" si="565"/>
        <v>0</v>
      </c>
      <c r="M11728" s="17" t="str">
        <f t="shared" si="566"/>
        <v/>
      </c>
      <c r="N11728" s="11" t="str">
        <f t="shared" si="567"/>
        <v/>
      </c>
    </row>
    <row r="11729" spans="9:14" x14ac:dyDescent="0.25">
      <c r="I11729" s="11" t="b">
        <f t="shared" si="565"/>
        <v>0</v>
      </c>
      <c r="M11729" s="17" t="str">
        <f t="shared" si="566"/>
        <v/>
      </c>
      <c r="N11729" s="11" t="str">
        <f t="shared" si="567"/>
        <v/>
      </c>
    </row>
    <row r="11730" spans="9:14" x14ac:dyDescent="0.25">
      <c r="I11730" s="11" t="b">
        <f t="shared" si="565"/>
        <v>0</v>
      </c>
      <c r="M11730" s="17" t="str">
        <f t="shared" si="566"/>
        <v/>
      </c>
      <c r="N11730" s="11" t="str">
        <f t="shared" si="567"/>
        <v/>
      </c>
    </row>
    <row r="11731" spans="9:14" x14ac:dyDescent="0.25">
      <c r="I11731" s="11" t="b">
        <f t="shared" si="565"/>
        <v>0</v>
      </c>
      <c r="M11731" s="17" t="str">
        <f t="shared" si="566"/>
        <v/>
      </c>
      <c r="N11731" s="11" t="str">
        <f t="shared" si="567"/>
        <v/>
      </c>
    </row>
    <row r="11732" spans="9:14" x14ac:dyDescent="0.25">
      <c r="I11732" s="11" t="b">
        <f t="shared" si="565"/>
        <v>0</v>
      </c>
      <c r="M11732" s="17" t="str">
        <f t="shared" si="566"/>
        <v/>
      </c>
      <c r="N11732" s="11" t="str">
        <f t="shared" si="567"/>
        <v/>
      </c>
    </row>
    <row r="11733" spans="9:14" x14ac:dyDescent="0.25">
      <c r="I11733" s="11" t="b">
        <f t="shared" si="565"/>
        <v>0</v>
      </c>
      <c r="M11733" s="17" t="str">
        <f t="shared" si="566"/>
        <v/>
      </c>
      <c r="N11733" s="11" t="str">
        <f t="shared" si="567"/>
        <v/>
      </c>
    </row>
    <row r="11734" spans="9:14" x14ac:dyDescent="0.25">
      <c r="I11734" s="11" t="b">
        <f t="shared" si="565"/>
        <v>0</v>
      </c>
      <c r="M11734" s="17" t="str">
        <f t="shared" si="566"/>
        <v/>
      </c>
      <c r="N11734" s="11" t="str">
        <f t="shared" si="567"/>
        <v/>
      </c>
    </row>
    <row r="11735" spans="9:14" x14ac:dyDescent="0.25">
      <c r="I11735" s="11" t="b">
        <f t="shared" si="565"/>
        <v>0</v>
      </c>
      <c r="M11735" s="17" t="str">
        <f t="shared" si="566"/>
        <v/>
      </c>
      <c r="N11735" s="11" t="str">
        <f t="shared" si="567"/>
        <v/>
      </c>
    </row>
    <row r="11736" spans="9:14" x14ac:dyDescent="0.25">
      <c r="I11736" s="11" t="b">
        <f t="shared" si="565"/>
        <v>0</v>
      </c>
      <c r="M11736" s="17" t="str">
        <f t="shared" si="566"/>
        <v/>
      </c>
      <c r="N11736" s="11" t="str">
        <f t="shared" si="567"/>
        <v/>
      </c>
    </row>
    <row r="11737" spans="9:14" x14ac:dyDescent="0.25">
      <c r="I11737" s="11" t="b">
        <f t="shared" si="565"/>
        <v>0</v>
      </c>
      <c r="M11737" s="17" t="str">
        <f t="shared" si="566"/>
        <v/>
      </c>
      <c r="N11737" s="11" t="str">
        <f t="shared" si="567"/>
        <v/>
      </c>
    </row>
    <row r="11738" spans="9:14" x14ac:dyDescent="0.25">
      <c r="I11738" s="11" t="b">
        <f t="shared" si="565"/>
        <v>0</v>
      </c>
      <c r="M11738" s="17" t="str">
        <f t="shared" si="566"/>
        <v/>
      </c>
      <c r="N11738" s="11" t="str">
        <f t="shared" si="567"/>
        <v/>
      </c>
    </row>
    <row r="11739" spans="9:14" x14ac:dyDescent="0.25">
      <c r="I11739" s="11" t="b">
        <f t="shared" si="565"/>
        <v>0</v>
      </c>
      <c r="M11739" s="17" t="str">
        <f t="shared" si="566"/>
        <v/>
      </c>
      <c r="N11739" s="11" t="str">
        <f t="shared" si="567"/>
        <v/>
      </c>
    </row>
    <row r="11740" spans="9:14" x14ac:dyDescent="0.25">
      <c r="I11740" s="11" t="b">
        <f t="shared" si="565"/>
        <v>0</v>
      </c>
      <c r="M11740" s="17" t="str">
        <f t="shared" si="566"/>
        <v/>
      </c>
      <c r="N11740" s="11" t="str">
        <f t="shared" si="567"/>
        <v/>
      </c>
    </row>
    <row r="11741" spans="9:14" x14ac:dyDescent="0.25">
      <c r="I11741" s="11" t="b">
        <f t="shared" ref="I11741:I11804" si="568">IF(AND(G11741="MERCADO PAGO",A11741="FATURAMENTO"),1,IF(AND(OR(G11741="MERCADO PAGO",G11741="pix mercado pago",G11741= "débito automático mercado pago", G11741= "boleto mercado pago"),A11741="DESPESAS"),4,IF(AND(G11741="SAFRA",A11741="FATURAMENTO"),2,IF(AND(OR(G11741="SAFRA",G11741="PIX SAFRA", G11741="DÉBITO AUTOMÁTICO SAFRA", G11741= "BOLETO SAFRA", G11741= "transferência safra"), A11741="DESPESAS"),5,IF(AND(G11741="espécie",A11741="FATURAMENTO"),3,IF(AND(G11741="espécie",A11741="DESPESAS"),6))))))</f>
        <v>0</v>
      </c>
      <c r="M11741" s="17" t="str">
        <f t="shared" si="566"/>
        <v/>
      </c>
      <c r="N11741" s="11" t="str">
        <f t="shared" si="567"/>
        <v/>
      </c>
    </row>
    <row r="11742" spans="9:14" x14ac:dyDescent="0.25">
      <c r="I11742" s="11" t="b">
        <f t="shared" si="568"/>
        <v>0</v>
      </c>
      <c r="M11742" s="17" t="str">
        <f t="shared" si="566"/>
        <v/>
      </c>
      <c r="N11742" s="11" t="str">
        <f t="shared" si="567"/>
        <v/>
      </c>
    </row>
    <row r="11743" spans="9:14" x14ac:dyDescent="0.25">
      <c r="I11743" s="11" t="b">
        <f t="shared" si="568"/>
        <v>0</v>
      </c>
      <c r="M11743" s="17" t="str">
        <f t="shared" si="566"/>
        <v/>
      </c>
      <c r="N11743" s="11" t="str">
        <f t="shared" si="567"/>
        <v/>
      </c>
    </row>
    <row r="11744" spans="9:14" x14ac:dyDescent="0.25">
      <c r="I11744" s="11" t="b">
        <f t="shared" si="568"/>
        <v>0</v>
      </c>
      <c r="M11744" s="17" t="str">
        <f t="shared" si="566"/>
        <v/>
      </c>
      <c r="N11744" s="11" t="str">
        <f t="shared" si="567"/>
        <v/>
      </c>
    </row>
    <row r="11745" spans="9:14" x14ac:dyDescent="0.25">
      <c r="I11745" s="11" t="b">
        <f t="shared" si="568"/>
        <v>0</v>
      </c>
      <c r="M11745" s="17" t="str">
        <f t="shared" si="566"/>
        <v/>
      </c>
      <c r="N11745" s="11" t="str">
        <f t="shared" si="567"/>
        <v/>
      </c>
    </row>
    <row r="11746" spans="9:14" x14ac:dyDescent="0.25">
      <c r="I11746" s="11" t="b">
        <f t="shared" si="568"/>
        <v>0</v>
      </c>
      <c r="M11746" s="17" t="str">
        <f t="shared" si="566"/>
        <v/>
      </c>
      <c r="N11746" s="11" t="str">
        <f t="shared" si="567"/>
        <v/>
      </c>
    </row>
    <row r="11747" spans="9:14" x14ac:dyDescent="0.25">
      <c r="I11747" s="11" t="b">
        <f t="shared" si="568"/>
        <v>0</v>
      </c>
      <c r="M11747" s="17" t="str">
        <f t="shared" si="566"/>
        <v/>
      </c>
      <c r="N11747" s="11" t="str">
        <f t="shared" si="567"/>
        <v/>
      </c>
    </row>
    <row r="11748" spans="9:14" x14ac:dyDescent="0.25">
      <c r="I11748" s="11" t="b">
        <f t="shared" si="568"/>
        <v>0</v>
      </c>
      <c r="M11748" s="17" t="str">
        <f t="shared" si="566"/>
        <v/>
      </c>
      <c r="N11748" s="11" t="str">
        <f t="shared" si="567"/>
        <v/>
      </c>
    </row>
    <row r="11749" spans="9:14" x14ac:dyDescent="0.25">
      <c r="I11749" s="11" t="b">
        <f t="shared" si="568"/>
        <v>0</v>
      </c>
      <c r="M11749" s="17" t="str">
        <f t="shared" si="566"/>
        <v/>
      </c>
      <c r="N11749" s="11" t="str">
        <f t="shared" si="567"/>
        <v/>
      </c>
    </row>
    <row r="11750" spans="9:14" x14ac:dyDescent="0.25">
      <c r="I11750" s="11" t="b">
        <f t="shared" si="568"/>
        <v>0</v>
      </c>
      <c r="M11750" s="17" t="str">
        <f t="shared" si="566"/>
        <v/>
      </c>
      <c r="N11750" s="11" t="str">
        <f t="shared" si="567"/>
        <v/>
      </c>
    </row>
    <row r="11751" spans="9:14" x14ac:dyDescent="0.25">
      <c r="I11751" s="11" t="b">
        <f t="shared" si="568"/>
        <v>0</v>
      </c>
      <c r="M11751" s="17" t="str">
        <f t="shared" si="566"/>
        <v/>
      </c>
      <c r="N11751" s="11" t="str">
        <f t="shared" si="567"/>
        <v/>
      </c>
    </row>
    <row r="11752" spans="9:14" x14ac:dyDescent="0.25">
      <c r="I11752" s="11" t="b">
        <f t="shared" si="568"/>
        <v>0</v>
      </c>
      <c r="M11752" s="17" t="str">
        <f t="shared" si="566"/>
        <v/>
      </c>
      <c r="N11752" s="11" t="str">
        <f t="shared" si="567"/>
        <v/>
      </c>
    </row>
    <row r="11753" spans="9:14" x14ac:dyDescent="0.25">
      <c r="I11753" s="11" t="b">
        <f t="shared" si="568"/>
        <v>0</v>
      </c>
      <c r="M11753" s="17" t="str">
        <f t="shared" si="566"/>
        <v/>
      </c>
      <c r="N11753" s="11" t="str">
        <f t="shared" si="567"/>
        <v/>
      </c>
    </row>
    <row r="11754" spans="9:14" x14ac:dyDescent="0.25">
      <c r="I11754" s="11" t="b">
        <f t="shared" si="568"/>
        <v>0</v>
      </c>
      <c r="M11754" s="17" t="str">
        <f t="shared" si="566"/>
        <v/>
      </c>
      <c r="N11754" s="11" t="str">
        <f t="shared" si="567"/>
        <v/>
      </c>
    </row>
    <row r="11755" spans="9:14" x14ac:dyDescent="0.25">
      <c r="I11755" s="11" t="b">
        <f t="shared" si="568"/>
        <v>0</v>
      </c>
      <c r="M11755" s="17" t="str">
        <f t="shared" si="566"/>
        <v/>
      </c>
      <c r="N11755" s="11" t="str">
        <f t="shared" si="567"/>
        <v/>
      </c>
    </row>
    <row r="11756" spans="9:14" x14ac:dyDescent="0.25">
      <c r="I11756" s="11" t="b">
        <f t="shared" si="568"/>
        <v>0</v>
      </c>
      <c r="M11756" s="17" t="str">
        <f t="shared" si="566"/>
        <v/>
      </c>
      <c r="N11756" s="11" t="str">
        <f t="shared" si="567"/>
        <v/>
      </c>
    </row>
    <row r="11757" spans="9:14" x14ac:dyDescent="0.25">
      <c r="I11757" s="11" t="b">
        <f t="shared" si="568"/>
        <v>0</v>
      </c>
      <c r="M11757" s="17" t="str">
        <f t="shared" si="566"/>
        <v/>
      </c>
      <c r="N11757" s="11" t="str">
        <f t="shared" si="567"/>
        <v/>
      </c>
    </row>
    <row r="11758" spans="9:14" x14ac:dyDescent="0.25">
      <c r="I11758" s="11" t="b">
        <f t="shared" si="568"/>
        <v>0</v>
      </c>
      <c r="M11758" s="17" t="str">
        <f t="shared" si="566"/>
        <v/>
      </c>
      <c r="N11758" s="11" t="str">
        <f t="shared" si="567"/>
        <v/>
      </c>
    </row>
    <row r="11759" spans="9:14" x14ac:dyDescent="0.25">
      <c r="I11759" s="11" t="b">
        <f t="shared" si="568"/>
        <v>0</v>
      </c>
      <c r="M11759" s="17" t="str">
        <f t="shared" si="566"/>
        <v/>
      </c>
      <c r="N11759" s="11" t="str">
        <f t="shared" si="567"/>
        <v/>
      </c>
    </row>
    <row r="11760" spans="9:14" x14ac:dyDescent="0.25">
      <c r="I11760" s="11" t="b">
        <f t="shared" si="568"/>
        <v>0</v>
      </c>
      <c r="M11760" s="17" t="str">
        <f t="shared" si="566"/>
        <v/>
      </c>
      <c r="N11760" s="11" t="str">
        <f t="shared" si="567"/>
        <v/>
      </c>
    </row>
    <row r="11761" spans="9:14" x14ac:dyDescent="0.25">
      <c r="I11761" s="11" t="b">
        <f t="shared" si="568"/>
        <v>0</v>
      </c>
      <c r="M11761" s="17" t="str">
        <f t="shared" si="566"/>
        <v/>
      </c>
      <c r="N11761" s="11" t="str">
        <f t="shared" si="567"/>
        <v/>
      </c>
    </row>
    <row r="11762" spans="9:14" x14ac:dyDescent="0.25">
      <c r="I11762" s="11" t="b">
        <f t="shared" si="568"/>
        <v>0</v>
      </c>
      <c r="M11762" s="17" t="str">
        <f t="shared" si="566"/>
        <v/>
      </c>
      <c r="N11762" s="11" t="str">
        <f t="shared" si="567"/>
        <v/>
      </c>
    </row>
    <row r="11763" spans="9:14" x14ac:dyDescent="0.25">
      <c r="I11763" s="11" t="b">
        <f t="shared" si="568"/>
        <v>0</v>
      </c>
      <c r="M11763" s="17" t="str">
        <f t="shared" si="566"/>
        <v/>
      </c>
      <c r="N11763" s="11" t="str">
        <f t="shared" si="567"/>
        <v/>
      </c>
    </row>
    <row r="11764" spans="9:14" x14ac:dyDescent="0.25">
      <c r="I11764" s="11" t="b">
        <f t="shared" si="568"/>
        <v>0</v>
      </c>
      <c r="M11764" s="17" t="str">
        <f t="shared" si="566"/>
        <v/>
      </c>
      <c r="N11764" s="11" t="str">
        <f t="shared" si="567"/>
        <v/>
      </c>
    </row>
    <row r="11765" spans="9:14" x14ac:dyDescent="0.25">
      <c r="I11765" s="11" t="b">
        <f t="shared" si="568"/>
        <v>0</v>
      </c>
      <c r="M11765" s="17" t="str">
        <f t="shared" si="566"/>
        <v/>
      </c>
      <c r="N11765" s="11" t="str">
        <f t="shared" si="567"/>
        <v/>
      </c>
    </row>
    <row r="11766" spans="9:14" x14ac:dyDescent="0.25">
      <c r="I11766" s="11" t="b">
        <f t="shared" si="568"/>
        <v>0</v>
      </c>
      <c r="M11766" s="17" t="str">
        <f t="shared" si="566"/>
        <v/>
      </c>
      <c r="N11766" s="11" t="str">
        <f t="shared" si="567"/>
        <v/>
      </c>
    </row>
    <row r="11767" spans="9:14" x14ac:dyDescent="0.25">
      <c r="I11767" s="11" t="b">
        <f t="shared" si="568"/>
        <v>0</v>
      </c>
      <c r="M11767" s="17" t="str">
        <f t="shared" si="566"/>
        <v/>
      </c>
      <c r="N11767" s="11" t="str">
        <f t="shared" si="567"/>
        <v/>
      </c>
    </row>
    <row r="11768" spans="9:14" x14ac:dyDescent="0.25">
      <c r="I11768" s="11" t="b">
        <f t="shared" si="568"/>
        <v>0</v>
      </c>
      <c r="M11768" s="17" t="str">
        <f t="shared" si="566"/>
        <v/>
      </c>
      <c r="N11768" s="11" t="str">
        <f t="shared" si="567"/>
        <v/>
      </c>
    </row>
    <row r="11769" spans="9:14" x14ac:dyDescent="0.25">
      <c r="I11769" s="11" t="b">
        <f t="shared" si="568"/>
        <v>0</v>
      </c>
      <c r="M11769" s="17" t="str">
        <f t="shared" si="566"/>
        <v/>
      </c>
      <c r="N11769" s="11" t="str">
        <f t="shared" si="567"/>
        <v/>
      </c>
    </row>
    <row r="11770" spans="9:14" x14ac:dyDescent="0.25">
      <c r="I11770" s="11" t="b">
        <f t="shared" si="568"/>
        <v>0</v>
      </c>
      <c r="M11770" s="17" t="str">
        <f t="shared" si="566"/>
        <v/>
      </c>
      <c r="N11770" s="11" t="str">
        <f t="shared" si="567"/>
        <v/>
      </c>
    </row>
    <row r="11771" spans="9:14" x14ac:dyDescent="0.25">
      <c r="I11771" s="11" t="b">
        <f t="shared" si="568"/>
        <v>0</v>
      </c>
      <c r="M11771" s="17" t="str">
        <f t="shared" si="566"/>
        <v/>
      </c>
      <c r="N11771" s="11" t="str">
        <f t="shared" si="567"/>
        <v/>
      </c>
    </row>
    <row r="11772" spans="9:14" x14ac:dyDescent="0.25">
      <c r="I11772" s="11" t="b">
        <f t="shared" si="568"/>
        <v>0</v>
      </c>
      <c r="M11772" s="17" t="str">
        <f t="shared" si="566"/>
        <v/>
      </c>
      <c r="N11772" s="11" t="str">
        <f t="shared" si="567"/>
        <v/>
      </c>
    </row>
    <row r="11773" spans="9:14" x14ac:dyDescent="0.25">
      <c r="I11773" s="11" t="b">
        <f t="shared" si="568"/>
        <v>0</v>
      </c>
      <c r="M11773" s="17" t="str">
        <f t="shared" si="566"/>
        <v/>
      </c>
      <c r="N11773" s="11" t="str">
        <f t="shared" si="567"/>
        <v/>
      </c>
    </row>
    <row r="11774" spans="9:14" x14ac:dyDescent="0.25">
      <c r="I11774" s="11" t="b">
        <f t="shared" si="568"/>
        <v>0</v>
      </c>
      <c r="M11774" s="17" t="str">
        <f t="shared" si="566"/>
        <v/>
      </c>
      <c r="N11774" s="11" t="str">
        <f t="shared" si="567"/>
        <v/>
      </c>
    </row>
    <row r="11775" spans="9:14" x14ac:dyDescent="0.25">
      <c r="I11775" s="11" t="b">
        <f t="shared" si="568"/>
        <v>0</v>
      </c>
      <c r="M11775" s="17" t="str">
        <f t="shared" si="566"/>
        <v/>
      </c>
      <c r="N11775" s="11" t="str">
        <f t="shared" si="567"/>
        <v/>
      </c>
    </row>
    <row r="11776" spans="9:14" x14ac:dyDescent="0.25">
      <c r="I11776" s="11" t="b">
        <f t="shared" si="568"/>
        <v>0</v>
      </c>
      <c r="M11776" s="17" t="str">
        <f t="shared" si="566"/>
        <v/>
      </c>
      <c r="N11776" s="11" t="str">
        <f t="shared" si="567"/>
        <v/>
      </c>
    </row>
    <row r="11777" spans="9:14" x14ac:dyDescent="0.25">
      <c r="I11777" s="11" t="b">
        <f t="shared" si="568"/>
        <v>0</v>
      </c>
      <c r="M11777" s="17" t="str">
        <f t="shared" ref="M11777:M11840" si="569">IF(B11777=0, "",M11776+ J11777-K11777)</f>
        <v/>
      </c>
      <c r="N11777" s="11" t="str">
        <f t="shared" ref="N11777:N11840" si="570">IF(B11777=0, "", MONTH(B11777))</f>
        <v/>
      </c>
    </row>
    <row r="11778" spans="9:14" x14ac:dyDescent="0.25">
      <c r="I11778" s="11" t="b">
        <f t="shared" si="568"/>
        <v>0</v>
      </c>
      <c r="M11778" s="17" t="str">
        <f t="shared" si="569"/>
        <v/>
      </c>
      <c r="N11778" s="11" t="str">
        <f t="shared" si="570"/>
        <v/>
      </c>
    </row>
    <row r="11779" spans="9:14" x14ac:dyDescent="0.25">
      <c r="I11779" s="11" t="b">
        <f t="shared" si="568"/>
        <v>0</v>
      </c>
      <c r="M11779" s="17" t="str">
        <f t="shared" si="569"/>
        <v/>
      </c>
      <c r="N11779" s="11" t="str">
        <f t="shared" si="570"/>
        <v/>
      </c>
    </row>
    <row r="11780" spans="9:14" x14ac:dyDescent="0.25">
      <c r="I11780" s="11" t="b">
        <f t="shared" si="568"/>
        <v>0</v>
      </c>
      <c r="M11780" s="17" t="str">
        <f t="shared" si="569"/>
        <v/>
      </c>
      <c r="N11780" s="11" t="str">
        <f t="shared" si="570"/>
        <v/>
      </c>
    </row>
    <row r="11781" spans="9:14" x14ac:dyDescent="0.25">
      <c r="I11781" s="11" t="b">
        <f t="shared" si="568"/>
        <v>0</v>
      </c>
      <c r="M11781" s="17" t="str">
        <f t="shared" si="569"/>
        <v/>
      </c>
      <c r="N11781" s="11" t="str">
        <f t="shared" si="570"/>
        <v/>
      </c>
    </row>
    <row r="11782" spans="9:14" x14ac:dyDescent="0.25">
      <c r="I11782" s="11" t="b">
        <f t="shared" si="568"/>
        <v>0</v>
      </c>
      <c r="M11782" s="17" t="str">
        <f t="shared" si="569"/>
        <v/>
      </c>
      <c r="N11782" s="11" t="str">
        <f t="shared" si="570"/>
        <v/>
      </c>
    </row>
    <row r="11783" spans="9:14" x14ac:dyDescent="0.25">
      <c r="I11783" s="11" t="b">
        <f t="shared" si="568"/>
        <v>0</v>
      </c>
      <c r="M11783" s="17" t="str">
        <f t="shared" si="569"/>
        <v/>
      </c>
      <c r="N11783" s="11" t="str">
        <f t="shared" si="570"/>
        <v/>
      </c>
    </row>
    <row r="11784" spans="9:14" x14ac:dyDescent="0.25">
      <c r="I11784" s="11" t="b">
        <f t="shared" si="568"/>
        <v>0</v>
      </c>
      <c r="M11784" s="17" t="str">
        <f t="shared" si="569"/>
        <v/>
      </c>
      <c r="N11784" s="11" t="str">
        <f t="shared" si="570"/>
        <v/>
      </c>
    </row>
    <row r="11785" spans="9:14" x14ac:dyDescent="0.25">
      <c r="I11785" s="11" t="b">
        <f t="shared" si="568"/>
        <v>0</v>
      </c>
      <c r="M11785" s="17" t="str">
        <f t="shared" si="569"/>
        <v/>
      </c>
      <c r="N11785" s="11" t="str">
        <f t="shared" si="570"/>
        <v/>
      </c>
    </row>
    <row r="11786" spans="9:14" x14ac:dyDescent="0.25">
      <c r="I11786" s="11" t="b">
        <f t="shared" si="568"/>
        <v>0</v>
      </c>
      <c r="M11786" s="17" t="str">
        <f t="shared" si="569"/>
        <v/>
      </c>
      <c r="N11786" s="11" t="str">
        <f t="shared" si="570"/>
        <v/>
      </c>
    </row>
    <row r="11787" spans="9:14" x14ac:dyDescent="0.25">
      <c r="I11787" s="11" t="b">
        <f t="shared" si="568"/>
        <v>0</v>
      </c>
      <c r="M11787" s="17" t="str">
        <f t="shared" si="569"/>
        <v/>
      </c>
      <c r="N11787" s="11" t="str">
        <f t="shared" si="570"/>
        <v/>
      </c>
    </row>
    <row r="11788" spans="9:14" x14ac:dyDescent="0.25">
      <c r="I11788" s="11" t="b">
        <f t="shared" si="568"/>
        <v>0</v>
      </c>
      <c r="M11788" s="17" t="str">
        <f t="shared" si="569"/>
        <v/>
      </c>
      <c r="N11788" s="11" t="str">
        <f t="shared" si="570"/>
        <v/>
      </c>
    </row>
    <row r="11789" spans="9:14" x14ac:dyDescent="0.25">
      <c r="I11789" s="11" t="b">
        <f t="shared" si="568"/>
        <v>0</v>
      </c>
      <c r="M11789" s="17" t="str">
        <f t="shared" si="569"/>
        <v/>
      </c>
      <c r="N11789" s="11" t="str">
        <f t="shared" si="570"/>
        <v/>
      </c>
    </row>
    <row r="11790" spans="9:14" x14ac:dyDescent="0.25">
      <c r="I11790" s="11" t="b">
        <f t="shared" si="568"/>
        <v>0</v>
      </c>
      <c r="M11790" s="17" t="str">
        <f t="shared" si="569"/>
        <v/>
      </c>
      <c r="N11790" s="11" t="str">
        <f t="shared" si="570"/>
        <v/>
      </c>
    </row>
    <row r="11791" spans="9:14" x14ac:dyDescent="0.25">
      <c r="I11791" s="11" t="b">
        <f t="shared" si="568"/>
        <v>0</v>
      </c>
      <c r="M11791" s="17" t="str">
        <f t="shared" si="569"/>
        <v/>
      </c>
      <c r="N11791" s="11" t="str">
        <f t="shared" si="570"/>
        <v/>
      </c>
    </row>
    <row r="11792" spans="9:14" x14ac:dyDescent="0.25">
      <c r="I11792" s="11" t="b">
        <f t="shared" si="568"/>
        <v>0</v>
      </c>
      <c r="M11792" s="17" t="str">
        <f t="shared" si="569"/>
        <v/>
      </c>
      <c r="N11792" s="11" t="str">
        <f t="shared" si="570"/>
        <v/>
      </c>
    </row>
    <row r="11793" spans="9:14" x14ac:dyDescent="0.25">
      <c r="I11793" s="11" t="b">
        <f t="shared" si="568"/>
        <v>0</v>
      </c>
      <c r="M11793" s="17" t="str">
        <f t="shared" si="569"/>
        <v/>
      </c>
      <c r="N11793" s="11" t="str">
        <f t="shared" si="570"/>
        <v/>
      </c>
    </row>
    <row r="11794" spans="9:14" x14ac:dyDescent="0.25">
      <c r="I11794" s="11" t="b">
        <f t="shared" si="568"/>
        <v>0</v>
      </c>
      <c r="M11794" s="17" t="str">
        <f t="shared" si="569"/>
        <v/>
      </c>
      <c r="N11794" s="11" t="str">
        <f t="shared" si="570"/>
        <v/>
      </c>
    </row>
    <row r="11795" spans="9:14" x14ac:dyDescent="0.25">
      <c r="I11795" s="11" t="b">
        <f t="shared" si="568"/>
        <v>0</v>
      </c>
      <c r="M11795" s="17" t="str">
        <f t="shared" si="569"/>
        <v/>
      </c>
      <c r="N11795" s="11" t="str">
        <f t="shared" si="570"/>
        <v/>
      </c>
    </row>
    <row r="11796" spans="9:14" x14ac:dyDescent="0.25">
      <c r="I11796" s="11" t="b">
        <f t="shared" si="568"/>
        <v>0</v>
      </c>
      <c r="M11796" s="17" t="str">
        <f t="shared" si="569"/>
        <v/>
      </c>
      <c r="N11796" s="11" t="str">
        <f t="shared" si="570"/>
        <v/>
      </c>
    </row>
    <row r="11797" spans="9:14" x14ac:dyDescent="0.25">
      <c r="I11797" s="11" t="b">
        <f t="shared" si="568"/>
        <v>0</v>
      </c>
      <c r="M11797" s="17" t="str">
        <f t="shared" si="569"/>
        <v/>
      </c>
      <c r="N11797" s="11" t="str">
        <f t="shared" si="570"/>
        <v/>
      </c>
    </row>
    <row r="11798" spans="9:14" x14ac:dyDescent="0.25">
      <c r="I11798" s="11" t="b">
        <f t="shared" si="568"/>
        <v>0</v>
      </c>
      <c r="M11798" s="17" t="str">
        <f t="shared" si="569"/>
        <v/>
      </c>
      <c r="N11798" s="11" t="str">
        <f t="shared" si="570"/>
        <v/>
      </c>
    </row>
    <row r="11799" spans="9:14" x14ac:dyDescent="0.25">
      <c r="I11799" s="11" t="b">
        <f t="shared" si="568"/>
        <v>0</v>
      </c>
      <c r="M11799" s="17" t="str">
        <f t="shared" si="569"/>
        <v/>
      </c>
      <c r="N11799" s="11" t="str">
        <f t="shared" si="570"/>
        <v/>
      </c>
    </row>
    <row r="11800" spans="9:14" x14ac:dyDescent="0.25">
      <c r="I11800" s="11" t="b">
        <f t="shared" si="568"/>
        <v>0</v>
      </c>
      <c r="M11800" s="17" t="str">
        <f t="shared" si="569"/>
        <v/>
      </c>
      <c r="N11800" s="11" t="str">
        <f t="shared" si="570"/>
        <v/>
      </c>
    </row>
    <row r="11801" spans="9:14" x14ac:dyDescent="0.25">
      <c r="I11801" s="11" t="b">
        <f t="shared" si="568"/>
        <v>0</v>
      </c>
      <c r="M11801" s="17" t="str">
        <f t="shared" si="569"/>
        <v/>
      </c>
      <c r="N11801" s="11" t="str">
        <f t="shared" si="570"/>
        <v/>
      </c>
    </row>
    <row r="11802" spans="9:14" x14ac:dyDescent="0.25">
      <c r="I11802" s="11" t="b">
        <f t="shared" si="568"/>
        <v>0</v>
      </c>
      <c r="M11802" s="17" t="str">
        <f t="shared" si="569"/>
        <v/>
      </c>
      <c r="N11802" s="11" t="str">
        <f t="shared" si="570"/>
        <v/>
      </c>
    </row>
    <row r="11803" spans="9:14" x14ac:dyDescent="0.25">
      <c r="I11803" s="11" t="b">
        <f t="shared" si="568"/>
        <v>0</v>
      </c>
      <c r="M11803" s="17" t="str">
        <f t="shared" si="569"/>
        <v/>
      </c>
      <c r="N11803" s="11" t="str">
        <f t="shared" si="570"/>
        <v/>
      </c>
    </row>
    <row r="11804" spans="9:14" x14ac:dyDescent="0.25">
      <c r="I11804" s="11" t="b">
        <f t="shared" si="568"/>
        <v>0</v>
      </c>
      <c r="M11804" s="17" t="str">
        <f t="shared" si="569"/>
        <v/>
      </c>
      <c r="N11804" s="11" t="str">
        <f t="shared" si="570"/>
        <v/>
      </c>
    </row>
    <row r="11805" spans="9:14" x14ac:dyDescent="0.25">
      <c r="I11805" s="11" t="b">
        <f t="shared" ref="I11805:I11868" si="571">IF(AND(G11805="MERCADO PAGO",A11805="FATURAMENTO"),1,IF(AND(OR(G11805="MERCADO PAGO",G11805="pix mercado pago",G11805= "débito automático mercado pago", G11805= "boleto mercado pago"),A11805="DESPESAS"),4,IF(AND(G11805="SAFRA",A11805="FATURAMENTO"),2,IF(AND(OR(G11805="SAFRA",G11805="PIX SAFRA", G11805="DÉBITO AUTOMÁTICO SAFRA", G11805= "BOLETO SAFRA", G11805= "transferência safra"), A11805="DESPESAS"),5,IF(AND(G11805="espécie",A11805="FATURAMENTO"),3,IF(AND(G11805="espécie",A11805="DESPESAS"),6))))))</f>
        <v>0</v>
      </c>
      <c r="M11805" s="17" t="str">
        <f t="shared" si="569"/>
        <v/>
      </c>
      <c r="N11805" s="11" t="str">
        <f t="shared" si="570"/>
        <v/>
      </c>
    </row>
    <row r="11806" spans="9:14" x14ac:dyDescent="0.25">
      <c r="I11806" s="11" t="b">
        <f t="shared" si="571"/>
        <v>0</v>
      </c>
      <c r="M11806" s="17" t="str">
        <f t="shared" si="569"/>
        <v/>
      </c>
      <c r="N11806" s="11" t="str">
        <f t="shared" si="570"/>
        <v/>
      </c>
    </row>
    <row r="11807" spans="9:14" x14ac:dyDescent="0.25">
      <c r="I11807" s="11" t="b">
        <f t="shared" si="571"/>
        <v>0</v>
      </c>
      <c r="M11807" s="17" t="str">
        <f t="shared" si="569"/>
        <v/>
      </c>
      <c r="N11807" s="11" t="str">
        <f t="shared" si="570"/>
        <v/>
      </c>
    </row>
    <row r="11808" spans="9:14" x14ac:dyDescent="0.25">
      <c r="I11808" s="11" t="b">
        <f t="shared" si="571"/>
        <v>0</v>
      </c>
      <c r="M11808" s="17" t="str">
        <f t="shared" si="569"/>
        <v/>
      </c>
      <c r="N11808" s="11" t="str">
        <f t="shared" si="570"/>
        <v/>
      </c>
    </row>
    <row r="11809" spans="9:14" x14ac:dyDescent="0.25">
      <c r="I11809" s="11" t="b">
        <f t="shared" si="571"/>
        <v>0</v>
      </c>
      <c r="M11809" s="17" t="str">
        <f t="shared" si="569"/>
        <v/>
      </c>
      <c r="N11809" s="11" t="str">
        <f t="shared" si="570"/>
        <v/>
      </c>
    </row>
    <row r="11810" spans="9:14" x14ac:dyDescent="0.25">
      <c r="I11810" s="11" t="b">
        <f t="shared" si="571"/>
        <v>0</v>
      </c>
      <c r="M11810" s="17" t="str">
        <f t="shared" si="569"/>
        <v/>
      </c>
      <c r="N11810" s="11" t="str">
        <f t="shared" si="570"/>
        <v/>
      </c>
    </row>
    <row r="11811" spans="9:14" x14ac:dyDescent="0.25">
      <c r="I11811" s="11" t="b">
        <f t="shared" si="571"/>
        <v>0</v>
      </c>
      <c r="M11811" s="17" t="str">
        <f t="shared" si="569"/>
        <v/>
      </c>
      <c r="N11811" s="11" t="str">
        <f t="shared" si="570"/>
        <v/>
      </c>
    </row>
    <row r="11812" spans="9:14" x14ac:dyDescent="0.25">
      <c r="I11812" s="11" t="b">
        <f t="shared" si="571"/>
        <v>0</v>
      </c>
      <c r="M11812" s="17" t="str">
        <f t="shared" si="569"/>
        <v/>
      </c>
      <c r="N11812" s="11" t="str">
        <f t="shared" si="570"/>
        <v/>
      </c>
    </row>
    <row r="11813" spans="9:14" x14ac:dyDescent="0.25">
      <c r="I11813" s="11" t="b">
        <f t="shared" si="571"/>
        <v>0</v>
      </c>
      <c r="M11813" s="17" t="str">
        <f t="shared" si="569"/>
        <v/>
      </c>
      <c r="N11813" s="11" t="str">
        <f t="shared" si="570"/>
        <v/>
      </c>
    </row>
    <row r="11814" spans="9:14" x14ac:dyDescent="0.25">
      <c r="I11814" s="11" t="b">
        <f t="shared" si="571"/>
        <v>0</v>
      </c>
      <c r="M11814" s="17" t="str">
        <f t="shared" si="569"/>
        <v/>
      </c>
      <c r="N11814" s="11" t="str">
        <f t="shared" si="570"/>
        <v/>
      </c>
    </row>
    <row r="11815" spans="9:14" x14ac:dyDescent="0.25">
      <c r="I11815" s="11" t="b">
        <f t="shared" si="571"/>
        <v>0</v>
      </c>
      <c r="M11815" s="17" t="str">
        <f t="shared" si="569"/>
        <v/>
      </c>
      <c r="N11815" s="11" t="str">
        <f t="shared" si="570"/>
        <v/>
      </c>
    </row>
    <row r="11816" spans="9:14" x14ac:dyDescent="0.25">
      <c r="I11816" s="11" t="b">
        <f t="shared" si="571"/>
        <v>0</v>
      </c>
      <c r="M11816" s="17" t="str">
        <f t="shared" si="569"/>
        <v/>
      </c>
      <c r="N11816" s="11" t="str">
        <f t="shared" si="570"/>
        <v/>
      </c>
    </row>
    <row r="11817" spans="9:14" x14ac:dyDescent="0.25">
      <c r="I11817" s="11" t="b">
        <f t="shared" si="571"/>
        <v>0</v>
      </c>
      <c r="M11817" s="17" t="str">
        <f t="shared" si="569"/>
        <v/>
      </c>
      <c r="N11817" s="11" t="str">
        <f t="shared" si="570"/>
        <v/>
      </c>
    </row>
    <row r="11818" spans="9:14" x14ac:dyDescent="0.25">
      <c r="I11818" s="11" t="b">
        <f t="shared" si="571"/>
        <v>0</v>
      </c>
      <c r="M11818" s="17" t="str">
        <f t="shared" si="569"/>
        <v/>
      </c>
      <c r="N11818" s="11" t="str">
        <f t="shared" si="570"/>
        <v/>
      </c>
    </row>
    <row r="11819" spans="9:14" x14ac:dyDescent="0.25">
      <c r="I11819" s="11" t="b">
        <f t="shared" si="571"/>
        <v>0</v>
      </c>
      <c r="M11819" s="17" t="str">
        <f t="shared" si="569"/>
        <v/>
      </c>
      <c r="N11819" s="11" t="str">
        <f t="shared" si="570"/>
        <v/>
      </c>
    </row>
    <row r="11820" spans="9:14" x14ac:dyDescent="0.25">
      <c r="I11820" s="11" t="b">
        <f t="shared" si="571"/>
        <v>0</v>
      </c>
      <c r="M11820" s="17" t="str">
        <f t="shared" si="569"/>
        <v/>
      </c>
      <c r="N11820" s="11" t="str">
        <f t="shared" si="570"/>
        <v/>
      </c>
    </row>
    <row r="11821" spans="9:14" x14ac:dyDescent="0.25">
      <c r="I11821" s="11" t="b">
        <f t="shared" si="571"/>
        <v>0</v>
      </c>
      <c r="M11821" s="17" t="str">
        <f t="shared" si="569"/>
        <v/>
      </c>
      <c r="N11821" s="11" t="str">
        <f t="shared" si="570"/>
        <v/>
      </c>
    </row>
    <row r="11822" spans="9:14" x14ac:dyDescent="0.25">
      <c r="I11822" s="11" t="b">
        <f t="shared" si="571"/>
        <v>0</v>
      </c>
      <c r="M11822" s="17" t="str">
        <f t="shared" si="569"/>
        <v/>
      </c>
      <c r="N11822" s="11" t="str">
        <f t="shared" si="570"/>
        <v/>
      </c>
    </row>
    <row r="11823" spans="9:14" x14ac:dyDescent="0.25">
      <c r="I11823" s="11" t="b">
        <f t="shared" si="571"/>
        <v>0</v>
      </c>
      <c r="M11823" s="17" t="str">
        <f t="shared" si="569"/>
        <v/>
      </c>
      <c r="N11823" s="11" t="str">
        <f t="shared" si="570"/>
        <v/>
      </c>
    </row>
    <row r="11824" spans="9:14" x14ac:dyDescent="0.25">
      <c r="I11824" s="11" t="b">
        <f t="shared" si="571"/>
        <v>0</v>
      </c>
      <c r="M11824" s="17" t="str">
        <f t="shared" si="569"/>
        <v/>
      </c>
      <c r="N11824" s="11" t="str">
        <f t="shared" si="570"/>
        <v/>
      </c>
    </row>
    <row r="11825" spans="9:14" x14ac:dyDescent="0.25">
      <c r="I11825" s="11" t="b">
        <f t="shared" si="571"/>
        <v>0</v>
      </c>
      <c r="M11825" s="17" t="str">
        <f t="shared" si="569"/>
        <v/>
      </c>
      <c r="N11825" s="11" t="str">
        <f t="shared" si="570"/>
        <v/>
      </c>
    </row>
    <row r="11826" spans="9:14" x14ac:dyDescent="0.25">
      <c r="I11826" s="11" t="b">
        <f t="shared" si="571"/>
        <v>0</v>
      </c>
      <c r="M11826" s="17" t="str">
        <f t="shared" si="569"/>
        <v/>
      </c>
      <c r="N11826" s="11" t="str">
        <f t="shared" si="570"/>
        <v/>
      </c>
    </row>
    <row r="11827" spans="9:14" x14ac:dyDescent="0.25">
      <c r="I11827" s="11" t="b">
        <f t="shared" si="571"/>
        <v>0</v>
      </c>
      <c r="M11827" s="17" t="str">
        <f t="shared" si="569"/>
        <v/>
      </c>
      <c r="N11827" s="11" t="str">
        <f t="shared" si="570"/>
        <v/>
      </c>
    </row>
    <row r="11828" spans="9:14" x14ac:dyDescent="0.25">
      <c r="I11828" s="11" t="b">
        <f t="shared" si="571"/>
        <v>0</v>
      </c>
      <c r="M11828" s="17" t="str">
        <f t="shared" si="569"/>
        <v/>
      </c>
      <c r="N11828" s="11" t="str">
        <f t="shared" si="570"/>
        <v/>
      </c>
    </row>
    <row r="11829" spans="9:14" x14ac:dyDescent="0.25">
      <c r="I11829" s="11" t="b">
        <f t="shared" si="571"/>
        <v>0</v>
      </c>
      <c r="M11829" s="17" t="str">
        <f t="shared" si="569"/>
        <v/>
      </c>
      <c r="N11829" s="11" t="str">
        <f t="shared" si="570"/>
        <v/>
      </c>
    </row>
    <row r="11830" spans="9:14" x14ac:dyDescent="0.25">
      <c r="I11830" s="11" t="b">
        <f t="shared" si="571"/>
        <v>0</v>
      </c>
      <c r="M11830" s="17" t="str">
        <f t="shared" si="569"/>
        <v/>
      </c>
      <c r="N11830" s="11" t="str">
        <f t="shared" si="570"/>
        <v/>
      </c>
    </row>
    <row r="11831" spans="9:14" x14ac:dyDescent="0.25">
      <c r="I11831" s="11" t="b">
        <f t="shared" si="571"/>
        <v>0</v>
      </c>
      <c r="M11831" s="17" t="str">
        <f t="shared" si="569"/>
        <v/>
      </c>
      <c r="N11831" s="11" t="str">
        <f t="shared" si="570"/>
        <v/>
      </c>
    </row>
    <row r="11832" spans="9:14" x14ac:dyDescent="0.25">
      <c r="I11832" s="11" t="b">
        <f t="shared" si="571"/>
        <v>0</v>
      </c>
      <c r="M11832" s="17" t="str">
        <f t="shared" si="569"/>
        <v/>
      </c>
      <c r="N11832" s="11" t="str">
        <f t="shared" si="570"/>
        <v/>
      </c>
    </row>
    <row r="11833" spans="9:14" x14ac:dyDescent="0.25">
      <c r="I11833" s="11" t="b">
        <f t="shared" si="571"/>
        <v>0</v>
      </c>
      <c r="M11833" s="17" t="str">
        <f t="shared" si="569"/>
        <v/>
      </c>
      <c r="N11833" s="11" t="str">
        <f t="shared" si="570"/>
        <v/>
      </c>
    </row>
    <row r="11834" spans="9:14" x14ac:dyDescent="0.25">
      <c r="I11834" s="11" t="b">
        <f t="shared" si="571"/>
        <v>0</v>
      </c>
      <c r="M11834" s="17" t="str">
        <f t="shared" si="569"/>
        <v/>
      </c>
      <c r="N11834" s="11" t="str">
        <f t="shared" si="570"/>
        <v/>
      </c>
    </row>
    <row r="11835" spans="9:14" x14ac:dyDescent="0.25">
      <c r="I11835" s="11" t="b">
        <f t="shared" si="571"/>
        <v>0</v>
      </c>
      <c r="M11835" s="17" t="str">
        <f t="shared" si="569"/>
        <v/>
      </c>
      <c r="N11835" s="11" t="str">
        <f t="shared" si="570"/>
        <v/>
      </c>
    </row>
    <row r="11836" spans="9:14" x14ac:dyDescent="0.25">
      <c r="I11836" s="11" t="b">
        <f t="shared" si="571"/>
        <v>0</v>
      </c>
      <c r="M11836" s="17" t="str">
        <f t="shared" si="569"/>
        <v/>
      </c>
      <c r="N11836" s="11" t="str">
        <f t="shared" si="570"/>
        <v/>
      </c>
    </row>
    <row r="11837" spans="9:14" x14ac:dyDescent="0.25">
      <c r="I11837" s="11" t="b">
        <f t="shared" si="571"/>
        <v>0</v>
      </c>
      <c r="M11837" s="17" t="str">
        <f t="shared" si="569"/>
        <v/>
      </c>
      <c r="N11837" s="11" t="str">
        <f t="shared" si="570"/>
        <v/>
      </c>
    </row>
    <row r="11838" spans="9:14" x14ac:dyDescent="0.25">
      <c r="I11838" s="11" t="b">
        <f t="shared" si="571"/>
        <v>0</v>
      </c>
      <c r="M11838" s="17" t="str">
        <f t="shared" si="569"/>
        <v/>
      </c>
      <c r="N11838" s="11" t="str">
        <f t="shared" si="570"/>
        <v/>
      </c>
    </row>
    <row r="11839" spans="9:14" x14ac:dyDescent="0.25">
      <c r="I11839" s="11" t="b">
        <f t="shared" si="571"/>
        <v>0</v>
      </c>
      <c r="M11839" s="17" t="str">
        <f t="shared" si="569"/>
        <v/>
      </c>
      <c r="N11839" s="11" t="str">
        <f t="shared" si="570"/>
        <v/>
      </c>
    </row>
    <row r="11840" spans="9:14" x14ac:dyDescent="0.25">
      <c r="I11840" s="11" t="b">
        <f t="shared" si="571"/>
        <v>0</v>
      </c>
      <c r="M11840" s="17" t="str">
        <f t="shared" si="569"/>
        <v/>
      </c>
      <c r="N11840" s="11" t="str">
        <f t="shared" si="570"/>
        <v/>
      </c>
    </row>
    <row r="11841" spans="9:14" x14ac:dyDescent="0.25">
      <c r="I11841" s="11" t="b">
        <f t="shared" si="571"/>
        <v>0</v>
      </c>
      <c r="M11841" s="17" t="str">
        <f t="shared" ref="M11841:M11904" si="572">IF(B11841=0, "",M11840+ J11841-K11841)</f>
        <v/>
      </c>
      <c r="N11841" s="11" t="str">
        <f t="shared" ref="N11841:N11904" si="573">IF(B11841=0, "", MONTH(B11841))</f>
        <v/>
      </c>
    </row>
    <row r="11842" spans="9:14" x14ac:dyDescent="0.25">
      <c r="I11842" s="11" t="b">
        <f t="shared" si="571"/>
        <v>0</v>
      </c>
      <c r="M11842" s="17" t="str">
        <f t="shared" si="572"/>
        <v/>
      </c>
      <c r="N11842" s="11" t="str">
        <f t="shared" si="573"/>
        <v/>
      </c>
    </row>
    <row r="11843" spans="9:14" x14ac:dyDescent="0.25">
      <c r="I11843" s="11" t="b">
        <f t="shared" si="571"/>
        <v>0</v>
      </c>
      <c r="M11843" s="17" t="str">
        <f t="shared" si="572"/>
        <v/>
      </c>
      <c r="N11843" s="11" t="str">
        <f t="shared" si="573"/>
        <v/>
      </c>
    </row>
    <row r="11844" spans="9:14" x14ac:dyDescent="0.25">
      <c r="I11844" s="11" t="b">
        <f t="shared" si="571"/>
        <v>0</v>
      </c>
      <c r="M11844" s="17" t="str">
        <f t="shared" si="572"/>
        <v/>
      </c>
      <c r="N11844" s="11" t="str">
        <f t="shared" si="573"/>
        <v/>
      </c>
    </row>
    <row r="11845" spans="9:14" x14ac:dyDescent="0.25">
      <c r="I11845" s="11" t="b">
        <f t="shared" si="571"/>
        <v>0</v>
      </c>
      <c r="M11845" s="17" t="str">
        <f t="shared" si="572"/>
        <v/>
      </c>
      <c r="N11845" s="11" t="str">
        <f t="shared" si="573"/>
        <v/>
      </c>
    </row>
    <row r="11846" spans="9:14" x14ac:dyDescent="0.25">
      <c r="I11846" s="11" t="b">
        <f t="shared" si="571"/>
        <v>0</v>
      </c>
      <c r="M11846" s="17" t="str">
        <f t="shared" si="572"/>
        <v/>
      </c>
      <c r="N11846" s="11" t="str">
        <f t="shared" si="573"/>
        <v/>
      </c>
    </row>
    <row r="11847" spans="9:14" x14ac:dyDescent="0.25">
      <c r="I11847" s="11" t="b">
        <f t="shared" si="571"/>
        <v>0</v>
      </c>
      <c r="M11847" s="17" t="str">
        <f t="shared" si="572"/>
        <v/>
      </c>
      <c r="N11847" s="11" t="str">
        <f t="shared" si="573"/>
        <v/>
      </c>
    </row>
    <row r="11848" spans="9:14" x14ac:dyDescent="0.25">
      <c r="I11848" s="11" t="b">
        <f t="shared" si="571"/>
        <v>0</v>
      </c>
      <c r="M11848" s="17" t="str">
        <f t="shared" si="572"/>
        <v/>
      </c>
      <c r="N11848" s="11" t="str">
        <f t="shared" si="573"/>
        <v/>
      </c>
    </row>
    <row r="11849" spans="9:14" x14ac:dyDescent="0.25">
      <c r="I11849" s="11" t="b">
        <f t="shared" si="571"/>
        <v>0</v>
      </c>
      <c r="M11849" s="17" t="str">
        <f t="shared" si="572"/>
        <v/>
      </c>
      <c r="N11849" s="11" t="str">
        <f t="shared" si="573"/>
        <v/>
      </c>
    </row>
    <row r="11850" spans="9:14" x14ac:dyDescent="0.25">
      <c r="I11850" s="11" t="b">
        <f t="shared" si="571"/>
        <v>0</v>
      </c>
      <c r="M11850" s="17" t="str">
        <f t="shared" si="572"/>
        <v/>
      </c>
      <c r="N11850" s="11" t="str">
        <f t="shared" si="573"/>
        <v/>
      </c>
    </row>
    <row r="11851" spans="9:14" x14ac:dyDescent="0.25">
      <c r="I11851" s="11" t="b">
        <f t="shared" si="571"/>
        <v>0</v>
      </c>
      <c r="M11851" s="17" t="str">
        <f t="shared" si="572"/>
        <v/>
      </c>
      <c r="N11851" s="11" t="str">
        <f t="shared" si="573"/>
        <v/>
      </c>
    </row>
    <row r="11852" spans="9:14" x14ac:dyDescent="0.25">
      <c r="I11852" s="11" t="b">
        <f t="shared" si="571"/>
        <v>0</v>
      </c>
      <c r="M11852" s="17" t="str">
        <f t="shared" si="572"/>
        <v/>
      </c>
      <c r="N11852" s="11" t="str">
        <f t="shared" si="573"/>
        <v/>
      </c>
    </row>
    <row r="11853" spans="9:14" x14ac:dyDescent="0.25">
      <c r="I11853" s="11" t="b">
        <f t="shared" si="571"/>
        <v>0</v>
      </c>
      <c r="M11853" s="17" t="str">
        <f t="shared" si="572"/>
        <v/>
      </c>
      <c r="N11853" s="11" t="str">
        <f t="shared" si="573"/>
        <v/>
      </c>
    </row>
    <row r="11854" spans="9:14" x14ac:dyDescent="0.25">
      <c r="I11854" s="11" t="b">
        <f t="shared" si="571"/>
        <v>0</v>
      </c>
      <c r="M11854" s="17" t="str">
        <f t="shared" si="572"/>
        <v/>
      </c>
      <c r="N11854" s="11" t="str">
        <f t="shared" si="573"/>
        <v/>
      </c>
    </row>
    <row r="11855" spans="9:14" x14ac:dyDescent="0.25">
      <c r="I11855" s="11" t="b">
        <f t="shared" si="571"/>
        <v>0</v>
      </c>
      <c r="M11855" s="17" t="str">
        <f t="shared" si="572"/>
        <v/>
      </c>
      <c r="N11855" s="11" t="str">
        <f t="shared" si="573"/>
        <v/>
      </c>
    </row>
    <row r="11856" spans="9:14" x14ac:dyDescent="0.25">
      <c r="I11856" s="11" t="b">
        <f t="shared" si="571"/>
        <v>0</v>
      </c>
      <c r="M11856" s="17" t="str">
        <f t="shared" si="572"/>
        <v/>
      </c>
      <c r="N11856" s="11" t="str">
        <f t="shared" si="573"/>
        <v/>
      </c>
    </row>
    <row r="11857" spans="9:14" x14ac:dyDescent="0.25">
      <c r="I11857" s="11" t="b">
        <f t="shared" si="571"/>
        <v>0</v>
      </c>
      <c r="M11857" s="17" t="str">
        <f t="shared" si="572"/>
        <v/>
      </c>
      <c r="N11857" s="11" t="str">
        <f t="shared" si="573"/>
        <v/>
      </c>
    </row>
    <row r="11858" spans="9:14" x14ac:dyDescent="0.25">
      <c r="I11858" s="11" t="b">
        <f t="shared" si="571"/>
        <v>0</v>
      </c>
      <c r="M11858" s="17" t="str">
        <f t="shared" si="572"/>
        <v/>
      </c>
      <c r="N11858" s="11" t="str">
        <f t="shared" si="573"/>
        <v/>
      </c>
    </row>
    <row r="11859" spans="9:14" x14ac:dyDescent="0.25">
      <c r="I11859" s="11" t="b">
        <f t="shared" si="571"/>
        <v>0</v>
      </c>
      <c r="M11859" s="17" t="str">
        <f t="shared" si="572"/>
        <v/>
      </c>
      <c r="N11859" s="11" t="str">
        <f t="shared" si="573"/>
        <v/>
      </c>
    </row>
    <row r="11860" spans="9:14" x14ac:dyDescent="0.25">
      <c r="I11860" s="11" t="b">
        <f t="shared" si="571"/>
        <v>0</v>
      </c>
      <c r="M11860" s="17" t="str">
        <f t="shared" si="572"/>
        <v/>
      </c>
      <c r="N11860" s="11" t="str">
        <f t="shared" si="573"/>
        <v/>
      </c>
    </row>
    <row r="11861" spans="9:14" x14ac:dyDescent="0.25">
      <c r="I11861" s="11" t="b">
        <f t="shared" si="571"/>
        <v>0</v>
      </c>
      <c r="M11861" s="17" t="str">
        <f t="shared" si="572"/>
        <v/>
      </c>
      <c r="N11861" s="11" t="str">
        <f t="shared" si="573"/>
        <v/>
      </c>
    </row>
    <row r="11862" spans="9:14" x14ac:dyDescent="0.25">
      <c r="I11862" s="11" t="b">
        <f t="shared" si="571"/>
        <v>0</v>
      </c>
      <c r="M11862" s="17" t="str">
        <f t="shared" si="572"/>
        <v/>
      </c>
      <c r="N11862" s="11" t="str">
        <f t="shared" si="573"/>
        <v/>
      </c>
    </row>
    <row r="11863" spans="9:14" x14ac:dyDescent="0.25">
      <c r="I11863" s="11" t="b">
        <f t="shared" si="571"/>
        <v>0</v>
      </c>
      <c r="M11863" s="17" t="str">
        <f t="shared" si="572"/>
        <v/>
      </c>
      <c r="N11863" s="11" t="str">
        <f t="shared" si="573"/>
        <v/>
      </c>
    </row>
    <row r="11864" spans="9:14" x14ac:dyDescent="0.25">
      <c r="I11864" s="11" t="b">
        <f t="shared" si="571"/>
        <v>0</v>
      </c>
      <c r="M11864" s="17" t="str">
        <f t="shared" si="572"/>
        <v/>
      </c>
      <c r="N11864" s="11" t="str">
        <f t="shared" si="573"/>
        <v/>
      </c>
    </row>
    <row r="11865" spans="9:14" x14ac:dyDescent="0.25">
      <c r="I11865" s="11" t="b">
        <f t="shared" si="571"/>
        <v>0</v>
      </c>
      <c r="M11865" s="17" t="str">
        <f t="shared" si="572"/>
        <v/>
      </c>
      <c r="N11865" s="11" t="str">
        <f t="shared" si="573"/>
        <v/>
      </c>
    </row>
    <row r="11866" spans="9:14" x14ac:dyDescent="0.25">
      <c r="I11866" s="11" t="b">
        <f t="shared" si="571"/>
        <v>0</v>
      </c>
      <c r="M11866" s="17" t="str">
        <f t="shared" si="572"/>
        <v/>
      </c>
      <c r="N11866" s="11" t="str">
        <f t="shared" si="573"/>
        <v/>
      </c>
    </row>
    <row r="11867" spans="9:14" x14ac:dyDescent="0.25">
      <c r="I11867" s="11" t="b">
        <f t="shared" si="571"/>
        <v>0</v>
      </c>
      <c r="M11867" s="17" t="str">
        <f t="shared" si="572"/>
        <v/>
      </c>
      <c r="N11867" s="11" t="str">
        <f t="shared" si="573"/>
        <v/>
      </c>
    </row>
    <row r="11868" spans="9:14" x14ac:dyDescent="0.25">
      <c r="I11868" s="11" t="b">
        <f t="shared" si="571"/>
        <v>0</v>
      </c>
      <c r="M11868" s="17" t="str">
        <f t="shared" si="572"/>
        <v/>
      </c>
      <c r="N11868" s="11" t="str">
        <f t="shared" si="573"/>
        <v/>
      </c>
    </row>
    <row r="11869" spans="9:14" x14ac:dyDescent="0.25">
      <c r="I11869" s="11" t="b">
        <f t="shared" ref="I11869:I11932" si="574">IF(AND(G11869="MERCADO PAGO",A11869="FATURAMENTO"),1,IF(AND(OR(G11869="MERCADO PAGO",G11869="pix mercado pago",G11869= "débito automático mercado pago", G11869= "boleto mercado pago"),A11869="DESPESAS"),4,IF(AND(G11869="SAFRA",A11869="FATURAMENTO"),2,IF(AND(OR(G11869="SAFRA",G11869="PIX SAFRA", G11869="DÉBITO AUTOMÁTICO SAFRA", G11869= "BOLETO SAFRA", G11869= "transferência safra"), A11869="DESPESAS"),5,IF(AND(G11869="espécie",A11869="FATURAMENTO"),3,IF(AND(G11869="espécie",A11869="DESPESAS"),6))))))</f>
        <v>0</v>
      </c>
      <c r="M11869" s="17" t="str">
        <f t="shared" si="572"/>
        <v/>
      </c>
      <c r="N11869" s="11" t="str">
        <f t="shared" si="573"/>
        <v/>
      </c>
    </row>
    <row r="11870" spans="9:14" x14ac:dyDescent="0.25">
      <c r="I11870" s="11" t="b">
        <f t="shared" si="574"/>
        <v>0</v>
      </c>
      <c r="M11870" s="17" t="str">
        <f t="shared" si="572"/>
        <v/>
      </c>
      <c r="N11870" s="11" t="str">
        <f t="shared" si="573"/>
        <v/>
      </c>
    </row>
    <row r="11871" spans="9:14" x14ac:dyDescent="0.25">
      <c r="I11871" s="11" t="b">
        <f t="shared" si="574"/>
        <v>0</v>
      </c>
      <c r="M11871" s="17" t="str">
        <f t="shared" si="572"/>
        <v/>
      </c>
      <c r="N11871" s="11" t="str">
        <f t="shared" si="573"/>
        <v/>
      </c>
    </row>
    <row r="11872" spans="9:14" x14ac:dyDescent="0.25">
      <c r="I11872" s="11" t="b">
        <f t="shared" si="574"/>
        <v>0</v>
      </c>
      <c r="M11872" s="17" t="str">
        <f t="shared" si="572"/>
        <v/>
      </c>
      <c r="N11872" s="11" t="str">
        <f t="shared" si="573"/>
        <v/>
      </c>
    </row>
    <row r="11873" spans="9:14" x14ac:dyDescent="0.25">
      <c r="I11873" s="11" t="b">
        <f t="shared" si="574"/>
        <v>0</v>
      </c>
      <c r="M11873" s="17" t="str">
        <f t="shared" si="572"/>
        <v/>
      </c>
      <c r="N11873" s="11" t="str">
        <f t="shared" si="573"/>
        <v/>
      </c>
    </row>
    <row r="11874" spans="9:14" x14ac:dyDescent="0.25">
      <c r="I11874" s="11" t="b">
        <f t="shared" si="574"/>
        <v>0</v>
      </c>
      <c r="M11874" s="17" t="str">
        <f t="shared" si="572"/>
        <v/>
      </c>
      <c r="N11874" s="11" t="str">
        <f t="shared" si="573"/>
        <v/>
      </c>
    </row>
    <row r="11875" spans="9:14" x14ac:dyDescent="0.25">
      <c r="I11875" s="11" t="b">
        <f t="shared" si="574"/>
        <v>0</v>
      </c>
      <c r="M11875" s="17" t="str">
        <f t="shared" si="572"/>
        <v/>
      </c>
      <c r="N11875" s="11" t="str">
        <f t="shared" si="573"/>
        <v/>
      </c>
    </row>
    <row r="11876" spans="9:14" x14ac:dyDescent="0.25">
      <c r="I11876" s="11" t="b">
        <f t="shared" si="574"/>
        <v>0</v>
      </c>
      <c r="M11876" s="17" t="str">
        <f t="shared" si="572"/>
        <v/>
      </c>
      <c r="N11876" s="11" t="str">
        <f t="shared" si="573"/>
        <v/>
      </c>
    </row>
    <row r="11877" spans="9:14" x14ac:dyDescent="0.25">
      <c r="I11877" s="11" t="b">
        <f t="shared" si="574"/>
        <v>0</v>
      </c>
      <c r="M11877" s="17" t="str">
        <f t="shared" si="572"/>
        <v/>
      </c>
      <c r="N11877" s="11" t="str">
        <f t="shared" si="573"/>
        <v/>
      </c>
    </row>
    <row r="11878" spans="9:14" x14ac:dyDescent="0.25">
      <c r="I11878" s="11" t="b">
        <f t="shared" si="574"/>
        <v>0</v>
      </c>
      <c r="M11878" s="17" t="str">
        <f t="shared" si="572"/>
        <v/>
      </c>
      <c r="N11878" s="11" t="str">
        <f t="shared" si="573"/>
        <v/>
      </c>
    </row>
    <row r="11879" spans="9:14" x14ac:dyDescent="0.25">
      <c r="I11879" s="11" t="b">
        <f t="shared" si="574"/>
        <v>0</v>
      </c>
      <c r="M11879" s="17" t="str">
        <f t="shared" si="572"/>
        <v/>
      </c>
      <c r="N11879" s="11" t="str">
        <f t="shared" si="573"/>
        <v/>
      </c>
    </row>
    <row r="11880" spans="9:14" x14ac:dyDescent="0.25">
      <c r="I11880" s="11" t="b">
        <f t="shared" si="574"/>
        <v>0</v>
      </c>
      <c r="M11880" s="17" t="str">
        <f t="shared" si="572"/>
        <v/>
      </c>
      <c r="N11880" s="11" t="str">
        <f t="shared" si="573"/>
        <v/>
      </c>
    </row>
    <row r="11881" spans="9:14" x14ac:dyDescent="0.25">
      <c r="I11881" s="11" t="b">
        <f t="shared" si="574"/>
        <v>0</v>
      </c>
      <c r="M11881" s="17" t="str">
        <f t="shared" si="572"/>
        <v/>
      </c>
      <c r="N11881" s="11" t="str">
        <f t="shared" si="573"/>
        <v/>
      </c>
    </row>
    <row r="11882" spans="9:14" x14ac:dyDescent="0.25">
      <c r="I11882" s="11" t="b">
        <f t="shared" si="574"/>
        <v>0</v>
      </c>
      <c r="M11882" s="17" t="str">
        <f t="shared" si="572"/>
        <v/>
      </c>
      <c r="N11882" s="11" t="str">
        <f t="shared" si="573"/>
        <v/>
      </c>
    </row>
    <row r="11883" spans="9:14" x14ac:dyDescent="0.25">
      <c r="I11883" s="11" t="b">
        <f t="shared" si="574"/>
        <v>0</v>
      </c>
      <c r="M11883" s="17" t="str">
        <f t="shared" si="572"/>
        <v/>
      </c>
      <c r="N11883" s="11" t="str">
        <f t="shared" si="573"/>
        <v/>
      </c>
    </row>
    <row r="11884" spans="9:14" x14ac:dyDescent="0.25">
      <c r="I11884" s="11" t="b">
        <f t="shared" si="574"/>
        <v>0</v>
      </c>
      <c r="M11884" s="17" t="str">
        <f t="shared" si="572"/>
        <v/>
      </c>
      <c r="N11884" s="11" t="str">
        <f t="shared" si="573"/>
        <v/>
      </c>
    </row>
    <row r="11885" spans="9:14" x14ac:dyDescent="0.25">
      <c r="I11885" s="11" t="b">
        <f t="shared" si="574"/>
        <v>0</v>
      </c>
      <c r="M11885" s="17" t="str">
        <f t="shared" si="572"/>
        <v/>
      </c>
      <c r="N11885" s="11" t="str">
        <f t="shared" si="573"/>
        <v/>
      </c>
    </row>
    <row r="11886" spans="9:14" x14ac:dyDescent="0.25">
      <c r="I11886" s="11" t="b">
        <f t="shared" si="574"/>
        <v>0</v>
      </c>
      <c r="M11886" s="17" t="str">
        <f t="shared" si="572"/>
        <v/>
      </c>
      <c r="N11886" s="11" t="str">
        <f t="shared" si="573"/>
        <v/>
      </c>
    </row>
    <row r="11887" spans="9:14" x14ac:dyDescent="0.25">
      <c r="I11887" s="11" t="b">
        <f t="shared" si="574"/>
        <v>0</v>
      </c>
      <c r="M11887" s="17" t="str">
        <f t="shared" si="572"/>
        <v/>
      </c>
      <c r="N11887" s="11" t="str">
        <f t="shared" si="573"/>
        <v/>
      </c>
    </row>
    <row r="11888" spans="9:14" x14ac:dyDescent="0.25">
      <c r="I11888" s="11" t="b">
        <f t="shared" si="574"/>
        <v>0</v>
      </c>
      <c r="M11888" s="17" t="str">
        <f t="shared" si="572"/>
        <v/>
      </c>
      <c r="N11888" s="11" t="str">
        <f t="shared" si="573"/>
        <v/>
      </c>
    </row>
    <row r="11889" spans="9:14" x14ac:dyDescent="0.25">
      <c r="I11889" s="11" t="b">
        <f t="shared" si="574"/>
        <v>0</v>
      </c>
      <c r="M11889" s="17" t="str">
        <f t="shared" si="572"/>
        <v/>
      </c>
      <c r="N11889" s="11" t="str">
        <f t="shared" si="573"/>
        <v/>
      </c>
    </row>
    <row r="11890" spans="9:14" x14ac:dyDescent="0.25">
      <c r="I11890" s="11" t="b">
        <f t="shared" si="574"/>
        <v>0</v>
      </c>
      <c r="M11890" s="17" t="str">
        <f t="shared" si="572"/>
        <v/>
      </c>
      <c r="N11890" s="11" t="str">
        <f t="shared" si="573"/>
        <v/>
      </c>
    </row>
    <row r="11891" spans="9:14" x14ac:dyDescent="0.25">
      <c r="I11891" s="11" t="b">
        <f t="shared" si="574"/>
        <v>0</v>
      </c>
      <c r="M11891" s="17" t="str">
        <f t="shared" si="572"/>
        <v/>
      </c>
      <c r="N11891" s="11" t="str">
        <f t="shared" si="573"/>
        <v/>
      </c>
    </row>
    <row r="11892" spans="9:14" x14ac:dyDescent="0.25">
      <c r="I11892" s="11" t="b">
        <f t="shared" si="574"/>
        <v>0</v>
      </c>
      <c r="M11892" s="17" t="str">
        <f t="shared" si="572"/>
        <v/>
      </c>
      <c r="N11892" s="11" t="str">
        <f t="shared" si="573"/>
        <v/>
      </c>
    </row>
    <row r="11893" spans="9:14" x14ac:dyDescent="0.25">
      <c r="I11893" s="11" t="b">
        <f t="shared" si="574"/>
        <v>0</v>
      </c>
      <c r="M11893" s="17" t="str">
        <f t="shared" si="572"/>
        <v/>
      </c>
      <c r="N11893" s="11" t="str">
        <f t="shared" si="573"/>
        <v/>
      </c>
    </row>
    <row r="11894" spans="9:14" x14ac:dyDescent="0.25">
      <c r="I11894" s="11" t="b">
        <f t="shared" si="574"/>
        <v>0</v>
      </c>
      <c r="M11894" s="17" t="str">
        <f t="shared" si="572"/>
        <v/>
      </c>
      <c r="N11894" s="11" t="str">
        <f t="shared" si="573"/>
        <v/>
      </c>
    </row>
    <row r="11895" spans="9:14" x14ac:dyDescent="0.25">
      <c r="I11895" s="11" t="b">
        <f t="shared" si="574"/>
        <v>0</v>
      </c>
      <c r="M11895" s="17" t="str">
        <f t="shared" si="572"/>
        <v/>
      </c>
      <c r="N11895" s="11" t="str">
        <f t="shared" si="573"/>
        <v/>
      </c>
    </row>
    <row r="11896" spans="9:14" x14ac:dyDescent="0.25">
      <c r="I11896" s="11" t="b">
        <f t="shared" si="574"/>
        <v>0</v>
      </c>
      <c r="M11896" s="17" t="str">
        <f t="shared" si="572"/>
        <v/>
      </c>
      <c r="N11896" s="11" t="str">
        <f t="shared" si="573"/>
        <v/>
      </c>
    </row>
    <row r="11897" spans="9:14" x14ac:dyDescent="0.25">
      <c r="I11897" s="11" t="b">
        <f t="shared" si="574"/>
        <v>0</v>
      </c>
      <c r="M11897" s="17" t="str">
        <f t="shared" si="572"/>
        <v/>
      </c>
      <c r="N11897" s="11" t="str">
        <f t="shared" si="573"/>
        <v/>
      </c>
    </row>
    <row r="11898" spans="9:14" x14ac:dyDescent="0.25">
      <c r="I11898" s="11" t="b">
        <f t="shared" si="574"/>
        <v>0</v>
      </c>
      <c r="M11898" s="17" t="str">
        <f t="shared" si="572"/>
        <v/>
      </c>
      <c r="N11898" s="11" t="str">
        <f t="shared" si="573"/>
        <v/>
      </c>
    </row>
    <row r="11899" spans="9:14" x14ac:dyDescent="0.25">
      <c r="I11899" s="11" t="b">
        <f t="shared" si="574"/>
        <v>0</v>
      </c>
      <c r="M11899" s="17" t="str">
        <f t="shared" si="572"/>
        <v/>
      </c>
      <c r="N11899" s="11" t="str">
        <f t="shared" si="573"/>
        <v/>
      </c>
    </row>
    <row r="11900" spans="9:14" x14ac:dyDescent="0.25">
      <c r="I11900" s="11" t="b">
        <f t="shared" si="574"/>
        <v>0</v>
      </c>
      <c r="M11900" s="17" t="str">
        <f t="shared" si="572"/>
        <v/>
      </c>
      <c r="N11900" s="11" t="str">
        <f t="shared" si="573"/>
        <v/>
      </c>
    </row>
    <row r="11901" spans="9:14" x14ac:dyDescent="0.25">
      <c r="I11901" s="11" t="b">
        <f t="shared" si="574"/>
        <v>0</v>
      </c>
      <c r="M11901" s="17" t="str">
        <f t="shared" si="572"/>
        <v/>
      </c>
      <c r="N11901" s="11" t="str">
        <f t="shared" si="573"/>
        <v/>
      </c>
    </row>
    <row r="11902" spans="9:14" x14ac:dyDescent="0.25">
      <c r="I11902" s="11" t="b">
        <f t="shared" si="574"/>
        <v>0</v>
      </c>
      <c r="M11902" s="17" t="str">
        <f t="shared" si="572"/>
        <v/>
      </c>
      <c r="N11902" s="11" t="str">
        <f t="shared" si="573"/>
        <v/>
      </c>
    </row>
    <row r="11903" spans="9:14" x14ac:dyDescent="0.25">
      <c r="I11903" s="11" t="b">
        <f t="shared" si="574"/>
        <v>0</v>
      </c>
      <c r="M11903" s="17" t="str">
        <f t="shared" si="572"/>
        <v/>
      </c>
      <c r="N11903" s="11" t="str">
        <f t="shared" si="573"/>
        <v/>
      </c>
    </row>
    <row r="11904" spans="9:14" x14ac:dyDescent="0.25">
      <c r="I11904" s="11" t="b">
        <f t="shared" si="574"/>
        <v>0</v>
      </c>
      <c r="M11904" s="17" t="str">
        <f t="shared" si="572"/>
        <v/>
      </c>
      <c r="N11904" s="11" t="str">
        <f t="shared" si="573"/>
        <v/>
      </c>
    </row>
    <row r="11905" spans="9:14" x14ac:dyDescent="0.25">
      <c r="I11905" s="11" t="b">
        <f t="shared" si="574"/>
        <v>0</v>
      </c>
      <c r="M11905" s="17" t="str">
        <f t="shared" ref="M11905:M11968" si="575">IF(B11905=0, "",M11904+ J11905-K11905)</f>
        <v/>
      </c>
      <c r="N11905" s="11" t="str">
        <f t="shared" ref="N11905:N11968" si="576">IF(B11905=0, "", MONTH(B11905))</f>
        <v/>
      </c>
    </row>
    <row r="11906" spans="9:14" x14ac:dyDescent="0.25">
      <c r="I11906" s="11" t="b">
        <f t="shared" si="574"/>
        <v>0</v>
      </c>
      <c r="M11906" s="17" t="str">
        <f t="shared" si="575"/>
        <v/>
      </c>
      <c r="N11906" s="11" t="str">
        <f t="shared" si="576"/>
        <v/>
      </c>
    </row>
    <row r="11907" spans="9:14" x14ac:dyDescent="0.25">
      <c r="I11907" s="11" t="b">
        <f t="shared" si="574"/>
        <v>0</v>
      </c>
      <c r="M11907" s="17" t="str">
        <f t="shared" si="575"/>
        <v/>
      </c>
      <c r="N11907" s="11" t="str">
        <f t="shared" si="576"/>
        <v/>
      </c>
    </row>
    <row r="11908" spans="9:14" x14ac:dyDescent="0.25">
      <c r="I11908" s="11" t="b">
        <f t="shared" si="574"/>
        <v>0</v>
      </c>
      <c r="M11908" s="17" t="str">
        <f t="shared" si="575"/>
        <v/>
      </c>
      <c r="N11908" s="11" t="str">
        <f t="shared" si="576"/>
        <v/>
      </c>
    </row>
    <row r="11909" spans="9:14" x14ac:dyDescent="0.25">
      <c r="I11909" s="11" t="b">
        <f t="shared" si="574"/>
        <v>0</v>
      </c>
      <c r="M11909" s="17" t="str">
        <f t="shared" si="575"/>
        <v/>
      </c>
      <c r="N11909" s="11" t="str">
        <f t="shared" si="576"/>
        <v/>
      </c>
    </row>
    <row r="11910" spans="9:14" x14ac:dyDescent="0.25">
      <c r="I11910" s="11" t="b">
        <f t="shared" si="574"/>
        <v>0</v>
      </c>
      <c r="M11910" s="17" t="str">
        <f t="shared" si="575"/>
        <v/>
      </c>
      <c r="N11910" s="11" t="str">
        <f t="shared" si="576"/>
        <v/>
      </c>
    </row>
    <row r="11911" spans="9:14" x14ac:dyDescent="0.25">
      <c r="I11911" s="11" t="b">
        <f t="shared" si="574"/>
        <v>0</v>
      </c>
      <c r="M11911" s="17" t="str">
        <f t="shared" si="575"/>
        <v/>
      </c>
      <c r="N11911" s="11" t="str">
        <f t="shared" si="576"/>
        <v/>
      </c>
    </row>
    <row r="11912" spans="9:14" x14ac:dyDescent="0.25">
      <c r="I11912" s="11" t="b">
        <f t="shared" si="574"/>
        <v>0</v>
      </c>
      <c r="M11912" s="17" t="str">
        <f t="shared" si="575"/>
        <v/>
      </c>
      <c r="N11912" s="11" t="str">
        <f t="shared" si="576"/>
        <v/>
      </c>
    </row>
    <row r="11913" spans="9:14" x14ac:dyDescent="0.25">
      <c r="I11913" s="11" t="b">
        <f t="shared" si="574"/>
        <v>0</v>
      </c>
      <c r="M11913" s="17" t="str">
        <f t="shared" si="575"/>
        <v/>
      </c>
      <c r="N11913" s="11" t="str">
        <f t="shared" si="576"/>
        <v/>
      </c>
    </row>
    <row r="11914" spans="9:14" x14ac:dyDescent="0.25">
      <c r="I11914" s="11" t="b">
        <f t="shared" si="574"/>
        <v>0</v>
      </c>
      <c r="M11914" s="17" t="str">
        <f t="shared" si="575"/>
        <v/>
      </c>
      <c r="N11914" s="11" t="str">
        <f t="shared" si="576"/>
        <v/>
      </c>
    </row>
    <row r="11915" spans="9:14" x14ac:dyDescent="0.25">
      <c r="I11915" s="11" t="b">
        <f t="shared" si="574"/>
        <v>0</v>
      </c>
      <c r="M11915" s="17" t="str">
        <f t="shared" si="575"/>
        <v/>
      </c>
      <c r="N11915" s="11" t="str">
        <f t="shared" si="576"/>
        <v/>
      </c>
    </row>
    <row r="11916" spans="9:14" x14ac:dyDescent="0.25">
      <c r="I11916" s="11" t="b">
        <f t="shared" si="574"/>
        <v>0</v>
      </c>
      <c r="M11916" s="17" t="str">
        <f t="shared" si="575"/>
        <v/>
      </c>
      <c r="N11916" s="11" t="str">
        <f t="shared" si="576"/>
        <v/>
      </c>
    </row>
    <row r="11917" spans="9:14" x14ac:dyDescent="0.25">
      <c r="I11917" s="11" t="b">
        <f t="shared" si="574"/>
        <v>0</v>
      </c>
      <c r="M11917" s="17" t="str">
        <f t="shared" si="575"/>
        <v/>
      </c>
      <c r="N11917" s="11" t="str">
        <f t="shared" si="576"/>
        <v/>
      </c>
    </row>
    <row r="11918" spans="9:14" x14ac:dyDescent="0.25">
      <c r="I11918" s="11" t="b">
        <f t="shared" si="574"/>
        <v>0</v>
      </c>
      <c r="M11918" s="17" t="str">
        <f t="shared" si="575"/>
        <v/>
      </c>
      <c r="N11918" s="11" t="str">
        <f t="shared" si="576"/>
        <v/>
      </c>
    </row>
    <row r="11919" spans="9:14" x14ac:dyDescent="0.25">
      <c r="I11919" s="11" t="b">
        <f t="shared" si="574"/>
        <v>0</v>
      </c>
      <c r="M11919" s="17" t="str">
        <f t="shared" si="575"/>
        <v/>
      </c>
      <c r="N11919" s="11" t="str">
        <f t="shared" si="576"/>
        <v/>
      </c>
    </row>
    <row r="11920" spans="9:14" x14ac:dyDescent="0.25">
      <c r="I11920" s="11" t="b">
        <f t="shared" si="574"/>
        <v>0</v>
      </c>
      <c r="M11920" s="17" t="str">
        <f t="shared" si="575"/>
        <v/>
      </c>
      <c r="N11920" s="11" t="str">
        <f t="shared" si="576"/>
        <v/>
      </c>
    </row>
    <row r="11921" spans="9:14" x14ac:dyDescent="0.25">
      <c r="I11921" s="11" t="b">
        <f t="shared" si="574"/>
        <v>0</v>
      </c>
      <c r="M11921" s="17" t="str">
        <f t="shared" si="575"/>
        <v/>
      </c>
      <c r="N11921" s="11" t="str">
        <f t="shared" si="576"/>
        <v/>
      </c>
    </row>
    <row r="11922" spans="9:14" x14ac:dyDescent="0.25">
      <c r="I11922" s="11" t="b">
        <f t="shared" si="574"/>
        <v>0</v>
      </c>
      <c r="M11922" s="17" t="str">
        <f t="shared" si="575"/>
        <v/>
      </c>
      <c r="N11922" s="11" t="str">
        <f t="shared" si="576"/>
        <v/>
      </c>
    </row>
    <row r="11923" spans="9:14" x14ac:dyDescent="0.25">
      <c r="I11923" s="11" t="b">
        <f t="shared" si="574"/>
        <v>0</v>
      </c>
      <c r="M11923" s="17" t="str">
        <f t="shared" si="575"/>
        <v/>
      </c>
      <c r="N11923" s="11" t="str">
        <f t="shared" si="576"/>
        <v/>
      </c>
    </row>
    <row r="11924" spans="9:14" x14ac:dyDescent="0.25">
      <c r="I11924" s="11" t="b">
        <f t="shared" si="574"/>
        <v>0</v>
      </c>
      <c r="M11924" s="17" t="str">
        <f t="shared" si="575"/>
        <v/>
      </c>
      <c r="N11924" s="11" t="str">
        <f t="shared" si="576"/>
        <v/>
      </c>
    </row>
    <row r="11925" spans="9:14" x14ac:dyDescent="0.25">
      <c r="I11925" s="11" t="b">
        <f t="shared" si="574"/>
        <v>0</v>
      </c>
      <c r="M11925" s="17" t="str">
        <f t="shared" si="575"/>
        <v/>
      </c>
      <c r="N11925" s="11" t="str">
        <f t="shared" si="576"/>
        <v/>
      </c>
    </row>
    <row r="11926" spans="9:14" x14ac:dyDescent="0.25">
      <c r="I11926" s="11" t="b">
        <f t="shared" si="574"/>
        <v>0</v>
      </c>
      <c r="M11926" s="17" t="str">
        <f t="shared" si="575"/>
        <v/>
      </c>
      <c r="N11926" s="11" t="str">
        <f t="shared" si="576"/>
        <v/>
      </c>
    </row>
    <row r="11927" spans="9:14" x14ac:dyDescent="0.25">
      <c r="I11927" s="11" t="b">
        <f t="shared" si="574"/>
        <v>0</v>
      </c>
      <c r="M11927" s="17" t="str">
        <f t="shared" si="575"/>
        <v/>
      </c>
      <c r="N11927" s="11" t="str">
        <f t="shared" si="576"/>
        <v/>
      </c>
    </row>
    <row r="11928" spans="9:14" x14ac:dyDescent="0.25">
      <c r="I11928" s="11" t="b">
        <f t="shared" si="574"/>
        <v>0</v>
      </c>
      <c r="M11928" s="17" t="str">
        <f t="shared" si="575"/>
        <v/>
      </c>
      <c r="N11928" s="11" t="str">
        <f t="shared" si="576"/>
        <v/>
      </c>
    </row>
    <row r="11929" spans="9:14" x14ac:dyDescent="0.25">
      <c r="I11929" s="11" t="b">
        <f t="shared" si="574"/>
        <v>0</v>
      </c>
      <c r="M11929" s="17" t="str">
        <f t="shared" si="575"/>
        <v/>
      </c>
      <c r="N11929" s="11" t="str">
        <f t="shared" si="576"/>
        <v/>
      </c>
    </row>
    <row r="11930" spans="9:14" x14ac:dyDescent="0.25">
      <c r="I11930" s="11" t="b">
        <f t="shared" si="574"/>
        <v>0</v>
      </c>
      <c r="M11930" s="17" t="str">
        <f t="shared" si="575"/>
        <v/>
      </c>
      <c r="N11930" s="11" t="str">
        <f t="shared" si="576"/>
        <v/>
      </c>
    </row>
    <row r="11931" spans="9:14" x14ac:dyDescent="0.25">
      <c r="I11931" s="11" t="b">
        <f t="shared" si="574"/>
        <v>0</v>
      </c>
      <c r="M11931" s="17" t="str">
        <f t="shared" si="575"/>
        <v/>
      </c>
      <c r="N11931" s="11" t="str">
        <f t="shared" si="576"/>
        <v/>
      </c>
    </row>
    <row r="11932" spans="9:14" x14ac:dyDescent="0.25">
      <c r="I11932" s="11" t="b">
        <f t="shared" si="574"/>
        <v>0</v>
      </c>
      <c r="M11932" s="17" t="str">
        <f t="shared" si="575"/>
        <v/>
      </c>
      <c r="N11932" s="11" t="str">
        <f t="shared" si="576"/>
        <v/>
      </c>
    </row>
    <row r="11933" spans="9:14" x14ac:dyDescent="0.25">
      <c r="I11933" s="11" t="b">
        <f t="shared" ref="I11933:I11996" si="577">IF(AND(G11933="MERCADO PAGO",A11933="FATURAMENTO"),1,IF(AND(OR(G11933="MERCADO PAGO",G11933="pix mercado pago",G11933= "débito automático mercado pago", G11933= "boleto mercado pago"),A11933="DESPESAS"),4,IF(AND(G11933="SAFRA",A11933="FATURAMENTO"),2,IF(AND(OR(G11933="SAFRA",G11933="PIX SAFRA", G11933="DÉBITO AUTOMÁTICO SAFRA", G11933= "BOLETO SAFRA", G11933= "transferência safra"), A11933="DESPESAS"),5,IF(AND(G11933="espécie",A11933="FATURAMENTO"),3,IF(AND(G11933="espécie",A11933="DESPESAS"),6))))))</f>
        <v>0</v>
      </c>
      <c r="M11933" s="17" t="str">
        <f t="shared" si="575"/>
        <v/>
      </c>
      <c r="N11933" s="11" t="str">
        <f t="shared" si="576"/>
        <v/>
      </c>
    </row>
    <row r="11934" spans="9:14" x14ac:dyDescent="0.25">
      <c r="I11934" s="11" t="b">
        <f t="shared" si="577"/>
        <v>0</v>
      </c>
      <c r="M11934" s="17" t="str">
        <f t="shared" si="575"/>
        <v/>
      </c>
      <c r="N11934" s="11" t="str">
        <f t="shared" si="576"/>
        <v/>
      </c>
    </row>
    <row r="11935" spans="9:14" x14ac:dyDescent="0.25">
      <c r="I11935" s="11" t="b">
        <f t="shared" si="577"/>
        <v>0</v>
      </c>
      <c r="M11935" s="17" t="str">
        <f t="shared" si="575"/>
        <v/>
      </c>
      <c r="N11935" s="11" t="str">
        <f t="shared" si="576"/>
        <v/>
      </c>
    </row>
    <row r="11936" spans="9:14" x14ac:dyDescent="0.25">
      <c r="I11936" s="11" t="b">
        <f t="shared" si="577"/>
        <v>0</v>
      </c>
      <c r="M11936" s="17" t="str">
        <f t="shared" si="575"/>
        <v/>
      </c>
      <c r="N11936" s="11" t="str">
        <f t="shared" si="576"/>
        <v/>
      </c>
    </row>
    <row r="11937" spans="9:14" x14ac:dyDescent="0.25">
      <c r="I11937" s="11" t="b">
        <f t="shared" si="577"/>
        <v>0</v>
      </c>
      <c r="M11937" s="17" t="str">
        <f t="shared" si="575"/>
        <v/>
      </c>
      <c r="N11937" s="11" t="str">
        <f t="shared" si="576"/>
        <v/>
      </c>
    </row>
    <row r="11938" spans="9:14" x14ac:dyDescent="0.25">
      <c r="I11938" s="11" t="b">
        <f t="shared" si="577"/>
        <v>0</v>
      </c>
      <c r="M11938" s="17" t="str">
        <f t="shared" si="575"/>
        <v/>
      </c>
      <c r="N11938" s="11" t="str">
        <f t="shared" si="576"/>
        <v/>
      </c>
    </row>
    <row r="11939" spans="9:14" x14ac:dyDescent="0.25">
      <c r="I11939" s="11" t="b">
        <f t="shared" si="577"/>
        <v>0</v>
      </c>
      <c r="M11939" s="17" t="str">
        <f t="shared" si="575"/>
        <v/>
      </c>
      <c r="N11939" s="11" t="str">
        <f t="shared" si="576"/>
        <v/>
      </c>
    </row>
    <row r="11940" spans="9:14" x14ac:dyDescent="0.25">
      <c r="I11940" s="11" t="b">
        <f t="shared" si="577"/>
        <v>0</v>
      </c>
      <c r="M11940" s="17" t="str">
        <f t="shared" si="575"/>
        <v/>
      </c>
      <c r="N11940" s="11" t="str">
        <f t="shared" si="576"/>
        <v/>
      </c>
    </row>
    <row r="11941" spans="9:14" x14ac:dyDescent="0.25">
      <c r="I11941" s="11" t="b">
        <f t="shared" si="577"/>
        <v>0</v>
      </c>
      <c r="M11941" s="17" t="str">
        <f t="shared" si="575"/>
        <v/>
      </c>
      <c r="N11941" s="11" t="str">
        <f t="shared" si="576"/>
        <v/>
      </c>
    </row>
    <row r="11942" spans="9:14" x14ac:dyDescent="0.25">
      <c r="I11942" s="11" t="b">
        <f t="shared" si="577"/>
        <v>0</v>
      </c>
      <c r="M11942" s="17" t="str">
        <f t="shared" si="575"/>
        <v/>
      </c>
      <c r="N11942" s="11" t="str">
        <f t="shared" si="576"/>
        <v/>
      </c>
    </row>
    <row r="11943" spans="9:14" x14ac:dyDescent="0.25">
      <c r="I11943" s="11" t="b">
        <f t="shared" si="577"/>
        <v>0</v>
      </c>
      <c r="M11943" s="17" t="str">
        <f t="shared" si="575"/>
        <v/>
      </c>
      <c r="N11943" s="11" t="str">
        <f t="shared" si="576"/>
        <v/>
      </c>
    </row>
    <row r="11944" spans="9:14" x14ac:dyDescent="0.25">
      <c r="I11944" s="11" t="b">
        <f t="shared" si="577"/>
        <v>0</v>
      </c>
      <c r="M11944" s="17" t="str">
        <f t="shared" si="575"/>
        <v/>
      </c>
      <c r="N11944" s="11" t="str">
        <f t="shared" si="576"/>
        <v/>
      </c>
    </row>
    <row r="11945" spans="9:14" x14ac:dyDescent="0.25">
      <c r="I11945" s="11" t="b">
        <f t="shared" si="577"/>
        <v>0</v>
      </c>
      <c r="M11945" s="17" t="str">
        <f t="shared" si="575"/>
        <v/>
      </c>
      <c r="N11945" s="11" t="str">
        <f t="shared" si="576"/>
        <v/>
      </c>
    </row>
    <row r="11946" spans="9:14" x14ac:dyDescent="0.25">
      <c r="I11946" s="11" t="b">
        <f t="shared" si="577"/>
        <v>0</v>
      </c>
      <c r="M11946" s="17" t="str">
        <f t="shared" si="575"/>
        <v/>
      </c>
      <c r="N11946" s="11" t="str">
        <f t="shared" si="576"/>
        <v/>
      </c>
    </row>
    <row r="11947" spans="9:14" x14ac:dyDescent="0.25">
      <c r="I11947" s="11" t="b">
        <f t="shared" si="577"/>
        <v>0</v>
      </c>
      <c r="M11947" s="17" t="str">
        <f t="shared" si="575"/>
        <v/>
      </c>
      <c r="N11947" s="11" t="str">
        <f t="shared" si="576"/>
        <v/>
      </c>
    </row>
    <row r="11948" spans="9:14" x14ac:dyDescent="0.25">
      <c r="I11948" s="11" t="b">
        <f t="shared" si="577"/>
        <v>0</v>
      </c>
      <c r="M11948" s="17" t="str">
        <f t="shared" si="575"/>
        <v/>
      </c>
      <c r="N11948" s="11" t="str">
        <f t="shared" si="576"/>
        <v/>
      </c>
    </row>
    <row r="11949" spans="9:14" x14ac:dyDescent="0.25">
      <c r="I11949" s="11" t="b">
        <f t="shared" si="577"/>
        <v>0</v>
      </c>
      <c r="M11949" s="17" t="str">
        <f t="shared" si="575"/>
        <v/>
      </c>
      <c r="N11949" s="11" t="str">
        <f t="shared" si="576"/>
        <v/>
      </c>
    </row>
    <row r="11950" spans="9:14" x14ac:dyDescent="0.25">
      <c r="I11950" s="11" t="b">
        <f t="shared" si="577"/>
        <v>0</v>
      </c>
      <c r="M11950" s="17" t="str">
        <f t="shared" si="575"/>
        <v/>
      </c>
      <c r="N11950" s="11" t="str">
        <f t="shared" si="576"/>
        <v/>
      </c>
    </row>
    <row r="11951" spans="9:14" x14ac:dyDescent="0.25">
      <c r="I11951" s="11" t="b">
        <f t="shared" si="577"/>
        <v>0</v>
      </c>
      <c r="M11951" s="17" t="str">
        <f t="shared" si="575"/>
        <v/>
      </c>
      <c r="N11951" s="11" t="str">
        <f t="shared" si="576"/>
        <v/>
      </c>
    </row>
    <row r="11952" spans="9:14" x14ac:dyDescent="0.25">
      <c r="I11952" s="11" t="b">
        <f t="shared" si="577"/>
        <v>0</v>
      </c>
      <c r="M11952" s="17" t="str">
        <f t="shared" si="575"/>
        <v/>
      </c>
      <c r="N11952" s="11" t="str">
        <f t="shared" si="576"/>
        <v/>
      </c>
    </row>
    <row r="11953" spans="9:14" x14ac:dyDescent="0.25">
      <c r="I11953" s="11" t="b">
        <f t="shared" si="577"/>
        <v>0</v>
      </c>
      <c r="M11953" s="17" t="str">
        <f t="shared" si="575"/>
        <v/>
      </c>
      <c r="N11953" s="11" t="str">
        <f t="shared" si="576"/>
        <v/>
      </c>
    </row>
    <row r="11954" spans="9:14" x14ac:dyDescent="0.25">
      <c r="I11954" s="11" t="b">
        <f t="shared" si="577"/>
        <v>0</v>
      </c>
      <c r="M11954" s="17" t="str">
        <f t="shared" si="575"/>
        <v/>
      </c>
      <c r="N11954" s="11" t="str">
        <f t="shared" si="576"/>
        <v/>
      </c>
    </row>
    <row r="11955" spans="9:14" x14ac:dyDescent="0.25">
      <c r="I11955" s="11" t="b">
        <f t="shared" si="577"/>
        <v>0</v>
      </c>
      <c r="M11955" s="17" t="str">
        <f t="shared" si="575"/>
        <v/>
      </c>
      <c r="N11955" s="11" t="str">
        <f t="shared" si="576"/>
        <v/>
      </c>
    </row>
    <row r="11956" spans="9:14" x14ac:dyDescent="0.25">
      <c r="I11956" s="11" t="b">
        <f t="shared" si="577"/>
        <v>0</v>
      </c>
      <c r="M11956" s="17" t="str">
        <f t="shared" si="575"/>
        <v/>
      </c>
      <c r="N11956" s="11" t="str">
        <f t="shared" si="576"/>
        <v/>
      </c>
    </row>
    <row r="11957" spans="9:14" x14ac:dyDescent="0.25">
      <c r="I11957" s="11" t="b">
        <f t="shared" si="577"/>
        <v>0</v>
      </c>
      <c r="M11957" s="17" t="str">
        <f t="shared" si="575"/>
        <v/>
      </c>
      <c r="N11957" s="11" t="str">
        <f t="shared" si="576"/>
        <v/>
      </c>
    </row>
    <row r="11958" spans="9:14" x14ac:dyDescent="0.25">
      <c r="I11958" s="11" t="b">
        <f t="shared" si="577"/>
        <v>0</v>
      </c>
      <c r="M11958" s="17" t="str">
        <f t="shared" si="575"/>
        <v/>
      </c>
      <c r="N11958" s="11" t="str">
        <f t="shared" si="576"/>
        <v/>
      </c>
    </row>
    <row r="11959" spans="9:14" x14ac:dyDescent="0.25">
      <c r="I11959" s="11" t="b">
        <f t="shared" si="577"/>
        <v>0</v>
      </c>
      <c r="M11959" s="17" t="str">
        <f t="shared" si="575"/>
        <v/>
      </c>
      <c r="N11959" s="11" t="str">
        <f t="shared" si="576"/>
        <v/>
      </c>
    </row>
    <row r="11960" spans="9:14" x14ac:dyDescent="0.25">
      <c r="I11960" s="11" t="b">
        <f t="shared" si="577"/>
        <v>0</v>
      </c>
      <c r="M11960" s="17" t="str">
        <f t="shared" si="575"/>
        <v/>
      </c>
      <c r="N11960" s="11" t="str">
        <f t="shared" si="576"/>
        <v/>
      </c>
    </row>
    <row r="11961" spans="9:14" x14ac:dyDescent="0.25">
      <c r="I11961" s="11" t="b">
        <f t="shared" si="577"/>
        <v>0</v>
      </c>
      <c r="M11961" s="17" t="str">
        <f t="shared" si="575"/>
        <v/>
      </c>
      <c r="N11961" s="11" t="str">
        <f t="shared" si="576"/>
        <v/>
      </c>
    </row>
    <row r="11962" spans="9:14" x14ac:dyDescent="0.25">
      <c r="I11962" s="11" t="b">
        <f t="shared" si="577"/>
        <v>0</v>
      </c>
      <c r="M11962" s="17" t="str">
        <f t="shared" si="575"/>
        <v/>
      </c>
      <c r="N11962" s="11" t="str">
        <f t="shared" si="576"/>
        <v/>
      </c>
    </row>
    <row r="11963" spans="9:14" x14ac:dyDescent="0.25">
      <c r="I11963" s="11" t="b">
        <f t="shared" si="577"/>
        <v>0</v>
      </c>
      <c r="M11963" s="17" t="str">
        <f t="shared" si="575"/>
        <v/>
      </c>
      <c r="N11963" s="11" t="str">
        <f t="shared" si="576"/>
        <v/>
      </c>
    </row>
    <row r="11964" spans="9:14" x14ac:dyDescent="0.25">
      <c r="I11964" s="11" t="b">
        <f t="shared" si="577"/>
        <v>0</v>
      </c>
      <c r="M11964" s="17" t="str">
        <f t="shared" si="575"/>
        <v/>
      </c>
      <c r="N11964" s="11" t="str">
        <f t="shared" si="576"/>
        <v/>
      </c>
    </row>
    <row r="11965" spans="9:14" x14ac:dyDescent="0.25">
      <c r="I11965" s="11" t="b">
        <f t="shared" si="577"/>
        <v>0</v>
      </c>
      <c r="M11965" s="17" t="str">
        <f t="shared" si="575"/>
        <v/>
      </c>
      <c r="N11965" s="11" t="str">
        <f t="shared" si="576"/>
        <v/>
      </c>
    </row>
    <row r="11966" spans="9:14" x14ac:dyDescent="0.25">
      <c r="I11966" s="11" t="b">
        <f t="shared" si="577"/>
        <v>0</v>
      </c>
      <c r="M11966" s="17" t="str">
        <f t="shared" si="575"/>
        <v/>
      </c>
      <c r="N11966" s="11" t="str">
        <f t="shared" si="576"/>
        <v/>
      </c>
    </row>
    <row r="11967" spans="9:14" x14ac:dyDescent="0.25">
      <c r="I11967" s="11" t="b">
        <f t="shared" si="577"/>
        <v>0</v>
      </c>
      <c r="M11967" s="17" t="str">
        <f t="shared" si="575"/>
        <v/>
      </c>
      <c r="N11967" s="11" t="str">
        <f t="shared" si="576"/>
        <v/>
      </c>
    </row>
    <row r="11968" spans="9:14" x14ac:dyDescent="0.25">
      <c r="I11968" s="11" t="b">
        <f t="shared" si="577"/>
        <v>0</v>
      </c>
      <c r="M11968" s="17" t="str">
        <f t="shared" si="575"/>
        <v/>
      </c>
      <c r="N11968" s="11" t="str">
        <f t="shared" si="576"/>
        <v/>
      </c>
    </row>
    <row r="11969" spans="9:14" x14ac:dyDescent="0.25">
      <c r="I11969" s="11" t="b">
        <f t="shared" si="577"/>
        <v>0</v>
      </c>
      <c r="M11969" s="17" t="str">
        <f t="shared" ref="M11969:M12032" si="578">IF(B11969=0, "",M11968+ J11969-K11969)</f>
        <v/>
      </c>
      <c r="N11969" s="11" t="str">
        <f t="shared" ref="N11969:N12032" si="579">IF(B11969=0, "", MONTH(B11969))</f>
        <v/>
      </c>
    </row>
    <row r="11970" spans="9:14" x14ac:dyDescent="0.25">
      <c r="I11970" s="11" t="b">
        <f t="shared" si="577"/>
        <v>0</v>
      </c>
      <c r="M11970" s="17" t="str">
        <f t="shared" si="578"/>
        <v/>
      </c>
      <c r="N11970" s="11" t="str">
        <f t="shared" si="579"/>
        <v/>
      </c>
    </row>
    <row r="11971" spans="9:14" x14ac:dyDescent="0.25">
      <c r="I11971" s="11" t="b">
        <f t="shared" si="577"/>
        <v>0</v>
      </c>
      <c r="M11971" s="17" t="str">
        <f t="shared" si="578"/>
        <v/>
      </c>
      <c r="N11971" s="11" t="str">
        <f t="shared" si="579"/>
        <v/>
      </c>
    </row>
    <row r="11972" spans="9:14" x14ac:dyDescent="0.25">
      <c r="I11972" s="11" t="b">
        <f t="shared" si="577"/>
        <v>0</v>
      </c>
      <c r="M11972" s="17" t="str">
        <f t="shared" si="578"/>
        <v/>
      </c>
      <c r="N11972" s="11" t="str">
        <f t="shared" si="579"/>
        <v/>
      </c>
    </row>
    <row r="11973" spans="9:14" x14ac:dyDescent="0.25">
      <c r="I11973" s="11" t="b">
        <f t="shared" si="577"/>
        <v>0</v>
      </c>
      <c r="M11973" s="17" t="str">
        <f t="shared" si="578"/>
        <v/>
      </c>
      <c r="N11973" s="11" t="str">
        <f t="shared" si="579"/>
        <v/>
      </c>
    </row>
    <row r="11974" spans="9:14" x14ac:dyDescent="0.25">
      <c r="I11974" s="11" t="b">
        <f t="shared" si="577"/>
        <v>0</v>
      </c>
      <c r="M11974" s="17" t="str">
        <f t="shared" si="578"/>
        <v/>
      </c>
      <c r="N11974" s="11" t="str">
        <f t="shared" si="579"/>
        <v/>
      </c>
    </row>
    <row r="11975" spans="9:14" x14ac:dyDescent="0.25">
      <c r="I11975" s="11" t="b">
        <f t="shared" si="577"/>
        <v>0</v>
      </c>
      <c r="M11975" s="17" t="str">
        <f t="shared" si="578"/>
        <v/>
      </c>
      <c r="N11975" s="11" t="str">
        <f t="shared" si="579"/>
        <v/>
      </c>
    </row>
    <row r="11976" spans="9:14" x14ac:dyDescent="0.25">
      <c r="I11976" s="11" t="b">
        <f t="shared" si="577"/>
        <v>0</v>
      </c>
      <c r="M11976" s="17" t="str">
        <f t="shared" si="578"/>
        <v/>
      </c>
      <c r="N11976" s="11" t="str">
        <f t="shared" si="579"/>
        <v/>
      </c>
    </row>
    <row r="11977" spans="9:14" x14ac:dyDescent="0.25">
      <c r="I11977" s="11" t="b">
        <f t="shared" si="577"/>
        <v>0</v>
      </c>
      <c r="M11977" s="17" t="str">
        <f t="shared" si="578"/>
        <v/>
      </c>
      <c r="N11977" s="11" t="str">
        <f t="shared" si="579"/>
        <v/>
      </c>
    </row>
    <row r="11978" spans="9:14" x14ac:dyDescent="0.25">
      <c r="I11978" s="11" t="b">
        <f t="shared" si="577"/>
        <v>0</v>
      </c>
      <c r="M11978" s="17" t="str">
        <f t="shared" si="578"/>
        <v/>
      </c>
      <c r="N11978" s="11" t="str">
        <f t="shared" si="579"/>
        <v/>
      </c>
    </row>
    <row r="11979" spans="9:14" x14ac:dyDescent="0.25">
      <c r="I11979" s="11" t="b">
        <f t="shared" si="577"/>
        <v>0</v>
      </c>
      <c r="M11979" s="17" t="str">
        <f t="shared" si="578"/>
        <v/>
      </c>
      <c r="N11979" s="11" t="str">
        <f t="shared" si="579"/>
        <v/>
      </c>
    </row>
    <row r="11980" spans="9:14" x14ac:dyDescent="0.25">
      <c r="I11980" s="11" t="b">
        <f t="shared" si="577"/>
        <v>0</v>
      </c>
      <c r="M11980" s="17" t="str">
        <f t="shared" si="578"/>
        <v/>
      </c>
      <c r="N11980" s="11" t="str">
        <f t="shared" si="579"/>
        <v/>
      </c>
    </row>
    <row r="11981" spans="9:14" x14ac:dyDescent="0.25">
      <c r="I11981" s="11" t="b">
        <f t="shared" si="577"/>
        <v>0</v>
      </c>
      <c r="M11981" s="17" t="str">
        <f t="shared" si="578"/>
        <v/>
      </c>
      <c r="N11981" s="11" t="str">
        <f t="shared" si="579"/>
        <v/>
      </c>
    </row>
    <row r="11982" spans="9:14" x14ac:dyDescent="0.25">
      <c r="I11982" s="11" t="b">
        <f t="shared" si="577"/>
        <v>0</v>
      </c>
      <c r="M11982" s="17" t="str">
        <f t="shared" si="578"/>
        <v/>
      </c>
      <c r="N11982" s="11" t="str">
        <f t="shared" si="579"/>
        <v/>
      </c>
    </row>
    <row r="11983" spans="9:14" x14ac:dyDescent="0.25">
      <c r="I11983" s="11" t="b">
        <f t="shared" si="577"/>
        <v>0</v>
      </c>
      <c r="M11983" s="17" t="str">
        <f t="shared" si="578"/>
        <v/>
      </c>
      <c r="N11983" s="11" t="str">
        <f t="shared" si="579"/>
        <v/>
      </c>
    </row>
    <row r="11984" spans="9:14" x14ac:dyDescent="0.25">
      <c r="I11984" s="11" t="b">
        <f t="shared" si="577"/>
        <v>0</v>
      </c>
      <c r="M11984" s="17" t="str">
        <f t="shared" si="578"/>
        <v/>
      </c>
      <c r="N11984" s="11" t="str">
        <f t="shared" si="579"/>
        <v/>
      </c>
    </row>
    <row r="11985" spans="9:14" x14ac:dyDescent="0.25">
      <c r="I11985" s="11" t="b">
        <f t="shared" si="577"/>
        <v>0</v>
      </c>
      <c r="M11985" s="17" t="str">
        <f t="shared" si="578"/>
        <v/>
      </c>
      <c r="N11985" s="11" t="str">
        <f t="shared" si="579"/>
        <v/>
      </c>
    </row>
    <row r="11986" spans="9:14" x14ac:dyDescent="0.25">
      <c r="I11986" s="11" t="b">
        <f t="shared" si="577"/>
        <v>0</v>
      </c>
      <c r="M11986" s="17" t="str">
        <f t="shared" si="578"/>
        <v/>
      </c>
      <c r="N11986" s="11" t="str">
        <f t="shared" si="579"/>
        <v/>
      </c>
    </row>
    <row r="11987" spans="9:14" x14ac:dyDescent="0.25">
      <c r="I11987" s="11" t="b">
        <f t="shared" si="577"/>
        <v>0</v>
      </c>
      <c r="M11987" s="17" t="str">
        <f t="shared" si="578"/>
        <v/>
      </c>
      <c r="N11987" s="11" t="str">
        <f t="shared" si="579"/>
        <v/>
      </c>
    </row>
    <row r="11988" spans="9:14" x14ac:dyDescent="0.25">
      <c r="I11988" s="11" t="b">
        <f t="shared" si="577"/>
        <v>0</v>
      </c>
      <c r="M11988" s="17" t="str">
        <f t="shared" si="578"/>
        <v/>
      </c>
      <c r="N11988" s="11" t="str">
        <f t="shared" si="579"/>
        <v/>
      </c>
    </row>
    <row r="11989" spans="9:14" x14ac:dyDescent="0.25">
      <c r="I11989" s="11" t="b">
        <f t="shared" si="577"/>
        <v>0</v>
      </c>
      <c r="M11989" s="17" t="str">
        <f t="shared" si="578"/>
        <v/>
      </c>
      <c r="N11989" s="11" t="str">
        <f t="shared" si="579"/>
        <v/>
      </c>
    </row>
    <row r="11990" spans="9:14" x14ac:dyDescent="0.25">
      <c r="I11990" s="11" t="b">
        <f t="shared" si="577"/>
        <v>0</v>
      </c>
      <c r="M11990" s="17" t="str">
        <f t="shared" si="578"/>
        <v/>
      </c>
      <c r="N11990" s="11" t="str">
        <f t="shared" si="579"/>
        <v/>
      </c>
    </row>
    <row r="11991" spans="9:14" x14ac:dyDescent="0.25">
      <c r="I11991" s="11" t="b">
        <f t="shared" si="577"/>
        <v>0</v>
      </c>
      <c r="M11991" s="17" t="str">
        <f t="shared" si="578"/>
        <v/>
      </c>
      <c r="N11991" s="11" t="str">
        <f t="shared" si="579"/>
        <v/>
      </c>
    </row>
    <row r="11992" spans="9:14" x14ac:dyDescent="0.25">
      <c r="I11992" s="11" t="b">
        <f t="shared" si="577"/>
        <v>0</v>
      </c>
      <c r="M11992" s="17" t="str">
        <f t="shared" si="578"/>
        <v/>
      </c>
      <c r="N11992" s="11" t="str">
        <f t="shared" si="579"/>
        <v/>
      </c>
    </row>
    <row r="11993" spans="9:14" x14ac:dyDescent="0.25">
      <c r="I11993" s="11" t="b">
        <f t="shared" si="577"/>
        <v>0</v>
      </c>
      <c r="M11993" s="17" t="str">
        <f t="shared" si="578"/>
        <v/>
      </c>
      <c r="N11993" s="11" t="str">
        <f t="shared" si="579"/>
        <v/>
      </c>
    </row>
    <row r="11994" spans="9:14" x14ac:dyDescent="0.25">
      <c r="I11994" s="11" t="b">
        <f t="shared" si="577"/>
        <v>0</v>
      </c>
      <c r="M11994" s="17" t="str">
        <f t="shared" si="578"/>
        <v/>
      </c>
      <c r="N11994" s="11" t="str">
        <f t="shared" si="579"/>
        <v/>
      </c>
    </row>
    <row r="11995" spans="9:14" x14ac:dyDescent="0.25">
      <c r="I11995" s="11" t="b">
        <f t="shared" si="577"/>
        <v>0</v>
      </c>
      <c r="M11995" s="17" t="str">
        <f t="shared" si="578"/>
        <v/>
      </c>
      <c r="N11995" s="11" t="str">
        <f t="shared" si="579"/>
        <v/>
      </c>
    </row>
    <row r="11996" spans="9:14" x14ac:dyDescent="0.25">
      <c r="I11996" s="11" t="b">
        <f t="shared" si="577"/>
        <v>0</v>
      </c>
      <c r="M11996" s="17" t="str">
        <f t="shared" si="578"/>
        <v/>
      </c>
      <c r="N11996" s="11" t="str">
        <f t="shared" si="579"/>
        <v/>
      </c>
    </row>
    <row r="11997" spans="9:14" x14ac:dyDescent="0.25">
      <c r="I11997" s="11" t="b">
        <f t="shared" ref="I11997:I12060" si="580">IF(AND(G11997="MERCADO PAGO",A11997="FATURAMENTO"),1,IF(AND(OR(G11997="MERCADO PAGO",G11997="pix mercado pago",G11997= "débito automático mercado pago", G11997= "boleto mercado pago"),A11997="DESPESAS"),4,IF(AND(G11997="SAFRA",A11997="FATURAMENTO"),2,IF(AND(OR(G11997="SAFRA",G11997="PIX SAFRA", G11997="DÉBITO AUTOMÁTICO SAFRA", G11997= "BOLETO SAFRA", G11997= "transferência safra"), A11997="DESPESAS"),5,IF(AND(G11997="espécie",A11997="FATURAMENTO"),3,IF(AND(G11997="espécie",A11997="DESPESAS"),6))))))</f>
        <v>0</v>
      </c>
      <c r="M11997" s="17" t="str">
        <f t="shared" si="578"/>
        <v/>
      </c>
      <c r="N11997" s="11" t="str">
        <f t="shared" si="579"/>
        <v/>
      </c>
    </row>
    <row r="11998" spans="9:14" x14ac:dyDescent="0.25">
      <c r="I11998" s="11" t="b">
        <f t="shared" si="580"/>
        <v>0</v>
      </c>
      <c r="M11998" s="17" t="str">
        <f t="shared" si="578"/>
        <v/>
      </c>
      <c r="N11998" s="11" t="str">
        <f t="shared" si="579"/>
        <v/>
      </c>
    </row>
    <row r="11999" spans="9:14" x14ac:dyDescent="0.25">
      <c r="I11999" s="11" t="b">
        <f t="shared" si="580"/>
        <v>0</v>
      </c>
      <c r="M11999" s="17" t="str">
        <f t="shared" si="578"/>
        <v/>
      </c>
      <c r="N11999" s="11" t="str">
        <f t="shared" si="579"/>
        <v/>
      </c>
    </row>
    <row r="12000" spans="9:14" x14ac:dyDescent="0.25">
      <c r="I12000" s="11" t="b">
        <f t="shared" si="580"/>
        <v>0</v>
      </c>
      <c r="M12000" s="17" t="str">
        <f t="shared" si="578"/>
        <v/>
      </c>
      <c r="N12000" s="11" t="str">
        <f t="shared" si="579"/>
        <v/>
      </c>
    </row>
    <row r="12001" spans="9:14" x14ac:dyDescent="0.25">
      <c r="I12001" s="11" t="b">
        <f t="shared" si="580"/>
        <v>0</v>
      </c>
      <c r="M12001" s="17" t="str">
        <f t="shared" si="578"/>
        <v/>
      </c>
      <c r="N12001" s="11" t="str">
        <f t="shared" si="579"/>
        <v/>
      </c>
    </row>
    <row r="12002" spans="9:14" x14ac:dyDescent="0.25">
      <c r="I12002" s="11" t="b">
        <f t="shared" si="580"/>
        <v>0</v>
      </c>
      <c r="M12002" s="17" t="str">
        <f t="shared" si="578"/>
        <v/>
      </c>
      <c r="N12002" s="11" t="str">
        <f t="shared" si="579"/>
        <v/>
      </c>
    </row>
    <row r="12003" spans="9:14" x14ac:dyDescent="0.25">
      <c r="I12003" s="11" t="b">
        <f t="shared" si="580"/>
        <v>0</v>
      </c>
      <c r="M12003" s="17" t="str">
        <f t="shared" si="578"/>
        <v/>
      </c>
      <c r="N12003" s="11" t="str">
        <f t="shared" si="579"/>
        <v/>
      </c>
    </row>
    <row r="12004" spans="9:14" x14ac:dyDescent="0.25">
      <c r="I12004" s="11" t="b">
        <f t="shared" si="580"/>
        <v>0</v>
      </c>
      <c r="M12004" s="17" t="str">
        <f t="shared" si="578"/>
        <v/>
      </c>
      <c r="N12004" s="11" t="str">
        <f t="shared" si="579"/>
        <v/>
      </c>
    </row>
    <row r="12005" spans="9:14" x14ac:dyDescent="0.25">
      <c r="I12005" s="11" t="b">
        <f t="shared" si="580"/>
        <v>0</v>
      </c>
      <c r="M12005" s="17" t="str">
        <f t="shared" si="578"/>
        <v/>
      </c>
      <c r="N12005" s="11" t="str">
        <f t="shared" si="579"/>
        <v/>
      </c>
    </row>
    <row r="12006" spans="9:14" x14ac:dyDescent="0.25">
      <c r="I12006" s="11" t="b">
        <f t="shared" si="580"/>
        <v>0</v>
      </c>
      <c r="M12006" s="17" t="str">
        <f t="shared" si="578"/>
        <v/>
      </c>
      <c r="N12006" s="11" t="str">
        <f t="shared" si="579"/>
        <v/>
      </c>
    </row>
    <row r="12007" spans="9:14" x14ac:dyDescent="0.25">
      <c r="I12007" s="11" t="b">
        <f t="shared" si="580"/>
        <v>0</v>
      </c>
      <c r="M12007" s="17" t="str">
        <f t="shared" si="578"/>
        <v/>
      </c>
      <c r="N12007" s="11" t="str">
        <f t="shared" si="579"/>
        <v/>
      </c>
    </row>
    <row r="12008" spans="9:14" x14ac:dyDescent="0.25">
      <c r="I12008" s="11" t="b">
        <f t="shared" si="580"/>
        <v>0</v>
      </c>
      <c r="M12008" s="17" t="str">
        <f t="shared" si="578"/>
        <v/>
      </c>
      <c r="N12008" s="11" t="str">
        <f t="shared" si="579"/>
        <v/>
      </c>
    </row>
    <row r="12009" spans="9:14" x14ac:dyDescent="0.25">
      <c r="I12009" s="11" t="b">
        <f t="shared" si="580"/>
        <v>0</v>
      </c>
      <c r="M12009" s="17" t="str">
        <f t="shared" si="578"/>
        <v/>
      </c>
      <c r="N12009" s="11" t="str">
        <f t="shared" si="579"/>
        <v/>
      </c>
    </row>
    <row r="12010" spans="9:14" x14ac:dyDescent="0.25">
      <c r="I12010" s="11" t="b">
        <f t="shared" si="580"/>
        <v>0</v>
      </c>
      <c r="M12010" s="17" t="str">
        <f t="shared" si="578"/>
        <v/>
      </c>
      <c r="N12010" s="11" t="str">
        <f t="shared" si="579"/>
        <v/>
      </c>
    </row>
    <row r="12011" spans="9:14" x14ac:dyDescent="0.25">
      <c r="I12011" s="11" t="b">
        <f t="shared" si="580"/>
        <v>0</v>
      </c>
      <c r="M12011" s="17" t="str">
        <f t="shared" si="578"/>
        <v/>
      </c>
      <c r="N12011" s="11" t="str">
        <f t="shared" si="579"/>
        <v/>
      </c>
    </row>
    <row r="12012" spans="9:14" x14ac:dyDescent="0.25">
      <c r="I12012" s="11" t="b">
        <f t="shared" si="580"/>
        <v>0</v>
      </c>
      <c r="M12012" s="17" t="str">
        <f t="shared" si="578"/>
        <v/>
      </c>
      <c r="N12012" s="11" t="str">
        <f t="shared" si="579"/>
        <v/>
      </c>
    </row>
    <row r="12013" spans="9:14" x14ac:dyDescent="0.25">
      <c r="I12013" s="11" t="b">
        <f t="shared" si="580"/>
        <v>0</v>
      </c>
      <c r="M12013" s="17" t="str">
        <f t="shared" si="578"/>
        <v/>
      </c>
      <c r="N12013" s="11" t="str">
        <f t="shared" si="579"/>
        <v/>
      </c>
    </row>
    <row r="12014" spans="9:14" x14ac:dyDescent="0.25">
      <c r="I12014" s="11" t="b">
        <f t="shared" si="580"/>
        <v>0</v>
      </c>
      <c r="M12014" s="17" t="str">
        <f t="shared" si="578"/>
        <v/>
      </c>
      <c r="N12014" s="11" t="str">
        <f t="shared" si="579"/>
        <v/>
      </c>
    </row>
    <row r="12015" spans="9:14" x14ac:dyDescent="0.25">
      <c r="I12015" s="11" t="b">
        <f t="shared" si="580"/>
        <v>0</v>
      </c>
      <c r="M12015" s="17" t="str">
        <f t="shared" si="578"/>
        <v/>
      </c>
      <c r="N12015" s="11" t="str">
        <f t="shared" si="579"/>
        <v/>
      </c>
    </row>
    <row r="12016" spans="9:14" x14ac:dyDescent="0.25">
      <c r="I12016" s="11" t="b">
        <f t="shared" si="580"/>
        <v>0</v>
      </c>
      <c r="M12016" s="17" t="str">
        <f t="shared" si="578"/>
        <v/>
      </c>
      <c r="N12016" s="11" t="str">
        <f t="shared" si="579"/>
        <v/>
      </c>
    </row>
    <row r="12017" spans="9:14" x14ac:dyDescent="0.25">
      <c r="I12017" s="11" t="b">
        <f t="shared" si="580"/>
        <v>0</v>
      </c>
      <c r="M12017" s="17" t="str">
        <f t="shared" si="578"/>
        <v/>
      </c>
      <c r="N12017" s="11" t="str">
        <f t="shared" si="579"/>
        <v/>
      </c>
    </row>
    <row r="12018" spans="9:14" x14ac:dyDescent="0.25">
      <c r="I12018" s="11" t="b">
        <f t="shared" si="580"/>
        <v>0</v>
      </c>
      <c r="M12018" s="17" t="str">
        <f t="shared" si="578"/>
        <v/>
      </c>
      <c r="N12018" s="11" t="str">
        <f t="shared" si="579"/>
        <v/>
      </c>
    </row>
    <row r="12019" spans="9:14" x14ac:dyDescent="0.25">
      <c r="I12019" s="11" t="b">
        <f t="shared" si="580"/>
        <v>0</v>
      </c>
      <c r="M12019" s="17" t="str">
        <f t="shared" si="578"/>
        <v/>
      </c>
      <c r="N12019" s="11" t="str">
        <f t="shared" si="579"/>
        <v/>
      </c>
    </row>
    <row r="12020" spans="9:14" x14ac:dyDescent="0.25">
      <c r="I12020" s="11" t="b">
        <f t="shared" si="580"/>
        <v>0</v>
      </c>
      <c r="M12020" s="17" t="str">
        <f t="shared" si="578"/>
        <v/>
      </c>
      <c r="N12020" s="11" t="str">
        <f t="shared" si="579"/>
        <v/>
      </c>
    </row>
    <row r="12021" spans="9:14" x14ac:dyDescent="0.25">
      <c r="I12021" s="11" t="b">
        <f t="shared" si="580"/>
        <v>0</v>
      </c>
      <c r="M12021" s="17" t="str">
        <f t="shared" si="578"/>
        <v/>
      </c>
      <c r="N12021" s="11" t="str">
        <f t="shared" si="579"/>
        <v/>
      </c>
    </row>
    <row r="12022" spans="9:14" x14ac:dyDescent="0.25">
      <c r="I12022" s="11" t="b">
        <f t="shared" si="580"/>
        <v>0</v>
      </c>
      <c r="M12022" s="17" t="str">
        <f t="shared" si="578"/>
        <v/>
      </c>
      <c r="N12022" s="11" t="str">
        <f t="shared" si="579"/>
        <v/>
      </c>
    </row>
    <row r="12023" spans="9:14" x14ac:dyDescent="0.25">
      <c r="I12023" s="11" t="b">
        <f t="shared" si="580"/>
        <v>0</v>
      </c>
      <c r="M12023" s="17" t="str">
        <f t="shared" si="578"/>
        <v/>
      </c>
      <c r="N12023" s="11" t="str">
        <f t="shared" si="579"/>
        <v/>
      </c>
    </row>
    <row r="12024" spans="9:14" x14ac:dyDescent="0.25">
      <c r="I12024" s="11" t="b">
        <f t="shared" si="580"/>
        <v>0</v>
      </c>
      <c r="M12024" s="17" t="str">
        <f t="shared" si="578"/>
        <v/>
      </c>
      <c r="N12024" s="11" t="str">
        <f t="shared" si="579"/>
        <v/>
      </c>
    </row>
    <row r="12025" spans="9:14" x14ac:dyDescent="0.25">
      <c r="I12025" s="11" t="b">
        <f t="shared" si="580"/>
        <v>0</v>
      </c>
      <c r="M12025" s="17" t="str">
        <f t="shared" si="578"/>
        <v/>
      </c>
      <c r="N12025" s="11" t="str">
        <f t="shared" si="579"/>
        <v/>
      </c>
    </row>
    <row r="12026" spans="9:14" x14ac:dyDescent="0.25">
      <c r="I12026" s="11" t="b">
        <f t="shared" si="580"/>
        <v>0</v>
      </c>
      <c r="M12026" s="17" t="str">
        <f t="shared" si="578"/>
        <v/>
      </c>
      <c r="N12026" s="11" t="str">
        <f t="shared" si="579"/>
        <v/>
      </c>
    </row>
    <row r="12027" spans="9:14" x14ac:dyDescent="0.25">
      <c r="I12027" s="11" t="b">
        <f t="shared" si="580"/>
        <v>0</v>
      </c>
      <c r="M12027" s="17" t="str">
        <f t="shared" si="578"/>
        <v/>
      </c>
      <c r="N12027" s="11" t="str">
        <f t="shared" si="579"/>
        <v/>
      </c>
    </row>
    <row r="12028" spans="9:14" x14ac:dyDescent="0.25">
      <c r="I12028" s="11" t="b">
        <f t="shared" si="580"/>
        <v>0</v>
      </c>
      <c r="M12028" s="17" t="str">
        <f t="shared" si="578"/>
        <v/>
      </c>
      <c r="N12028" s="11" t="str">
        <f t="shared" si="579"/>
        <v/>
      </c>
    </row>
    <row r="12029" spans="9:14" x14ac:dyDescent="0.25">
      <c r="I12029" s="11" t="b">
        <f t="shared" si="580"/>
        <v>0</v>
      </c>
      <c r="M12029" s="17" t="str">
        <f t="shared" si="578"/>
        <v/>
      </c>
      <c r="N12029" s="11" t="str">
        <f t="shared" si="579"/>
        <v/>
      </c>
    </row>
    <row r="12030" spans="9:14" x14ac:dyDescent="0.25">
      <c r="I12030" s="11" t="b">
        <f t="shared" si="580"/>
        <v>0</v>
      </c>
      <c r="M12030" s="17" t="str">
        <f t="shared" si="578"/>
        <v/>
      </c>
      <c r="N12030" s="11" t="str">
        <f t="shared" si="579"/>
        <v/>
      </c>
    </row>
    <row r="12031" spans="9:14" x14ac:dyDescent="0.25">
      <c r="I12031" s="11" t="b">
        <f t="shared" si="580"/>
        <v>0</v>
      </c>
      <c r="M12031" s="17" t="str">
        <f t="shared" si="578"/>
        <v/>
      </c>
      <c r="N12031" s="11" t="str">
        <f t="shared" si="579"/>
        <v/>
      </c>
    </row>
    <row r="12032" spans="9:14" x14ac:dyDescent="0.25">
      <c r="I12032" s="11" t="b">
        <f t="shared" si="580"/>
        <v>0</v>
      </c>
      <c r="M12032" s="17" t="str">
        <f t="shared" si="578"/>
        <v/>
      </c>
      <c r="N12032" s="11" t="str">
        <f t="shared" si="579"/>
        <v/>
      </c>
    </row>
    <row r="12033" spans="9:14" x14ac:dyDescent="0.25">
      <c r="I12033" s="11" t="b">
        <f t="shared" si="580"/>
        <v>0</v>
      </c>
      <c r="M12033" s="17" t="str">
        <f t="shared" ref="M12033:M12096" si="581">IF(B12033=0, "",M12032+ J12033-K12033)</f>
        <v/>
      </c>
      <c r="N12033" s="11" t="str">
        <f t="shared" ref="N12033:N12096" si="582">IF(B12033=0, "", MONTH(B12033))</f>
        <v/>
      </c>
    </row>
    <row r="12034" spans="9:14" x14ac:dyDescent="0.25">
      <c r="I12034" s="11" t="b">
        <f t="shared" si="580"/>
        <v>0</v>
      </c>
      <c r="M12034" s="17" t="str">
        <f t="shared" si="581"/>
        <v/>
      </c>
      <c r="N12034" s="11" t="str">
        <f t="shared" si="582"/>
        <v/>
      </c>
    </row>
    <row r="12035" spans="9:14" x14ac:dyDescent="0.25">
      <c r="I12035" s="11" t="b">
        <f t="shared" si="580"/>
        <v>0</v>
      </c>
      <c r="M12035" s="17" t="str">
        <f t="shared" si="581"/>
        <v/>
      </c>
      <c r="N12035" s="11" t="str">
        <f t="shared" si="582"/>
        <v/>
      </c>
    </row>
    <row r="12036" spans="9:14" x14ac:dyDescent="0.25">
      <c r="I12036" s="11" t="b">
        <f t="shared" si="580"/>
        <v>0</v>
      </c>
      <c r="M12036" s="17" t="str">
        <f t="shared" si="581"/>
        <v/>
      </c>
      <c r="N12036" s="11" t="str">
        <f t="shared" si="582"/>
        <v/>
      </c>
    </row>
    <row r="12037" spans="9:14" x14ac:dyDescent="0.25">
      <c r="I12037" s="11" t="b">
        <f t="shared" si="580"/>
        <v>0</v>
      </c>
      <c r="M12037" s="17" t="str">
        <f t="shared" si="581"/>
        <v/>
      </c>
      <c r="N12037" s="11" t="str">
        <f t="shared" si="582"/>
        <v/>
      </c>
    </row>
    <row r="12038" spans="9:14" x14ac:dyDescent="0.25">
      <c r="I12038" s="11" t="b">
        <f t="shared" si="580"/>
        <v>0</v>
      </c>
      <c r="M12038" s="17" t="str">
        <f t="shared" si="581"/>
        <v/>
      </c>
      <c r="N12038" s="11" t="str">
        <f t="shared" si="582"/>
        <v/>
      </c>
    </row>
    <row r="12039" spans="9:14" x14ac:dyDescent="0.25">
      <c r="I12039" s="11" t="b">
        <f t="shared" si="580"/>
        <v>0</v>
      </c>
      <c r="M12039" s="17" t="str">
        <f t="shared" si="581"/>
        <v/>
      </c>
      <c r="N12039" s="11" t="str">
        <f t="shared" si="582"/>
        <v/>
      </c>
    </row>
    <row r="12040" spans="9:14" x14ac:dyDescent="0.25">
      <c r="I12040" s="11" t="b">
        <f t="shared" si="580"/>
        <v>0</v>
      </c>
      <c r="M12040" s="17" t="str">
        <f t="shared" si="581"/>
        <v/>
      </c>
      <c r="N12040" s="11" t="str">
        <f t="shared" si="582"/>
        <v/>
      </c>
    </row>
    <row r="12041" spans="9:14" x14ac:dyDescent="0.25">
      <c r="I12041" s="11" t="b">
        <f t="shared" si="580"/>
        <v>0</v>
      </c>
      <c r="M12041" s="17" t="str">
        <f t="shared" si="581"/>
        <v/>
      </c>
      <c r="N12041" s="11" t="str">
        <f t="shared" si="582"/>
        <v/>
      </c>
    </row>
    <row r="12042" spans="9:14" x14ac:dyDescent="0.25">
      <c r="I12042" s="11" t="b">
        <f t="shared" si="580"/>
        <v>0</v>
      </c>
      <c r="M12042" s="17" t="str">
        <f t="shared" si="581"/>
        <v/>
      </c>
      <c r="N12042" s="11" t="str">
        <f t="shared" si="582"/>
        <v/>
      </c>
    </row>
    <row r="12043" spans="9:14" x14ac:dyDescent="0.25">
      <c r="I12043" s="11" t="b">
        <f t="shared" si="580"/>
        <v>0</v>
      </c>
      <c r="M12043" s="17" t="str">
        <f t="shared" si="581"/>
        <v/>
      </c>
      <c r="N12043" s="11" t="str">
        <f t="shared" si="582"/>
        <v/>
      </c>
    </row>
    <row r="12044" spans="9:14" x14ac:dyDescent="0.25">
      <c r="I12044" s="11" t="b">
        <f t="shared" si="580"/>
        <v>0</v>
      </c>
      <c r="M12044" s="17" t="str">
        <f t="shared" si="581"/>
        <v/>
      </c>
      <c r="N12044" s="11" t="str">
        <f t="shared" si="582"/>
        <v/>
      </c>
    </row>
    <row r="12045" spans="9:14" x14ac:dyDescent="0.25">
      <c r="I12045" s="11" t="b">
        <f t="shared" si="580"/>
        <v>0</v>
      </c>
      <c r="M12045" s="17" t="str">
        <f t="shared" si="581"/>
        <v/>
      </c>
      <c r="N12045" s="11" t="str">
        <f t="shared" si="582"/>
        <v/>
      </c>
    </row>
    <row r="12046" spans="9:14" x14ac:dyDescent="0.25">
      <c r="I12046" s="11" t="b">
        <f t="shared" si="580"/>
        <v>0</v>
      </c>
      <c r="M12046" s="17" t="str">
        <f t="shared" si="581"/>
        <v/>
      </c>
      <c r="N12046" s="11" t="str">
        <f t="shared" si="582"/>
        <v/>
      </c>
    </row>
    <row r="12047" spans="9:14" x14ac:dyDescent="0.25">
      <c r="I12047" s="11" t="b">
        <f t="shared" si="580"/>
        <v>0</v>
      </c>
      <c r="M12047" s="17" t="str">
        <f t="shared" si="581"/>
        <v/>
      </c>
      <c r="N12047" s="11" t="str">
        <f t="shared" si="582"/>
        <v/>
      </c>
    </row>
    <row r="12048" spans="9:14" x14ac:dyDescent="0.25">
      <c r="I12048" s="11" t="b">
        <f t="shared" si="580"/>
        <v>0</v>
      </c>
      <c r="M12048" s="17" t="str">
        <f t="shared" si="581"/>
        <v/>
      </c>
      <c r="N12048" s="11" t="str">
        <f t="shared" si="582"/>
        <v/>
      </c>
    </row>
    <row r="12049" spans="9:14" x14ac:dyDescent="0.25">
      <c r="I12049" s="11" t="b">
        <f t="shared" si="580"/>
        <v>0</v>
      </c>
      <c r="M12049" s="17" t="str">
        <f t="shared" si="581"/>
        <v/>
      </c>
      <c r="N12049" s="11" t="str">
        <f t="shared" si="582"/>
        <v/>
      </c>
    </row>
    <row r="12050" spans="9:14" x14ac:dyDescent="0.25">
      <c r="I12050" s="11" t="b">
        <f t="shared" si="580"/>
        <v>0</v>
      </c>
      <c r="M12050" s="17" t="str">
        <f t="shared" si="581"/>
        <v/>
      </c>
      <c r="N12050" s="11" t="str">
        <f t="shared" si="582"/>
        <v/>
      </c>
    </row>
    <row r="12051" spans="9:14" x14ac:dyDescent="0.25">
      <c r="I12051" s="11" t="b">
        <f t="shared" si="580"/>
        <v>0</v>
      </c>
      <c r="M12051" s="17" t="str">
        <f t="shared" si="581"/>
        <v/>
      </c>
      <c r="N12051" s="11" t="str">
        <f t="shared" si="582"/>
        <v/>
      </c>
    </row>
    <row r="12052" spans="9:14" x14ac:dyDescent="0.25">
      <c r="I12052" s="11" t="b">
        <f t="shared" si="580"/>
        <v>0</v>
      </c>
      <c r="M12052" s="17" t="str">
        <f t="shared" si="581"/>
        <v/>
      </c>
      <c r="N12052" s="11" t="str">
        <f t="shared" si="582"/>
        <v/>
      </c>
    </row>
    <row r="12053" spans="9:14" x14ac:dyDescent="0.25">
      <c r="I12053" s="11" t="b">
        <f t="shared" si="580"/>
        <v>0</v>
      </c>
      <c r="M12053" s="17" t="str">
        <f t="shared" si="581"/>
        <v/>
      </c>
      <c r="N12053" s="11" t="str">
        <f t="shared" si="582"/>
        <v/>
      </c>
    </row>
    <row r="12054" spans="9:14" x14ac:dyDescent="0.25">
      <c r="I12054" s="11" t="b">
        <f t="shared" si="580"/>
        <v>0</v>
      </c>
      <c r="M12054" s="17" t="str">
        <f t="shared" si="581"/>
        <v/>
      </c>
      <c r="N12054" s="11" t="str">
        <f t="shared" si="582"/>
        <v/>
      </c>
    </row>
    <row r="12055" spans="9:14" x14ac:dyDescent="0.25">
      <c r="I12055" s="11" t="b">
        <f t="shared" si="580"/>
        <v>0</v>
      </c>
      <c r="M12055" s="17" t="str">
        <f t="shared" si="581"/>
        <v/>
      </c>
      <c r="N12055" s="11" t="str">
        <f t="shared" si="582"/>
        <v/>
      </c>
    </row>
    <row r="12056" spans="9:14" x14ac:dyDescent="0.25">
      <c r="I12056" s="11" t="b">
        <f t="shared" si="580"/>
        <v>0</v>
      </c>
      <c r="M12056" s="17" t="str">
        <f t="shared" si="581"/>
        <v/>
      </c>
      <c r="N12056" s="11" t="str">
        <f t="shared" si="582"/>
        <v/>
      </c>
    </row>
    <row r="12057" spans="9:14" x14ac:dyDescent="0.25">
      <c r="I12057" s="11" t="b">
        <f t="shared" si="580"/>
        <v>0</v>
      </c>
      <c r="M12057" s="17" t="str">
        <f t="shared" si="581"/>
        <v/>
      </c>
      <c r="N12057" s="11" t="str">
        <f t="shared" si="582"/>
        <v/>
      </c>
    </row>
    <row r="12058" spans="9:14" x14ac:dyDescent="0.25">
      <c r="I12058" s="11" t="b">
        <f t="shared" si="580"/>
        <v>0</v>
      </c>
      <c r="M12058" s="17" t="str">
        <f t="shared" si="581"/>
        <v/>
      </c>
      <c r="N12058" s="11" t="str">
        <f t="shared" si="582"/>
        <v/>
      </c>
    </row>
    <row r="12059" spans="9:14" x14ac:dyDescent="0.25">
      <c r="I12059" s="11" t="b">
        <f t="shared" si="580"/>
        <v>0</v>
      </c>
      <c r="M12059" s="17" t="str">
        <f t="shared" si="581"/>
        <v/>
      </c>
      <c r="N12059" s="11" t="str">
        <f t="shared" si="582"/>
        <v/>
      </c>
    </row>
    <row r="12060" spans="9:14" x14ac:dyDescent="0.25">
      <c r="I12060" s="11" t="b">
        <f t="shared" si="580"/>
        <v>0</v>
      </c>
      <c r="M12060" s="17" t="str">
        <f t="shared" si="581"/>
        <v/>
      </c>
      <c r="N12060" s="11" t="str">
        <f t="shared" si="582"/>
        <v/>
      </c>
    </row>
    <row r="12061" spans="9:14" x14ac:dyDescent="0.25">
      <c r="I12061" s="11" t="b">
        <f t="shared" ref="I12061:I12124" si="583">IF(AND(G12061="MERCADO PAGO",A12061="FATURAMENTO"),1,IF(AND(OR(G12061="MERCADO PAGO",G12061="pix mercado pago",G12061= "débito automático mercado pago", G12061= "boleto mercado pago"),A12061="DESPESAS"),4,IF(AND(G12061="SAFRA",A12061="FATURAMENTO"),2,IF(AND(OR(G12061="SAFRA",G12061="PIX SAFRA", G12061="DÉBITO AUTOMÁTICO SAFRA", G12061= "BOLETO SAFRA", G12061= "transferência safra"), A12061="DESPESAS"),5,IF(AND(G12061="espécie",A12061="FATURAMENTO"),3,IF(AND(G12061="espécie",A12061="DESPESAS"),6))))))</f>
        <v>0</v>
      </c>
      <c r="M12061" s="17" t="str">
        <f t="shared" si="581"/>
        <v/>
      </c>
      <c r="N12061" s="11" t="str">
        <f t="shared" si="582"/>
        <v/>
      </c>
    </row>
    <row r="12062" spans="9:14" x14ac:dyDescent="0.25">
      <c r="I12062" s="11" t="b">
        <f t="shared" si="583"/>
        <v>0</v>
      </c>
      <c r="M12062" s="17" t="str">
        <f t="shared" si="581"/>
        <v/>
      </c>
      <c r="N12062" s="11" t="str">
        <f t="shared" si="582"/>
        <v/>
      </c>
    </row>
    <row r="12063" spans="9:14" x14ac:dyDescent="0.25">
      <c r="I12063" s="11" t="b">
        <f t="shared" si="583"/>
        <v>0</v>
      </c>
      <c r="M12063" s="17" t="str">
        <f t="shared" si="581"/>
        <v/>
      </c>
      <c r="N12063" s="11" t="str">
        <f t="shared" si="582"/>
        <v/>
      </c>
    </row>
    <row r="12064" spans="9:14" x14ac:dyDescent="0.25">
      <c r="I12064" s="11" t="b">
        <f t="shared" si="583"/>
        <v>0</v>
      </c>
      <c r="M12064" s="17" t="str">
        <f t="shared" si="581"/>
        <v/>
      </c>
      <c r="N12064" s="11" t="str">
        <f t="shared" si="582"/>
        <v/>
      </c>
    </row>
    <row r="12065" spans="9:14" x14ac:dyDescent="0.25">
      <c r="I12065" s="11" t="b">
        <f t="shared" si="583"/>
        <v>0</v>
      </c>
      <c r="M12065" s="17" t="str">
        <f t="shared" si="581"/>
        <v/>
      </c>
      <c r="N12065" s="11" t="str">
        <f t="shared" si="582"/>
        <v/>
      </c>
    </row>
    <row r="12066" spans="9:14" x14ac:dyDescent="0.25">
      <c r="I12066" s="11" t="b">
        <f t="shared" si="583"/>
        <v>0</v>
      </c>
      <c r="M12066" s="17" t="str">
        <f t="shared" si="581"/>
        <v/>
      </c>
      <c r="N12066" s="11" t="str">
        <f t="shared" si="582"/>
        <v/>
      </c>
    </row>
    <row r="12067" spans="9:14" x14ac:dyDescent="0.25">
      <c r="I12067" s="11" t="b">
        <f t="shared" si="583"/>
        <v>0</v>
      </c>
      <c r="M12067" s="17" t="str">
        <f t="shared" si="581"/>
        <v/>
      </c>
      <c r="N12067" s="11" t="str">
        <f t="shared" si="582"/>
        <v/>
      </c>
    </row>
    <row r="12068" spans="9:14" x14ac:dyDescent="0.25">
      <c r="I12068" s="11" t="b">
        <f t="shared" si="583"/>
        <v>0</v>
      </c>
      <c r="M12068" s="17" t="str">
        <f t="shared" si="581"/>
        <v/>
      </c>
      <c r="N12068" s="11" t="str">
        <f t="shared" si="582"/>
        <v/>
      </c>
    </row>
    <row r="12069" spans="9:14" x14ac:dyDescent="0.25">
      <c r="I12069" s="11" t="b">
        <f t="shared" si="583"/>
        <v>0</v>
      </c>
      <c r="M12069" s="17" t="str">
        <f t="shared" si="581"/>
        <v/>
      </c>
      <c r="N12069" s="11" t="str">
        <f t="shared" si="582"/>
        <v/>
      </c>
    </row>
    <row r="12070" spans="9:14" x14ac:dyDescent="0.25">
      <c r="I12070" s="11" t="b">
        <f t="shared" si="583"/>
        <v>0</v>
      </c>
      <c r="M12070" s="17" t="str">
        <f t="shared" si="581"/>
        <v/>
      </c>
      <c r="N12070" s="11" t="str">
        <f t="shared" si="582"/>
        <v/>
      </c>
    </row>
    <row r="12071" spans="9:14" x14ac:dyDescent="0.25">
      <c r="I12071" s="11" t="b">
        <f t="shared" si="583"/>
        <v>0</v>
      </c>
      <c r="M12071" s="17" t="str">
        <f t="shared" si="581"/>
        <v/>
      </c>
      <c r="N12071" s="11" t="str">
        <f t="shared" si="582"/>
        <v/>
      </c>
    </row>
    <row r="12072" spans="9:14" x14ac:dyDescent="0.25">
      <c r="I12072" s="11" t="b">
        <f t="shared" si="583"/>
        <v>0</v>
      </c>
      <c r="M12072" s="17" t="str">
        <f t="shared" si="581"/>
        <v/>
      </c>
      <c r="N12072" s="11" t="str">
        <f t="shared" si="582"/>
        <v/>
      </c>
    </row>
    <row r="12073" spans="9:14" x14ac:dyDescent="0.25">
      <c r="I12073" s="11" t="b">
        <f t="shared" si="583"/>
        <v>0</v>
      </c>
      <c r="M12073" s="17" t="str">
        <f t="shared" si="581"/>
        <v/>
      </c>
      <c r="N12073" s="11" t="str">
        <f t="shared" si="582"/>
        <v/>
      </c>
    </row>
    <row r="12074" spans="9:14" x14ac:dyDescent="0.25">
      <c r="I12074" s="11" t="b">
        <f t="shared" si="583"/>
        <v>0</v>
      </c>
      <c r="M12074" s="17" t="str">
        <f t="shared" si="581"/>
        <v/>
      </c>
      <c r="N12074" s="11" t="str">
        <f t="shared" si="582"/>
        <v/>
      </c>
    </row>
    <row r="12075" spans="9:14" x14ac:dyDescent="0.25">
      <c r="I12075" s="11" t="b">
        <f t="shared" si="583"/>
        <v>0</v>
      </c>
      <c r="M12075" s="17" t="str">
        <f t="shared" si="581"/>
        <v/>
      </c>
      <c r="N12075" s="11" t="str">
        <f t="shared" si="582"/>
        <v/>
      </c>
    </row>
    <row r="12076" spans="9:14" x14ac:dyDescent="0.25">
      <c r="I12076" s="11" t="b">
        <f t="shared" si="583"/>
        <v>0</v>
      </c>
      <c r="M12076" s="17" t="str">
        <f t="shared" si="581"/>
        <v/>
      </c>
      <c r="N12076" s="11" t="str">
        <f t="shared" si="582"/>
        <v/>
      </c>
    </row>
    <row r="12077" spans="9:14" x14ac:dyDescent="0.25">
      <c r="I12077" s="11" t="b">
        <f t="shared" si="583"/>
        <v>0</v>
      </c>
      <c r="M12077" s="17" t="str">
        <f t="shared" si="581"/>
        <v/>
      </c>
      <c r="N12077" s="11" t="str">
        <f t="shared" si="582"/>
        <v/>
      </c>
    </row>
    <row r="12078" spans="9:14" x14ac:dyDescent="0.25">
      <c r="I12078" s="11" t="b">
        <f t="shared" si="583"/>
        <v>0</v>
      </c>
      <c r="M12078" s="17" t="str">
        <f t="shared" si="581"/>
        <v/>
      </c>
      <c r="N12078" s="11" t="str">
        <f t="shared" si="582"/>
        <v/>
      </c>
    </row>
    <row r="12079" spans="9:14" x14ac:dyDescent="0.25">
      <c r="I12079" s="11" t="b">
        <f t="shared" si="583"/>
        <v>0</v>
      </c>
      <c r="M12079" s="17" t="str">
        <f t="shared" si="581"/>
        <v/>
      </c>
      <c r="N12079" s="11" t="str">
        <f t="shared" si="582"/>
        <v/>
      </c>
    </row>
    <row r="12080" spans="9:14" x14ac:dyDescent="0.25">
      <c r="I12080" s="11" t="b">
        <f t="shared" si="583"/>
        <v>0</v>
      </c>
      <c r="M12080" s="17" t="str">
        <f t="shared" si="581"/>
        <v/>
      </c>
      <c r="N12080" s="11" t="str">
        <f t="shared" si="582"/>
        <v/>
      </c>
    </row>
    <row r="12081" spans="9:14" x14ac:dyDescent="0.25">
      <c r="I12081" s="11" t="b">
        <f t="shared" si="583"/>
        <v>0</v>
      </c>
      <c r="M12081" s="17" t="str">
        <f t="shared" si="581"/>
        <v/>
      </c>
      <c r="N12081" s="11" t="str">
        <f t="shared" si="582"/>
        <v/>
      </c>
    </row>
    <row r="12082" spans="9:14" x14ac:dyDescent="0.25">
      <c r="I12082" s="11" t="b">
        <f t="shared" si="583"/>
        <v>0</v>
      </c>
      <c r="M12082" s="17" t="str">
        <f t="shared" si="581"/>
        <v/>
      </c>
      <c r="N12082" s="11" t="str">
        <f t="shared" si="582"/>
        <v/>
      </c>
    </row>
    <row r="12083" spans="9:14" x14ac:dyDescent="0.25">
      <c r="I12083" s="11" t="b">
        <f t="shared" si="583"/>
        <v>0</v>
      </c>
      <c r="M12083" s="17" t="str">
        <f t="shared" si="581"/>
        <v/>
      </c>
      <c r="N12083" s="11" t="str">
        <f t="shared" si="582"/>
        <v/>
      </c>
    </row>
    <row r="12084" spans="9:14" x14ac:dyDescent="0.25">
      <c r="I12084" s="11" t="b">
        <f t="shared" si="583"/>
        <v>0</v>
      </c>
      <c r="M12084" s="17" t="str">
        <f t="shared" si="581"/>
        <v/>
      </c>
      <c r="N12084" s="11" t="str">
        <f t="shared" si="582"/>
        <v/>
      </c>
    </row>
    <row r="12085" spans="9:14" x14ac:dyDescent="0.25">
      <c r="I12085" s="11" t="b">
        <f t="shared" si="583"/>
        <v>0</v>
      </c>
      <c r="M12085" s="17" t="str">
        <f t="shared" si="581"/>
        <v/>
      </c>
      <c r="N12085" s="11" t="str">
        <f t="shared" si="582"/>
        <v/>
      </c>
    </row>
    <row r="12086" spans="9:14" x14ac:dyDescent="0.25">
      <c r="I12086" s="11" t="b">
        <f t="shared" si="583"/>
        <v>0</v>
      </c>
      <c r="M12086" s="17" t="str">
        <f t="shared" si="581"/>
        <v/>
      </c>
      <c r="N12086" s="11" t="str">
        <f t="shared" si="582"/>
        <v/>
      </c>
    </row>
    <row r="12087" spans="9:14" x14ac:dyDescent="0.25">
      <c r="I12087" s="11" t="b">
        <f t="shared" si="583"/>
        <v>0</v>
      </c>
      <c r="M12087" s="17" t="str">
        <f t="shared" si="581"/>
        <v/>
      </c>
      <c r="N12087" s="11" t="str">
        <f t="shared" si="582"/>
        <v/>
      </c>
    </row>
    <row r="12088" spans="9:14" x14ac:dyDescent="0.25">
      <c r="I12088" s="11" t="b">
        <f t="shared" si="583"/>
        <v>0</v>
      </c>
      <c r="M12088" s="17" t="str">
        <f t="shared" si="581"/>
        <v/>
      </c>
      <c r="N12088" s="11" t="str">
        <f t="shared" si="582"/>
        <v/>
      </c>
    </row>
    <row r="12089" spans="9:14" x14ac:dyDescent="0.25">
      <c r="I12089" s="11" t="b">
        <f t="shared" si="583"/>
        <v>0</v>
      </c>
      <c r="M12089" s="17" t="str">
        <f t="shared" si="581"/>
        <v/>
      </c>
      <c r="N12089" s="11" t="str">
        <f t="shared" si="582"/>
        <v/>
      </c>
    </row>
    <row r="12090" spans="9:14" x14ac:dyDescent="0.25">
      <c r="I12090" s="11" t="b">
        <f t="shared" si="583"/>
        <v>0</v>
      </c>
      <c r="M12090" s="17" t="str">
        <f t="shared" si="581"/>
        <v/>
      </c>
      <c r="N12090" s="11" t="str">
        <f t="shared" si="582"/>
        <v/>
      </c>
    </row>
    <row r="12091" spans="9:14" x14ac:dyDescent="0.25">
      <c r="I12091" s="11" t="b">
        <f t="shared" si="583"/>
        <v>0</v>
      </c>
      <c r="M12091" s="17" t="str">
        <f t="shared" si="581"/>
        <v/>
      </c>
      <c r="N12091" s="11" t="str">
        <f t="shared" si="582"/>
        <v/>
      </c>
    </row>
    <row r="12092" spans="9:14" x14ac:dyDescent="0.25">
      <c r="I12092" s="11" t="b">
        <f t="shared" si="583"/>
        <v>0</v>
      </c>
      <c r="M12092" s="17" t="str">
        <f t="shared" si="581"/>
        <v/>
      </c>
      <c r="N12092" s="11" t="str">
        <f t="shared" si="582"/>
        <v/>
      </c>
    </row>
    <row r="12093" spans="9:14" x14ac:dyDescent="0.25">
      <c r="I12093" s="11" t="b">
        <f t="shared" si="583"/>
        <v>0</v>
      </c>
      <c r="M12093" s="17" t="str">
        <f t="shared" si="581"/>
        <v/>
      </c>
      <c r="N12093" s="11" t="str">
        <f t="shared" si="582"/>
        <v/>
      </c>
    </row>
    <row r="12094" spans="9:14" x14ac:dyDescent="0.25">
      <c r="I12094" s="11" t="b">
        <f t="shared" si="583"/>
        <v>0</v>
      </c>
      <c r="M12094" s="17" t="str">
        <f t="shared" si="581"/>
        <v/>
      </c>
      <c r="N12094" s="11" t="str">
        <f t="shared" si="582"/>
        <v/>
      </c>
    </row>
    <row r="12095" spans="9:14" x14ac:dyDescent="0.25">
      <c r="I12095" s="11" t="b">
        <f t="shared" si="583"/>
        <v>0</v>
      </c>
      <c r="M12095" s="17" t="str">
        <f t="shared" si="581"/>
        <v/>
      </c>
      <c r="N12095" s="11" t="str">
        <f t="shared" si="582"/>
        <v/>
      </c>
    </row>
    <row r="12096" spans="9:14" x14ac:dyDescent="0.25">
      <c r="I12096" s="11" t="b">
        <f t="shared" si="583"/>
        <v>0</v>
      </c>
      <c r="M12096" s="17" t="str">
        <f t="shared" si="581"/>
        <v/>
      </c>
      <c r="N12096" s="11" t="str">
        <f t="shared" si="582"/>
        <v/>
      </c>
    </row>
    <row r="12097" spans="9:14" x14ac:dyDescent="0.25">
      <c r="I12097" s="11" t="b">
        <f t="shared" si="583"/>
        <v>0</v>
      </c>
      <c r="M12097" s="17" t="str">
        <f t="shared" ref="M12097:M12160" si="584">IF(B12097=0, "",M12096+ J12097-K12097)</f>
        <v/>
      </c>
      <c r="N12097" s="11" t="str">
        <f t="shared" ref="N12097:N12160" si="585">IF(B12097=0, "", MONTH(B12097))</f>
        <v/>
      </c>
    </row>
    <row r="12098" spans="9:14" x14ac:dyDescent="0.25">
      <c r="I12098" s="11" t="b">
        <f t="shared" si="583"/>
        <v>0</v>
      </c>
      <c r="M12098" s="17" t="str">
        <f t="shared" si="584"/>
        <v/>
      </c>
      <c r="N12098" s="11" t="str">
        <f t="shared" si="585"/>
        <v/>
      </c>
    </row>
    <row r="12099" spans="9:14" x14ac:dyDescent="0.25">
      <c r="I12099" s="11" t="b">
        <f t="shared" si="583"/>
        <v>0</v>
      </c>
      <c r="M12099" s="17" t="str">
        <f t="shared" si="584"/>
        <v/>
      </c>
      <c r="N12099" s="11" t="str">
        <f t="shared" si="585"/>
        <v/>
      </c>
    </row>
    <row r="12100" spans="9:14" x14ac:dyDescent="0.25">
      <c r="I12100" s="11" t="b">
        <f t="shared" si="583"/>
        <v>0</v>
      </c>
      <c r="M12100" s="17" t="str">
        <f t="shared" si="584"/>
        <v/>
      </c>
      <c r="N12100" s="11" t="str">
        <f t="shared" si="585"/>
        <v/>
      </c>
    </row>
    <row r="12101" spans="9:14" x14ac:dyDescent="0.25">
      <c r="I12101" s="11" t="b">
        <f t="shared" si="583"/>
        <v>0</v>
      </c>
      <c r="M12101" s="17" t="str">
        <f t="shared" si="584"/>
        <v/>
      </c>
      <c r="N12101" s="11" t="str">
        <f t="shared" si="585"/>
        <v/>
      </c>
    </row>
    <row r="12102" spans="9:14" x14ac:dyDescent="0.25">
      <c r="I12102" s="11" t="b">
        <f t="shared" si="583"/>
        <v>0</v>
      </c>
      <c r="M12102" s="17" t="str">
        <f t="shared" si="584"/>
        <v/>
      </c>
      <c r="N12102" s="11" t="str">
        <f t="shared" si="585"/>
        <v/>
      </c>
    </row>
    <row r="12103" spans="9:14" x14ac:dyDescent="0.25">
      <c r="I12103" s="11" t="b">
        <f t="shared" si="583"/>
        <v>0</v>
      </c>
      <c r="M12103" s="17" t="str">
        <f t="shared" si="584"/>
        <v/>
      </c>
      <c r="N12103" s="11" t="str">
        <f t="shared" si="585"/>
        <v/>
      </c>
    </row>
    <row r="12104" spans="9:14" x14ac:dyDescent="0.25">
      <c r="I12104" s="11" t="b">
        <f t="shared" si="583"/>
        <v>0</v>
      </c>
      <c r="M12104" s="17" t="str">
        <f t="shared" si="584"/>
        <v/>
      </c>
      <c r="N12104" s="11" t="str">
        <f t="shared" si="585"/>
        <v/>
      </c>
    </row>
    <row r="12105" spans="9:14" x14ac:dyDescent="0.25">
      <c r="I12105" s="11" t="b">
        <f t="shared" si="583"/>
        <v>0</v>
      </c>
      <c r="M12105" s="17" t="str">
        <f t="shared" si="584"/>
        <v/>
      </c>
      <c r="N12105" s="11" t="str">
        <f t="shared" si="585"/>
        <v/>
      </c>
    </row>
    <row r="12106" spans="9:14" x14ac:dyDescent="0.25">
      <c r="I12106" s="11" t="b">
        <f t="shared" si="583"/>
        <v>0</v>
      </c>
      <c r="M12106" s="17" t="str">
        <f t="shared" si="584"/>
        <v/>
      </c>
      <c r="N12106" s="11" t="str">
        <f t="shared" si="585"/>
        <v/>
      </c>
    </row>
    <row r="12107" spans="9:14" x14ac:dyDescent="0.25">
      <c r="I12107" s="11" t="b">
        <f t="shared" si="583"/>
        <v>0</v>
      </c>
      <c r="M12107" s="17" t="str">
        <f t="shared" si="584"/>
        <v/>
      </c>
      <c r="N12107" s="11" t="str">
        <f t="shared" si="585"/>
        <v/>
      </c>
    </row>
    <row r="12108" spans="9:14" x14ac:dyDescent="0.25">
      <c r="I12108" s="11" t="b">
        <f t="shared" si="583"/>
        <v>0</v>
      </c>
      <c r="M12108" s="17" t="str">
        <f t="shared" si="584"/>
        <v/>
      </c>
      <c r="N12108" s="11" t="str">
        <f t="shared" si="585"/>
        <v/>
      </c>
    </row>
    <row r="12109" spans="9:14" x14ac:dyDescent="0.25">
      <c r="I12109" s="11" t="b">
        <f t="shared" si="583"/>
        <v>0</v>
      </c>
      <c r="M12109" s="17" t="str">
        <f t="shared" si="584"/>
        <v/>
      </c>
      <c r="N12109" s="11" t="str">
        <f t="shared" si="585"/>
        <v/>
      </c>
    </row>
    <row r="12110" spans="9:14" x14ac:dyDescent="0.25">
      <c r="I12110" s="11" t="b">
        <f t="shared" si="583"/>
        <v>0</v>
      </c>
      <c r="M12110" s="17" t="str">
        <f t="shared" si="584"/>
        <v/>
      </c>
      <c r="N12110" s="11" t="str">
        <f t="shared" si="585"/>
        <v/>
      </c>
    </row>
    <row r="12111" spans="9:14" x14ac:dyDescent="0.25">
      <c r="I12111" s="11" t="b">
        <f t="shared" si="583"/>
        <v>0</v>
      </c>
      <c r="M12111" s="17" t="str">
        <f t="shared" si="584"/>
        <v/>
      </c>
      <c r="N12111" s="11" t="str">
        <f t="shared" si="585"/>
        <v/>
      </c>
    </row>
    <row r="12112" spans="9:14" x14ac:dyDescent="0.25">
      <c r="I12112" s="11" t="b">
        <f t="shared" si="583"/>
        <v>0</v>
      </c>
      <c r="M12112" s="17" t="str">
        <f t="shared" si="584"/>
        <v/>
      </c>
      <c r="N12112" s="11" t="str">
        <f t="shared" si="585"/>
        <v/>
      </c>
    </row>
    <row r="12113" spans="9:14" x14ac:dyDescent="0.25">
      <c r="I12113" s="11" t="b">
        <f t="shared" si="583"/>
        <v>0</v>
      </c>
      <c r="M12113" s="17" t="str">
        <f t="shared" si="584"/>
        <v/>
      </c>
      <c r="N12113" s="11" t="str">
        <f t="shared" si="585"/>
        <v/>
      </c>
    </row>
    <row r="12114" spans="9:14" x14ac:dyDescent="0.25">
      <c r="I12114" s="11" t="b">
        <f t="shared" si="583"/>
        <v>0</v>
      </c>
      <c r="M12114" s="17" t="str">
        <f t="shared" si="584"/>
        <v/>
      </c>
      <c r="N12114" s="11" t="str">
        <f t="shared" si="585"/>
        <v/>
      </c>
    </row>
    <row r="12115" spans="9:14" x14ac:dyDescent="0.25">
      <c r="I12115" s="11" t="b">
        <f t="shared" si="583"/>
        <v>0</v>
      </c>
      <c r="M12115" s="17" t="str">
        <f t="shared" si="584"/>
        <v/>
      </c>
      <c r="N12115" s="11" t="str">
        <f t="shared" si="585"/>
        <v/>
      </c>
    </row>
    <row r="12116" spans="9:14" x14ac:dyDescent="0.25">
      <c r="I12116" s="11" t="b">
        <f t="shared" si="583"/>
        <v>0</v>
      </c>
      <c r="M12116" s="17" t="str">
        <f t="shared" si="584"/>
        <v/>
      </c>
      <c r="N12116" s="11" t="str">
        <f t="shared" si="585"/>
        <v/>
      </c>
    </row>
    <row r="12117" spans="9:14" x14ac:dyDescent="0.25">
      <c r="I12117" s="11" t="b">
        <f t="shared" si="583"/>
        <v>0</v>
      </c>
      <c r="M12117" s="17" t="str">
        <f t="shared" si="584"/>
        <v/>
      </c>
      <c r="N12117" s="11" t="str">
        <f t="shared" si="585"/>
        <v/>
      </c>
    </row>
    <row r="12118" spans="9:14" x14ac:dyDescent="0.25">
      <c r="I12118" s="11" t="b">
        <f t="shared" si="583"/>
        <v>0</v>
      </c>
      <c r="M12118" s="17" t="str">
        <f t="shared" si="584"/>
        <v/>
      </c>
      <c r="N12118" s="11" t="str">
        <f t="shared" si="585"/>
        <v/>
      </c>
    </row>
    <row r="12119" spans="9:14" x14ac:dyDescent="0.25">
      <c r="I12119" s="11" t="b">
        <f t="shared" si="583"/>
        <v>0</v>
      </c>
      <c r="M12119" s="17" t="str">
        <f t="shared" si="584"/>
        <v/>
      </c>
      <c r="N12119" s="11" t="str">
        <f t="shared" si="585"/>
        <v/>
      </c>
    </row>
    <row r="12120" spans="9:14" x14ac:dyDescent="0.25">
      <c r="I12120" s="11" t="b">
        <f t="shared" si="583"/>
        <v>0</v>
      </c>
      <c r="M12120" s="17" t="str">
        <f t="shared" si="584"/>
        <v/>
      </c>
      <c r="N12120" s="11" t="str">
        <f t="shared" si="585"/>
        <v/>
      </c>
    </row>
    <row r="12121" spans="9:14" x14ac:dyDescent="0.25">
      <c r="I12121" s="11" t="b">
        <f t="shared" si="583"/>
        <v>0</v>
      </c>
      <c r="M12121" s="17" t="str">
        <f t="shared" si="584"/>
        <v/>
      </c>
      <c r="N12121" s="11" t="str">
        <f t="shared" si="585"/>
        <v/>
      </c>
    </row>
    <row r="12122" spans="9:14" x14ac:dyDescent="0.25">
      <c r="I12122" s="11" t="b">
        <f t="shared" si="583"/>
        <v>0</v>
      </c>
      <c r="M12122" s="17" t="str">
        <f t="shared" si="584"/>
        <v/>
      </c>
      <c r="N12122" s="11" t="str">
        <f t="shared" si="585"/>
        <v/>
      </c>
    </row>
    <row r="12123" spans="9:14" x14ac:dyDescent="0.25">
      <c r="I12123" s="11" t="b">
        <f t="shared" si="583"/>
        <v>0</v>
      </c>
      <c r="M12123" s="17" t="str">
        <f t="shared" si="584"/>
        <v/>
      </c>
      <c r="N12123" s="11" t="str">
        <f t="shared" si="585"/>
        <v/>
      </c>
    </row>
    <row r="12124" spans="9:14" x14ac:dyDescent="0.25">
      <c r="I12124" s="11" t="b">
        <f t="shared" si="583"/>
        <v>0</v>
      </c>
      <c r="M12124" s="17" t="str">
        <f t="shared" si="584"/>
        <v/>
      </c>
      <c r="N12124" s="11" t="str">
        <f t="shared" si="585"/>
        <v/>
      </c>
    </row>
    <row r="12125" spans="9:14" x14ac:dyDescent="0.25">
      <c r="I12125" s="11" t="b">
        <f t="shared" ref="I12125:I12188" si="586">IF(AND(G12125="MERCADO PAGO",A12125="FATURAMENTO"),1,IF(AND(OR(G12125="MERCADO PAGO",G12125="pix mercado pago",G12125= "débito automático mercado pago", G12125= "boleto mercado pago"),A12125="DESPESAS"),4,IF(AND(G12125="SAFRA",A12125="FATURAMENTO"),2,IF(AND(OR(G12125="SAFRA",G12125="PIX SAFRA", G12125="DÉBITO AUTOMÁTICO SAFRA", G12125= "BOLETO SAFRA", G12125= "transferência safra"), A12125="DESPESAS"),5,IF(AND(G12125="espécie",A12125="FATURAMENTO"),3,IF(AND(G12125="espécie",A12125="DESPESAS"),6))))))</f>
        <v>0</v>
      </c>
      <c r="M12125" s="17" t="str">
        <f t="shared" si="584"/>
        <v/>
      </c>
      <c r="N12125" s="11" t="str">
        <f t="shared" si="585"/>
        <v/>
      </c>
    </row>
    <row r="12126" spans="9:14" x14ac:dyDescent="0.25">
      <c r="I12126" s="11" t="b">
        <f t="shared" si="586"/>
        <v>0</v>
      </c>
      <c r="M12126" s="17" t="str">
        <f t="shared" si="584"/>
        <v/>
      </c>
      <c r="N12126" s="11" t="str">
        <f t="shared" si="585"/>
        <v/>
      </c>
    </row>
    <row r="12127" spans="9:14" x14ac:dyDescent="0.25">
      <c r="I12127" s="11" t="b">
        <f t="shared" si="586"/>
        <v>0</v>
      </c>
      <c r="M12127" s="17" t="str">
        <f t="shared" si="584"/>
        <v/>
      </c>
      <c r="N12127" s="11" t="str">
        <f t="shared" si="585"/>
        <v/>
      </c>
    </row>
    <row r="12128" spans="9:14" x14ac:dyDescent="0.25">
      <c r="I12128" s="11" t="b">
        <f t="shared" si="586"/>
        <v>0</v>
      </c>
      <c r="M12128" s="17" t="str">
        <f t="shared" si="584"/>
        <v/>
      </c>
      <c r="N12128" s="11" t="str">
        <f t="shared" si="585"/>
        <v/>
      </c>
    </row>
    <row r="12129" spans="9:14" x14ac:dyDescent="0.25">
      <c r="I12129" s="11" t="b">
        <f t="shared" si="586"/>
        <v>0</v>
      </c>
      <c r="M12129" s="17" t="str">
        <f t="shared" si="584"/>
        <v/>
      </c>
      <c r="N12129" s="11" t="str">
        <f t="shared" si="585"/>
        <v/>
      </c>
    </row>
    <row r="12130" spans="9:14" x14ac:dyDescent="0.25">
      <c r="I12130" s="11" t="b">
        <f t="shared" si="586"/>
        <v>0</v>
      </c>
      <c r="M12130" s="17" t="str">
        <f t="shared" si="584"/>
        <v/>
      </c>
      <c r="N12130" s="11" t="str">
        <f t="shared" si="585"/>
        <v/>
      </c>
    </row>
    <row r="12131" spans="9:14" x14ac:dyDescent="0.25">
      <c r="I12131" s="11" t="b">
        <f t="shared" si="586"/>
        <v>0</v>
      </c>
      <c r="M12131" s="17" t="str">
        <f t="shared" si="584"/>
        <v/>
      </c>
      <c r="N12131" s="11" t="str">
        <f t="shared" si="585"/>
        <v/>
      </c>
    </row>
    <row r="12132" spans="9:14" x14ac:dyDescent="0.25">
      <c r="I12132" s="11" t="b">
        <f t="shared" si="586"/>
        <v>0</v>
      </c>
      <c r="M12132" s="17" t="str">
        <f t="shared" si="584"/>
        <v/>
      </c>
      <c r="N12132" s="11" t="str">
        <f t="shared" si="585"/>
        <v/>
      </c>
    </row>
    <row r="12133" spans="9:14" x14ac:dyDescent="0.25">
      <c r="I12133" s="11" t="b">
        <f t="shared" si="586"/>
        <v>0</v>
      </c>
      <c r="M12133" s="17" t="str">
        <f t="shared" si="584"/>
        <v/>
      </c>
      <c r="N12133" s="11" t="str">
        <f t="shared" si="585"/>
        <v/>
      </c>
    </row>
    <row r="12134" spans="9:14" x14ac:dyDescent="0.25">
      <c r="I12134" s="11" t="b">
        <f t="shared" si="586"/>
        <v>0</v>
      </c>
      <c r="M12134" s="17" t="str">
        <f t="shared" si="584"/>
        <v/>
      </c>
      <c r="N12134" s="11" t="str">
        <f t="shared" si="585"/>
        <v/>
      </c>
    </row>
    <row r="12135" spans="9:14" x14ac:dyDescent="0.25">
      <c r="I12135" s="11" t="b">
        <f t="shared" si="586"/>
        <v>0</v>
      </c>
      <c r="M12135" s="17" t="str">
        <f t="shared" si="584"/>
        <v/>
      </c>
      <c r="N12135" s="11" t="str">
        <f t="shared" si="585"/>
        <v/>
      </c>
    </row>
    <row r="12136" spans="9:14" x14ac:dyDescent="0.25">
      <c r="I12136" s="11" t="b">
        <f t="shared" si="586"/>
        <v>0</v>
      </c>
      <c r="M12136" s="17" t="str">
        <f t="shared" si="584"/>
        <v/>
      </c>
      <c r="N12136" s="11" t="str">
        <f t="shared" si="585"/>
        <v/>
      </c>
    </row>
    <row r="12137" spans="9:14" x14ac:dyDescent="0.25">
      <c r="I12137" s="11" t="b">
        <f t="shared" si="586"/>
        <v>0</v>
      </c>
      <c r="M12137" s="17" t="str">
        <f t="shared" si="584"/>
        <v/>
      </c>
      <c r="N12137" s="11" t="str">
        <f t="shared" si="585"/>
        <v/>
      </c>
    </row>
    <row r="12138" spans="9:14" x14ac:dyDescent="0.25">
      <c r="I12138" s="11" t="b">
        <f t="shared" si="586"/>
        <v>0</v>
      </c>
      <c r="M12138" s="17" t="str">
        <f t="shared" si="584"/>
        <v/>
      </c>
      <c r="N12138" s="11" t="str">
        <f t="shared" si="585"/>
        <v/>
      </c>
    </row>
    <row r="12139" spans="9:14" x14ac:dyDescent="0.25">
      <c r="I12139" s="11" t="b">
        <f t="shared" si="586"/>
        <v>0</v>
      </c>
      <c r="M12139" s="17" t="str">
        <f t="shared" si="584"/>
        <v/>
      </c>
      <c r="N12139" s="11" t="str">
        <f t="shared" si="585"/>
        <v/>
      </c>
    </row>
    <row r="12140" spans="9:14" x14ac:dyDescent="0.25">
      <c r="I12140" s="11" t="b">
        <f t="shared" si="586"/>
        <v>0</v>
      </c>
      <c r="M12140" s="17" t="str">
        <f t="shared" si="584"/>
        <v/>
      </c>
      <c r="N12140" s="11" t="str">
        <f t="shared" si="585"/>
        <v/>
      </c>
    </row>
    <row r="12141" spans="9:14" x14ac:dyDescent="0.25">
      <c r="I12141" s="11" t="b">
        <f t="shared" si="586"/>
        <v>0</v>
      </c>
      <c r="M12141" s="17" t="str">
        <f t="shared" si="584"/>
        <v/>
      </c>
      <c r="N12141" s="11" t="str">
        <f t="shared" si="585"/>
        <v/>
      </c>
    </row>
    <row r="12142" spans="9:14" x14ac:dyDescent="0.25">
      <c r="I12142" s="11" t="b">
        <f t="shared" si="586"/>
        <v>0</v>
      </c>
      <c r="M12142" s="17" t="str">
        <f t="shared" si="584"/>
        <v/>
      </c>
      <c r="N12142" s="11" t="str">
        <f t="shared" si="585"/>
        <v/>
      </c>
    </row>
    <row r="12143" spans="9:14" x14ac:dyDescent="0.25">
      <c r="I12143" s="11" t="b">
        <f t="shared" si="586"/>
        <v>0</v>
      </c>
      <c r="M12143" s="17" t="str">
        <f t="shared" si="584"/>
        <v/>
      </c>
      <c r="N12143" s="11" t="str">
        <f t="shared" si="585"/>
        <v/>
      </c>
    </row>
    <row r="12144" spans="9:14" x14ac:dyDescent="0.25">
      <c r="I12144" s="11" t="b">
        <f t="shared" si="586"/>
        <v>0</v>
      </c>
      <c r="M12144" s="17" t="str">
        <f t="shared" si="584"/>
        <v/>
      </c>
      <c r="N12144" s="11" t="str">
        <f t="shared" si="585"/>
        <v/>
      </c>
    </row>
    <row r="12145" spans="9:14" x14ac:dyDescent="0.25">
      <c r="I12145" s="11" t="b">
        <f t="shared" si="586"/>
        <v>0</v>
      </c>
      <c r="M12145" s="17" t="str">
        <f t="shared" si="584"/>
        <v/>
      </c>
      <c r="N12145" s="11" t="str">
        <f t="shared" si="585"/>
        <v/>
      </c>
    </row>
    <row r="12146" spans="9:14" x14ac:dyDescent="0.25">
      <c r="I12146" s="11" t="b">
        <f t="shared" si="586"/>
        <v>0</v>
      </c>
      <c r="M12146" s="17" t="str">
        <f t="shared" si="584"/>
        <v/>
      </c>
      <c r="N12146" s="11" t="str">
        <f t="shared" si="585"/>
        <v/>
      </c>
    </row>
    <row r="12147" spans="9:14" x14ac:dyDescent="0.25">
      <c r="I12147" s="11" t="b">
        <f t="shared" si="586"/>
        <v>0</v>
      </c>
      <c r="M12147" s="17" t="str">
        <f t="shared" si="584"/>
        <v/>
      </c>
      <c r="N12147" s="11" t="str">
        <f t="shared" si="585"/>
        <v/>
      </c>
    </row>
    <row r="12148" spans="9:14" x14ac:dyDescent="0.25">
      <c r="I12148" s="11" t="b">
        <f t="shared" si="586"/>
        <v>0</v>
      </c>
      <c r="M12148" s="17" t="str">
        <f t="shared" si="584"/>
        <v/>
      </c>
      <c r="N12148" s="11" t="str">
        <f t="shared" si="585"/>
        <v/>
      </c>
    </row>
    <row r="12149" spans="9:14" x14ac:dyDescent="0.25">
      <c r="I12149" s="11" t="b">
        <f t="shared" si="586"/>
        <v>0</v>
      </c>
      <c r="M12149" s="17" t="str">
        <f t="shared" si="584"/>
        <v/>
      </c>
      <c r="N12149" s="11" t="str">
        <f t="shared" si="585"/>
        <v/>
      </c>
    </row>
    <row r="12150" spans="9:14" x14ac:dyDescent="0.25">
      <c r="I12150" s="11" t="b">
        <f t="shared" si="586"/>
        <v>0</v>
      </c>
      <c r="M12150" s="17" t="str">
        <f t="shared" si="584"/>
        <v/>
      </c>
      <c r="N12150" s="11" t="str">
        <f t="shared" si="585"/>
        <v/>
      </c>
    </row>
    <row r="12151" spans="9:14" x14ac:dyDescent="0.25">
      <c r="I12151" s="11" t="b">
        <f t="shared" si="586"/>
        <v>0</v>
      </c>
      <c r="M12151" s="17" t="str">
        <f t="shared" si="584"/>
        <v/>
      </c>
      <c r="N12151" s="11" t="str">
        <f t="shared" si="585"/>
        <v/>
      </c>
    </row>
    <row r="12152" spans="9:14" x14ac:dyDescent="0.25">
      <c r="I12152" s="11" t="b">
        <f t="shared" si="586"/>
        <v>0</v>
      </c>
      <c r="M12152" s="17" t="str">
        <f t="shared" si="584"/>
        <v/>
      </c>
      <c r="N12152" s="11" t="str">
        <f t="shared" si="585"/>
        <v/>
      </c>
    </row>
    <row r="12153" spans="9:14" x14ac:dyDescent="0.25">
      <c r="I12153" s="11" t="b">
        <f t="shared" si="586"/>
        <v>0</v>
      </c>
      <c r="M12153" s="17" t="str">
        <f t="shared" si="584"/>
        <v/>
      </c>
      <c r="N12153" s="11" t="str">
        <f t="shared" si="585"/>
        <v/>
      </c>
    </row>
    <row r="12154" spans="9:14" x14ac:dyDescent="0.25">
      <c r="I12154" s="11" t="b">
        <f t="shared" si="586"/>
        <v>0</v>
      </c>
      <c r="M12154" s="17" t="str">
        <f t="shared" si="584"/>
        <v/>
      </c>
      <c r="N12154" s="11" t="str">
        <f t="shared" si="585"/>
        <v/>
      </c>
    </row>
    <row r="12155" spans="9:14" x14ac:dyDescent="0.25">
      <c r="I12155" s="11" t="b">
        <f t="shared" si="586"/>
        <v>0</v>
      </c>
      <c r="M12155" s="17" t="str">
        <f t="shared" si="584"/>
        <v/>
      </c>
      <c r="N12155" s="11" t="str">
        <f t="shared" si="585"/>
        <v/>
      </c>
    </row>
    <row r="12156" spans="9:14" x14ac:dyDescent="0.25">
      <c r="I12156" s="11" t="b">
        <f t="shared" si="586"/>
        <v>0</v>
      </c>
      <c r="M12156" s="17" t="str">
        <f t="shared" si="584"/>
        <v/>
      </c>
      <c r="N12156" s="11" t="str">
        <f t="shared" si="585"/>
        <v/>
      </c>
    </row>
    <row r="12157" spans="9:14" x14ac:dyDescent="0.25">
      <c r="I12157" s="11" t="b">
        <f t="shared" si="586"/>
        <v>0</v>
      </c>
      <c r="M12157" s="17" t="str">
        <f t="shared" si="584"/>
        <v/>
      </c>
      <c r="N12157" s="11" t="str">
        <f t="shared" si="585"/>
        <v/>
      </c>
    </row>
    <row r="12158" spans="9:14" x14ac:dyDescent="0.25">
      <c r="I12158" s="11" t="b">
        <f t="shared" si="586"/>
        <v>0</v>
      </c>
      <c r="M12158" s="17" t="str">
        <f t="shared" si="584"/>
        <v/>
      </c>
      <c r="N12158" s="11" t="str">
        <f t="shared" si="585"/>
        <v/>
      </c>
    </row>
    <row r="12159" spans="9:14" x14ac:dyDescent="0.25">
      <c r="I12159" s="11" t="b">
        <f t="shared" si="586"/>
        <v>0</v>
      </c>
      <c r="M12159" s="17" t="str">
        <f t="shared" si="584"/>
        <v/>
      </c>
      <c r="N12159" s="11" t="str">
        <f t="shared" si="585"/>
        <v/>
      </c>
    </row>
    <row r="12160" spans="9:14" x14ac:dyDescent="0.25">
      <c r="I12160" s="11" t="b">
        <f t="shared" si="586"/>
        <v>0</v>
      </c>
      <c r="M12160" s="17" t="str">
        <f t="shared" si="584"/>
        <v/>
      </c>
      <c r="N12160" s="11" t="str">
        <f t="shared" si="585"/>
        <v/>
      </c>
    </row>
    <row r="12161" spans="9:14" x14ac:dyDescent="0.25">
      <c r="I12161" s="11" t="b">
        <f t="shared" si="586"/>
        <v>0</v>
      </c>
      <c r="M12161" s="17" t="str">
        <f t="shared" ref="M12161:M12224" si="587">IF(B12161=0, "",M12160+ J12161-K12161)</f>
        <v/>
      </c>
      <c r="N12161" s="11" t="str">
        <f t="shared" ref="N12161:N12224" si="588">IF(B12161=0, "", MONTH(B12161))</f>
        <v/>
      </c>
    </row>
    <row r="12162" spans="9:14" x14ac:dyDescent="0.25">
      <c r="I12162" s="11" t="b">
        <f t="shared" si="586"/>
        <v>0</v>
      </c>
      <c r="M12162" s="17" t="str">
        <f t="shared" si="587"/>
        <v/>
      </c>
      <c r="N12162" s="11" t="str">
        <f t="shared" si="588"/>
        <v/>
      </c>
    </row>
    <row r="12163" spans="9:14" x14ac:dyDescent="0.25">
      <c r="I12163" s="11" t="b">
        <f t="shared" si="586"/>
        <v>0</v>
      </c>
      <c r="M12163" s="17" t="str">
        <f t="shared" si="587"/>
        <v/>
      </c>
      <c r="N12163" s="11" t="str">
        <f t="shared" si="588"/>
        <v/>
      </c>
    </row>
    <row r="12164" spans="9:14" x14ac:dyDescent="0.25">
      <c r="I12164" s="11" t="b">
        <f t="shared" si="586"/>
        <v>0</v>
      </c>
      <c r="M12164" s="17" t="str">
        <f t="shared" si="587"/>
        <v/>
      </c>
      <c r="N12164" s="11" t="str">
        <f t="shared" si="588"/>
        <v/>
      </c>
    </row>
    <row r="12165" spans="9:14" x14ac:dyDescent="0.25">
      <c r="I12165" s="11" t="b">
        <f t="shared" si="586"/>
        <v>0</v>
      </c>
      <c r="M12165" s="17" t="str">
        <f t="shared" si="587"/>
        <v/>
      </c>
      <c r="N12165" s="11" t="str">
        <f t="shared" si="588"/>
        <v/>
      </c>
    </row>
    <row r="12166" spans="9:14" x14ac:dyDescent="0.25">
      <c r="I12166" s="11" t="b">
        <f t="shared" si="586"/>
        <v>0</v>
      </c>
      <c r="M12166" s="17" t="str">
        <f t="shared" si="587"/>
        <v/>
      </c>
      <c r="N12166" s="11" t="str">
        <f t="shared" si="588"/>
        <v/>
      </c>
    </row>
    <row r="12167" spans="9:14" x14ac:dyDescent="0.25">
      <c r="I12167" s="11" t="b">
        <f t="shared" si="586"/>
        <v>0</v>
      </c>
      <c r="M12167" s="17" t="str">
        <f t="shared" si="587"/>
        <v/>
      </c>
      <c r="N12167" s="11" t="str">
        <f t="shared" si="588"/>
        <v/>
      </c>
    </row>
    <row r="12168" spans="9:14" x14ac:dyDescent="0.25">
      <c r="I12168" s="11" t="b">
        <f t="shared" si="586"/>
        <v>0</v>
      </c>
      <c r="M12168" s="17" t="str">
        <f t="shared" si="587"/>
        <v/>
      </c>
      <c r="N12168" s="11" t="str">
        <f t="shared" si="588"/>
        <v/>
      </c>
    </row>
    <row r="12169" spans="9:14" x14ac:dyDescent="0.25">
      <c r="I12169" s="11" t="b">
        <f t="shared" si="586"/>
        <v>0</v>
      </c>
      <c r="M12169" s="17" t="str">
        <f t="shared" si="587"/>
        <v/>
      </c>
      <c r="N12169" s="11" t="str">
        <f t="shared" si="588"/>
        <v/>
      </c>
    </row>
    <row r="12170" spans="9:14" x14ac:dyDescent="0.25">
      <c r="I12170" s="11" t="b">
        <f t="shared" si="586"/>
        <v>0</v>
      </c>
      <c r="M12170" s="17" t="str">
        <f t="shared" si="587"/>
        <v/>
      </c>
      <c r="N12170" s="11" t="str">
        <f t="shared" si="588"/>
        <v/>
      </c>
    </row>
    <row r="12171" spans="9:14" x14ac:dyDescent="0.25">
      <c r="I12171" s="11" t="b">
        <f t="shared" si="586"/>
        <v>0</v>
      </c>
      <c r="M12171" s="17" t="str">
        <f t="shared" si="587"/>
        <v/>
      </c>
      <c r="N12171" s="11" t="str">
        <f t="shared" si="588"/>
        <v/>
      </c>
    </row>
    <row r="12172" spans="9:14" x14ac:dyDescent="0.25">
      <c r="I12172" s="11" t="b">
        <f t="shared" si="586"/>
        <v>0</v>
      </c>
      <c r="M12172" s="17" t="str">
        <f t="shared" si="587"/>
        <v/>
      </c>
      <c r="N12172" s="11" t="str">
        <f t="shared" si="588"/>
        <v/>
      </c>
    </row>
    <row r="12173" spans="9:14" x14ac:dyDescent="0.25">
      <c r="I12173" s="11" t="b">
        <f t="shared" si="586"/>
        <v>0</v>
      </c>
      <c r="M12173" s="17" t="str">
        <f t="shared" si="587"/>
        <v/>
      </c>
      <c r="N12173" s="11" t="str">
        <f t="shared" si="588"/>
        <v/>
      </c>
    </row>
    <row r="12174" spans="9:14" x14ac:dyDescent="0.25">
      <c r="I12174" s="11" t="b">
        <f t="shared" si="586"/>
        <v>0</v>
      </c>
      <c r="M12174" s="17" t="str">
        <f t="shared" si="587"/>
        <v/>
      </c>
      <c r="N12174" s="11" t="str">
        <f t="shared" si="588"/>
        <v/>
      </c>
    </row>
    <row r="12175" spans="9:14" x14ac:dyDescent="0.25">
      <c r="I12175" s="11" t="b">
        <f t="shared" si="586"/>
        <v>0</v>
      </c>
      <c r="M12175" s="17" t="str">
        <f t="shared" si="587"/>
        <v/>
      </c>
      <c r="N12175" s="11" t="str">
        <f t="shared" si="588"/>
        <v/>
      </c>
    </row>
    <row r="12176" spans="9:14" x14ac:dyDescent="0.25">
      <c r="I12176" s="11" t="b">
        <f t="shared" si="586"/>
        <v>0</v>
      </c>
      <c r="M12176" s="17" t="str">
        <f t="shared" si="587"/>
        <v/>
      </c>
      <c r="N12176" s="11" t="str">
        <f t="shared" si="588"/>
        <v/>
      </c>
    </row>
    <row r="12177" spans="9:14" x14ac:dyDescent="0.25">
      <c r="I12177" s="11" t="b">
        <f t="shared" si="586"/>
        <v>0</v>
      </c>
      <c r="M12177" s="17" t="str">
        <f t="shared" si="587"/>
        <v/>
      </c>
      <c r="N12177" s="11" t="str">
        <f t="shared" si="588"/>
        <v/>
      </c>
    </row>
    <row r="12178" spans="9:14" x14ac:dyDescent="0.25">
      <c r="I12178" s="11" t="b">
        <f t="shared" si="586"/>
        <v>0</v>
      </c>
      <c r="M12178" s="17" t="str">
        <f t="shared" si="587"/>
        <v/>
      </c>
      <c r="N12178" s="11" t="str">
        <f t="shared" si="588"/>
        <v/>
      </c>
    </row>
    <row r="12179" spans="9:14" x14ac:dyDescent="0.25">
      <c r="I12179" s="11" t="b">
        <f t="shared" si="586"/>
        <v>0</v>
      </c>
      <c r="M12179" s="17" t="str">
        <f t="shared" si="587"/>
        <v/>
      </c>
      <c r="N12179" s="11" t="str">
        <f t="shared" si="588"/>
        <v/>
      </c>
    </row>
    <row r="12180" spans="9:14" x14ac:dyDescent="0.25">
      <c r="I12180" s="11" t="b">
        <f t="shared" si="586"/>
        <v>0</v>
      </c>
      <c r="M12180" s="17" t="str">
        <f t="shared" si="587"/>
        <v/>
      </c>
      <c r="N12180" s="11" t="str">
        <f t="shared" si="588"/>
        <v/>
      </c>
    </row>
    <row r="12181" spans="9:14" x14ac:dyDescent="0.25">
      <c r="I12181" s="11" t="b">
        <f t="shared" si="586"/>
        <v>0</v>
      </c>
      <c r="M12181" s="17" t="str">
        <f t="shared" si="587"/>
        <v/>
      </c>
      <c r="N12181" s="11" t="str">
        <f t="shared" si="588"/>
        <v/>
      </c>
    </row>
    <row r="12182" spans="9:14" x14ac:dyDescent="0.25">
      <c r="I12182" s="11" t="b">
        <f t="shared" si="586"/>
        <v>0</v>
      </c>
      <c r="M12182" s="17" t="str">
        <f t="shared" si="587"/>
        <v/>
      </c>
      <c r="N12182" s="11" t="str">
        <f t="shared" si="588"/>
        <v/>
      </c>
    </row>
    <row r="12183" spans="9:14" x14ac:dyDescent="0.25">
      <c r="I12183" s="11" t="b">
        <f t="shared" si="586"/>
        <v>0</v>
      </c>
      <c r="M12183" s="17" t="str">
        <f t="shared" si="587"/>
        <v/>
      </c>
      <c r="N12183" s="11" t="str">
        <f t="shared" si="588"/>
        <v/>
      </c>
    </row>
    <row r="12184" spans="9:14" x14ac:dyDescent="0.25">
      <c r="I12184" s="11" t="b">
        <f t="shared" si="586"/>
        <v>0</v>
      </c>
      <c r="M12184" s="17" t="str">
        <f t="shared" si="587"/>
        <v/>
      </c>
      <c r="N12184" s="11" t="str">
        <f t="shared" si="588"/>
        <v/>
      </c>
    </row>
    <row r="12185" spans="9:14" x14ac:dyDescent="0.25">
      <c r="I12185" s="11" t="b">
        <f t="shared" si="586"/>
        <v>0</v>
      </c>
      <c r="M12185" s="17" t="str">
        <f t="shared" si="587"/>
        <v/>
      </c>
      <c r="N12185" s="11" t="str">
        <f t="shared" si="588"/>
        <v/>
      </c>
    </row>
    <row r="12186" spans="9:14" x14ac:dyDescent="0.25">
      <c r="I12186" s="11" t="b">
        <f t="shared" si="586"/>
        <v>0</v>
      </c>
      <c r="M12186" s="17" t="str">
        <f t="shared" si="587"/>
        <v/>
      </c>
      <c r="N12186" s="11" t="str">
        <f t="shared" si="588"/>
        <v/>
      </c>
    </row>
    <row r="12187" spans="9:14" x14ac:dyDescent="0.25">
      <c r="I12187" s="11" t="b">
        <f t="shared" si="586"/>
        <v>0</v>
      </c>
      <c r="M12187" s="17" t="str">
        <f t="shared" si="587"/>
        <v/>
      </c>
      <c r="N12187" s="11" t="str">
        <f t="shared" si="588"/>
        <v/>
      </c>
    </row>
    <row r="12188" spans="9:14" x14ac:dyDescent="0.25">
      <c r="I12188" s="11" t="b">
        <f t="shared" si="586"/>
        <v>0</v>
      </c>
      <c r="M12188" s="17" t="str">
        <f t="shared" si="587"/>
        <v/>
      </c>
      <c r="N12188" s="11" t="str">
        <f t="shared" si="588"/>
        <v/>
      </c>
    </row>
    <row r="12189" spans="9:14" x14ac:dyDescent="0.25">
      <c r="I12189" s="11" t="b">
        <f t="shared" ref="I12189:I12252" si="589">IF(AND(G12189="MERCADO PAGO",A12189="FATURAMENTO"),1,IF(AND(OR(G12189="MERCADO PAGO",G12189="pix mercado pago",G12189= "débito automático mercado pago", G12189= "boleto mercado pago"),A12189="DESPESAS"),4,IF(AND(G12189="SAFRA",A12189="FATURAMENTO"),2,IF(AND(OR(G12189="SAFRA",G12189="PIX SAFRA", G12189="DÉBITO AUTOMÁTICO SAFRA", G12189= "BOLETO SAFRA", G12189= "transferência safra"), A12189="DESPESAS"),5,IF(AND(G12189="espécie",A12189="FATURAMENTO"),3,IF(AND(G12189="espécie",A12189="DESPESAS"),6))))))</f>
        <v>0</v>
      </c>
      <c r="M12189" s="17" t="str">
        <f t="shared" si="587"/>
        <v/>
      </c>
      <c r="N12189" s="11" t="str">
        <f t="shared" si="588"/>
        <v/>
      </c>
    </row>
    <row r="12190" spans="9:14" x14ac:dyDescent="0.25">
      <c r="I12190" s="11" t="b">
        <f t="shared" si="589"/>
        <v>0</v>
      </c>
      <c r="M12190" s="17" t="str">
        <f t="shared" si="587"/>
        <v/>
      </c>
      <c r="N12190" s="11" t="str">
        <f t="shared" si="588"/>
        <v/>
      </c>
    </row>
    <row r="12191" spans="9:14" x14ac:dyDescent="0.25">
      <c r="I12191" s="11" t="b">
        <f t="shared" si="589"/>
        <v>0</v>
      </c>
      <c r="M12191" s="17" t="str">
        <f t="shared" si="587"/>
        <v/>
      </c>
      <c r="N12191" s="11" t="str">
        <f t="shared" si="588"/>
        <v/>
      </c>
    </row>
    <row r="12192" spans="9:14" x14ac:dyDescent="0.25">
      <c r="I12192" s="11" t="b">
        <f t="shared" si="589"/>
        <v>0</v>
      </c>
      <c r="M12192" s="17" t="str">
        <f t="shared" si="587"/>
        <v/>
      </c>
      <c r="N12192" s="11" t="str">
        <f t="shared" si="588"/>
        <v/>
      </c>
    </row>
    <row r="12193" spans="9:14" x14ac:dyDescent="0.25">
      <c r="I12193" s="11" t="b">
        <f t="shared" si="589"/>
        <v>0</v>
      </c>
      <c r="M12193" s="17" t="str">
        <f t="shared" si="587"/>
        <v/>
      </c>
      <c r="N12193" s="11" t="str">
        <f t="shared" si="588"/>
        <v/>
      </c>
    </row>
    <row r="12194" spans="9:14" x14ac:dyDescent="0.25">
      <c r="I12194" s="11" t="b">
        <f t="shared" si="589"/>
        <v>0</v>
      </c>
      <c r="M12194" s="17" t="str">
        <f t="shared" si="587"/>
        <v/>
      </c>
      <c r="N12194" s="11" t="str">
        <f t="shared" si="588"/>
        <v/>
      </c>
    </row>
    <row r="12195" spans="9:14" x14ac:dyDescent="0.25">
      <c r="I12195" s="11" t="b">
        <f t="shared" si="589"/>
        <v>0</v>
      </c>
      <c r="M12195" s="17" t="str">
        <f t="shared" si="587"/>
        <v/>
      </c>
      <c r="N12195" s="11" t="str">
        <f t="shared" si="588"/>
        <v/>
      </c>
    </row>
    <row r="12196" spans="9:14" x14ac:dyDescent="0.25">
      <c r="I12196" s="11" t="b">
        <f t="shared" si="589"/>
        <v>0</v>
      </c>
      <c r="M12196" s="17" t="str">
        <f t="shared" si="587"/>
        <v/>
      </c>
      <c r="N12196" s="11" t="str">
        <f t="shared" si="588"/>
        <v/>
      </c>
    </row>
    <row r="12197" spans="9:14" x14ac:dyDescent="0.25">
      <c r="I12197" s="11" t="b">
        <f t="shared" si="589"/>
        <v>0</v>
      </c>
      <c r="M12197" s="17" t="str">
        <f t="shared" si="587"/>
        <v/>
      </c>
      <c r="N12197" s="11" t="str">
        <f t="shared" si="588"/>
        <v/>
      </c>
    </row>
    <row r="12198" spans="9:14" x14ac:dyDescent="0.25">
      <c r="I12198" s="11" t="b">
        <f t="shared" si="589"/>
        <v>0</v>
      </c>
      <c r="M12198" s="17" t="str">
        <f t="shared" si="587"/>
        <v/>
      </c>
      <c r="N12198" s="11" t="str">
        <f t="shared" si="588"/>
        <v/>
      </c>
    </row>
    <row r="12199" spans="9:14" x14ac:dyDescent="0.25">
      <c r="I12199" s="11" t="b">
        <f t="shared" si="589"/>
        <v>0</v>
      </c>
      <c r="M12199" s="17" t="str">
        <f t="shared" si="587"/>
        <v/>
      </c>
      <c r="N12199" s="11" t="str">
        <f t="shared" si="588"/>
        <v/>
      </c>
    </row>
    <row r="12200" spans="9:14" x14ac:dyDescent="0.25">
      <c r="I12200" s="11" t="b">
        <f t="shared" si="589"/>
        <v>0</v>
      </c>
      <c r="M12200" s="17" t="str">
        <f t="shared" si="587"/>
        <v/>
      </c>
      <c r="N12200" s="11" t="str">
        <f t="shared" si="588"/>
        <v/>
      </c>
    </row>
    <row r="12201" spans="9:14" x14ac:dyDescent="0.25">
      <c r="I12201" s="11" t="b">
        <f t="shared" si="589"/>
        <v>0</v>
      </c>
      <c r="M12201" s="17" t="str">
        <f t="shared" si="587"/>
        <v/>
      </c>
      <c r="N12201" s="11" t="str">
        <f t="shared" si="588"/>
        <v/>
      </c>
    </row>
    <row r="12202" spans="9:14" x14ac:dyDescent="0.25">
      <c r="I12202" s="11" t="b">
        <f t="shared" si="589"/>
        <v>0</v>
      </c>
      <c r="M12202" s="17" t="str">
        <f t="shared" si="587"/>
        <v/>
      </c>
      <c r="N12202" s="11" t="str">
        <f t="shared" si="588"/>
        <v/>
      </c>
    </row>
    <row r="12203" spans="9:14" x14ac:dyDescent="0.25">
      <c r="I12203" s="11" t="b">
        <f t="shared" si="589"/>
        <v>0</v>
      </c>
      <c r="M12203" s="17" t="str">
        <f t="shared" si="587"/>
        <v/>
      </c>
      <c r="N12203" s="11" t="str">
        <f t="shared" si="588"/>
        <v/>
      </c>
    </row>
    <row r="12204" spans="9:14" x14ac:dyDescent="0.25">
      <c r="I12204" s="11" t="b">
        <f t="shared" si="589"/>
        <v>0</v>
      </c>
      <c r="M12204" s="17" t="str">
        <f t="shared" si="587"/>
        <v/>
      </c>
      <c r="N12204" s="11" t="str">
        <f t="shared" si="588"/>
        <v/>
      </c>
    </row>
    <row r="12205" spans="9:14" x14ac:dyDescent="0.25">
      <c r="I12205" s="11" t="b">
        <f t="shared" si="589"/>
        <v>0</v>
      </c>
      <c r="M12205" s="17" t="str">
        <f t="shared" si="587"/>
        <v/>
      </c>
      <c r="N12205" s="11" t="str">
        <f t="shared" si="588"/>
        <v/>
      </c>
    </row>
    <row r="12206" spans="9:14" x14ac:dyDescent="0.25">
      <c r="I12206" s="11" t="b">
        <f t="shared" si="589"/>
        <v>0</v>
      </c>
      <c r="M12206" s="17" t="str">
        <f t="shared" si="587"/>
        <v/>
      </c>
      <c r="N12206" s="11" t="str">
        <f t="shared" si="588"/>
        <v/>
      </c>
    </row>
    <row r="12207" spans="9:14" x14ac:dyDescent="0.25">
      <c r="I12207" s="11" t="b">
        <f t="shared" si="589"/>
        <v>0</v>
      </c>
      <c r="M12207" s="17" t="str">
        <f t="shared" si="587"/>
        <v/>
      </c>
      <c r="N12207" s="11" t="str">
        <f t="shared" si="588"/>
        <v/>
      </c>
    </row>
    <row r="12208" spans="9:14" x14ac:dyDescent="0.25">
      <c r="I12208" s="11" t="b">
        <f t="shared" si="589"/>
        <v>0</v>
      </c>
      <c r="M12208" s="17" t="str">
        <f t="shared" si="587"/>
        <v/>
      </c>
      <c r="N12208" s="11" t="str">
        <f t="shared" si="588"/>
        <v/>
      </c>
    </row>
    <row r="12209" spans="9:14" x14ac:dyDescent="0.25">
      <c r="I12209" s="11" t="b">
        <f t="shared" si="589"/>
        <v>0</v>
      </c>
      <c r="M12209" s="17" t="str">
        <f t="shared" si="587"/>
        <v/>
      </c>
      <c r="N12209" s="11" t="str">
        <f t="shared" si="588"/>
        <v/>
      </c>
    </row>
    <row r="12210" spans="9:14" x14ac:dyDescent="0.25">
      <c r="I12210" s="11" t="b">
        <f t="shared" si="589"/>
        <v>0</v>
      </c>
      <c r="M12210" s="17" t="str">
        <f t="shared" si="587"/>
        <v/>
      </c>
      <c r="N12210" s="11" t="str">
        <f t="shared" si="588"/>
        <v/>
      </c>
    </row>
    <row r="12211" spans="9:14" x14ac:dyDescent="0.25">
      <c r="I12211" s="11" t="b">
        <f t="shared" si="589"/>
        <v>0</v>
      </c>
      <c r="M12211" s="17" t="str">
        <f t="shared" si="587"/>
        <v/>
      </c>
      <c r="N12211" s="11" t="str">
        <f t="shared" si="588"/>
        <v/>
      </c>
    </row>
    <row r="12212" spans="9:14" x14ac:dyDescent="0.25">
      <c r="I12212" s="11" t="b">
        <f t="shared" si="589"/>
        <v>0</v>
      </c>
      <c r="M12212" s="17" t="str">
        <f t="shared" si="587"/>
        <v/>
      </c>
      <c r="N12212" s="11" t="str">
        <f t="shared" si="588"/>
        <v/>
      </c>
    </row>
    <row r="12213" spans="9:14" x14ac:dyDescent="0.25">
      <c r="I12213" s="11" t="b">
        <f t="shared" si="589"/>
        <v>0</v>
      </c>
      <c r="M12213" s="17" t="str">
        <f t="shared" si="587"/>
        <v/>
      </c>
      <c r="N12213" s="11" t="str">
        <f t="shared" si="588"/>
        <v/>
      </c>
    </row>
    <row r="12214" spans="9:14" x14ac:dyDescent="0.25">
      <c r="I12214" s="11" t="b">
        <f t="shared" si="589"/>
        <v>0</v>
      </c>
      <c r="M12214" s="17" t="str">
        <f t="shared" si="587"/>
        <v/>
      </c>
      <c r="N12214" s="11" t="str">
        <f t="shared" si="588"/>
        <v/>
      </c>
    </row>
    <row r="12215" spans="9:14" x14ac:dyDescent="0.25">
      <c r="I12215" s="11" t="b">
        <f t="shared" si="589"/>
        <v>0</v>
      </c>
      <c r="M12215" s="17" t="str">
        <f t="shared" si="587"/>
        <v/>
      </c>
      <c r="N12215" s="11" t="str">
        <f t="shared" si="588"/>
        <v/>
      </c>
    </row>
    <row r="12216" spans="9:14" x14ac:dyDescent="0.25">
      <c r="I12216" s="11" t="b">
        <f t="shared" si="589"/>
        <v>0</v>
      </c>
      <c r="M12216" s="17" t="str">
        <f t="shared" si="587"/>
        <v/>
      </c>
      <c r="N12216" s="11" t="str">
        <f t="shared" si="588"/>
        <v/>
      </c>
    </row>
    <row r="12217" spans="9:14" x14ac:dyDescent="0.25">
      <c r="I12217" s="11" t="b">
        <f t="shared" si="589"/>
        <v>0</v>
      </c>
      <c r="M12217" s="17" t="str">
        <f t="shared" si="587"/>
        <v/>
      </c>
      <c r="N12217" s="11" t="str">
        <f t="shared" si="588"/>
        <v/>
      </c>
    </row>
    <row r="12218" spans="9:14" x14ac:dyDescent="0.25">
      <c r="I12218" s="11" t="b">
        <f t="shared" si="589"/>
        <v>0</v>
      </c>
      <c r="M12218" s="17" t="str">
        <f t="shared" si="587"/>
        <v/>
      </c>
      <c r="N12218" s="11" t="str">
        <f t="shared" si="588"/>
        <v/>
      </c>
    </row>
    <row r="12219" spans="9:14" x14ac:dyDescent="0.25">
      <c r="I12219" s="11" t="b">
        <f t="shared" si="589"/>
        <v>0</v>
      </c>
      <c r="M12219" s="17" t="str">
        <f t="shared" si="587"/>
        <v/>
      </c>
      <c r="N12219" s="11" t="str">
        <f t="shared" si="588"/>
        <v/>
      </c>
    </row>
    <row r="12220" spans="9:14" x14ac:dyDescent="0.25">
      <c r="I12220" s="11" t="b">
        <f t="shared" si="589"/>
        <v>0</v>
      </c>
      <c r="M12220" s="17" t="str">
        <f t="shared" si="587"/>
        <v/>
      </c>
      <c r="N12220" s="11" t="str">
        <f t="shared" si="588"/>
        <v/>
      </c>
    </row>
    <row r="12221" spans="9:14" x14ac:dyDescent="0.25">
      <c r="I12221" s="11" t="b">
        <f t="shared" si="589"/>
        <v>0</v>
      </c>
      <c r="M12221" s="17" t="str">
        <f t="shared" si="587"/>
        <v/>
      </c>
      <c r="N12221" s="11" t="str">
        <f t="shared" si="588"/>
        <v/>
      </c>
    </row>
    <row r="12222" spans="9:14" x14ac:dyDescent="0.25">
      <c r="I12222" s="11" t="b">
        <f t="shared" si="589"/>
        <v>0</v>
      </c>
      <c r="M12222" s="17" t="str">
        <f t="shared" si="587"/>
        <v/>
      </c>
      <c r="N12222" s="11" t="str">
        <f t="shared" si="588"/>
        <v/>
      </c>
    </row>
    <row r="12223" spans="9:14" x14ac:dyDescent="0.25">
      <c r="I12223" s="11" t="b">
        <f t="shared" si="589"/>
        <v>0</v>
      </c>
      <c r="M12223" s="17" t="str">
        <f t="shared" si="587"/>
        <v/>
      </c>
      <c r="N12223" s="11" t="str">
        <f t="shared" si="588"/>
        <v/>
      </c>
    </row>
    <row r="12224" spans="9:14" x14ac:dyDescent="0.25">
      <c r="I12224" s="11" t="b">
        <f t="shared" si="589"/>
        <v>0</v>
      </c>
      <c r="M12224" s="17" t="str">
        <f t="shared" si="587"/>
        <v/>
      </c>
      <c r="N12224" s="11" t="str">
        <f t="shared" si="588"/>
        <v/>
      </c>
    </row>
    <row r="12225" spans="9:14" x14ac:dyDescent="0.25">
      <c r="I12225" s="11" t="b">
        <f t="shared" si="589"/>
        <v>0</v>
      </c>
      <c r="M12225" s="17" t="str">
        <f t="shared" ref="M12225:M12288" si="590">IF(B12225=0, "",M12224+ J12225-K12225)</f>
        <v/>
      </c>
      <c r="N12225" s="11" t="str">
        <f t="shared" ref="N12225:N12288" si="591">IF(B12225=0, "", MONTH(B12225))</f>
        <v/>
      </c>
    </row>
    <row r="12226" spans="9:14" x14ac:dyDescent="0.25">
      <c r="I12226" s="11" t="b">
        <f t="shared" si="589"/>
        <v>0</v>
      </c>
      <c r="M12226" s="17" t="str">
        <f t="shared" si="590"/>
        <v/>
      </c>
      <c r="N12226" s="11" t="str">
        <f t="shared" si="591"/>
        <v/>
      </c>
    </row>
    <row r="12227" spans="9:14" x14ac:dyDescent="0.25">
      <c r="I12227" s="11" t="b">
        <f t="shared" si="589"/>
        <v>0</v>
      </c>
      <c r="M12227" s="17" t="str">
        <f t="shared" si="590"/>
        <v/>
      </c>
      <c r="N12227" s="11" t="str">
        <f t="shared" si="591"/>
        <v/>
      </c>
    </row>
    <row r="12228" spans="9:14" x14ac:dyDescent="0.25">
      <c r="I12228" s="11" t="b">
        <f t="shared" si="589"/>
        <v>0</v>
      </c>
      <c r="M12228" s="17" t="str">
        <f t="shared" si="590"/>
        <v/>
      </c>
      <c r="N12228" s="11" t="str">
        <f t="shared" si="591"/>
        <v/>
      </c>
    </row>
    <row r="12229" spans="9:14" x14ac:dyDescent="0.25">
      <c r="I12229" s="11" t="b">
        <f t="shared" si="589"/>
        <v>0</v>
      </c>
      <c r="M12229" s="17" t="str">
        <f t="shared" si="590"/>
        <v/>
      </c>
      <c r="N12229" s="11" t="str">
        <f t="shared" si="591"/>
        <v/>
      </c>
    </row>
    <row r="12230" spans="9:14" x14ac:dyDescent="0.25">
      <c r="I12230" s="11" t="b">
        <f t="shared" si="589"/>
        <v>0</v>
      </c>
      <c r="M12230" s="17" t="str">
        <f t="shared" si="590"/>
        <v/>
      </c>
      <c r="N12230" s="11" t="str">
        <f t="shared" si="591"/>
        <v/>
      </c>
    </row>
    <row r="12231" spans="9:14" x14ac:dyDescent="0.25">
      <c r="I12231" s="11" t="b">
        <f t="shared" si="589"/>
        <v>0</v>
      </c>
      <c r="M12231" s="17" t="str">
        <f t="shared" si="590"/>
        <v/>
      </c>
      <c r="N12231" s="11" t="str">
        <f t="shared" si="591"/>
        <v/>
      </c>
    </row>
    <row r="12232" spans="9:14" x14ac:dyDescent="0.25">
      <c r="I12232" s="11" t="b">
        <f t="shared" si="589"/>
        <v>0</v>
      </c>
      <c r="M12232" s="17" t="str">
        <f t="shared" si="590"/>
        <v/>
      </c>
      <c r="N12232" s="11" t="str">
        <f t="shared" si="591"/>
        <v/>
      </c>
    </row>
    <row r="12233" spans="9:14" x14ac:dyDescent="0.25">
      <c r="I12233" s="11" t="b">
        <f t="shared" si="589"/>
        <v>0</v>
      </c>
      <c r="M12233" s="17" t="str">
        <f t="shared" si="590"/>
        <v/>
      </c>
      <c r="N12233" s="11" t="str">
        <f t="shared" si="591"/>
        <v/>
      </c>
    </row>
    <row r="12234" spans="9:14" x14ac:dyDescent="0.25">
      <c r="I12234" s="11" t="b">
        <f t="shared" si="589"/>
        <v>0</v>
      </c>
      <c r="M12234" s="17" t="str">
        <f t="shared" si="590"/>
        <v/>
      </c>
      <c r="N12234" s="11" t="str">
        <f t="shared" si="591"/>
        <v/>
      </c>
    </row>
    <row r="12235" spans="9:14" x14ac:dyDescent="0.25">
      <c r="I12235" s="11" t="b">
        <f t="shared" si="589"/>
        <v>0</v>
      </c>
      <c r="M12235" s="17" t="str">
        <f t="shared" si="590"/>
        <v/>
      </c>
      <c r="N12235" s="11" t="str">
        <f t="shared" si="591"/>
        <v/>
      </c>
    </row>
    <row r="12236" spans="9:14" x14ac:dyDescent="0.25">
      <c r="I12236" s="11" t="b">
        <f t="shared" si="589"/>
        <v>0</v>
      </c>
      <c r="M12236" s="17" t="str">
        <f t="shared" si="590"/>
        <v/>
      </c>
      <c r="N12236" s="11" t="str">
        <f t="shared" si="591"/>
        <v/>
      </c>
    </row>
    <row r="12237" spans="9:14" x14ac:dyDescent="0.25">
      <c r="I12237" s="11" t="b">
        <f t="shared" si="589"/>
        <v>0</v>
      </c>
      <c r="M12237" s="17" t="str">
        <f t="shared" si="590"/>
        <v/>
      </c>
      <c r="N12237" s="11" t="str">
        <f t="shared" si="591"/>
        <v/>
      </c>
    </row>
    <row r="12238" spans="9:14" x14ac:dyDescent="0.25">
      <c r="I12238" s="11" t="b">
        <f t="shared" si="589"/>
        <v>0</v>
      </c>
      <c r="M12238" s="17" t="str">
        <f t="shared" si="590"/>
        <v/>
      </c>
      <c r="N12238" s="11" t="str">
        <f t="shared" si="591"/>
        <v/>
      </c>
    </row>
    <row r="12239" spans="9:14" x14ac:dyDescent="0.25">
      <c r="I12239" s="11" t="b">
        <f t="shared" si="589"/>
        <v>0</v>
      </c>
      <c r="M12239" s="17" t="str">
        <f t="shared" si="590"/>
        <v/>
      </c>
      <c r="N12239" s="11" t="str">
        <f t="shared" si="591"/>
        <v/>
      </c>
    </row>
    <row r="12240" spans="9:14" x14ac:dyDescent="0.25">
      <c r="I12240" s="11" t="b">
        <f t="shared" si="589"/>
        <v>0</v>
      </c>
      <c r="M12240" s="17" t="str">
        <f t="shared" si="590"/>
        <v/>
      </c>
      <c r="N12240" s="11" t="str">
        <f t="shared" si="591"/>
        <v/>
      </c>
    </row>
    <row r="12241" spans="9:14" x14ac:dyDescent="0.25">
      <c r="I12241" s="11" t="b">
        <f t="shared" si="589"/>
        <v>0</v>
      </c>
      <c r="M12241" s="17" t="str">
        <f t="shared" si="590"/>
        <v/>
      </c>
      <c r="N12241" s="11" t="str">
        <f t="shared" si="591"/>
        <v/>
      </c>
    </row>
    <row r="12242" spans="9:14" x14ac:dyDescent="0.25">
      <c r="I12242" s="11" t="b">
        <f t="shared" si="589"/>
        <v>0</v>
      </c>
      <c r="M12242" s="17" t="str">
        <f t="shared" si="590"/>
        <v/>
      </c>
      <c r="N12242" s="11" t="str">
        <f t="shared" si="591"/>
        <v/>
      </c>
    </row>
    <row r="12243" spans="9:14" x14ac:dyDescent="0.25">
      <c r="I12243" s="11" t="b">
        <f t="shared" si="589"/>
        <v>0</v>
      </c>
      <c r="M12243" s="17" t="str">
        <f t="shared" si="590"/>
        <v/>
      </c>
      <c r="N12243" s="11" t="str">
        <f t="shared" si="591"/>
        <v/>
      </c>
    </row>
    <row r="12244" spans="9:14" x14ac:dyDescent="0.25">
      <c r="I12244" s="11" t="b">
        <f t="shared" si="589"/>
        <v>0</v>
      </c>
      <c r="M12244" s="17" t="str">
        <f t="shared" si="590"/>
        <v/>
      </c>
      <c r="N12244" s="11" t="str">
        <f t="shared" si="591"/>
        <v/>
      </c>
    </row>
    <row r="12245" spans="9:14" x14ac:dyDescent="0.25">
      <c r="I12245" s="11" t="b">
        <f t="shared" si="589"/>
        <v>0</v>
      </c>
      <c r="M12245" s="17" t="str">
        <f t="shared" si="590"/>
        <v/>
      </c>
      <c r="N12245" s="11" t="str">
        <f t="shared" si="591"/>
        <v/>
      </c>
    </row>
    <row r="12246" spans="9:14" x14ac:dyDescent="0.25">
      <c r="I12246" s="11" t="b">
        <f t="shared" si="589"/>
        <v>0</v>
      </c>
      <c r="M12246" s="17" t="str">
        <f t="shared" si="590"/>
        <v/>
      </c>
      <c r="N12246" s="11" t="str">
        <f t="shared" si="591"/>
        <v/>
      </c>
    </row>
    <row r="12247" spans="9:14" x14ac:dyDescent="0.25">
      <c r="I12247" s="11" t="b">
        <f t="shared" si="589"/>
        <v>0</v>
      </c>
      <c r="M12247" s="17" t="str">
        <f t="shared" si="590"/>
        <v/>
      </c>
      <c r="N12247" s="11" t="str">
        <f t="shared" si="591"/>
        <v/>
      </c>
    </row>
    <row r="12248" spans="9:14" x14ac:dyDescent="0.25">
      <c r="I12248" s="11" t="b">
        <f t="shared" si="589"/>
        <v>0</v>
      </c>
      <c r="M12248" s="17" t="str">
        <f t="shared" si="590"/>
        <v/>
      </c>
      <c r="N12248" s="11" t="str">
        <f t="shared" si="591"/>
        <v/>
      </c>
    </row>
    <row r="12249" spans="9:14" x14ac:dyDescent="0.25">
      <c r="I12249" s="11" t="b">
        <f t="shared" si="589"/>
        <v>0</v>
      </c>
      <c r="M12249" s="17" t="str">
        <f t="shared" si="590"/>
        <v/>
      </c>
      <c r="N12249" s="11" t="str">
        <f t="shared" si="591"/>
        <v/>
      </c>
    </row>
    <row r="12250" spans="9:14" x14ac:dyDescent="0.25">
      <c r="I12250" s="11" t="b">
        <f t="shared" si="589"/>
        <v>0</v>
      </c>
      <c r="M12250" s="17" t="str">
        <f t="shared" si="590"/>
        <v/>
      </c>
      <c r="N12250" s="11" t="str">
        <f t="shared" si="591"/>
        <v/>
      </c>
    </row>
    <row r="12251" spans="9:14" x14ac:dyDescent="0.25">
      <c r="I12251" s="11" t="b">
        <f t="shared" si="589"/>
        <v>0</v>
      </c>
      <c r="M12251" s="17" t="str">
        <f t="shared" si="590"/>
        <v/>
      </c>
      <c r="N12251" s="11" t="str">
        <f t="shared" si="591"/>
        <v/>
      </c>
    </row>
    <row r="12252" spans="9:14" x14ac:dyDescent="0.25">
      <c r="I12252" s="11" t="b">
        <f t="shared" si="589"/>
        <v>0</v>
      </c>
      <c r="M12252" s="17" t="str">
        <f t="shared" si="590"/>
        <v/>
      </c>
      <c r="N12252" s="11" t="str">
        <f t="shared" si="591"/>
        <v/>
      </c>
    </row>
    <row r="12253" spans="9:14" x14ac:dyDescent="0.25">
      <c r="I12253" s="11" t="b">
        <f t="shared" ref="I12253:I12316" si="592">IF(AND(G12253="MERCADO PAGO",A12253="FATURAMENTO"),1,IF(AND(OR(G12253="MERCADO PAGO",G12253="pix mercado pago",G12253= "débito automático mercado pago", G12253= "boleto mercado pago"),A12253="DESPESAS"),4,IF(AND(G12253="SAFRA",A12253="FATURAMENTO"),2,IF(AND(OR(G12253="SAFRA",G12253="PIX SAFRA", G12253="DÉBITO AUTOMÁTICO SAFRA", G12253= "BOLETO SAFRA", G12253= "transferência safra"), A12253="DESPESAS"),5,IF(AND(G12253="espécie",A12253="FATURAMENTO"),3,IF(AND(G12253="espécie",A12253="DESPESAS"),6))))))</f>
        <v>0</v>
      </c>
      <c r="M12253" s="17" t="str">
        <f t="shared" si="590"/>
        <v/>
      </c>
      <c r="N12253" s="11" t="str">
        <f t="shared" si="591"/>
        <v/>
      </c>
    </row>
    <row r="12254" spans="9:14" x14ac:dyDescent="0.25">
      <c r="I12254" s="11" t="b">
        <f t="shared" si="592"/>
        <v>0</v>
      </c>
      <c r="M12254" s="17" t="str">
        <f t="shared" si="590"/>
        <v/>
      </c>
      <c r="N12254" s="11" t="str">
        <f t="shared" si="591"/>
        <v/>
      </c>
    </row>
    <row r="12255" spans="9:14" x14ac:dyDescent="0.25">
      <c r="I12255" s="11" t="b">
        <f t="shared" si="592"/>
        <v>0</v>
      </c>
      <c r="M12255" s="17" t="str">
        <f t="shared" si="590"/>
        <v/>
      </c>
      <c r="N12255" s="11" t="str">
        <f t="shared" si="591"/>
        <v/>
      </c>
    </row>
    <row r="12256" spans="9:14" x14ac:dyDescent="0.25">
      <c r="I12256" s="11" t="b">
        <f t="shared" si="592"/>
        <v>0</v>
      </c>
      <c r="M12256" s="17" t="str">
        <f t="shared" si="590"/>
        <v/>
      </c>
      <c r="N12256" s="11" t="str">
        <f t="shared" si="591"/>
        <v/>
      </c>
    </row>
    <row r="12257" spans="9:14" x14ac:dyDescent="0.25">
      <c r="I12257" s="11" t="b">
        <f t="shared" si="592"/>
        <v>0</v>
      </c>
      <c r="M12257" s="17" t="str">
        <f t="shared" si="590"/>
        <v/>
      </c>
      <c r="N12257" s="11" t="str">
        <f t="shared" si="591"/>
        <v/>
      </c>
    </row>
    <row r="12258" spans="9:14" x14ac:dyDescent="0.25">
      <c r="I12258" s="11" t="b">
        <f t="shared" si="592"/>
        <v>0</v>
      </c>
      <c r="M12258" s="17" t="str">
        <f t="shared" si="590"/>
        <v/>
      </c>
      <c r="N12258" s="11" t="str">
        <f t="shared" si="591"/>
        <v/>
      </c>
    </row>
    <row r="12259" spans="9:14" x14ac:dyDescent="0.25">
      <c r="I12259" s="11" t="b">
        <f t="shared" si="592"/>
        <v>0</v>
      </c>
      <c r="M12259" s="17" t="str">
        <f t="shared" si="590"/>
        <v/>
      </c>
      <c r="N12259" s="11" t="str">
        <f t="shared" si="591"/>
        <v/>
      </c>
    </row>
    <row r="12260" spans="9:14" x14ac:dyDescent="0.25">
      <c r="I12260" s="11" t="b">
        <f t="shared" si="592"/>
        <v>0</v>
      </c>
      <c r="M12260" s="17" t="str">
        <f t="shared" si="590"/>
        <v/>
      </c>
      <c r="N12260" s="11" t="str">
        <f t="shared" si="591"/>
        <v/>
      </c>
    </row>
    <row r="12261" spans="9:14" x14ac:dyDescent="0.25">
      <c r="I12261" s="11" t="b">
        <f t="shared" si="592"/>
        <v>0</v>
      </c>
      <c r="M12261" s="17" t="str">
        <f t="shared" si="590"/>
        <v/>
      </c>
      <c r="N12261" s="11" t="str">
        <f t="shared" si="591"/>
        <v/>
      </c>
    </row>
    <row r="12262" spans="9:14" x14ac:dyDescent="0.25">
      <c r="I12262" s="11" t="b">
        <f t="shared" si="592"/>
        <v>0</v>
      </c>
      <c r="M12262" s="17" t="str">
        <f t="shared" si="590"/>
        <v/>
      </c>
      <c r="N12262" s="11" t="str">
        <f t="shared" si="591"/>
        <v/>
      </c>
    </row>
    <row r="12263" spans="9:14" x14ac:dyDescent="0.25">
      <c r="I12263" s="11" t="b">
        <f t="shared" si="592"/>
        <v>0</v>
      </c>
      <c r="M12263" s="17" t="str">
        <f t="shared" si="590"/>
        <v/>
      </c>
      <c r="N12263" s="11" t="str">
        <f t="shared" si="591"/>
        <v/>
      </c>
    </row>
    <row r="12264" spans="9:14" x14ac:dyDescent="0.25">
      <c r="I12264" s="11" t="b">
        <f t="shared" si="592"/>
        <v>0</v>
      </c>
      <c r="M12264" s="17" t="str">
        <f t="shared" si="590"/>
        <v/>
      </c>
      <c r="N12264" s="11" t="str">
        <f t="shared" si="591"/>
        <v/>
      </c>
    </row>
    <row r="12265" spans="9:14" x14ac:dyDescent="0.25">
      <c r="I12265" s="11" t="b">
        <f t="shared" si="592"/>
        <v>0</v>
      </c>
      <c r="M12265" s="17" t="str">
        <f t="shared" si="590"/>
        <v/>
      </c>
      <c r="N12265" s="11" t="str">
        <f t="shared" si="591"/>
        <v/>
      </c>
    </row>
    <row r="12266" spans="9:14" x14ac:dyDescent="0.25">
      <c r="I12266" s="11" t="b">
        <f t="shared" si="592"/>
        <v>0</v>
      </c>
      <c r="M12266" s="17" t="str">
        <f t="shared" si="590"/>
        <v/>
      </c>
      <c r="N12266" s="11" t="str">
        <f t="shared" si="591"/>
        <v/>
      </c>
    </row>
    <row r="12267" spans="9:14" x14ac:dyDescent="0.25">
      <c r="I12267" s="11" t="b">
        <f t="shared" si="592"/>
        <v>0</v>
      </c>
      <c r="M12267" s="17" t="str">
        <f t="shared" si="590"/>
        <v/>
      </c>
      <c r="N12267" s="11" t="str">
        <f t="shared" si="591"/>
        <v/>
      </c>
    </row>
    <row r="12268" spans="9:14" x14ac:dyDescent="0.25">
      <c r="I12268" s="11" t="b">
        <f t="shared" si="592"/>
        <v>0</v>
      </c>
      <c r="M12268" s="17" t="str">
        <f t="shared" si="590"/>
        <v/>
      </c>
      <c r="N12268" s="11" t="str">
        <f t="shared" si="591"/>
        <v/>
      </c>
    </row>
    <row r="12269" spans="9:14" x14ac:dyDescent="0.25">
      <c r="I12269" s="11" t="b">
        <f t="shared" si="592"/>
        <v>0</v>
      </c>
      <c r="M12269" s="17" t="str">
        <f t="shared" si="590"/>
        <v/>
      </c>
      <c r="N12269" s="11" t="str">
        <f t="shared" si="591"/>
        <v/>
      </c>
    </row>
    <row r="12270" spans="9:14" x14ac:dyDescent="0.25">
      <c r="I12270" s="11" t="b">
        <f t="shared" si="592"/>
        <v>0</v>
      </c>
      <c r="M12270" s="17" t="str">
        <f t="shared" si="590"/>
        <v/>
      </c>
      <c r="N12270" s="11" t="str">
        <f t="shared" si="591"/>
        <v/>
      </c>
    </row>
    <row r="12271" spans="9:14" x14ac:dyDescent="0.25">
      <c r="I12271" s="11" t="b">
        <f t="shared" si="592"/>
        <v>0</v>
      </c>
      <c r="M12271" s="17" t="str">
        <f t="shared" si="590"/>
        <v/>
      </c>
      <c r="N12271" s="11" t="str">
        <f t="shared" si="591"/>
        <v/>
      </c>
    </row>
    <row r="12272" spans="9:14" x14ac:dyDescent="0.25">
      <c r="I12272" s="11" t="b">
        <f t="shared" si="592"/>
        <v>0</v>
      </c>
      <c r="M12272" s="17" t="str">
        <f t="shared" si="590"/>
        <v/>
      </c>
      <c r="N12272" s="11" t="str">
        <f t="shared" si="591"/>
        <v/>
      </c>
    </row>
    <row r="12273" spans="9:14" x14ac:dyDescent="0.25">
      <c r="I12273" s="11" t="b">
        <f t="shared" si="592"/>
        <v>0</v>
      </c>
      <c r="M12273" s="17" t="str">
        <f t="shared" si="590"/>
        <v/>
      </c>
      <c r="N12273" s="11" t="str">
        <f t="shared" si="591"/>
        <v/>
      </c>
    </row>
    <row r="12274" spans="9:14" x14ac:dyDescent="0.25">
      <c r="I12274" s="11" t="b">
        <f t="shared" si="592"/>
        <v>0</v>
      </c>
      <c r="M12274" s="17" t="str">
        <f t="shared" si="590"/>
        <v/>
      </c>
      <c r="N12274" s="11" t="str">
        <f t="shared" si="591"/>
        <v/>
      </c>
    </row>
    <row r="12275" spans="9:14" x14ac:dyDescent="0.25">
      <c r="I12275" s="11" t="b">
        <f t="shared" si="592"/>
        <v>0</v>
      </c>
      <c r="M12275" s="17" t="str">
        <f t="shared" si="590"/>
        <v/>
      </c>
      <c r="N12275" s="11" t="str">
        <f t="shared" si="591"/>
        <v/>
      </c>
    </row>
    <row r="12276" spans="9:14" x14ac:dyDescent="0.25">
      <c r="I12276" s="11" t="b">
        <f t="shared" si="592"/>
        <v>0</v>
      </c>
      <c r="M12276" s="17" t="str">
        <f t="shared" si="590"/>
        <v/>
      </c>
      <c r="N12276" s="11" t="str">
        <f t="shared" si="591"/>
        <v/>
      </c>
    </row>
    <row r="12277" spans="9:14" x14ac:dyDescent="0.25">
      <c r="I12277" s="11" t="b">
        <f t="shared" si="592"/>
        <v>0</v>
      </c>
      <c r="M12277" s="17" t="str">
        <f t="shared" si="590"/>
        <v/>
      </c>
      <c r="N12277" s="11" t="str">
        <f t="shared" si="591"/>
        <v/>
      </c>
    </row>
    <row r="12278" spans="9:14" x14ac:dyDescent="0.25">
      <c r="I12278" s="11" t="b">
        <f t="shared" si="592"/>
        <v>0</v>
      </c>
      <c r="M12278" s="17" t="str">
        <f t="shared" si="590"/>
        <v/>
      </c>
      <c r="N12278" s="11" t="str">
        <f t="shared" si="591"/>
        <v/>
      </c>
    </row>
    <row r="12279" spans="9:14" x14ac:dyDescent="0.25">
      <c r="I12279" s="11" t="b">
        <f t="shared" si="592"/>
        <v>0</v>
      </c>
      <c r="M12279" s="17" t="str">
        <f t="shared" si="590"/>
        <v/>
      </c>
      <c r="N12279" s="11" t="str">
        <f t="shared" si="591"/>
        <v/>
      </c>
    </row>
    <row r="12280" spans="9:14" x14ac:dyDescent="0.25">
      <c r="I12280" s="11" t="b">
        <f t="shared" si="592"/>
        <v>0</v>
      </c>
      <c r="M12280" s="17" t="str">
        <f t="shared" si="590"/>
        <v/>
      </c>
      <c r="N12280" s="11" t="str">
        <f t="shared" si="591"/>
        <v/>
      </c>
    </row>
    <row r="12281" spans="9:14" x14ac:dyDescent="0.25">
      <c r="I12281" s="11" t="b">
        <f t="shared" si="592"/>
        <v>0</v>
      </c>
      <c r="M12281" s="17" t="str">
        <f t="shared" si="590"/>
        <v/>
      </c>
      <c r="N12281" s="11" t="str">
        <f t="shared" si="591"/>
        <v/>
      </c>
    </row>
    <row r="12282" spans="9:14" x14ac:dyDescent="0.25">
      <c r="I12282" s="11" t="b">
        <f t="shared" si="592"/>
        <v>0</v>
      </c>
      <c r="M12282" s="17" t="str">
        <f t="shared" si="590"/>
        <v/>
      </c>
      <c r="N12282" s="11" t="str">
        <f t="shared" si="591"/>
        <v/>
      </c>
    </row>
    <row r="12283" spans="9:14" x14ac:dyDescent="0.25">
      <c r="I12283" s="11" t="b">
        <f t="shared" si="592"/>
        <v>0</v>
      </c>
      <c r="M12283" s="17" t="str">
        <f t="shared" si="590"/>
        <v/>
      </c>
      <c r="N12283" s="11" t="str">
        <f t="shared" si="591"/>
        <v/>
      </c>
    </row>
    <row r="12284" spans="9:14" x14ac:dyDescent="0.25">
      <c r="I12284" s="11" t="b">
        <f t="shared" si="592"/>
        <v>0</v>
      </c>
      <c r="M12284" s="17" t="str">
        <f t="shared" si="590"/>
        <v/>
      </c>
      <c r="N12284" s="11" t="str">
        <f t="shared" si="591"/>
        <v/>
      </c>
    </row>
    <row r="12285" spans="9:14" x14ac:dyDescent="0.25">
      <c r="I12285" s="11" t="b">
        <f t="shared" si="592"/>
        <v>0</v>
      </c>
      <c r="M12285" s="17" t="str">
        <f t="shared" si="590"/>
        <v/>
      </c>
      <c r="N12285" s="11" t="str">
        <f t="shared" si="591"/>
        <v/>
      </c>
    </row>
    <row r="12286" spans="9:14" x14ac:dyDescent="0.25">
      <c r="I12286" s="11" t="b">
        <f t="shared" si="592"/>
        <v>0</v>
      </c>
      <c r="M12286" s="17" t="str">
        <f t="shared" si="590"/>
        <v/>
      </c>
      <c r="N12286" s="11" t="str">
        <f t="shared" si="591"/>
        <v/>
      </c>
    </row>
    <row r="12287" spans="9:14" x14ac:dyDescent="0.25">
      <c r="I12287" s="11" t="b">
        <f t="shared" si="592"/>
        <v>0</v>
      </c>
      <c r="M12287" s="17" t="str">
        <f t="shared" si="590"/>
        <v/>
      </c>
      <c r="N12287" s="11" t="str">
        <f t="shared" si="591"/>
        <v/>
      </c>
    </row>
    <row r="12288" spans="9:14" x14ac:dyDescent="0.25">
      <c r="I12288" s="11" t="b">
        <f t="shared" si="592"/>
        <v>0</v>
      </c>
      <c r="M12288" s="17" t="str">
        <f t="shared" si="590"/>
        <v/>
      </c>
      <c r="N12288" s="11" t="str">
        <f t="shared" si="591"/>
        <v/>
      </c>
    </row>
    <row r="12289" spans="9:14" x14ac:dyDescent="0.25">
      <c r="I12289" s="11" t="b">
        <f t="shared" si="592"/>
        <v>0</v>
      </c>
      <c r="M12289" s="17" t="str">
        <f t="shared" ref="M12289:M12352" si="593">IF(B12289=0, "",M12288+ J12289-K12289)</f>
        <v/>
      </c>
      <c r="N12289" s="11" t="str">
        <f t="shared" ref="N12289:N12352" si="594">IF(B12289=0, "", MONTH(B12289))</f>
        <v/>
      </c>
    </row>
    <row r="12290" spans="9:14" x14ac:dyDescent="0.25">
      <c r="I12290" s="11" t="b">
        <f t="shared" si="592"/>
        <v>0</v>
      </c>
      <c r="M12290" s="17" t="str">
        <f t="shared" si="593"/>
        <v/>
      </c>
      <c r="N12290" s="11" t="str">
        <f t="shared" si="594"/>
        <v/>
      </c>
    </row>
    <row r="12291" spans="9:14" x14ac:dyDescent="0.25">
      <c r="I12291" s="11" t="b">
        <f t="shared" si="592"/>
        <v>0</v>
      </c>
      <c r="M12291" s="17" t="str">
        <f t="shared" si="593"/>
        <v/>
      </c>
      <c r="N12291" s="11" t="str">
        <f t="shared" si="594"/>
        <v/>
      </c>
    </row>
    <row r="12292" spans="9:14" x14ac:dyDescent="0.25">
      <c r="I12292" s="11" t="b">
        <f t="shared" si="592"/>
        <v>0</v>
      </c>
      <c r="M12292" s="17" t="str">
        <f t="shared" si="593"/>
        <v/>
      </c>
      <c r="N12292" s="11" t="str">
        <f t="shared" si="594"/>
        <v/>
      </c>
    </row>
    <row r="12293" spans="9:14" x14ac:dyDescent="0.25">
      <c r="I12293" s="11" t="b">
        <f t="shared" si="592"/>
        <v>0</v>
      </c>
      <c r="M12293" s="17" t="str">
        <f t="shared" si="593"/>
        <v/>
      </c>
      <c r="N12293" s="11" t="str">
        <f t="shared" si="594"/>
        <v/>
      </c>
    </row>
    <row r="12294" spans="9:14" x14ac:dyDescent="0.25">
      <c r="I12294" s="11" t="b">
        <f t="shared" si="592"/>
        <v>0</v>
      </c>
      <c r="M12294" s="17" t="str">
        <f t="shared" si="593"/>
        <v/>
      </c>
      <c r="N12294" s="11" t="str">
        <f t="shared" si="594"/>
        <v/>
      </c>
    </row>
    <row r="12295" spans="9:14" x14ac:dyDescent="0.25">
      <c r="I12295" s="11" t="b">
        <f t="shared" si="592"/>
        <v>0</v>
      </c>
      <c r="M12295" s="17" t="str">
        <f t="shared" si="593"/>
        <v/>
      </c>
      <c r="N12295" s="11" t="str">
        <f t="shared" si="594"/>
        <v/>
      </c>
    </row>
    <row r="12296" spans="9:14" x14ac:dyDescent="0.25">
      <c r="I12296" s="11" t="b">
        <f t="shared" si="592"/>
        <v>0</v>
      </c>
      <c r="M12296" s="17" t="str">
        <f t="shared" si="593"/>
        <v/>
      </c>
      <c r="N12296" s="11" t="str">
        <f t="shared" si="594"/>
        <v/>
      </c>
    </row>
    <row r="12297" spans="9:14" x14ac:dyDescent="0.25">
      <c r="I12297" s="11" t="b">
        <f t="shared" si="592"/>
        <v>0</v>
      </c>
      <c r="M12297" s="17" t="str">
        <f t="shared" si="593"/>
        <v/>
      </c>
      <c r="N12297" s="11" t="str">
        <f t="shared" si="594"/>
        <v/>
      </c>
    </row>
    <row r="12298" spans="9:14" x14ac:dyDescent="0.25">
      <c r="I12298" s="11" t="b">
        <f t="shared" si="592"/>
        <v>0</v>
      </c>
      <c r="M12298" s="17" t="str">
        <f t="shared" si="593"/>
        <v/>
      </c>
      <c r="N12298" s="11" t="str">
        <f t="shared" si="594"/>
        <v/>
      </c>
    </row>
    <row r="12299" spans="9:14" x14ac:dyDescent="0.25">
      <c r="I12299" s="11" t="b">
        <f t="shared" si="592"/>
        <v>0</v>
      </c>
      <c r="M12299" s="17" t="str">
        <f t="shared" si="593"/>
        <v/>
      </c>
      <c r="N12299" s="11" t="str">
        <f t="shared" si="594"/>
        <v/>
      </c>
    </row>
    <row r="12300" spans="9:14" x14ac:dyDescent="0.25">
      <c r="I12300" s="11" t="b">
        <f t="shared" si="592"/>
        <v>0</v>
      </c>
      <c r="M12300" s="17" t="str">
        <f t="shared" si="593"/>
        <v/>
      </c>
      <c r="N12300" s="11" t="str">
        <f t="shared" si="594"/>
        <v/>
      </c>
    </row>
    <row r="12301" spans="9:14" x14ac:dyDescent="0.25">
      <c r="I12301" s="11" t="b">
        <f t="shared" si="592"/>
        <v>0</v>
      </c>
      <c r="M12301" s="17" t="str">
        <f t="shared" si="593"/>
        <v/>
      </c>
      <c r="N12301" s="11" t="str">
        <f t="shared" si="594"/>
        <v/>
      </c>
    </row>
    <row r="12302" spans="9:14" x14ac:dyDescent="0.25">
      <c r="I12302" s="11" t="b">
        <f t="shared" si="592"/>
        <v>0</v>
      </c>
      <c r="M12302" s="17" t="str">
        <f t="shared" si="593"/>
        <v/>
      </c>
      <c r="N12302" s="11" t="str">
        <f t="shared" si="594"/>
        <v/>
      </c>
    </row>
    <row r="12303" spans="9:14" x14ac:dyDescent="0.25">
      <c r="I12303" s="11" t="b">
        <f t="shared" si="592"/>
        <v>0</v>
      </c>
      <c r="M12303" s="17" t="str">
        <f t="shared" si="593"/>
        <v/>
      </c>
      <c r="N12303" s="11" t="str">
        <f t="shared" si="594"/>
        <v/>
      </c>
    </row>
    <row r="12304" spans="9:14" x14ac:dyDescent="0.25">
      <c r="I12304" s="11" t="b">
        <f t="shared" si="592"/>
        <v>0</v>
      </c>
      <c r="M12304" s="17" t="str">
        <f t="shared" si="593"/>
        <v/>
      </c>
      <c r="N12304" s="11" t="str">
        <f t="shared" si="594"/>
        <v/>
      </c>
    </row>
    <row r="12305" spans="9:14" x14ac:dyDescent="0.25">
      <c r="I12305" s="11" t="b">
        <f t="shared" si="592"/>
        <v>0</v>
      </c>
      <c r="M12305" s="17" t="str">
        <f t="shared" si="593"/>
        <v/>
      </c>
      <c r="N12305" s="11" t="str">
        <f t="shared" si="594"/>
        <v/>
      </c>
    </row>
    <row r="12306" spans="9:14" x14ac:dyDescent="0.25">
      <c r="I12306" s="11" t="b">
        <f t="shared" si="592"/>
        <v>0</v>
      </c>
      <c r="M12306" s="17" t="str">
        <f t="shared" si="593"/>
        <v/>
      </c>
      <c r="N12306" s="11" t="str">
        <f t="shared" si="594"/>
        <v/>
      </c>
    </row>
    <row r="12307" spans="9:14" x14ac:dyDescent="0.25">
      <c r="I12307" s="11" t="b">
        <f t="shared" si="592"/>
        <v>0</v>
      </c>
      <c r="M12307" s="17" t="str">
        <f t="shared" si="593"/>
        <v/>
      </c>
      <c r="N12307" s="11" t="str">
        <f t="shared" si="594"/>
        <v/>
      </c>
    </row>
    <row r="12308" spans="9:14" x14ac:dyDescent="0.25">
      <c r="I12308" s="11" t="b">
        <f t="shared" si="592"/>
        <v>0</v>
      </c>
      <c r="M12308" s="17" t="str">
        <f t="shared" si="593"/>
        <v/>
      </c>
      <c r="N12308" s="11" t="str">
        <f t="shared" si="594"/>
        <v/>
      </c>
    </row>
    <row r="12309" spans="9:14" x14ac:dyDescent="0.25">
      <c r="I12309" s="11" t="b">
        <f t="shared" si="592"/>
        <v>0</v>
      </c>
      <c r="M12309" s="17" t="str">
        <f t="shared" si="593"/>
        <v/>
      </c>
      <c r="N12309" s="11" t="str">
        <f t="shared" si="594"/>
        <v/>
      </c>
    </row>
    <row r="12310" spans="9:14" x14ac:dyDescent="0.25">
      <c r="I12310" s="11" t="b">
        <f t="shared" si="592"/>
        <v>0</v>
      </c>
      <c r="M12310" s="17" t="str">
        <f t="shared" si="593"/>
        <v/>
      </c>
      <c r="N12310" s="11" t="str">
        <f t="shared" si="594"/>
        <v/>
      </c>
    </row>
    <row r="12311" spans="9:14" x14ac:dyDescent="0.25">
      <c r="I12311" s="11" t="b">
        <f t="shared" si="592"/>
        <v>0</v>
      </c>
      <c r="M12311" s="17" t="str">
        <f t="shared" si="593"/>
        <v/>
      </c>
      <c r="N12311" s="11" t="str">
        <f t="shared" si="594"/>
        <v/>
      </c>
    </row>
    <row r="12312" spans="9:14" x14ac:dyDescent="0.25">
      <c r="I12312" s="11" t="b">
        <f t="shared" si="592"/>
        <v>0</v>
      </c>
      <c r="M12312" s="17" t="str">
        <f t="shared" si="593"/>
        <v/>
      </c>
      <c r="N12312" s="11" t="str">
        <f t="shared" si="594"/>
        <v/>
      </c>
    </row>
    <row r="12313" spans="9:14" x14ac:dyDescent="0.25">
      <c r="I12313" s="11" t="b">
        <f t="shared" si="592"/>
        <v>0</v>
      </c>
      <c r="M12313" s="17" t="str">
        <f t="shared" si="593"/>
        <v/>
      </c>
      <c r="N12313" s="11" t="str">
        <f t="shared" si="594"/>
        <v/>
      </c>
    </row>
    <row r="12314" spans="9:14" x14ac:dyDescent="0.25">
      <c r="I12314" s="11" t="b">
        <f t="shared" si="592"/>
        <v>0</v>
      </c>
      <c r="M12314" s="17" t="str">
        <f t="shared" si="593"/>
        <v/>
      </c>
      <c r="N12314" s="11" t="str">
        <f t="shared" si="594"/>
        <v/>
      </c>
    </row>
    <row r="12315" spans="9:14" x14ac:dyDescent="0.25">
      <c r="I12315" s="11" t="b">
        <f t="shared" si="592"/>
        <v>0</v>
      </c>
      <c r="M12315" s="17" t="str">
        <f t="shared" si="593"/>
        <v/>
      </c>
      <c r="N12315" s="11" t="str">
        <f t="shared" si="594"/>
        <v/>
      </c>
    </row>
    <row r="12316" spans="9:14" x14ac:dyDescent="0.25">
      <c r="I12316" s="11" t="b">
        <f t="shared" si="592"/>
        <v>0</v>
      </c>
      <c r="M12316" s="17" t="str">
        <f t="shared" si="593"/>
        <v/>
      </c>
      <c r="N12316" s="11" t="str">
        <f t="shared" si="594"/>
        <v/>
      </c>
    </row>
    <row r="12317" spans="9:14" x14ac:dyDescent="0.25">
      <c r="I12317" s="11" t="b">
        <f t="shared" ref="I12317:I12380" si="595">IF(AND(G12317="MERCADO PAGO",A12317="FATURAMENTO"),1,IF(AND(OR(G12317="MERCADO PAGO",G12317="pix mercado pago",G12317= "débito automático mercado pago", G12317= "boleto mercado pago"),A12317="DESPESAS"),4,IF(AND(G12317="SAFRA",A12317="FATURAMENTO"),2,IF(AND(OR(G12317="SAFRA",G12317="PIX SAFRA", G12317="DÉBITO AUTOMÁTICO SAFRA", G12317= "BOLETO SAFRA", G12317= "transferência safra"), A12317="DESPESAS"),5,IF(AND(G12317="espécie",A12317="FATURAMENTO"),3,IF(AND(G12317="espécie",A12317="DESPESAS"),6))))))</f>
        <v>0</v>
      </c>
      <c r="M12317" s="17" t="str">
        <f t="shared" si="593"/>
        <v/>
      </c>
      <c r="N12317" s="11" t="str">
        <f t="shared" si="594"/>
        <v/>
      </c>
    </row>
    <row r="12318" spans="9:14" x14ac:dyDescent="0.25">
      <c r="I12318" s="11" t="b">
        <f t="shared" si="595"/>
        <v>0</v>
      </c>
      <c r="M12318" s="17" t="str">
        <f t="shared" si="593"/>
        <v/>
      </c>
      <c r="N12318" s="11" t="str">
        <f t="shared" si="594"/>
        <v/>
      </c>
    </row>
    <row r="12319" spans="9:14" x14ac:dyDescent="0.25">
      <c r="I12319" s="11" t="b">
        <f t="shared" si="595"/>
        <v>0</v>
      </c>
      <c r="M12319" s="17" t="str">
        <f t="shared" si="593"/>
        <v/>
      </c>
      <c r="N12319" s="11" t="str">
        <f t="shared" si="594"/>
        <v/>
      </c>
    </row>
    <row r="12320" spans="9:14" x14ac:dyDescent="0.25">
      <c r="I12320" s="11" t="b">
        <f t="shared" si="595"/>
        <v>0</v>
      </c>
      <c r="M12320" s="17" t="str">
        <f t="shared" si="593"/>
        <v/>
      </c>
      <c r="N12320" s="11" t="str">
        <f t="shared" si="594"/>
        <v/>
      </c>
    </row>
    <row r="12321" spans="9:14" x14ac:dyDescent="0.25">
      <c r="I12321" s="11" t="b">
        <f t="shared" si="595"/>
        <v>0</v>
      </c>
      <c r="M12321" s="17" t="str">
        <f t="shared" si="593"/>
        <v/>
      </c>
      <c r="N12321" s="11" t="str">
        <f t="shared" si="594"/>
        <v/>
      </c>
    </row>
    <row r="12322" spans="9:14" x14ac:dyDescent="0.25">
      <c r="I12322" s="11" t="b">
        <f t="shared" si="595"/>
        <v>0</v>
      </c>
      <c r="M12322" s="17" t="str">
        <f t="shared" si="593"/>
        <v/>
      </c>
      <c r="N12322" s="11" t="str">
        <f t="shared" si="594"/>
        <v/>
      </c>
    </row>
    <row r="12323" spans="9:14" x14ac:dyDescent="0.25">
      <c r="I12323" s="11" t="b">
        <f t="shared" si="595"/>
        <v>0</v>
      </c>
      <c r="M12323" s="17" t="str">
        <f t="shared" si="593"/>
        <v/>
      </c>
      <c r="N12323" s="11" t="str">
        <f t="shared" si="594"/>
        <v/>
      </c>
    </row>
    <row r="12324" spans="9:14" x14ac:dyDescent="0.25">
      <c r="I12324" s="11" t="b">
        <f t="shared" si="595"/>
        <v>0</v>
      </c>
      <c r="M12324" s="17" t="str">
        <f t="shared" si="593"/>
        <v/>
      </c>
      <c r="N12324" s="11" t="str">
        <f t="shared" si="594"/>
        <v/>
      </c>
    </row>
    <row r="12325" spans="9:14" x14ac:dyDescent="0.25">
      <c r="I12325" s="11" t="b">
        <f t="shared" si="595"/>
        <v>0</v>
      </c>
      <c r="M12325" s="17" t="str">
        <f t="shared" si="593"/>
        <v/>
      </c>
      <c r="N12325" s="11" t="str">
        <f t="shared" si="594"/>
        <v/>
      </c>
    </row>
    <row r="12326" spans="9:14" x14ac:dyDescent="0.25">
      <c r="I12326" s="11" t="b">
        <f t="shared" si="595"/>
        <v>0</v>
      </c>
      <c r="M12326" s="17" t="str">
        <f t="shared" si="593"/>
        <v/>
      </c>
      <c r="N12326" s="11" t="str">
        <f t="shared" si="594"/>
        <v/>
      </c>
    </row>
    <row r="12327" spans="9:14" x14ac:dyDescent="0.25">
      <c r="I12327" s="11" t="b">
        <f t="shared" si="595"/>
        <v>0</v>
      </c>
      <c r="M12327" s="17" t="str">
        <f t="shared" si="593"/>
        <v/>
      </c>
      <c r="N12327" s="11" t="str">
        <f t="shared" si="594"/>
        <v/>
      </c>
    </row>
    <row r="12328" spans="9:14" x14ac:dyDescent="0.25">
      <c r="I12328" s="11" t="b">
        <f t="shared" si="595"/>
        <v>0</v>
      </c>
      <c r="M12328" s="17" t="str">
        <f t="shared" si="593"/>
        <v/>
      </c>
      <c r="N12328" s="11" t="str">
        <f t="shared" si="594"/>
        <v/>
      </c>
    </row>
    <row r="12329" spans="9:14" x14ac:dyDescent="0.25">
      <c r="I12329" s="11" t="b">
        <f t="shared" si="595"/>
        <v>0</v>
      </c>
      <c r="M12329" s="17" t="str">
        <f t="shared" si="593"/>
        <v/>
      </c>
      <c r="N12329" s="11" t="str">
        <f t="shared" si="594"/>
        <v/>
      </c>
    </row>
    <row r="12330" spans="9:14" x14ac:dyDescent="0.25">
      <c r="I12330" s="11" t="b">
        <f t="shared" si="595"/>
        <v>0</v>
      </c>
      <c r="M12330" s="17" t="str">
        <f t="shared" si="593"/>
        <v/>
      </c>
      <c r="N12330" s="11" t="str">
        <f t="shared" si="594"/>
        <v/>
      </c>
    </row>
    <row r="12331" spans="9:14" x14ac:dyDescent="0.25">
      <c r="I12331" s="11" t="b">
        <f t="shared" si="595"/>
        <v>0</v>
      </c>
      <c r="M12331" s="17" t="str">
        <f t="shared" si="593"/>
        <v/>
      </c>
      <c r="N12331" s="11" t="str">
        <f t="shared" si="594"/>
        <v/>
      </c>
    </row>
    <row r="12332" spans="9:14" x14ac:dyDescent="0.25">
      <c r="I12332" s="11" t="b">
        <f t="shared" si="595"/>
        <v>0</v>
      </c>
      <c r="M12332" s="17" t="str">
        <f t="shared" si="593"/>
        <v/>
      </c>
      <c r="N12332" s="11" t="str">
        <f t="shared" si="594"/>
        <v/>
      </c>
    </row>
    <row r="12333" spans="9:14" x14ac:dyDescent="0.25">
      <c r="I12333" s="11" t="b">
        <f t="shared" si="595"/>
        <v>0</v>
      </c>
      <c r="M12333" s="17" t="str">
        <f t="shared" si="593"/>
        <v/>
      </c>
      <c r="N12333" s="11" t="str">
        <f t="shared" si="594"/>
        <v/>
      </c>
    </row>
    <row r="12334" spans="9:14" x14ac:dyDescent="0.25">
      <c r="I12334" s="11" t="b">
        <f t="shared" si="595"/>
        <v>0</v>
      </c>
      <c r="M12334" s="17" t="str">
        <f t="shared" si="593"/>
        <v/>
      </c>
      <c r="N12334" s="11" t="str">
        <f t="shared" si="594"/>
        <v/>
      </c>
    </row>
    <row r="12335" spans="9:14" x14ac:dyDescent="0.25">
      <c r="I12335" s="11" t="b">
        <f t="shared" si="595"/>
        <v>0</v>
      </c>
      <c r="M12335" s="17" t="str">
        <f t="shared" si="593"/>
        <v/>
      </c>
      <c r="N12335" s="11" t="str">
        <f t="shared" si="594"/>
        <v/>
      </c>
    </row>
    <row r="12336" spans="9:14" x14ac:dyDescent="0.25">
      <c r="I12336" s="11" t="b">
        <f t="shared" si="595"/>
        <v>0</v>
      </c>
      <c r="M12336" s="17" t="str">
        <f t="shared" si="593"/>
        <v/>
      </c>
      <c r="N12336" s="11" t="str">
        <f t="shared" si="594"/>
        <v/>
      </c>
    </row>
    <row r="12337" spans="9:14" x14ac:dyDescent="0.25">
      <c r="I12337" s="11" t="b">
        <f t="shared" si="595"/>
        <v>0</v>
      </c>
      <c r="M12337" s="17" t="str">
        <f t="shared" si="593"/>
        <v/>
      </c>
      <c r="N12337" s="11" t="str">
        <f t="shared" si="594"/>
        <v/>
      </c>
    </row>
    <row r="12338" spans="9:14" x14ac:dyDescent="0.25">
      <c r="I12338" s="11" t="b">
        <f t="shared" si="595"/>
        <v>0</v>
      </c>
      <c r="M12338" s="17" t="str">
        <f t="shared" si="593"/>
        <v/>
      </c>
      <c r="N12338" s="11" t="str">
        <f t="shared" si="594"/>
        <v/>
      </c>
    </row>
    <row r="12339" spans="9:14" x14ac:dyDescent="0.25">
      <c r="I12339" s="11" t="b">
        <f t="shared" si="595"/>
        <v>0</v>
      </c>
      <c r="M12339" s="17" t="str">
        <f t="shared" si="593"/>
        <v/>
      </c>
      <c r="N12339" s="11" t="str">
        <f t="shared" si="594"/>
        <v/>
      </c>
    </row>
    <row r="12340" spans="9:14" x14ac:dyDescent="0.25">
      <c r="I12340" s="11" t="b">
        <f t="shared" si="595"/>
        <v>0</v>
      </c>
      <c r="M12340" s="17" t="str">
        <f t="shared" si="593"/>
        <v/>
      </c>
      <c r="N12340" s="11" t="str">
        <f t="shared" si="594"/>
        <v/>
      </c>
    </row>
    <row r="12341" spans="9:14" x14ac:dyDescent="0.25">
      <c r="I12341" s="11" t="b">
        <f t="shared" si="595"/>
        <v>0</v>
      </c>
      <c r="M12341" s="17" t="str">
        <f t="shared" si="593"/>
        <v/>
      </c>
      <c r="N12341" s="11" t="str">
        <f t="shared" si="594"/>
        <v/>
      </c>
    </row>
    <row r="12342" spans="9:14" x14ac:dyDescent="0.25">
      <c r="I12342" s="11" t="b">
        <f t="shared" si="595"/>
        <v>0</v>
      </c>
      <c r="M12342" s="17" t="str">
        <f t="shared" si="593"/>
        <v/>
      </c>
      <c r="N12342" s="11" t="str">
        <f t="shared" si="594"/>
        <v/>
      </c>
    </row>
    <row r="12343" spans="9:14" x14ac:dyDescent="0.25">
      <c r="I12343" s="11" t="b">
        <f t="shared" si="595"/>
        <v>0</v>
      </c>
      <c r="M12343" s="17" t="str">
        <f t="shared" si="593"/>
        <v/>
      </c>
      <c r="N12343" s="11" t="str">
        <f t="shared" si="594"/>
        <v/>
      </c>
    </row>
    <row r="12344" spans="9:14" x14ac:dyDescent="0.25">
      <c r="I12344" s="11" t="b">
        <f t="shared" si="595"/>
        <v>0</v>
      </c>
      <c r="M12344" s="17" t="str">
        <f t="shared" si="593"/>
        <v/>
      </c>
      <c r="N12344" s="11" t="str">
        <f t="shared" si="594"/>
        <v/>
      </c>
    </row>
    <row r="12345" spans="9:14" x14ac:dyDescent="0.25">
      <c r="I12345" s="11" t="b">
        <f t="shared" si="595"/>
        <v>0</v>
      </c>
      <c r="M12345" s="17" t="str">
        <f t="shared" si="593"/>
        <v/>
      </c>
      <c r="N12345" s="11" t="str">
        <f t="shared" si="594"/>
        <v/>
      </c>
    </row>
    <row r="12346" spans="9:14" x14ac:dyDescent="0.25">
      <c r="I12346" s="11" t="b">
        <f t="shared" si="595"/>
        <v>0</v>
      </c>
      <c r="M12346" s="17" t="str">
        <f t="shared" si="593"/>
        <v/>
      </c>
      <c r="N12346" s="11" t="str">
        <f t="shared" si="594"/>
        <v/>
      </c>
    </row>
    <row r="12347" spans="9:14" x14ac:dyDescent="0.25">
      <c r="I12347" s="11" t="b">
        <f t="shared" si="595"/>
        <v>0</v>
      </c>
      <c r="M12347" s="17" t="str">
        <f t="shared" si="593"/>
        <v/>
      </c>
      <c r="N12347" s="11" t="str">
        <f t="shared" si="594"/>
        <v/>
      </c>
    </row>
    <row r="12348" spans="9:14" x14ac:dyDescent="0.25">
      <c r="I12348" s="11" t="b">
        <f t="shared" si="595"/>
        <v>0</v>
      </c>
      <c r="M12348" s="17" t="str">
        <f t="shared" si="593"/>
        <v/>
      </c>
      <c r="N12348" s="11" t="str">
        <f t="shared" si="594"/>
        <v/>
      </c>
    </row>
    <row r="12349" spans="9:14" x14ac:dyDescent="0.25">
      <c r="I12349" s="11" t="b">
        <f t="shared" si="595"/>
        <v>0</v>
      </c>
      <c r="M12349" s="17" t="str">
        <f t="shared" si="593"/>
        <v/>
      </c>
      <c r="N12349" s="11" t="str">
        <f t="shared" si="594"/>
        <v/>
      </c>
    </row>
    <row r="12350" spans="9:14" x14ac:dyDescent="0.25">
      <c r="I12350" s="11" t="b">
        <f t="shared" si="595"/>
        <v>0</v>
      </c>
      <c r="M12350" s="17" t="str">
        <f t="shared" si="593"/>
        <v/>
      </c>
      <c r="N12350" s="11" t="str">
        <f t="shared" si="594"/>
        <v/>
      </c>
    </row>
    <row r="12351" spans="9:14" x14ac:dyDescent="0.25">
      <c r="I12351" s="11" t="b">
        <f t="shared" si="595"/>
        <v>0</v>
      </c>
      <c r="M12351" s="17" t="str">
        <f t="shared" si="593"/>
        <v/>
      </c>
      <c r="N12351" s="11" t="str">
        <f t="shared" si="594"/>
        <v/>
      </c>
    </row>
    <row r="12352" spans="9:14" x14ac:dyDescent="0.25">
      <c r="I12352" s="11" t="b">
        <f t="shared" si="595"/>
        <v>0</v>
      </c>
      <c r="M12352" s="17" t="str">
        <f t="shared" si="593"/>
        <v/>
      </c>
      <c r="N12352" s="11" t="str">
        <f t="shared" si="594"/>
        <v/>
      </c>
    </row>
    <row r="12353" spans="9:14" x14ac:dyDescent="0.25">
      <c r="I12353" s="11" t="b">
        <f t="shared" si="595"/>
        <v>0</v>
      </c>
      <c r="M12353" s="17" t="str">
        <f t="shared" ref="M12353:M12416" si="596">IF(B12353=0, "",M12352+ J12353-K12353)</f>
        <v/>
      </c>
      <c r="N12353" s="11" t="str">
        <f t="shared" ref="N12353:N12416" si="597">IF(B12353=0, "", MONTH(B12353))</f>
        <v/>
      </c>
    </row>
    <row r="12354" spans="9:14" x14ac:dyDescent="0.25">
      <c r="I12354" s="11" t="b">
        <f t="shared" si="595"/>
        <v>0</v>
      </c>
      <c r="M12354" s="17" t="str">
        <f t="shared" si="596"/>
        <v/>
      </c>
      <c r="N12354" s="11" t="str">
        <f t="shared" si="597"/>
        <v/>
      </c>
    </row>
    <row r="12355" spans="9:14" x14ac:dyDescent="0.25">
      <c r="I12355" s="11" t="b">
        <f t="shared" si="595"/>
        <v>0</v>
      </c>
      <c r="M12355" s="17" t="str">
        <f t="shared" si="596"/>
        <v/>
      </c>
      <c r="N12355" s="11" t="str">
        <f t="shared" si="597"/>
        <v/>
      </c>
    </row>
    <row r="12356" spans="9:14" x14ac:dyDescent="0.25">
      <c r="I12356" s="11" t="b">
        <f t="shared" si="595"/>
        <v>0</v>
      </c>
      <c r="M12356" s="17" t="str">
        <f t="shared" si="596"/>
        <v/>
      </c>
      <c r="N12356" s="11" t="str">
        <f t="shared" si="597"/>
        <v/>
      </c>
    </row>
    <row r="12357" spans="9:14" x14ac:dyDescent="0.25">
      <c r="I12357" s="11" t="b">
        <f t="shared" si="595"/>
        <v>0</v>
      </c>
      <c r="M12357" s="17" t="str">
        <f t="shared" si="596"/>
        <v/>
      </c>
      <c r="N12357" s="11" t="str">
        <f t="shared" si="597"/>
        <v/>
      </c>
    </row>
    <row r="12358" spans="9:14" x14ac:dyDescent="0.25">
      <c r="I12358" s="11" t="b">
        <f t="shared" si="595"/>
        <v>0</v>
      </c>
      <c r="M12358" s="17" t="str">
        <f t="shared" si="596"/>
        <v/>
      </c>
      <c r="N12358" s="11" t="str">
        <f t="shared" si="597"/>
        <v/>
      </c>
    </row>
    <row r="12359" spans="9:14" x14ac:dyDescent="0.25">
      <c r="I12359" s="11" t="b">
        <f t="shared" si="595"/>
        <v>0</v>
      </c>
      <c r="M12359" s="17" t="str">
        <f t="shared" si="596"/>
        <v/>
      </c>
      <c r="N12359" s="11" t="str">
        <f t="shared" si="597"/>
        <v/>
      </c>
    </row>
    <row r="12360" spans="9:14" x14ac:dyDescent="0.25">
      <c r="I12360" s="11" t="b">
        <f t="shared" si="595"/>
        <v>0</v>
      </c>
      <c r="M12360" s="17" t="str">
        <f t="shared" si="596"/>
        <v/>
      </c>
      <c r="N12360" s="11" t="str">
        <f t="shared" si="597"/>
        <v/>
      </c>
    </row>
    <row r="12361" spans="9:14" x14ac:dyDescent="0.25">
      <c r="I12361" s="11" t="b">
        <f t="shared" si="595"/>
        <v>0</v>
      </c>
      <c r="M12361" s="17" t="str">
        <f t="shared" si="596"/>
        <v/>
      </c>
      <c r="N12361" s="11" t="str">
        <f t="shared" si="597"/>
        <v/>
      </c>
    </row>
    <row r="12362" spans="9:14" x14ac:dyDescent="0.25">
      <c r="I12362" s="11" t="b">
        <f t="shared" si="595"/>
        <v>0</v>
      </c>
      <c r="M12362" s="17" t="str">
        <f t="shared" si="596"/>
        <v/>
      </c>
      <c r="N12362" s="11" t="str">
        <f t="shared" si="597"/>
        <v/>
      </c>
    </row>
    <row r="12363" spans="9:14" x14ac:dyDescent="0.25">
      <c r="I12363" s="11" t="b">
        <f t="shared" si="595"/>
        <v>0</v>
      </c>
      <c r="M12363" s="17" t="str">
        <f t="shared" si="596"/>
        <v/>
      </c>
      <c r="N12363" s="11" t="str">
        <f t="shared" si="597"/>
        <v/>
      </c>
    </row>
    <row r="12364" spans="9:14" x14ac:dyDescent="0.25">
      <c r="I12364" s="11" t="b">
        <f t="shared" si="595"/>
        <v>0</v>
      </c>
      <c r="M12364" s="17" t="str">
        <f t="shared" si="596"/>
        <v/>
      </c>
      <c r="N12364" s="11" t="str">
        <f t="shared" si="597"/>
        <v/>
      </c>
    </row>
    <row r="12365" spans="9:14" x14ac:dyDescent="0.25">
      <c r="I12365" s="11" t="b">
        <f t="shared" si="595"/>
        <v>0</v>
      </c>
      <c r="M12365" s="17" t="str">
        <f t="shared" si="596"/>
        <v/>
      </c>
      <c r="N12365" s="11" t="str">
        <f t="shared" si="597"/>
        <v/>
      </c>
    </row>
    <row r="12366" spans="9:14" x14ac:dyDescent="0.25">
      <c r="I12366" s="11" t="b">
        <f t="shared" si="595"/>
        <v>0</v>
      </c>
      <c r="M12366" s="17" t="str">
        <f t="shared" si="596"/>
        <v/>
      </c>
      <c r="N12366" s="11" t="str">
        <f t="shared" si="597"/>
        <v/>
      </c>
    </row>
    <row r="12367" spans="9:14" x14ac:dyDescent="0.25">
      <c r="I12367" s="11" t="b">
        <f t="shared" si="595"/>
        <v>0</v>
      </c>
      <c r="M12367" s="17" t="str">
        <f t="shared" si="596"/>
        <v/>
      </c>
      <c r="N12367" s="11" t="str">
        <f t="shared" si="597"/>
        <v/>
      </c>
    </row>
    <row r="12368" spans="9:14" x14ac:dyDescent="0.25">
      <c r="I12368" s="11" t="b">
        <f t="shared" si="595"/>
        <v>0</v>
      </c>
      <c r="M12368" s="17" t="str">
        <f t="shared" si="596"/>
        <v/>
      </c>
      <c r="N12368" s="11" t="str">
        <f t="shared" si="597"/>
        <v/>
      </c>
    </row>
    <row r="12369" spans="9:14" x14ac:dyDescent="0.25">
      <c r="I12369" s="11" t="b">
        <f t="shared" si="595"/>
        <v>0</v>
      </c>
      <c r="M12369" s="17" t="str">
        <f t="shared" si="596"/>
        <v/>
      </c>
      <c r="N12369" s="11" t="str">
        <f t="shared" si="597"/>
        <v/>
      </c>
    </row>
    <row r="12370" spans="9:14" x14ac:dyDescent="0.25">
      <c r="I12370" s="11" t="b">
        <f t="shared" si="595"/>
        <v>0</v>
      </c>
      <c r="M12370" s="17" t="str">
        <f t="shared" si="596"/>
        <v/>
      </c>
      <c r="N12370" s="11" t="str">
        <f t="shared" si="597"/>
        <v/>
      </c>
    </row>
    <row r="12371" spans="9:14" x14ac:dyDescent="0.25">
      <c r="I12371" s="11" t="b">
        <f t="shared" si="595"/>
        <v>0</v>
      </c>
      <c r="M12371" s="17" t="str">
        <f t="shared" si="596"/>
        <v/>
      </c>
      <c r="N12371" s="11" t="str">
        <f t="shared" si="597"/>
        <v/>
      </c>
    </row>
    <row r="12372" spans="9:14" x14ac:dyDescent="0.25">
      <c r="I12372" s="11" t="b">
        <f t="shared" si="595"/>
        <v>0</v>
      </c>
      <c r="M12372" s="17" t="str">
        <f t="shared" si="596"/>
        <v/>
      </c>
      <c r="N12372" s="11" t="str">
        <f t="shared" si="597"/>
        <v/>
      </c>
    </row>
    <row r="12373" spans="9:14" x14ac:dyDescent="0.25">
      <c r="I12373" s="11" t="b">
        <f t="shared" si="595"/>
        <v>0</v>
      </c>
      <c r="M12373" s="17" t="str">
        <f t="shared" si="596"/>
        <v/>
      </c>
      <c r="N12373" s="11" t="str">
        <f t="shared" si="597"/>
        <v/>
      </c>
    </row>
    <row r="12374" spans="9:14" x14ac:dyDescent="0.25">
      <c r="I12374" s="11" t="b">
        <f t="shared" si="595"/>
        <v>0</v>
      </c>
      <c r="M12374" s="17" t="str">
        <f t="shared" si="596"/>
        <v/>
      </c>
      <c r="N12374" s="11" t="str">
        <f t="shared" si="597"/>
        <v/>
      </c>
    </row>
    <row r="12375" spans="9:14" x14ac:dyDescent="0.25">
      <c r="I12375" s="11" t="b">
        <f t="shared" si="595"/>
        <v>0</v>
      </c>
      <c r="M12375" s="17" t="str">
        <f t="shared" si="596"/>
        <v/>
      </c>
      <c r="N12375" s="11" t="str">
        <f t="shared" si="597"/>
        <v/>
      </c>
    </row>
    <row r="12376" spans="9:14" x14ac:dyDescent="0.25">
      <c r="I12376" s="11" t="b">
        <f t="shared" si="595"/>
        <v>0</v>
      </c>
      <c r="M12376" s="17" t="str">
        <f t="shared" si="596"/>
        <v/>
      </c>
      <c r="N12376" s="11" t="str">
        <f t="shared" si="597"/>
        <v/>
      </c>
    </row>
    <row r="12377" spans="9:14" x14ac:dyDescent="0.25">
      <c r="I12377" s="11" t="b">
        <f t="shared" si="595"/>
        <v>0</v>
      </c>
      <c r="M12377" s="17" t="str">
        <f t="shared" si="596"/>
        <v/>
      </c>
      <c r="N12377" s="11" t="str">
        <f t="shared" si="597"/>
        <v/>
      </c>
    </row>
    <row r="12378" spans="9:14" x14ac:dyDescent="0.25">
      <c r="I12378" s="11" t="b">
        <f t="shared" si="595"/>
        <v>0</v>
      </c>
      <c r="M12378" s="17" t="str">
        <f t="shared" si="596"/>
        <v/>
      </c>
      <c r="N12378" s="11" t="str">
        <f t="shared" si="597"/>
        <v/>
      </c>
    </row>
    <row r="12379" spans="9:14" x14ac:dyDescent="0.25">
      <c r="I12379" s="11" t="b">
        <f t="shared" si="595"/>
        <v>0</v>
      </c>
      <c r="M12379" s="17" t="str">
        <f t="shared" si="596"/>
        <v/>
      </c>
      <c r="N12379" s="11" t="str">
        <f t="shared" si="597"/>
        <v/>
      </c>
    </row>
    <row r="12380" spans="9:14" x14ac:dyDescent="0.25">
      <c r="I12380" s="11" t="b">
        <f t="shared" si="595"/>
        <v>0</v>
      </c>
      <c r="M12380" s="17" t="str">
        <f t="shared" si="596"/>
        <v/>
      </c>
      <c r="N12380" s="11" t="str">
        <f t="shared" si="597"/>
        <v/>
      </c>
    </row>
    <row r="12381" spans="9:14" x14ac:dyDescent="0.25">
      <c r="I12381" s="11" t="b">
        <f t="shared" ref="I12381:I12444" si="598">IF(AND(G12381="MERCADO PAGO",A12381="FATURAMENTO"),1,IF(AND(OR(G12381="MERCADO PAGO",G12381="pix mercado pago",G12381= "débito automático mercado pago", G12381= "boleto mercado pago"),A12381="DESPESAS"),4,IF(AND(G12381="SAFRA",A12381="FATURAMENTO"),2,IF(AND(OR(G12381="SAFRA",G12381="PIX SAFRA", G12381="DÉBITO AUTOMÁTICO SAFRA", G12381= "BOLETO SAFRA", G12381= "transferência safra"), A12381="DESPESAS"),5,IF(AND(G12381="espécie",A12381="FATURAMENTO"),3,IF(AND(G12381="espécie",A12381="DESPESAS"),6))))))</f>
        <v>0</v>
      </c>
      <c r="M12381" s="17" t="str">
        <f t="shared" si="596"/>
        <v/>
      </c>
      <c r="N12381" s="11" t="str">
        <f t="shared" si="597"/>
        <v/>
      </c>
    </row>
    <row r="12382" spans="9:14" x14ac:dyDescent="0.25">
      <c r="I12382" s="11" t="b">
        <f t="shared" si="598"/>
        <v>0</v>
      </c>
      <c r="M12382" s="17" t="str">
        <f t="shared" si="596"/>
        <v/>
      </c>
      <c r="N12382" s="11" t="str">
        <f t="shared" si="597"/>
        <v/>
      </c>
    </row>
    <row r="12383" spans="9:14" x14ac:dyDescent="0.25">
      <c r="I12383" s="11" t="b">
        <f t="shared" si="598"/>
        <v>0</v>
      </c>
      <c r="M12383" s="17" t="str">
        <f t="shared" si="596"/>
        <v/>
      </c>
      <c r="N12383" s="11" t="str">
        <f t="shared" si="597"/>
        <v/>
      </c>
    </row>
    <row r="12384" spans="9:14" x14ac:dyDescent="0.25">
      <c r="I12384" s="11" t="b">
        <f t="shared" si="598"/>
        <v>0</v>
      </c>
      <c r="M12384" s="17" t="str">
        <f t="shared" si="596"/>
        <v/>
      </c>
      <c r="N12384" s="11" t="str">
        <f t="shared" si="597"/>
        <v/>
      </c>
    </row>
    <row r="12385" spans="9:14" x14ac:dyDescent="0.25">
      <c r="I12385" s="11" t="b">
        <f t="shared" si="598"/>
        <v>0</v>
      </c>
      <c r="M12385" s="17" t="str">
        <f t="shared" si="596"/>
        <v/>
      </c>
      <c r="N12385" s="11" t="str">
        <f t="shared" si="597"/>
        <v/>
      </c>
    </row>
    <row r="12386" spans="9:14" x14ac:dyDescent="0.25">
      <c r="I12386" s="11" t="b">
        <f t="shared" si="598"/>
        <v>0</v>
      </c>
      <c r="M12386" s="17" t="str">
        <f t="shared" si="596"/>
        <v/>
      </c>
      <c r="N12386" s="11" t="str">
        <f t="shared" si="597"/>
        <v/>
      </c>
    </row>
    <row r="12387" spans="9:14" x14ac:dyDescent="0.25">
      <c r="I12387" s="11" t="b">
        <f t="shared" si="598"/>
        <v>0</v>
      </c>
      <c r="M12387" s="17" t="str">
        <f t="shared" si="596"/>
        <v/>
      </c>
      <c r="N12387" s="11" t="str">
        <f t="shared" si="597"/>
        <v/>
      </c>
    </row>
    <row r="12388" spans="9:14" x14ac:dyDescent="0.25">
      <c r="I12388" s="11" t="b">
        <f t="shared" si="598"/>
        <v>0</v>
      </c>
      <c r="M12388" s="17" t="str">
        <f t="shared" si="596"/>
        <v/>
      </c>
      <c r="N12388" s="11" t="str">
        <f t="shared" si="597"/>
        <v/>
      </c>
    </row>
    <row r="12389" spans="9:14" x14ac:dyDescent="0.25">
      <c r="I12389" s="11" t="b">
        <f t="shared" si="598"/>
        <v>0</v>
      </c>
      <c r="M12389" s="17" t="str">
        <f t="shared" si="596"/>
        <v/>
      </c>
      <c r="N12389" s="11" t="str">
        <f t="shared" si="597"/>
        <v/>
      </c>
    </row>
    <row r="12390" spans="9:14" x14ac:dyDescent="0.25">
      <c r="I12390" s="11" t="b">
        <f t="shared" si="598"/>
        <v>0</v>
      </c>
      <c r="M12390" s="17" t="str">
        <f t="shared" si="596"/>
        <v/>
      </c>
      <c r="N12390" s="11" t="str">
        <f t="shared" si="597"/>
        <v/>
      </c>
    </row>
    <row r="12391" spans="9:14" x14ac:dyDescent="0.25">
      <c r="I12391" s="11" t="b">
        <f t="shared" si="598"/>
        <v>0</v>
      </c>
      <c r="M12391" s="17" t="str">
        <f t="shared" si="596"/>
        <v/>
      </c>
      <c r="N12391" s="11" t="str">
        <f t="shared" si="597"/>
        <v/>
      </c>
    </row>
    <row r="12392" spans="9:14" x14ac:dyDescent="0.25">
      <c r="I12392" s="11" t="b">
        <f t="shared" si="598"/>
        <v>0</v>
      </c>
      <c r="M12392" s="17" t="str">
        <f t="shared" si="596"/>
        <v/>
      </c>
      <c r="N12392" s="11" t="str">
        <f t="shared" si="597"/>
        <v/>
      </c>
    </row>
    <row r="12393" spans="9:14" x14ac:dyDescent="0.25">
      <c r="I12393" s="11" t="b">
        <f t="shared" si="598"/>
        <v>0</v>
      </c>
      <c r="M12393" s="17" t="str">
        <f t="shared" si="596"/>
        <v/>
      </c>
      <c r="N12393" s="11" t="str">
        <f t="shared" si="597"/>
        <v/>
      </c>
    </row>
    <row r="12394" spans="9:14" x14ac:dyDescent="0.25">
      <c r="I12394" s="11" t="b">
        <f t="shared" si="598"/>
        <v>0</v>
      </c>
      <c r="M12394" s="17" t="str">
        <f t="shared" si="596"/>
        <v/>
      </c>
      <c r="N12394" s="11" t="str">
        <f t="shared" si="597"/>
        <v/>
      </c>
    </row>
    <row r="12395" spans="9:14" x14ac:dyDescent="0.25">
      <c r="I12395" s="11" t="b">
        <f t="shared" si="598"/>
        <v>0</v>
      </c>
      <c r="M12395" s="17" t="str">
        <f t="shared" si="596"/>
        <v/>
      </c>
      <c r="N12395" s="11" t="str">
        <f t="shared" si="597"/>
        <v/>
      </c>
    </row>
    <row r="12396" spans="9:14" x14ac:dyDescent="0.25">
      <c r="I12396" s="11" t="b">
        <f t="shared" si="598"/>
        <v>0</v>
      </c>
      <c r="M12396" s="17" t="str">
        <f t="shared" si="596"/>
        <v/>
      </c>
      <c r="N12396" s="11" t="str">
        <f t="shared" si="597"/>
        <v/>
      </c>
    </row>
    <row r="12397" spans="9:14" x14ac:dyDescent="0.25">
      <c r="I12397" s="11" t="b">
        <f t="shared" si="598"/>
        <v>0</v>
      </c>
      <c r="M12397" s="17" t="str">
        <f t="shared" si="596"/>
        <v/>
      </c>
      <c r="N12397" s="11" t="str">
        <f t="shared" si="597"/>
        <v/>
      </c>
    </row>
    <row r="12398" spans="9:14" x14ac:dyDescent="0.25">
      <c r="I12398" s="11" t="b">
        <f t="shared" si="598"/>
        <v>0</v>
      </c>
      <c r="M12398" s="17" t="str">
        <f t="shared" si="596"/>
        <v/>
      </c>
      <c r="N12398" s="11" t="str">
        <f t="shared" si="597"/>
        <v/>
      </c>
    </row>
    <row r="12399" spans="9:14" x14ac:dyDescent="0.25">
      <c r="I12399" s="11" t="b">
        <f t="shared" si="598"/>
        <v>0</v>
      </c>
      <c r="M12399" s="17" t="str">
        <f t="shared" si="596"/>
        <v/>
      </c>
      <c r="N12399" s="11" t="str">
        <f t="shared" si="597"/>
        <v/>
      </c>
    </row>
    <row r="12400" spans="9:14" x14ac:dyDescent="0.25">
      <c r="I12400" s="11" t="b">
        <f t="shared" si="598"/>
        <v>0</v>
      </c>
      <c r="M12400" s="17" t="str">
        <f t="shared" si="596"/>
        <v/>
      </c>
      <c r="N12400" s="11" t="str">
        <f t="shared" si="597"/>
        <v/>
      </c>
    </row>
    <row r="12401" spans="9:14" x14ac:dyDescent="0.25">
      <c r="I12401" s="11" t="b">
        <f t="shared" si="598"/>
        <v>0</v>
      </c>
      <c r="M12401" s="17" t="str">
        <f t="shared" si="596"/>
        <v/>
      </c>
      <c r="N12401" s="11" t="str">
        <f t="shared" si="597"/>
        <v/>
      </c>
    </row>
    <row r="12402" spans="9:14" x14ac:dyDescent="0.25">
      <c r="I12402" s="11" t="b">
        <f t="shared" si="598"/>
        <v>0</v>
      </c>
      <c r="M12402" s="17" t="str">
        <f t="shared" si="596"/>
        <v/>
      </c>
      <c r="N12402" s="11" t="str">
        <f t="shared" si="597"/>
        <v/>
      </c>
    </row>
    <row r="12403" spans="9:14" x14ac:dyDescent="0.25">
      <c r="I12403" s="11" t="b">
        <f t="shared" si="598"/>
        <v>0</v>
      </c>
      <c r="M12403" s="17" t="str">
        <f t="shared" si="596"/>
        <v/>
      </c>
      <c r="N12403" s="11" t="str">
        <f t="shared" si="597"/>
        <v/>
      </c>
    </row>
    <row r="12404" spans="9:14" x14ac:dyDescent="0.25">
      <c r="I12404" s="11" t="b">
        <f t="shared" si="598"/>
        <v>0</v>
      </c>
      <c r="M12404" s="17" t="str">
        <f t="shared" si="596"/>
        <v/>
      </c>
      <c r="N12404" s="11" t="str">
        <f t="shared" si="597"/>
        <v/>
      </c>
    </row>
    <row r="12405" spans="9:14" x14ac:dyDescent="0.25">
      <c r="I12405" s="11" t="b">
        <f t="shared" si="598"/>
        <v>0</v>
      </c>
      <c r="M12405" s="17" t="str">
        <f t="shared" si="596"/>
        <v/>
      </c>
      <c r="N12405" s="11" t="str">
        <f t="shared" si="597"/>
        <v/>
      </c>
    </row>
    <row r="12406" spans="9:14" x14ac:dyDescent="0.25">
      <c r="I12406" s="11" t="b">
        <f t="shared" si="598"/>
        <v>0</v>
      </c>
      <c r="M12406" s="17" t="str">
        <f t="shared" si="596"/>
        <v/>
      </c>
      <c r="N12406" s="11" t="str">
        <f t="shared" si="597"/>
        <v/>
      </c>
    </row>
    <row r="12407" spans="9:14" x14ac:dyDescent="0.25">
      <c r="I12407" s="11" t="b">
        <f t="shared" si="598"/>
        <v>0</v>
      </c>
      <c r="M12407" s="17" t="str">
        <f t="shared" si="596"/>
        <v/>
      </c>
      <c r="N12407" s="11" t="str">
        <f t="shared" si="597"/>
        <v/>
      </c>
    </row>
    <row r="12408" spans="9:14" x14ac:dyDescent="0.25">
      <c r="I12408" s="11" t="b">
        <f t="shared" si="598"/>
        <v>0</v>
      </c>
      <c r="M12408" s="17" t="str">
        <f t="shared" si="596"/>
        <v/>
      </c>
      <c r="N12408" s="11" t="str">
        <f t="shared" si="597"/>
        <v/>
      </c>
    </row>
    <row r="12409" spans="9:14" x14ac:dyDescent="0.25">
      <c r="I12409" s="11" t="b">
        <f t="shared" si="598"/>
        <v>0</v>
      </c>
      <c r="M12409" s="17" t="str">
        <f t="shared" si="596"/>
        <v/>
      </c>
      <c r="N12409" s="11" t="str">
        <f t="shared" si="597"/>
        <v/>
      </c>
    </row>
    <row r="12410" spans="9:14" x14ac:dyDescent="0.25">
      <c r="I12410" s="11" t="b">
        <f t="shared" si="598"/>
        <v>0</v>
      </c>
      <c r="M12410" s="17" t="str">
        <f t="shared" si="596"/>
        <v/>
      </c>
      <c r="N12410" s="11" t="str">
        <f t="shared" si="597"/>
        <v/>
      </c>
    </row>
    <row r="12411" spans="9:14" x14ac:dyDescent="0.25">
      <c r="I12411" s="11" t="b">
        <f t="shared" si="598"/>
        <v>0</v>
      </c>
      <c r="M12411" s="17" t="str">
        <f t="shared" si="596"/>
        <v/>
      </c>
      <c r="N12411" s="11" t="str">
        <f t="shared" si="597"/>
        <v/>
      </c>
    </row>
    <row r="12412" spans="9:14" x14ac:dyDescent="0.25">
      <c r="I12412" s="11" t="b">
        <f t="shared" si="598"/>
        <v>0</v>
      </c>
      <c r="M12412" s="17" t="str">
        <f t="shared" si="596"/>
        <v/>
      </c>
      <c r="N12412" s="11" t="str">
        <f t="shared" si="597"/>
        <v/>
      </c>
    </row>
    <row r="12413" spans="9:14" x14ac:dyDescent="0.25">
      <c r="I12413" s="11" t="b">
        <f t="shared" si="598"/>
        <v>0</v>
      </c>
      <c r="M12413" s="17" t="str">
        <f t="shared" si="596"/>
        <v/>
      </c>
      <c r="N12413" s="11" t="str">
        <f t="shared" si="597"/>
        <v/>
      </c>
    </row>
    <row r="12414" spans="9:14" x14ac:dyDescent="0.25">
      <c r="I12414" s="11" t="b">
        <f t="shared" si="598"/>
        <v>0</v>
      </c>
      <c r="M12414" s="17" t="str">
        <f t="shared" si="596"/>
        <v/>
      </c>
      <c r="N12414" s="11" t="str">
        <f t="shared" si="597"/>
        <v/>
      </c>
    </row>
    <row r="12415" spans="9:14" x14ac:dyDescent="0.25">
      <c r="I12415" s="11" t="b">
        <f t="shared" si="598"/>
        <v>0</v>
      </c>
      <c r="M12415" s="17" t="str">
        <f t="shared" si="596"/>
        <v/>
      </c>
      <c r="N12415" s="11" t="str">
        <f t="shared" si="597"/>
        <v/>
      </c>
    </row>
    <row r="12416" spans="9:14" x14ac:dyDescent="0.25">
      <c r="I12416" s="11" t="b">
        <f t="shared" si="598"/>
        <v>0</v>
      </c>
      <c r="M12416" s="17" t="str">
        <f t="shared" si="596"/>
        <v/>
      </c>
      <c r="N12416" s="11" t="str">
        <f t="shared" si="597"/>
        <v/>
      </c>
    </row>
    <row r="12417" spans="9:14" x14ac:dyDescent="0.25">
      <c r="I12417" s="11" t="b">
        <f t="shared" si="598"/>
        <v>0</v>
      </c>
      <c r="M12417" s="17" t="str">
        <f t="shared" ref="M12417:M12480" si="599">IF(B12417=0, "",M12416+ J12417-K12417)</f>
        <v/>
      </c>
      <c r="N12417" s="11" t="str">
        <f t="shared" ref="N12417:N12480" si="600">IF(B12417=0, "", MONTH(B12417))</f>
        <v/>
      </c>
    </row>
    <row r="12418" spans="9:14" x14ac:dyDescent="0.25">
      <c r="I12418" s="11" t="b">
        <f t="shared" si="598"/>
        <v>0</v>
      </c>
      <c r="M12418" s="17" t="str">
        <f t="shared" si="599"/>
        <v/>
      </c>
      <c r="N12418" s="11" t="str">
        <f t="shared" si="600"/>
        <v/>
      </c>
    </row>
    <row r="12419" spans="9:14" x14ac:dyDescent="0.25">
      <c r="I12419" s="11" t="b">
        <f t="shared" si="598"/>
        <v>0</v>
      </c>
      <c r="M12419" s="17" t="str">
        <f t="shared" si="599"/>
        <v/>
      </c>
      <c r="N12419" s="11" t="str">
        <f t="shared" si="600"/>
        <v/>
      </c>
    </row>
    <row r="12420" spans="9:14" x14ac:dyDescent="0.25">
      <c r="I12420" s="11" t="b">
        <f t="shared" si="598"/>
        <v>0</v>
      </c>
      <c r="M12420" s="17" t="str">
        <f t="shared" si="599"/>
        <v/>
      </c>
      <c r="N12420" s="11" t="str">
        <f t="shared" si="600"/>
        <v/>
      </c>
    </row>
    <row r="12421" spans="9:14" x14ac:dyDescent="0.25">
      <c r="I12421" s="11" t="b">
        <f t="shared" si="598"/>
        <v>0</v>
      </c>
      <c r="M12421" s="17" t="str">
        <f t="shared" si="599"/>
        <v/>
      </c>
      <c r="N12421" s="11" t="str">
        <f t="shared" si="600"/>
        <v/>
      </c>
    </row>
    <row r="12422" spans="9:14" x14ac:dyDescent="0.25">
      <c r="I12422" s="11" t="b">
        <f t="shared" si="598"/>
        <v>0</v>
      </c>
      <c r="M12422" s="17" t="str">
        <f t="shared" si="599"/>
        <v/>
      </c>
      <c r="N12422" s="11" t="str">
        <f t="shared" si="600"/>
        <v/>
      </c>
    </row>
    <row r="12423" spans="9:14" x14ac:dyDescent="0.25">
      <c r="I12423" s="11" t="b">
        <f t="shared" si="598"/>
        <v>0</v>
      </c>
      <c r="M12423" s="17" t="str">
        <f t="shared" si="599"/>
        <v/>
      </c>
      <c r="N12423" s="11" t="str">
        <f t="shared" si="600"/>
        <v/>
      </c>
    </row>
    <row r="12424" spans="9:14" x14ac:dyDescent="0.25">
      <c r="I12424" s="11" t="b">
        <f t="shared" si="598"/>
        <v>0</v>
      </c>
      <c r="M12424" s="17" t="str">
        <f t="shared" si="599"/>
        <v/>
      </c>
      <c r="N12424" s="11" t="str">
        <f t="shared" si="600"/>
        <v/>
      </c>
    </row>
    <row r="12425" spans="9:14" x14ac:dyDescent="0.25">
      <c r="I12425" s="11" t="b">
        <f t="shared" si="598"/>
        <v>0</v>
      </c>
      <c r="M12425" s="17" t="str">
        <f t="shared" si="599"/>
        <v/>
      </c>
      <c r="N12425" s="11" t="str">
        <f t="shared" si="600"/>
        <v/>
      </c>
    </row>
    <row r="12426" spans="9:14" x14ac:dyDescent="0.25">
      <c r="I12426" s="11" t="b">
        <f t="shared" si="598"/>
        <v>0</v>
      </c>
      <c r="M12426" s="17" t="str">
        <f t="shared" si="599"/>
        <v/>
      </c>
      <c r="N12426" s="11" t="str">
        <f t="shared" si="600"/>
        <v/>
      </c>
    </row>
    <row r="12427" spans="9:14" x14ac:dyDescent="0.25">
      <c r="I12427" s="11" t="b">
        <f t="shared" si="598"/>
        <v>0</v>
      </c>
      <c r="M12427" s="17" t="str">
        <f t="shared" si="599"/>
        <v/>
      </c>
      <c r="N12427" s="11" t="str">
        <f t="shared" si="600"/>
        <v/>
      </c>
    </row>
    <row r="12428" spans="9:14" x14ac:dyDescent="0.25">
      <c r="I12428" s="11" t="b">
        <f t="shared" si="598"/>
        <v>0</v>
      </c>
      <c r="M12428" s="17" t="str">
        <f t="shared" si="599"/>
        <v/>
      </c>
      <c r="N12428" s="11" t="str">
        <f t="shared" si="600"/>
        <v/>
      </c>
    </row>
    <row r="12429" spans="9:14" x14ac:dyDescent="0.25">
      <c r="I12429" s="11" t="b">
        <f t="shared" si="598"/>
        <v>0</v>
      </c>
      <c r="M12429" s="17" t="str">
        <f t="shared" si="599"/>
        <v/>
      </c>
      <c r="N12429" s="11" t="str">
        <f t="shared" si="600"/>
        <v/>
      </c>
    </row>
    <row r="12430" spans="9:14" x14ac:dyDescent="0.25">
      <c r="I12430" s="11" t="b">
        <f t="shared" si="598"/>
        <v>0</v>
      </c>
      <c r="M12430" s="17" t="str">
        <f t="shared" si="599"/>
        <v/>
      </c>
      <c r="N12430" s="11" t="str">
        <f t="shared" si="600"/>
        <v/>
      </c>
    </row>
    <row r="12431" spans="9:14" x14ac:dyDescent="0.25">
      <c r="I12431" s="11" t="b">
        <f t="shared" si="598"/>
        <v>0</v>
      </c>
      <c r="M12431" s="17" t="str">
        <f t="shared" si="599"/>
        <v/>
      </c>
      <c r="N12431" s="11" t="str">
        <f t="shared" si="600"/>
        <v/>
      </c>
    </row>
    <row r="12432" spans="9:14" x14ac:dyDescent="0.25">
      <c r="I12432" s="11" t="b">
        <f t="shared" si="598"/>
        <v>0</v>
      </c>
      <c r="M12432" s="17" t="str">
        <f t="shared" si="599"/>
        <v/>
      </c>
      <c r="N12432" s="11" t="str">
        <f t="shared" si="600"/>
        <v/>
      </c>
    </row>
    <row r="12433" spans="9:14" x14ac:dyDescent="0.25">
      <c r="I12433" s="11" t="b">
        <f t="shared" si="598"/>
        <v>0</v>
      </c>
      <c r="M12433" s="17" t="str">
        <f t="shared" si="599"/>
        <v/>
      </c>
      <c r="N12433" s="11" t="str">
        <f t="shared" si="600"/>
        <v/>
      </c>
    </row>
    <row r="12434" spans="9:14" x14ac:dyDescent="0.25">
      <c r="I12434" s="11" t="b">
        <f t="shared" si="598"/>
        <v>0</v>
      </c>
      <c r="M12434" s="17" t="str">
        <f t="shared" si="599"/>
        <v/>
      </c>
      <c r="N12434" s="11" t="str">
        <f t="shared" si="600"/>
        <v/>
      </c>
    </row>
    <row r="12435" spans="9:14" x14ac:dyDescent="0.25">
      <c r="I12435" s="11" t="b">
        <f t="shared" si="598"/>
        <v>0</v>
      </c>
      <c r="M12435" s="17" t="str">
        <f t="shared" si="599"/>
        <v/>
      </c>
      <c r="N12435" s="11" t="str">
        <f t="shared" si="600"/>
        <v/>
      </c>
    </row>
    <row r="12436" spans="9:14" x14ac:dyDescent="0.25">
      <c r="I12436" s="11" t="b">
        <f t="shared" si="598"/>
        <v>0</v>
      </c>
      <c r="M12436" s="17" t="str">
        <f t="shared" si="599"/>
        <v/>
      </c>
      <c r="N12436" s="11" t="str">
        <f t="shared" si="600"/>
        <v/>
      </c>
    </row>
    <row r="12437" spans="9:14" x14ac:dyDescent="0.25">
      <c r="I12437" s="11" t="b">
        <f t="shared" si="598"/>
        <v>0</v>
      </c>
      <c r="M12437" s="17" t="str">
        <f t="shared" si="599"/>
        <v/>
      </c>
      <c r="N12437" s="11" t="str">
        <f t="shared" si="600"/>
        <v/>
      </c>
    </row>
    <row r="12438" spans="9:14" x14ac:dyDescent="0.25">
      <c r="I12438" s="11" t="b">
        <f t="shared" si="598"/>
        <v>0</v>
      </c>
      <c r="M12438" s="17" t="str">
        <f t="shared" si="599"/>
        <v/>
      </c>
      <c r="N12438" s="11" t="str">
        <f t="shared" si="600"/>
        <v/>
      </c>
    </row>
    <row r="12439" spans="9:14" x14ac:dyDescent="0.25">
      <c r="I12439" s="11" t="b">
        <f t="shared" si="598"/>
        <v>0</v>
      </c>
      <c r="M12439" s="17" t="str">
        <f t="shared" si="599"/>
        <v/>
      </c>
      <c r="N12439" s="11" t="str">
        <f t="shared" si="600"/>
        <v/>
      </c>
    </row>
    <row r="12440" spans="9:14" x14ac:dyDescent="0.25">
      <c r="I12440" s="11" t="b">
        <f t="shared" si="598"/>
        <v>0</v>
      </c>
      <c r="M12440" s="17" t="str">
        <f t="shared" si="599"/>
        <v/>
      </c>
      <c r="N12440" s="11" t="str">
        <f t="shared" si="600"/>
        <v/>
      </c>
    </row>
    <row r="12441" spans="9:14" x14ac:dyDescent="0.25">
      <c r="I12441" s="11" t="b">
        <f t="shared" si="598"/>
        <v>0</v>
      </c>
      <c r="M12441" s="17" t="str">
        <f t="shared" si="599"/>
        <v/>
      </c>
      <c r="N12441" s="11" t="str">
        <f t="shared" si="600"/>
        <v/>
      </c>
    </row>
    <row r="12442" spans="9:14" x14ac:dyDescent="0.25">
      <c r="I12442" s="11" t="b">
        <f t="shared" si="598"/>
        <v>0</v>
      </c>
      <c r="M12442" s="17" t="str">
        <f t="shared" si="599"/>
        <v/>
      </c>
      <c r="N12442" s="11" t="str">
        <f t="shared" si="600"/>
        <v/>
      </c>
    </row>
    <row r="12443" spans="9:14" x14ac:dyDescent="0.25">
      <c r="I12443" s="11" t="b">
        <f t="shared" si="598"/>
        <v>0</v>
      </c>
      <c r="M12443" s="17" t="str">
        <f t="shared" si="599"/>
        <v/>
      </c>
      <c r="N12443" s="11" t="str">
        <f t="shared" si="600"/>
        <v/>
      </c>
    </row>
    <row r="12444" spans="9:14" x14ac:dyDescent="0.25">
      <c r="I12444" s="11" t="b">
        <f t="shared" si="598"/>
        <v>0</v>
      </c>
      <c r="M12444" s="17" t="str">
        <f t="shared" si="599"/>
        <v/>
      </c>
      <c r="N12444" s="11" t="str">
        <f t="shared" si="600"/>
        <v/>
      </c>
    </row>
    <row r="12445" spans="9:14" x14ac:dyDescent="0.25">
      <c r="I12445" s="11" t="b">
        <f t="shared" ref="I12445:I12508" si="601">IF(AND(G12445="MERCADO PAGO",A12445="FATURAMENTO"),1,IF(AND(OR(G12445="MERCADO PAGO",G12445="pix mercado pago",G12445= "débito automático mercado pago", G12445= "boleto mercado pago"),A12445="DESPESAS"),4,IF(AND(G12445="SAFRA",A12445="FATURAMENTO"),2,IF(AND(OR(G12445="SAFRA",G12445="PIX SAFRA", G12445="DÉBITO AUTOMÁTICO SAFRA", G12445= "BOLETO SAFRA", G12445= "transferência safra"), A12445="DESPESAS"),5,IF(AND(G12445="espécie",A12445="FATURAMENTO"),3,IF(AND(G12445="espécie",A12445="DESPESAS"),6))))))</f>
        <v>0</v>
      </c>
      <c r="M12445" s="17" t="str">
        <f t="shared" si="599"/>
        <v/>
      </c>
      <c r="N12445" s="11" t="str">
        <f t="shared" si="600"/>
        <v/>
      </c>
    </row>
    <row r="12446" spans="9:14" x14ac:dyDescent="0.25">
      <c r="I12446" s="11" t="b">
        <f t="shared" si="601"/>
        <v>0</v>
      </c>
      <c r="M12446" s="17" t="str">
        <f t="shared" si="599"/>
        <v/>
      </c>
      <c r="N12446" s="11" t="str">
        <f t="shared" si="600"/>
        <v/>
      </c>
    </row>
    <row r="12447" spans="9:14" x14ac:dyDescent="0.25">
      <c r="I12447" s="11" t="b">
        <f t="shared" si="601"/>
        <v>0</v>
      </c>
      <c r="M12447" s="17" t="str">
        <f t="shared" si="599"/>
        <v/>
      </c>
      <c r="N12447" s="11" t="str">
        <f t="shared" si="600"/>
        <v/>
      </c>
    </row>
    <row r="12448" spans="9:14" x14ac:dyDescent="0.25">
      <c r="I12448" s="11" t="b">
        <f t="shared" si="601"/>
        <v>0</v>
      </c>
      <c r="M12448" s="17" t="str">
        <f t="shared" si="599"/>
        <v/>
      </c>
      <c r="N12448" s="11" t="str">
        <f t="shared" si="600"/>
        <v/>
      </c>
    </row>
    <row r="12449" spans="9:14" x14ac:dyDescent="0.25">
      <c r="I12449" s="11" t="b">
        <f t="shared" si="601"/>
        <v>0</v>
      </c>
      <c r="M12449" s="17" t="str">
        <f t="shared" si="599"/>
        <v/>
      </c>
      <c r="N12449" s="11" t="str">
        <f t="shared" si="600"/>
        <v/>
      </c>
    </row>
    <row r="12450" spans="9:14" x14ac:dyDescent="0.25">
      <c r="I12450" s="11" t="b">
        <f t="shared" si="601"/>
        <v>0</v>
      </c>
      <c r="M12450" s="17" t="str">
        <f t="shared" si="599"/>
        <v/>
      </c>
      <c r="N12450" s="11" t="str">
        <f t="shared" si="600"/>
        <v/>
      </c>
    </row>
    <row r="12451" spans="9:14" x14ac:dyDescent="0.25">
      <c r="I12451" s="11" t="b">
        <f t="shared" si="601"/>
        <v>0</v>
      </c>
      <c r="M12451" s="17" t="str">
        <f t="shared" si="599"/>
        <v/>
      </c>
      <c r="N12451" s="11" t="str">
        <f t="shared" si="600"/>
        <v/>
      </c>
    </row>
    <row r="12452" spans="9:14" x14ac:dyDescent="0.25">
      <c r="I12452" s="11" t="b">
        <f t="shared" si="601"/>
        <v>0</v>
      </c>
      <c r="M12452" s="17" t="str">
        <f t="shared" si="599"/>
        <v/>
      </c>
      <c r="N12452" s="11" t="str">
        <f t="shared" si="600"/>
        <v/>
      </c>
    </row>
    <row r="12453" spans="9:14" x14ac:dyDescent="0.25">
      <c r="I12453" s="11" t="b">
        <f t="shared" si="601"/>
        <v>0</v>
      </c>
      <c r="M12453" s="17" t="str">
        <f t="shared" si="599"/>
        <v/>
      </c>
      <c r="N12453" s="11" t="str">
        <f t="shared" si="600"/>
        <v/>
      </c>
    </row>
    <row r="12454" spans="9:14" x14ac:dyDescent="0.25">
      <c r="I12454" s="11" t="b">
        <f t="shared" si="601"/>
        <v>0</v>
      </c>
      <c r="M12454" s="17" t="str">
        <f t="shared" si="599"/>
        <v/>
      </c>
      <c r="N12454" s="11" t="str">
        <f t="shared" si="600"/>
        <v/>
      </c>
    </row>
    <row r="12455" spans="9:14" x14ac:dyDescent="0.25">
      <c r="I12455" s="11" t="b">
        <f t="shared" si="601"/>
        <v>0</v>
      </c>
      <c r="M12455" s="17" t="str">
        <f t="shared" si="599"/>
        <v/>
      </c>
      <c r="N12455" s="11" t="str">
        <f t="shared" si="600"/>
        <v/>
      </c>
    </row>
    <row r="12456" spans="9:14" x14ac:dyDescent="0.25">
      <c r="I12456" s="11" t="b">
        <f t="shared" si="601"/>
        <v>0</v>
      </c>
      <c r="M12456" s="17" t="str">
        <f t="shared" si="599"/>
        <v/>
      </c>
      <c r="N12456" s="11" t="str">
        <f t="shared" si="600"/>
        <v/>
      </c>
    </row>
    <row r="12457" spans="9:14" x14ac:dyDescent="0.25">
      <c r="I12457" s="11" t="b">
        <f t="shared" si="601"/>
        <v>0</v>
      </c>
      <c r="M12457" s="17" t="str">
        <f t="shared" si="599"/>
        <v/>
      </c>
      <c r="N12457" s="11" t="str">
        <f t="shared" si="600"/>
        <v/>
      </c>
    </row>
    <row r="12458" spans="9:14" x14ac:dyDescent="0.25">
      <c r="I12458" s="11" t="b">
        <f t="shared" si="601"/>
        <v>0</v>
      </c>
      <c r="M12458" s="17" t="str">
        <f t="shared" si="599"/>
        <v/>
      </c>
      <c r="N12458" s="11" t="str">
        <f t="shared" si="600"/>
        <v/>
      </c>
    </row>
    <row r="12459" spans="9:14" x14ac:dyDescent="0.25">
      <c r="I12459" s="11" t="b">
        <f t="shared" si="601"/>
        <v>0</v>
      </c>
      <c r="M12459" s="17" t="str">
        <f t="shared" si="599"/>
        <v/>
      </c>
      <c r="N12459" s="11" t="str">
        <f t="shared" si="600"/>
        <v/>
      </c>
    </row>
    <row r="12460" spans="9:14" x14ac:dyDescent="0.25">
      <c r="I12460" s="11" t="b">
        <f t="shared" si="601"/>
        <v>0</v>
      </c>
      <c r="M12460" s="17" t="str">
        <f t="shared" si="599"/>
        <v/>
      </c>
      <c r="N12460" s="11" t="str">
        <f t="shared" si="600"/>
        <v/>
      </c>
    </row>
    <row r="12461" spans="9:14" x14ac:dyDescent="0.25">
      <c r="I12461" s="11" t="b">
        <f t="shared" si="601"/>
        <v>0</v>
      </c>
      <c r="M12461" s="17" t="str">
        <f t="shared" si="599"/>
        <v/>
      </c>
      <c r="N12461" s="11" t="str">
        <f t="shared" si="600"/>
        <v/>
      </c>
    </row>
    <row r="12462" spans="9:14" x14ac:dyDescent="0.25">
      <c r="I12462" s="11" t="b">
        <f t="shared" si="601"/>
        <v>0</v>
      </c>
      <c r="M12462" s="17" t="str">
        <f t="shared" si="599"/>
        <v/>
      </c>
      <c r="N12462" s="11" t="str">
        <f t="shared" si="600"/>
        <v/>
      </c>
    </row>
    <row r="12463" spans="9:14" x14ac:dyDescent="0.25">
      <c r="I12463" s="11" t="b">
        <f t="shared" si="601"/>
        <v>0</v>
      </c>
      <c r="M12463" s="17" t="str">
        <f t="shared" si="599"/>
        <v/>
      </c>
      <c r="N12463" s="11" t="str">
        <f t="shared" si="600"/>
        <v/>
      </c>
    </row>
    <row r="12464" spans="9:14" x14ac:dyDescent="0.25">
      <c r="I12464" s="11" t="b">
        <f t="shared" si="601"/>
        <v>0</v>
      </c>
      <c r="M12464" s="17" t="str">
        <f t="shared" si="599"/>
        <v/>
      </c>
      <c r="N12464" s="11" t="str">
        <f t="shared" si="600"/>
        <v/>
      </c>
    </row>
    <row r="12465" spans="9:14" x14ac:dyDescent="0.25">
      <c r="I12465" s="11" t="b">
        <f t="shared" si="601"/>
        <v>0</v>
      </c>
      <c r="M12465" s="17" t="str">
        <f t="shared" si="599"/>
        <v/>
      </c>
      <c r="N12465" s="11" t="str">
        <f t="shared" si="600"/>
        <v/>
      </c>
    </row>
    <row r="12466" spans="9:14" x14ac:dyDescent="0.25">
      <c r="I12466" s="11" t="b">
        <f t="shared" si="601"/>
        <v>0</v>
      </c>
      <c r="M12466" s="17" t="str">
        <f t="shared" si="599"/>
        <v/>
      </c>
      <c r="N12466" s="11" t="str">
        <f t="shared" si="600"/>
        <v/>
      </c>
    </row>
    <row r="12467" spans="9:14" x14ac:dyDescent="0.25">
      <c r="I12467" s="11" t="b">
        <f t="shared" si="601"/>
        <v>0</v>
      </c>
      <c r="M12467" s="17" t="str">
        <f t="shared" si="599"/>
        <v/>
      </c>
      <c r="N12467" s="11" t="str">
        <f t="shared" si="600"/>
        <v/>
      </c>
    </row>
    <row r="12468" spans="9:14" x14ac:dyDescent="0.25">
      <c r="I12468" s="11" t="b">
        <f t="shared" si="601"/>
        <v>0</v>
      </c>
      <c r="M12468" s="17" t="str">
        <f t="shared" si="599"/>
        <v/>
      </c>
      <c r="N12468" s="11" t="str">
        <f t="shared" si="600"/>
        <v/>
      </c>
    </row>
    <row r="12469" spans="9:14" x14ac:dyDescent="0.25">
      <c r="I12469" s="11" t="b">
        <f t="shared" si="601"/>
        <v>0</v>
      </c>
      <c r="M12469" s="17" t="str">
        <f t="shared" si="599"/>
        <v/>
      </c>
      <c r="N12469" s="11" t="str">
        <f t="shared" si="600"/>
        <v/>
      </c>
    </row>
    <row r="12470" spans="9:14" x14ac:dyDescent="0.25">
      <c r="I12470" s="11" t="b">
        <f t="shared" si="601"/>
        <v>0</v>
      </c>
      <c r="M12470" s="17" t="str">
        <f t="shared" si="599"/>
        <v/>
      </c>
      <c r="N12470" s="11" t="str">
        <f t="shared" si="600"/>
        <v/>
      </c>
    </row>
    <row r="12471" spans="9:14" x14ac:dyDescent="0.25">
      <c r="I12471" s="11" t="b">
        <f t="shared" si="601"/>
        <v>0</v>
      </c>
      <c r="M12471" s="17" t="str">
        <f t="shared" si="599"/>
        <v/>
      </c>
      <c r="N12471" s="11" t="str">
        <f t="shared" si="600"/>
        <v/>
      </c>
    </row>
    <row r="12472" spans="9:14" x14ac:dyDescent="0.25">
      <c r="I12472" s="11" t="b">
        <f t="shared" si="601"/>
        <v>0</v>
      </c>
      <c r="M12472" s="17" t="str">
        <f t="shared" si="599"/>
        <v/>
      </c>
      <c r="N12472" s="11" t="str">
        <f t="shared" si="600"/>
        <v/>
      </c>
    </row>
    <row r="12473" spans="9:14" x14ac:dyDescent="0.25">
      <c r="I12473" s="11" t="b">
        <f t="shared" si="601"/>
        <v>0</v>
      </c>
      <c r="M12473" s="17" t="str">
        <f t="shared" si="599"/>
        <v/>
      </c>
      <c r="N12473" s="11" t="str">
        <f t="shared" si="600"/>
        <v/>
      </c>
    </row>
    <row r="12474" spans="9:14" x14ac:dyDescent="0.25">
      <c r="I12474" s="11" t="b">
        <f t="shared" si="601"/>
        <v>0</v>
      </c>
      <c r="M12474" s="17" t="str">
        <f t="shared" si="599"/>
        <v/>
      </c>
      <c r="N12474" s="11" t="str">
        <f t="shared" si="600"/>
        <v/>
      </c>
    </row>
    <row r="12475" spans="9:14" x14ac:dyDescent="0.25">
      <c r="I12475" s="11" t="b">
        <f t="shared" si="601"/>
        <v>0</v>
      </c>
      <c r="M12475" s="17" t="str">
        <f t="shared" si="599"/>
        <v/>
      </c>
      <c r="N12475" s="11" t="str">
        <f t="shared" si="600"/>
        <v/>
      </c>
    </row>
    <row r="12476" spans="9:14" x14ac:dyDescent="0.25">
      <c r="I12476" s="11" t="b">
        <f t="shared" si="601"/>
        <v>0</v>
      </c>
      <c r="M12476" s="17" t="str">
        <f t="shared" si="599"/>
        <v/>
      </c>
      <c r="N12476" s="11" t="str">
        <f t="shared" si="600"/>
        <v/>
      </c>
    </row>
    <row r="12477" spans="9:14" x14ac:dyDescent="0.25">
      <c r="I12477" s="11" t="b">
        <f t="shared" si="601"/>
        <v>0</v>
      </c>
      <c r="M12477" s="17" t="str">
        <f t="shared" si="599"/>
        <v/>
      </c>
      <c r="N12477" s="11" t="str">
        <f t="shared" si="600"/>
        <v/>
      </c>
    </row>
    <row r="12478" spans="9:14" x14ac:dyDescent="0.25">
      <c r="I12478" s="11" t="b">
        <f t="shared" si="601"/>
        <v>0</v>
      </c>
      <c r="M12478" s="17" t="str">
        <f t="shared" si="599"/>
        <v/>
      </c>
      <c r="N12478" s="11" t="str">
        <f t="shared" si="600"/>
        <v/>
      </c>
    </row>
    <row r="12479" spans="9:14" x14ac:dyDescent="0.25">
      <c r="I12479" s="11" t="b">
        <f t="shared" si="601"/>
        <v>0</v>
      </c>
      <c r="M12479" s="17" t="str">
        <f t="shared" si="599"/>
        <v/>
      </c>
      <c r="N12479" s="11" t="str">
        <f t="shared" si="600"/>
        <v/>
      </c>
    </row>
    <row r="12480" spans="9:14" x14ac:dyDescent="0.25">
      <c r="I12480" s="11" t="b">
        <f t="shared" si="601"/>
        <v>0</v>
      </c>
      <c r="M12480" s="17" t="str">
        <f t="shared" si="599"/>
        <v/>
      </c>
      <c r="N12480" s="11" t="str">
        <f t="shared" si="600"/>
        <v/>
      </c>
    </row>
    <row r="12481" spans="9:14" x14ac:dyDescent="0.25">
      <c r="I12481" s="11" t="b">
        <f t="shared" si="601"/>
        <v>0</v>
      </c>
      <c r="M12481" s="17" t="str">
        <f t="shared" ref="M12481:M12544" si="602">IF(B12481=0, "",M12480+ J12481-K12481)</f>
        <v/>
      </c>
      <c r="N12481" s="11" t="str">
        <f t="shared" ref="N12481:N12544" si="603">IF(B12481=0, "", MONTH(B12481))</f>
        <v/>
      </c>
    </row>
    <row r="12482" spans="9:14" x14ac:dyDescent="0.25">
      <c r="I12482" s="11" t="b">
        <f t="shared" si="601"/>
        <v>0</v>
      </c>
      <c r="M12482" s="17" t="str">
        <f t="shared" si="602"/>
        <v/>
      </c>
      <c r="N12482" s="11" t="str">
        <f t="shared" si="603"/>
        <v/>
      </c>
    </row>
    <row r="12483" spans="9:14" x14ac:dyDescent="0.25">
      <c r="I12483" s="11" t="b">
        <f t="shared" si="601"/>
        <v>0</v>
      </c>
      <c r="M12483" s="17" t="str">
        <f t="shared" si="602"/>
        <v/>
      </c>
      <c r="N12483" s="11" t="str">
        <f t="shared" si="603"/>
        <v/>
      </c>
    </row>
    <row r="12484" spans="9:14" x14ac:dyDescent="0.25">
      <c r="I12484" s="11" t="b">
        <f t="shared" si="601"/>
        <v>0</v>
      </c>
      <c r="M12484" s="17" t="str">
        <f t="shared" si="602"/>
        <v/>
      </c>
      <c r="N12484" s="11" t="str">
        <f t="shared" si="603"/>
        <v/>
      </c>
    </row>
    <row r="12485" spans="9:14" x14ac:dyDescent="0.25">
      <c r="I12485" s="11" t="b">
        <f t="shared" si="601"/>
        <v>0</v>
      </c>
      <c r="M12485" s="17" t="str">
        <f t="shared" si="602"/>
        <v/>
      </c>
      <c r="N12485" s="11" t="str">
        <f t="shared" si="603"/>
        <v/>
      </c>
    </row>
    <row r="12486" spans="9:14" x14ac:dyDescent="0.25">
      <c r="I12486" s="11" t="b">
        <f t="shared" si="601"/>
        <v>0</v>
      </c>
      <c r="M12486" s="17" t="str">
        <f t="shared" si="602"/>
        <v/>
      </c>
      <c r="N12486" s="11" t="str">
        <f t="shared" si="603"/>
        <v/>
      </c>
    </row>
    <row r="12487" spans="9:14" x14ac:dyDescent="0.25">
      <c r="I12487" s="11" t="b">
        <f t="shared" si="601"/>
        <v>0</v>
      </c>
      <c r="M12487" s="17" t="str">
        <f t="shared" si="602"/>
        <v/>
      </c>
      <c r="N12487" s="11" t="str">
        <f t="shared" si="603"/>
        <v/>
      </c>
    </row>
    <row r="12488" spans="9:14" x14ac:dyDescent="0.25">
      <c r="I12488" s="11" t="b">
        <f t="shared" si="601"/>
        <v>0</v>
      </c>
      <c r="M12488" s="17" t="str">
        <f t="shared" si="602"/>
        <v/>
      </c>
      <c r="N12488" s="11" t="str">
        <f t="shared" si="603"/>
        <v/>
      </c>
    </row>
    <row r="12489" spans="9:14" x14ac:dyDescent="0.25">
      <c r="I12489" s="11" t="b">
        <f t="shared" si="601"/>
        <v>0</v>
      </c>
      <c r="M12489" s="17" t="str">
        <f t="shared" si="602"/>
        <v/>
      </c>
      <c r="N12489" s="11" t="str">
        <f t="shared" si="603"/>
        <v/>
      </c>
    </row>
    <row r="12490" spans="9:14" x14ac:dyDescent="0.25">
      <c r="I12490" s="11" t="b">
        <f t="shared" si="601"/>
        <v>0</v>
      </c>
      <c r="M12490" s="17" t="str">
        <f t="shared" si="602"/>
        <v/>
      </c>
      <c r="N12490" s="11" t="str">
        <f t="shared" si="603"/>
        <v/>
      </c>
    </row>
    <row r="12491" spans="9:14" x14ac:dyDescent="0.25">
      <c r="I12491" s="11" t="b">
        <f t="shared" si="601"/>
        <v>0</v>
      </c>
      <c r="M12491" s="17" t="str">
        <f t="shared" si="602"/>
        <v/>
      </c>
      <c r="N12491" s="11" t="str">
        <f t="shared" si="603"/>
        <v/>
      </c>
    </row>
    <row r="12492" spans="9:14" x14ac:dyDescent="0.25">
      <c r="I12492" s="11" t="b">
        <f t="shared" si="601"/>
        <v>0</v>
      </c>
      <c r="M12492" s="17" t="str">
        <f t="shared" si="602"/>
        <v/>
      </c>
      <c r="N12492" s="11" t="str">
        <f t="shared" si="603"/>
        <v/>
      </c>
    </row>
    <row r="12493" spans="9:14" x14ac:dyDescent="0.25">
      <c r="I12493" s="11" t="b">
        <f t="shared" si="601"/>
        <v>0</v>
      </c>
      <c r="M12493" s="17" t="str">
        <f t="shared" si="602"/>
        <v/>
      </c>
      <c r="N12493" s="11" t="str">
        <f t="shared" si="603"/>
        <v/>
      </c>
    </row>
    <row r="12494" spans="9:14" x14ac:dyDescent="0.25">
      <c r="I12494" s="11" t="b">
        <f t="shared" si="601"/>
        <v>0</v>
      </c>
      <c r="M12494" s="17" t="str">
        <f t="shared" si="602"/>
        <v/>
      </c>
      <c r="N12494" s="11" t="str">
        <f t="shared" si="603"/>
        <v/>
      </c>
    </row>
    <row r="12495" spans="9:14" x14ac:dyDescent="0.25">
      <c r="I12495" s="11" t="b">
        <f t="shared" si="601"/>
        <v>0</v>
      </c>
      <c r="M12495" s="17" t="str">
        <f t="shared" si="602"/>
        <v/>
      </c>
      <c r="N12495" s="11" t="str">
        <f t="shared" si="603"/>
        <v/>
      </c>
    </row>
    <row r="12496" spans="9:14" x14ac:dyDescent="0.25">
      <c r="I12496" s="11" t="b">
        <f t="shared" si="601"/>
        <v>0</v>
      </c>
      <c r="M12496" s="17" t="str">
        <f t="shared" si="602"/>
        <v/>
      </c>
      <c r="N12496" s="11" t="str">
        <f t="shared" si="603"/>
        <v/>
      </c>
    </row>
    <row r="12497" spans="9:14" x14ac:dyDescent="0.25">
      <c r="I12497" s="11" t="b">
        <f t="shared" si="601"/>
        <v>0</v>
      </c>
      <c r="M12497" s="17" t="str">
        <f t="shared" si="602"/>
        <v/>
      </c>
      <c r="N12497" s="11" t="str">
        <f t="shared" si="603"/>
        <v/>
      </c>
    </row>
    <row r="12498" spans="9:14" x14ac:dyDescent="0.25">
      <c r="I12498" s="11" t="b">
        <f t="shared" si="601"/>
        <v>0</v>
      </c>
      <c r="M12498" s="17" t="str">
        <f t="shared" si="602"/>
        <v/>
      </c>
      <c r="N12498" s="11" t="str">
        <f t="shared" si="603"/>
        <v/>
      </c>
    </row>
    <row r="12499" spans="9:14" x14ac:dyDescent="0.25">
      <c r="I12499" s="11" t="b">
        <f t="shared" si="601"/>
        <v>0</v>
      </c>
      <c r="M12499" s="17" t="str">
        <f t="shared" si="602"/>
        <v/>
      </c>
      <c r="N12499" s="11" t="str">
        <f t="shared" si="603"/>
        <v/>
      </c>
    </row>
    <row r="12500" spans="9:14" x14ac:dyDescent="0.25">
      <c r="I12500" s="11" t="b">
        <f t="shared" si="601"/>
        <v>0</v>
      </c>
      <c r="M12500" s="17" t="str">
        <f t="shared" si="602"/>
        <v/>
      </c>
      <c r="N12500" s="11" t="str">
        <f t="shared" si="603"/>
        <v/>
      </c>
    </row>
    <row r="12501" spans="9:14" x14ac:dyDescent="0.25">
      <c r="I12501" s="11" t="b">
        <f t="shared" si="601"/>
        <v>0</v>
      </c>
      <c r="M12501" s="17" t="str">
        <f t="shared" si="602"/>
        <v/>
      </c>
      <c r="N12501" s="11" t="str">
        <f t="shared" si="603"/>
        <v/>
      </c>
    </row>
    <row r="12502" spans="9:14" x14ac:dyDescent="0.25">
      <c r="I12502" s="11" t="b">
        <f t="shared" si="601"/>
        <v>0</v>
      </c>
      <c r="M12502" s="17" t="str">
        <f t="shared" si="602"/>
        <v/>
      </c>
      <c r="N12502" s="11" t="str">
        <f t="shared" si="603"/>
        <v/>
      </c>
    </row>
    <row r="12503" spans="9:14" x14ac:dyDescent="0.25">
      <c r="I12503" s="11" t="b">
        <f t="shared" si="601"/>
        <v>0</v>
      </c>
      <c r="M12503" s="17" t="str">
        <f t="shared" si="602"/>
        <v/>
      </c>
      <c r="N12503" s="11" t="str">
        <f t="shared" si="603"/>
        <v/>
      </c>
    </row>
    <row r="12504" spans="9:14" x14ac:dyDescent="0.25">
      <c r="I12504" s="11" t="b">
        <f t="shared" si="601"/>
        <v>0</v>
      </c>
      <c r="M12504" s="17" t="str">
        <f t="shared" si="602"/>
        <v/>
      </c>
      <c r="N12504" s="11" t="str">
        <f t="shared" si="603"/>
        <v/>
      </c>
    </row>
    <row r="12505" spans="9:14" x14ac:dyDescent="0.25">
      <c r="I12505" s="11" t="b">
        <f t="shared" si="601"/>
        <v>0</v>
      </c>
      <c r="M12505" s="17" t="str">
        <f t="shared" si="602"/>
        <v/>
      </c>
      <c r="N12505" s="11" t="str">
        <f t="shared" si="603"/>
        <v/>
      </c>
    </row>
    <row r="12506" spans="9:14" x14ac:dyDescent="0.25">
      <c r="I12506" s="11" t="b">
        <f t="shared" si="601"/>
        <v>0</v>
      </c>
      <c r="M12506" s="17" t="str">
        <f t="shared" si="602"/>
        <v/>
      </c>
      <c r="N12506" s="11" t="str">
        <f t="shared" si="603"/>
        <v/>
      </c>
    </row>
    <row r="12507" spans="9:14" x14ac:dyDescent="0.25">
      <c r="I12507" s="11" t="b">
        <f t="shared" si="601"/>
        <v>0</v>
      </c>
      <c r="M12507" s="17" t="str">
        <f t="shared" si="602"/>
        <v/>
      </c>
      <c r="N12507" s="11" t="str">
        <f t="shared" si="603"/>
        <v/>
      </c>
    </row>
    <row r="12508" spans="9:14" x14ac:dyDescent="0.25">
      <c r="I12508" s="11" t="b">
        <f t="shared" si="601"/>
        <v>0</v>
      </c>
      <c r="M12508" s="17" t="str">
        <f t="shared" si="602"/>
        <v/>
      </c>
      <c r="N12508" s="11" t="str">
        <f t="shared" si="603"/>
        <v/>
      </c>
    </row>
    <row r="12509" spans="9:14" x14ac:dyDescent="0.25">
      <c r="I12509" s="11" t="b">
        <f t="shared" ref="I12509:I12572" si="604">IF(AND(G12509="MERCADO PAGO",A12509="FATURAMENTO"),1,IF(AND(OR(G12509="MERCADO PAGO",G12509="pix mercado pago",G12509= "débito automático mercado pago", G12509= "boleto mercado pago"),A12509="DESPESAS"),4,IF(AND(G12509="SAFRA",A12509="FATURAMENTO"),2,IF(AND(OR(G12509="SAFRA",G12509="PIX SAFRA", G12509="DÉBITO AUTOMÁTICO SAFRA", G12509= "BOLETO SAFRA", G12509= "transferência safra"), A12509="DESPESAS"),5,IF(AND(G12509="espécie",A12509="FATURAMENTO"),3,IF(AND(G12509="espécie",A12509="DESPESAS"),6))))))</f>
        <v>0</v>
      </c>
      <c r="M12509" s="17" t="str">
        <f t="shared" si="602"/>
        <v/>
      </c>
      <c r="N12509" s="11" t="str">
        <f t="shared" si="603"/>
        <v/>
      </c>
    </row>
    <row r="12510" spans="9:14" x14ac:dyDescent="0.25">
      <c r="I12510" s="11" t="b">
        <f t="shared" si="604"/>
        <v>0</v>
      </c>
      <c r="M12510" s="17" t="str">
        <f t="shared" si="602"/>
        <v/>
      </c>
      <c r="N12510" s="11" t="str">
        <f t="shared" si="603"/>
        <v/>
      </c>
    </row>
    <row r="12511" spans="9:14" x14ac:dyDescent="0.25">
      <c r="I12511" s="11" t="b">
        <f t="shared" si="604"/>
        <v>0</v>
      </c>
      <c r="M12511" s="17" t="str">
        <f t="shared" si="602"/>
        <v/>
      </c>
      <c r="N12511" s="11" t="str">
        <f t="shared" si="603"/>
        <v/>
      </c>
    </row>
    <row r="12512" spans="9:14" x14ac:dyDescent="0.25">
      <c r="I12512" s="11" t="b">
        <f t="shared" si="604"/>
        <v>0</v>
      </c>
      <c r="M12512" s="17" t="str">
        <f t="shared" si="602"/>
        <v/>
      </c>
      <c r="N12512" s="11" t="str">
        <f t="shared" si="603"/>
        <v/>
      </c>
    </row>
    <row r="12513" spans="9:14" x14ac:dyDescent="0.25">
      <c r="I12513" s="11" t="b">
        <f t="shared" si="604"/>
        <v>0</v>
      </c>
      <c r="M12513" s="17" t="str">
        <f t="shared" si="602"/>
        <v/>
      </c>
      <c r="N12513" s="11" t="str">
        <f t="shared" si="603"/>
        <v/>
      </c>
    </row>
    <row r="12514" spans="9:14" x14ac:dyDescent="0.25">
      <c r="I12514" s="11" t="b">
        <f t="shared" si="604"/>
        <v>0</v>
      </c>
      <c r="M12514" s="17" t="str">
        <f t="shared" si="602"/>
        <v/>
      </c>
      <c r="N12514" s="11" t="str">
        <f t="shared" si="603"/>
        <v/>
      </c>
    </row>
    <row r="12515" spans="9:14" x14ac:dyDescent="0.25">
      <c r="I12515" s="11" t="b">
        <f t="shared" si="604"/>
        <v>0</v>
      </c>
      <c r="M12515" s="17" t="str">
        <f t="shared" si="602"/>
        <v/>
      </c>
      <c r="N12515" s="11" t="str">
        <f t="shared" si="603"/>
        <v/>
      </c>
    </row>
    <row r="12516" spans="9:14" x14ac:dyDescent="0.25">
      <c r="I12516" s="11" t="b">
        <f t="shared" si="604"/>
        <v>0</v>
      </c>
      <c r="M12516" s="17" t="str">
        <f t="shared" si="602"/>
        <v/>
      </c>
      <c r="N12516" s="11" t="str">
        <f t="shared" si="603"/>
        <v/>
      </c>
    </row>
    <row r="12517" spans="9:14" x14ac:dyDescent="0.25">
      <c r="I12517" s="11" t="b">
        <f t="shared" si="604"/>
        <v>0</v>
      </c>
      <c r="M12517" s="17" t="str">
        <f t="shared" si="602"/>
        <v/>
      </c>
      <c r="N12517" s="11" t="str">
        <f t="shared" si="603"/>
        <v/>
      </c>
    </row>
    <row r="12518" spans="9:14" x14ac:dyDescent="0.25">
      <c r="I12518" s="11" t="b">
        <f t="shared" si="604"/>
        <v>0</v>
      </c>
      <c r="M12518" s="17" t="str">
        <f t="shared" si="602"/>
        <v/>
      </c>
      <c r="N12518" s="11" t="str">
        <f t="shared" si="603"/>
        <v/>
      </c>
    </row>
    <row r="12519" spans="9:14" x14ac:dyDescent="0.25">
      <c r="I12519" s="11" t="b">
        <f t="shared" si="604"/>
        <v>0</v>
      </c>
      <c r="M12519" s="17" t="str">
        <f t="shared" si="602"/>
        <v/>
      </c>
      <c r="N12519" s="11" t="str">
        <f t="shared" si="603"/>
        <v/>
      </c>
    </row>
    <row r="12520" spans="9:14" x14ac:dyDescent="0.25">
      <c r="I12520" s="11" t="b">
        <f t="shared" si="604"/>
        <v>0</v>
      </c>
      <c r="M12520" s="17" t="str">
        <f t="shared" si="602"/>
        <v/>
      </c>
      <c r="N12520" s="11" t="str">
        <f t="shared" si="603"/>
        <v/>
      </c>
    </row>
    <row r="12521" spans="9:14" x14ac:dyDescent="0.25">
      <c r="I12521" s="11" t="b">
        <f t="shared" si="604"/>
        <v>0</v>
      </c>
      <c r="M12521" s="17" t="str">
        <f t="shared" si="602"/>
        <v/>
      </c>
      <c r="N12521" s="11" t="str">
        <f t="shared" si="603"/>
        <v/>
      </c>
    </row>
    <row r="12522" spans="9:14" x14ac:dyDescent="0.25">
      <c r="I12522" s="11" t="b">
        <f t="shared" si="604"/>
        <v>0</v>
      </c>
      <c r="M12522" s="17" t="str">
        <f t="shared" si="602"/>
        <v/>
      </c>
      <c r="N12522" s="11" t="str">
        <f t="shared" si="603"/>
        <v/>
      </c>
    </row>
    <row r="12523" spans="9:14" x14ac:dyDescent="0.25">
      <c r="I12523" s="11" t="b">
        <f t="shared" si="604"/>
        <v>0</v>
      </c>
      <c r="M12523" s="17" t="str">
        <f t="shared" si="602"/>
        <v/>
      </c>
      <c r="N12523" s="11" t="str">
        <f t="shared" si="603"/>
        <v/>
      </c>
    </row>
    <row r="12524" spans="9:14" x14ac:dyDescent="0.25">
      <c r="I12524" s="11" t="b">
        <f t="shared" si="604"/>
        <v>0</v>
      </c>
      <c r="M12524" s="17" t="str">
        <f t="shared" si="602"/>
        <v/>
      </c>
      <c r="N12524" s="11" t="str">
        <f t="shared" si="603"/>
        <v/>
      </c>
    </row>
    <row r="12525" spans="9:14" x14ac:dyDescent="0.25">
      <c r="I12525" s="11" t="b">
        <f t="shared" si="604"/>
        <v>0</v>
      </c>
      <c r="M12525" s="17" t="str">
        <f t="shared" si="602"/>
        <v/>
      </c>
      <c r="N12525" s="11" t="str">
        <f t="shared" si="603"/>
        <v/>
      </c>
    </row>
    <row r="12526" spans="9:14" x14ac:dyDescent="0.25">
      <c r="I12526" s="11" t="b">
        <f t="shared" si="604"/>
        <v>0</v>
      </c>
      <c r="M12526" s="17" t="str">
        <f t="shared" si="602"/>
        <v/>
      </c>
      <c r="N12526" s="11" t="str">
        <f t="shared" si="603"/>
        <v/>
      </c>
    </row>
    <row r="12527" spans="9:14" x14ac:dyDescent="0.25">
      <c r="I12527" s="11" t="b">
        <f t="shared" si="604"/>
        <v>0</v>
      </c>
      <c r="M12527" s="17" t="str">
        <f t="shared" si="602"/>
        <v/>
      </c>
      <c r="N12527" s="11" t="str">
        <f t="shared" si="603"/>
        <v/>
      </c>
    </row>
    <row r="12528" spans="9:14" x14ac:dyDescent="0.25">
      <c r="I12528" s="11" t="b">
        <f t="shared" si="604"/>
        <v>0</v>
      </c>
      <c r="M12528" s="17" t="str">
        <f t="shared" si="602"/>
        <v/>
      </c>
      <c r="N12528" s="11" t="str">
        <f t="shared" si="603"/>
        <v/>
      </c>
    </row>
    <row r="12529" spans="9:14" x14ac:dyDescent="0.25">
      <c r="I12529" s="11" t="b">
        <f t="shared" si="604"/>
        <v>0</v>
      </c>
      <c r="M12529" s="17" t="str">
        <f t="shared" si="602"/>
        <v/>
      </c>
      <c r="N12529" s="11" t="str">
        <f t="shared" si="603"/>
        <v/>
      </c>
    </row>
    <row r="12530" spans="9:14" x14ac:dyDescent="0.25">
      <c r="I12530" s="11" t="b">
        <f t="shared" si="604"/>
        <v>0</v>
      </c>
      <c r="M12530" s="17" t="str">
        <f t="shared" si="602"/>
        <v/>
      </c>
      <c r="N12530" s="11" t="str">
        <f t="shared" si="603"/>
        <v/>
      </c>
    </row>
    <row r="12531" spans="9:14" x14ac:dyDescent="0.25">
      <c r="I12531" s="11" t="b">
        <f t="shared" si="604"/>
        <v>0</v>
      </c>
      <c r="M12531" s="17" t="str">
        <f t="shared" si="602"/>
        <v/>
      </c>
      <c r="N12531" s="11" t="str">
        <f t="shared" si="603"/>
        <v/>
      </c>
    </row>
    <row r="12532" spans="9:14" x14ac:dyDescent="0.25">
      <c r="I12532" s="11" t="b">
        <f t="shared" si="604"/>
        <v>0</v>
      </c>
      <c r="M12532" s="17" t="str">
        <f t="shared" si="602"/>
        <v/>
      </c>
      <c r="N12532" s="11" t="str">
        <f t="shared" si="603"/>
        <v/>
      </c>
    </row>
    <row r="12533" spans="9:14" x14ac:dyDescent="0.25">
      <c r="I12533" s="11" t="b">
        <f t="shared" si="604"/>
        <v>0</v>
      </c>
      <c r="M12533" s="17" t="str">
        <f t="shared" si="602"/>
        <v/>
      </c>
      <c r="N12533" s="11" t="str">
        <f t="shared" si="603"/>
        <v/>
      </c>
    </row>
    <row r="12534" spans="9:14" x14ac:dyDescent="0.25">
      <c r="I12534" s="11" t="b">
        <f t="shared" si="604"/>
        <v>0</v>
      </c>
      <c r="M12534" s="17" t="str">
        <f t="shared" si="602"/>
        <v/>
      </c>
      <c r="N12534" s="11" t="str">
        <f t="shared" si="603"/>
        <v/>
      </c>
    </row>
    <row r="12535" spans="9:14" x14ac:dyDescent="0.25">
      <c r="I12535" s="11" t="b">
        <f t="shared" si="604"/>
        <v>0</v>
      </c>
      <c r="M12535" s="17" t="str">
        <f t="shared" si="602"/>
        <v/>
      </c>
      <c r="N12535" s="11" t="str">
        <f t="shared" si="603"/>
        <v/>
      </c>
    </row>
    <row r="12536" spans="9:14" x14ac:dyDescent="0.25">
      <c r="I12536" s="11" t="b">
        <f t="shared" si="604"/>
        <v>0</v>
      </c>
      <c r="M12536" s="17" t="str">
        <f t="shared" si="602"/>
        <v/>
      </c>
      <c r="N12536" s="11" t="str">
        <f t="shared" si="603"/>
        <v/>
      </c>
    </row>
    <row r="12537" spans="9:14" x14ac:dyDescent="0.25">
      <c r="I12537" s="11" t="b">
        <f t="shared" si="604"/>
        <v>0</v>
      </c>
      <c r="M12537" s="17" t="str">
        <f t="shared" si="602"/>
        <v/>
      </c>
      <c r="N12537" s="11" t="str">
        <f t="shared" si="603"/>
        <v/>
      </c>
    </row>
    <row r="12538" spans="9:14" x14ac:dyDescent="0.25">
      <c r="I12538" s="11" t="b">
        <f t="shared" si="604"/>
        <v>0</v>
      </c>
      <c r="M12538" s="17" t="str">
        <f t="shared" si="602"/>
        <v/>
      </c>
      <c r="N12538" s="11" t="str">
        <f t="shared" si="603"/>
        <v/>
      </c>
    </row>
    <row r="12539" spans="9:14" x14ac:dyDescent="0.25">
      <c r="I12539" s="11" t="b">
        <f t="shared" si="604"/>
        <v>0</v>
      </c>
      <c r="M12539" s="17" t="str">
        <f t="shared" si="602"/>
        <v/>
      </c>
      <c r="N12539" s="11" t="str">
        <f t="shared" si="603"/>
        <v/>
      </c>
    </row>
    <row r="12540" spans="9:14" x14ac:dyDescent="0.25">
      <c r="I12540" s="11" t="b">
        <f t="shared" si="604"/>
        <v>0</v>
      </c>
      <c r="M12540" s="17" t="str">
        <f t="shared" si="602"/>
        <v/>
      </c>
      <c r="N12540" s="11" t="str">
        <f t="shared" si="603"/>
        <v/>
      </c>
    </row>
    <row r="12541" spans="9:14" x14ac:dyDescent="0.25">
      <c r="I12541" s="11" t="b">
        <f t="shared" si="604"/>
        <v>0</v>
      </c>
      <c r="M12541" s="17" t="str">
        <f t="shared" si="602"/>
        <v/>
      </c>
      <c r="N12541" s="11" t="str">
        <f t="shared" si="603"/>
        <v/>
      </c>
    </row>
    <row r="12542" spans="9:14" x14ac:dyDescent="0.25">
      <c r="I12542" s="11" t="b">
        <f t="shared" si="604"/>
        <v>0</v>
      </c>
      <c r="M12542" s="17" t="str">
        <f t="shared" si="602"/>
        <v/>
      </c>
      <c r="N12542" s="11" t="str">
        <f t="shared" si="603"/>
        <v/>
      </c>
    </row>
    <row r="12543" spans="9:14" x14ac:dyDescent="0.25">
      <c r="I12543" s="11" t="b">
        <f t="shared" si="604"/>
        <v>0</v>
      </c>
      <c r="M12543" s="17" t="str">
        <f t="shared" si="602"/>
        <v/>
      </c>
      <c r="N12543" s="11" t="str">
        <f t="shared" si="603"/>
        <v/>
      </c>
    </row>
    <row r="12544" spans="9:14" x14ac:dyDescent="0.25">
      <c r="I12544" s="11" t="b">
        <f t="shared" si="604"/>
        <v>0</v>
      </c>
      <c r="M12544" s="17" t="str">
        <f t="shared" si="602"/>
        <v/>
      </c>
      <c r="N12544" s="11" t="str">
        <f t="shared" si="603"/>
        <v/>
      </c>
    </row>
    <row r="12545" spans="9:14" x14ac:dyDescent="0.25">
      <c r="I12545" s="11" t="b">
        <f t="shared" si="604"/>
        <v>0</v>
      </c>
      <c r="M12545" s="17" t="str">
        <f t="shared" ref="M12545:M12608" si="605">IF(B12545=0, "",M12544+ J12545-K12545)</f>
        <v/>
      </c>
      <c r="N12545" s="11" t="str">
        <f t="shared" ref="N12545:N12608" si="606">IF(B12545=0, "", MONTH(B12545))</f>
        <v/>
      </c>
    </row>
    <row r="12546" spans="9:14" x14ac:dyDescent="0.25">
      <c r="I12546" s="11" t="b">
        <f t="shared" si="604"/>
        <v>0</v>
      </c>
      <c r="M12546" s="17" t="str">
        <f t="shared" si="605"/>
        <v/>
      </c>
      <c r="N12546" s="11" t="str">
        <f t="shared" si="606"/>
        <v/>
      </c>
    </row>
    <row r="12547" spans="9:14" x14ac:dyDescent="0.25">
      <c r="I12547" s="11" t="b">
        <f t="shared" si="604"/>
        <v>0</v>
      </c>
      <c r="M12547" s="17" t="str">
        <f t="shared" si="605"/>
        <v/>
      </c>
      <c r="N12547" s="11" t="str">
        <f t="shared" si="606"/>
        <v/>
      </c>
    </row>
    <row r="12548" spans="9:14" x14ac:dyDescent="0.25">
      <c r="I12548" s="11" t="b">
        <f t="shared" si="604"/>
        <v>0</v>
      </c>
      <c r="M12548" s="17" t="str">
        <f t="shared" si="605"/>
        <v/>
      </c>
      <c r="N12548" s="11" t="str">
        <f t="shared" si="606"/>
        <v/>
      </c>
    </row>
    <row r="12549" spans="9:14" x14ac:dyDescent="0.25">
      <c r="I12549" s="11" t="b">
        <f t="shared" si="604"/>
        <v>0</v>
      </c>
      <c r="M12549" s="17" t="str">
        <f t="shared" si="605"/>
        <v/>
      </c>
      <c r="N12549" s="11" t="str">
        <f t="shared" si="606"/>
        <v/>
      </c>
    </row>
    <row r="12550" spans="9:14" x14ac:dyDescent="0.25">
      <c r="I12550" s="11" t="b">
        <f t="shared" si="604"/>
        <v>0</v>
      </c>
      <c r="M12550" s="17" t="str">
        <f t="shared" si="605"/>
        <v/>
      </c>
      <c r="N12550" s="11" t="str">
        <f t="shared" si="606"/>
        <v/>
      </c>
    </row>
    <row r="12551" spans="9:14" x14ac:dyDescent="0.25">
      <c r="I12551" s="11" t="b">
        <f t="shared" si="604"/>
        <v>0</v>
      </c>
      <c r="M12551" s="17" t="str">
        <f t="shared" si="605"/>
        <v/>
      </c>
      <c r="N12551" s="11" t="str">
        <f t="shared" si="606"/>
        <v/>
      </c>
    </row>
    <row r="12552" spans="9:14" x14ac:dyDescent="0.25">
      <c r="I12552" s="11" t="b">
        <f t="shared" si="604"/>
        <v>0</v>
      </c>
      <c r="M12552" s="17" t="str">
        <f t="shared" si="605"/>
        <v/>
      </c>
      <c r="N12552" s="11" t="str">
        <f t="shared" si="606"/>
        <v/>
      </c>
    </row>
    <row r="12553" spans="9:14" x14ac:dyDescent="0.25">
      <c r="I12553" s="11" t="b">
        <f t="shared" si="604"/>
        <v>0</v>
      </c>
      <c r="M12553" s="17" t="str">
        <f t="shared" si="605"/>
        <v/>
      </c>
      <c r="N12553" s="11" t="str">
        <f t="shared" si="606"/>
        <v/>
      </c>
    </row>
    <row r="12554" spans="9:14" x14ac:dyDescent="0.25">
      <c r="I12554" s="11" t="b">
        <f t="shared" si="604"/>
        <v>0</v>
      </c>
      <c r="M12554" s="17" t="str">
        <f t="shared" si="605"/>
        <v/>
      </c>
      <c r="N12554" s="11" t="str">
        <f t="shared" si="606"/>
        <v/>
      </c>
    </row>
    <row r="12555" spans="9:14" x14ac:dyDescent="0.25">
      <c r="I12555" s="11" t="b">
        <f t="shared" si="604"/>
        <v>0</v>
      </c>
      <c r="M12555" s="17" t="str">
        <f t="shared" si="605"/>
        <v/>
      </c>
      <c r="N12555" s="11" t="str">
        <f t="shared" si="606"/>
        <v/>
      </c>
    </row>
    <row r="12556" spans="9:14" x14ac:dyDescent="0.25">
      <c r="I12556" s="11" t="b">
        <f t="shared" si="604"/>
        <v>0</v>
      </c>
      <c r="M12556" s="17" t="str">
        <f t="shared" si="605"/>
        <v/>
      </c>
      <c r="N12556" s="11" t="str">
        <f t="shared" si="606"/>
        <v/>
      </c>
    </row>
    <row r="12557" spans="9:14" x14ac:dyDescent="0.25">
      <c r="I12557" s="11" t="b">
        <f t="shared" si="604"/>
        <v>0</v>
      </c>
      <c r="M12557" s="17" t="str">
        <f t="shared" si="605"/>
        <v/>
      </c>
      <c r="N12557" s="11" t="str">
        <f t="shared" si="606"/>
        <v/>
      </c>
    </row>
    <row r="12558" spans="9:14" x14ac:dyDescent="0.25">
      <c r="I12558" s="11" t="b">
        <f t="shared" si="604"/>
        <v>0</v>
      </c>
      <c r="M12558" s="17" t="str">
        <f t="shared" si="605"/>
        <v/>
      </c>
      <c r="N12558" s="11" t="str">
        <f t="shared" si="606"/>
        <v/>
      </c>
    </row>
    <row r="12559" spans="9:14" x14ac:dyDescent="0.25">
      <c r="I12559" s="11" t="b">
        <f t="shared" si="604"/>
        <v>0</v>
      </c>
      <c r="M12559" s="17" t="str">
        <f t="shared" si="605"/>
        <v/>
      </c>
      <c r="N12559" s="11" t="str">
        <f t="shared" si="606"/>
        <v/>
      </c>
    </row>
    <row r="12560" spans="9:14" x14ac:dyDescent="0.25">
      <c r="I12560" s="11" t="b">
        <f t="shared" si="604"/>
        <v>0</v>
      </c>
      <c r="M12560" s="17" t="str">
        <f t="shared" si="605"/>
        <v/>
      </c>
      <c r="N12560" s="11" t="str">
        <f t="shared" si="606"/>
        <v/>
      </c>
    </row>
    <row r="12561" spans="9:14" x14ac:dyDescent="0.25">
      <c r="I12561" s="11" t="b">
        <f t="shared" si="604"/>
        <v>0</v>
      </c>
      <c r="M12561" s="17" t="str">
        <f t="shared" si="605"/>
        <v/>
      </c>
      <c r="N12561" s="11" t="str">
        <f t="shared" si="606"/>
        <v/>
      </c>
    </row>
    <row r="12562" spans="9:14" x14ac:dyDescent="0.25">
      <c r="I12562" s="11" t="b">
        <f t="shared" si="604"/>
        <v>0</v>
      </c>
      <c r="M12562" s="17" t="str">
        <f t="shared" si="605"/>
        <v/>
      </c>
      <c r="N12562" s="11" t="str">
        <f t="shared" si="606"/>
        <v/>
      </c>
    </row>
    <row r="12563" spans="9:14" x14ac:dyDescent="0.25">
      <c r="I12563" s="11" t="b">
        <f t="shared" si="604"/>
        <v>0</v>
      </c>
      <c r="M12563" s="17" t="str">
        <f t="shared" si="605"/>
        <v/>
      </c>
      <c r="N12563" s="11" t="str">
        <f t="shared" si="606"/>
        <v/>
      </c>
    </row>
    <row r="12564" spans="9:14" x14ac:dyDescent="0.25">
      <c r="I12564" s="11" t="b">
        <f t="shared" si="604"/>
        <v>0</v>
      </c>
      <c r="M12564" s="17" t="str">
        <f t="shared" si="605"/>
        <v/>
      </c>
      <c r="N12564" s="11" t="str">
        <f t="shared" si="606"/>
        <v/>
      </c>
    </row>
    <row r="12565" spans="9:14" x14ac:dyDescent="0.25">
      <c r="I12565" s="11" t="b">
        <f t="shared" si="604"/>
        <v>0</v>
      </c>
      <c r="M12565" s="17" t="str">
        <f t="shared" si="605"/>
        <v/>
      </c>
      <c r="N12565" s="11" t="str">
        <f t="shared" si="606"/>
        <v/>
      </c>
    </row>
    <row r="12566" spans="9:14" x14ac:dyDescent="0.25">
      <c r="I12566" s="11" t="b">
        <f t="shared" si="604"/>
        <v>0</v>
      </c>
      <c r="M12566" s="17" t="str">
        <f t="shared" si="605"/>
        <v/>
      </c>
      <c r="N12566" s="11" t="str">
        <f t="shared" si="606"/>
        <v/>
      </c>
    </row>
    <row r="12567" spans="9:14" x14ac:dyDescent="0.25">
      <c r="I12567" s="11" t="b">
        <f t="shared" si="604"/>
        <v>0</v>
      </c>
      <c r="M12567" s="17" t="str">
        <f t="shared" si="605"/>
        <v/>
      </c>
      <c r="N12567" s="11" t="str">
        <f t="shared" si="606"/>
        <v/>
      </c>
    </row>
    <row r="12568" spans="9:14" x14ac:dyDescent="0.25">
      <c r="I12568" s="11" t="b">
        <f t="shared" si="604"/>
        <v>0</v>
      </c>
      <c r="M12568" s="17" t="str">
        <f t="shared" si="605"/>
        <v/>
      </c>
      <c r="N12568" s="11" t="str">
        <f t="shared" si="606"/>
        <v/>
      </c>
    </row>
    <row r="12569" spans="9:14" x14ac:dyDescent="0.25">
      <c r="I12569" s="11" t="b">
        <f t="shared" si="604"/>
        <v>0</v>
      </c>
      <c r="M12569" s="17" t="str">
        <f t="shared" si="605"/>
        <v/>
      </c>
      <c r="N12569" s="11" t="str">
        <f t="shared" si="606"/>
        <v/>
      </c>
    </row>
    <row r="12570" spans="9:14" x14ac:dyDescent="0.25">
      <c r="I12570" s="11" t="b">
        <f t="shared" si="604"/>
        <v>0</v>
      </c>
      <c r="M12570" s="17" t="str">
        <f t="shared" si="605"/>
        <v/>
      </c>
      <c r="N12570" s="11" t="str">
        <f t="shared" si="606"/>
        <v/>
      </c>
    </row>
    <row r="12571" spans="9:14" x14ac:dyDescent="0.25">
      <c r="I12571" s="11" t="b">
        <f t="shared" si="604"/>
        <v>0</v>
      </c>
      <c r="M12571" s="17" t="str">
        <f t="shared" si="605"/>
        <v/>
      </c>
      <c r="N12571" s="11" t="str">
        <f t="shared" si="606"/>
        <v/>
      </c>
    </row>
    <row r="12572" spans="9:14" x14ac:dyDescent="0.25">
      <c r="I12572" s="11" t="b">
        <f t="shared" si="604"/>
        <v>0</v>
      </c>
      <c r="M12572" s="17" t="str">
        <f t="shared" si="605"/>
        <v/>
      </c>
      <c r="N12572" s="11" t="str">
        <f t="shared" si="606"/>
        <v/>
      </c>
    </row>
    <row r="12573" spans="9:14" x14ac:dyDescent="0.25">
      <c r="I12573" s="11" t="b">
        <f t="shared" ref="I12573:I12636" si="607">IF(AND(G12573="MERCADO PAGO",A12573="FATURAMENTO"),1,IF(AND(OR(G12573="MERCADO PAGO",G12573="pix mercado pago",G12573= "débito automático mercado pago", G12573= "boleto mercado pago"),A12573="DESPESAS"),4,IF(AND(G12573="SAFRA",A12573="FATURAMENTO"),2,IF(AND(OR(G12573="SAFRA",G12573="PIX SAFRA", G12573="DÉBITO AUTOMÁTICO SAFRA", G12573= "BOLETO SAFRA", G12573= "transferência safra"), A12573="DESPESAS"),5,IF(AND(G12573="espécie",A12573="FATURAMENTO"),3,IF(AND(G12573="espécie",A12573="DESPESAS"),6))))))</f>
        <v>0</v>
      </c>
      <c r="M12573" s="17" t="str">
        <f t="shared" si="605"/>
        <v/>
      </c>
      <c r="N12573" s="11" t="str">
        <f t="shared" si="606"/>
        <v/>
      </c>
    </row>
    <row r="12574" spans="9:14" x14ac:dyDescent="0.25">
      <c r="I12574" s="11" t="b">
        <f t="shared" si="607"/>
        <v>0</v>
      </c>
      <c r="M12574" s="17" t="str">
        <f t="shared" si="605"/>
        <v/>
      </c>
      <c r="N12574" s="11" t="str">
        <f t="shared" si="606"/>
        <v/>
      </c>
    </row>
    <row r="12575" spans="9:14" x14ac:dyDescent="0.25">
      <c r="I12575" s="11" t="b">
        <f t="shared" si="607"/>
        <v>0</v>
      </c>
      <c r="M12575" s="17" t="str">
        <f t="shared" si="605"/>
        <v/>
      </c>
      <c r="N12575" s="11" t="str">
        <f t="shared" si="606"/>
        <v/>
      </c>
    </row>
    <row r="12576" spans="9:14" x14ac:dyDescent="0.25">
      <c r="I12576" s="11" t="b">
        <f t="shared" si="607"/>
        <v>0</v>
      </c>
      <c r="M12576" s="17" t="str">
        <f t="shared" si="605"/>
        <v/>
      </c>
      <c r="N12576" s="11" t="str">
        <f t="shared" si="606"/>
        <v/>
      </c>
    </row>
    <row r="12577" spans="9:14" x14ac:dyDescent="0.25">
      <c r="I12577" s="11" t="b">
        <f t="shared" si="607"/>
        <v>0</v>
      </c>
      <c r="M12577" s="17" t="str">
        <f t="shared" si="605"/>
        <v/>
      </c>
      <c r="N12577" s="11" t="str">
        <f t="shared" si="606"/>
        <v/>
      </c>
    </row>
    <row r="12578" spans="9:14" x14ac:dyDescent="0.25">
      <c r="I12578" s="11" t="b">
        <f t="shared" si="607"/>
        <v>0</v>
      </c>
      <c r="M12578" s="17" t="str">
        <f t="shared" si="605"/>
        <v/>
      </c>
      <c r="N12578" s="11" t="str">
        <f t="shared" si="606"/>
        <v/>
      </c>
    </row>
    <row r="12579" spans="9:14" x14ac:dyDescent="0.25">
      <c r="I12579" s="11" t="b">
        <f t="shared" si="607"/>
        <v>0</v>
      </c>
      <c r="M12579" s="17" t="str">
        <f t="shared" si="605"/>
        <v/>
      </c>
      <c r="N12579" s="11" t="str">
        <f t="shared" si="606"/>
        <v/>
      </c>
    </row>
    <row r="12580" spans="9:14" x14ac:dyDescent="0.25">
      <c r="I12580" s="11" t="b">
        <f t="shared" si="607"/>
        <v>0</v>
      </c>
      <c r="M12580" s="17" t="str">
        <f t="shared" si="605"/>
        <v/>
      </c>
      <c r="N12580" s="11" t="str">
        <f t="shared" si="606"/>
        <v/>
      </c>
    </row>
    <row r="12581" spans="9:14" x14ac:dyDescent="0.25">
      <c r="I12581" s="11" t="b">
        <f t="shared" si="607"/>
        <v>0</v>
      </c>
      <c r="M12581" s="17" t="str">
        <f t="shared" si="605"/>
        <v/>
      </c>
      <c r="N12581" s="11" t="str">
        <f t="shared" si="606"/>
        <v/>
      </c>
    </row>
    <row r="12582" spans="9:14" x14ac:dyDescent="0.25">
      <c r="I12582" s="11" t="b">
        <f t="shared" si="607"/>
        <v>0</v>
      </c>
      <c r="M12582" s="17" t="str">
        <f t="shared" si="605"/>
        <v/>
      </c>
      <c r="N12582" s="11" t="str">
        <f t="shared" si="606"/>
        <v/>
      </c>
    </row>
    <row r="12583" spans="9:14" x14ac:dyDescent="0.25">
      <c r="I12583" s="11" t="b">
        <f t="shared" si="607"/>
        <v>0</v>
      </c>
      <c r="M12583" s="17" t="str">
        <f t="shared" si="605"/>
        <v/>
      </c>
      <c r="N12583" s="11" t="str">
        <f t="shared" si="606"/>
        <v/>
      </c>
    </row>
    <row r="12584" spans="9:14" x14ac:dyDescent="0.25">
      <c r="I12584" s="11" t="b">
        <f t="shared" si="607"/>
        <v>0</v>
      </c>
      <c r="M12584" s="17" t="str">
        <f t="shared" si="605"/>
        <v/>
      </c>
      <c r="N12584" s="11" t="str">
        <f t="shared" si="606"/>
        <v/>
      </c>
    </row>
    <row r="12585" spans="9:14" x14ac:dyDescent="0.25">
      <c r="I12585" s="11" t="b">
        <f t="shared" si="607"/>
        <v>0</v>
      </c>
      <c r="M12585" s="17" t="str">
        <f t="shared" si="605"/>
        <v/>
      </c>
      <c r="N12585" s="11" t="str">
        <f t="shared" si="606"/>
        <v/>
      </c>
    </row>
    <row r="12586" spans="9:14" x14ac:dyDescent="0.25">
      <c r="I12586" s="11" t="b">
        <f t="shared" si="607"/>
        <v>0</v>
      </c>
      <c r="M12586" s="17" t="str">
        <f t="shared" si="605"/>
        <v/>
      </c>
      <c r="N12586" s="11" t="str">
        <f t="shared" si="606"/>
        <v/>
      </c>
    </row>
    <row r="12587" spans="9:14" x14ac:dyDescent="0.25">
      <c r="I12587" s="11" t="b">
        <f t="shared" si="607"/>
        <v>0</v>
      </c>
      <c r="M12587" s="17" t="str">
        <f t="shared" si="605"/>
        <v/>
      </c>
      <c r="N12587" s="11" t="str">
        <f t="shared" si="606"/>
        <v/>
      </c>
    </row>
    <row r="12588" spans="9:14" x14ac:dyDescent="0.25">
      <c r="I12588" s="11" t="b">
        <f t="shared" si="607"/>
        <v>0</v>
      </c>
      <c r="M12588" s="17" t="str">
        <f t="shared" si="605"/>
        <v/>
      </c>
      <c r="N12588" s="11" t="str">
        <f t="shared" si="606"/>
        <v/>
      </c>
    </row>
    <row r="12589" spans="9:14" x14ac:dyDescent="0.25">
      <c r="I12589" s="11" t="b">
        <f t="shared" si="607"/>
        <v>0</v>
      </c>
      <c r="M12589" s="17" t="str">
        <f t="shared" si="605"/>
        <v/>
      </c>
      <c r="N12589" s="11" t="str">
        <f t="shared" si="606"/>
        <v/>
      </c>
    </row>
    <row r="12590" spans="9:14" x14ac:dyDescent="0.25">
      <c r="I12590" s="11" t="b">
        <f t="shared" si="607"/>
        <v>0</v>
      </c>
      <c r="M12590" s="17" t="str">
        <f t="shared" si="605"/>
        <v/>
      </c>
      <c r="N12590" s="11" t="str">
        <f t="shared" si="606"/>
        <v/>
      </c>
    </row>
    <row r="12591" spans="9:14" x14ac:dyDescent="0.25">
      <c r="I12591" s="11" t="b">
        <f t="shared" si="607"/>
        <v>0</v>
      </c>
      <c r="M12591" s="17" t="str">
        <f t="shared" si="605"/>
        <v/>
      </c>
      <c r="N12591" s="11" t="str">
        <f t="shared" si="606"/>
        <v/>
      </c>
    </row>
    <row r="12592" spans="9:14" x14ac:dyDescent="0.25">
      <c r="I12592" s="11" t="b">
        <f t="shared" si="607"/>
        <v>0</v>
      </c>
      <c r="M12592" s="17" t="str">
        <f t="shared" si="605"/>
        <v/>
      </c>
      <c r="N12592" s="11" t="str">
        <f t="shared" si="606"/>
        <v/>
      </c>
    </row>
    <row r="12593" spans="9:14" x14ac:dyDescent="0.25">
      <c r="I12593" s="11" t="b">
        <f t="shared" si="607"/>
        <v>0</v>
      </c>
      <c r="M12593" s="17" t="str">
        <f t="shared" si="605"/>
        <v/>
      </c>
      <c r="N12593" s="11" t="str">
        <f t="shared" si="606"/>
        <v/>
      </c>
    </row>
    <row r="12594" spans="9:14" x14ac:dyDescent="0.25">
      <c r="I12594" s="11" t="b">
        <f t="shared" si="607"/>
        <v>0</v>
      </c>
      <c r="M12594" s="17" t="str">
        <f t="shared" si="605"/>
        <v/>
      </c>
      <c r="N12594" s="11" t="str">
        <f t="shared" si="606"/>
        <v/>
      </c>
    </row>
    <row r="12595" spans="9:14" x14ac:dyDescent="0.25">
      <c r="I12595" s="11" t="b">
        <f t="shared" si="607"/>
        <v>0</v>
      </c>
      <c r="M12595" s="17" t="str">
        <f t="shared" si="605"/>
        <v/>
      </c>
      <c r="N12595" s="11" t="str">
        <f t="shared" si="606"/>
        <v/>
      </c>
    </row>
    <row r="12596" spans="9:14" x14ac:dyDescent="0.25">
      <c r="I12596" s="11" t="b">
        <f t="shared" si="607"/>
        <v>0</v>
      </c>
      <c r="M12596" s="17" t="str">
        <f t="shared" si="605"/>
        <v/>
      </c>
      <c r="N12596" s="11" t="str">
        <f t="shared" si="606"/>
        <v/>
      </c>
    </row>
    <row r="12597" spans="9:14" x14ac:dyDescent="0.25">
      <c r="I12597" s="11" t="b">
        <f t="shared" si="607"/>
        <v>0</v>
      </c>
      <c r="M12597" s="17" t="str">
        <f t="shared" si="605"/>
        <v/>
      </c>
      <c r="N12597" s="11" t="str">
        <f t="shared" si="606"/>
        <v/>
      </c>
    </row>
    <row r="12598" spans="9:14" x14ac:dyDescent="0.25">
      <c r="I12598" s="11" t="b">
        <f t="shared" si="607"/>
        <v>0</v>
      </c>
      <c r="M12598" s="17" t="str">
        <f t="shared" si="605"/>
        <v/>
      </c>
      <c r="N12598" s="11" t="str">
        <f t="shared" si="606"/>
        <v/>
      </c>
    </row>
    <row r="12599" spans="9:14" x14ac:dyDescent="0.25">
      <c r="I12599" s="11" t="b">
        <f t="shared" si="607"/>
        <v>0</v>
      </c>
      <c r="M12599" s="17" t="str">
        <f t="shared" si="605"/>
        <v/>
      </c>
      <c r="N12599" s="11" t="str">
        <f t="shared" si="606"/>
        <v/>
      </c>
    </row>
    <row r="12600" spans="9:14" x14ac:dyDescent="0.25">
      <c r="I12600" s="11" t="b">
        <f t="shared" si="607"/>
        <v>0</v>
      </c>
      <c r="M12600" s="17" t="str">
        <f t="shared" si="605"/>
        <v/>
      </c>
      <c r="N12600" s="11" t="str">
        <f t="shared" si="606"/>
        <v/>
      </c>
    </row>
    <row r="12601" spans="9:14" x14ac:dyDescent="0.25">
      <c r="I12601" s="11" t="b">
        <f t="shared" si="607"/>
        <v>0</v>
      </c>
      <c r="M12601" s="17" t="str">
        <f t="shared" si="605"/>
        <v/>
      </c>
      <c r="N12601" s="11" t="str">
        <f t="shared" si="606"/>
        <v/>
      </c>
    </row>
    <row r="12602" spans="9:14" x14ac:dyDescent="0.25">
      <c r="I12602" s="11" t="b">
        <f t="shared" si="607"/>
        <v>0</v>
      </c>
      <c r="M12602" s="17" t="str">
        <f t="shared" si="605"/>
        <v/>
      </c>
      <c r="N12602" s="11" t="str">
        <f t="shared" si="606"/>
        <v/>
      </c>
    </row>
    <row r="12603" spans="9:14" x14ac:dyDescent="0.25">
      <c r="I12603" s="11" t="b">
        <f t="shared" si="607"/>
        <v>0</v>
      </c>
      <c r="M12603" s="17" t="str">
        <f t="shared" si="605"/>
        <v/>
      </c>
      <c r="N12603" s="11" t="str">
        <f t="shared" si="606"/>
        <v/>
      </c>
    </row>
    <row r="12604" spans="9:14" x14ac:dyDescent="0.25">
      <c r="I12604" s="11" t="b">
        <f t="shared" si="607"/>
        <v>0</v>
      </c>
      <c r="M12604" s="17" t="str">
        <f t="shared" si="605"/>
        <v/>
      </c>
      <c r="N12604" s="11" t="str">
        <f t="shared" si="606"/>
        <v/>
      </c>
    </row>
    <row r="12605" spans="9:14" x14ac:dyDescent="0.25">
      <c r="I12605" s="11" t="b">
        <f t="shared" si="607"/>
        <v>0</v>
      </c>
      <c r="M12605" s="17" t="str">
        <f t="shared" si="605"/>
        <v/>
      </c>
      <c r="N12605" s="11" t="str">
        <f t="shared" si="606"/>
        <v/>
      </c>
    </row>
    <row r="12606" spans="9:14" x14ac:dyDescent="0.25">
      <c r="I12606" s="11" t="b">
        <f t="shared" si="607"/>
        <v>0</v>
      </c>
      <c r="M12606" s="17" t="str">
        <f t="shared" si="605"/>
        <v/>
      </c>
      <c r="N12606" s="11" t="str">
        <f t="shared" si="606"/>
        <v/>
      </c>
    </row>
    <row r="12607" spans="9:14" x14ac:dyDescent="0.25">
      <c r="I12607" s="11" t="b">
        <f t="shared" si="607"/>
        <v>0</v>
      </c>
      <c r="M12607" s="17" t="str">
        <f t="shared" si="605"/>
        <v/>
      </c>
      <c r="N12607" s="11" t="str">
        <f t="shared" si="606"/>
        <v/>
      </c>
    </row>
    <row r="12608" spans="9:14" x14ac:dyDescent="0.25">
      <c r="I12608" s="11" t="b">
        <f t="shared" si="607"/>
        <v>0</v>
      </c>
      <c r="M12608" s="17" t="str">
        <f t="shared" si="605"/>
        <v/>
      </c>
      <c r="N12608" s="11" t="str">
        <f t="shared" si="606"/>
        <v/>
      </c>
    </row>
    <row r="12609" spans="9:14" x14ac:dyDescent="0.25">
      <c r="I12609" s="11" t="b">
        <f t="shared" si="607"/>
        <v>0</v>
      </c>
      <c r="M12609" s="17" t="str">
        <f t="shared" ref="M12609:M12672" si="608">IF(B12609=0, "",M12608+ J12609-K12609)</f>
        <v/>
      </c>
      <c r="N12609" s="11" t="str">
        <f t="shared" ref="N12609:N12672" si="609">IF(B12609=0, "", MONTH(B12609))</f>
        <v/>
      </c>
    </row>
    <row r="12610" spans="9:14" x14ac:dyDescent="0.25">
      <c r="I12610" s="11" t="b">
        <f t="shared" si="607"/>
        <v>0</v>
      </c>
      <c r="M12610" s="17" t="str">
        <f t="shared" si="608"/>
        <v/>
      </c>
      <c r="N12610" s="11" t="str">
        <f t="shared" si="609"/>
        <v/>
      </c>
    </row>
    <row r="12611" spans="9:14" x14ac:dyDescent="0.25">
      <c r="I12611" s="11" t="b">
        <f t="shared" si="607"/>
        <v>0</v>
      </c>
      <c r="M12611" s="17" t="str">
        <f t="shared" si="608"/>
        <v/>
      </c>
      <c r="N12611" s="11" t="str">
        <f t="shared" si="609"/>
        <v/>
      </c>
    </row>
    <row r="12612" spans="9:14" x14ac:dyDescent="0.25">
      <c r="I12612" s="11" t="b">
        <f t="shared" si="607"/>
        <v>0</v>
      </c>
      <c r="M12612" s="17" t="str">
        <f t="shared" si="608"/>
        <v/>
      </c>
      <c r="N12612" s="11" t="str">
        <f t="shared" si="609"/>
        <v/>
      </c>
    </row>
    <row r="12613" spans="9:14" x14ac:dyDescent="0.25">
      <c r="I12613" s="11" t="b">
        <f t="shared" si="607"/>
        <v>0</v>
      </c>
      <c r="M12613" s="17" t="str">
        <f t="shared" si="608"/>
        <v/>
      </c>
      <c r="N12613" s="11" t="str">
        <f t="shared" si="609"/>
        <v/>
      </c>
    </row>
    <row r="12614" spans="9:14" x14ac:dyDescent="0.25">
      <c r="I12614" s="11" t="b">
        <f t="shared" si="607"/>
        <v>0</v>
      </c>
      <c r="M12614" s="17" t="str">
        <f t="shared" si="608"/>
        <v/>
      </c>
      <c r="N12614" s="11" t="str">
        <f t="shared" si="609"/>
        <v/>
      </c>
    </row>
    <row r="12615" spans="9:14" x14ac:dyDescent="0.25">
      <c r="I12615" s="11" t="b">
        <f t="shared" si="607"/>
        <v>0</v>
      </c>
      <c r="M12615" s="17" t="str">
        <f t="shared" si="608"/>
        <v/>
      </c>
      <c r="N12615" s="11" t="str">
        <f t="shared" si="609"/>
        <v/>
      </c>
    </row>
    <row r="12616" spans="9:14" x14ac:dyDescent="0.25">
      <c r="I12616" s="11" t="b">
        <f t="shared" si="607"/>
        <v>0</v>
      </c>
      <c r="M12616" s="17" t="str">
        <f t="shared" si="608"/>
        <v/>
      </c>
      <c r="N12616" s="11" t="str">
        <f t="shared" si="609"/>
        <v/>
      </c>
    </row>
    <row r="12617" spans="9:14" x14ac:dyDescent="0.25">
      <c r="I12617" s="11" t="b">
        <f t="shared" si="607"/>
        <v>0</v>
      </c>
      <c r="M12617" s="17" t="str">
        <f t="shared" si="608"/>
        <v/>
      </c>
      <c r="N12617" s="11" t="str">
        <f t="shared" si="609"/>
        <v/>
      </c>
    </row>
    <row r="12618" spans="9:14" x14ac:dyDescent="0.25">
      <c r="I12618" s="11" t="b">
        <f t="shared" si="607"/>
        <v>0</v>
      </c>
      <c r="M12618" s="17" t="str">
        <f t="shared" si="608"/>
        <v/>
      </c>
      <c r="N12618" s="11" t="str">
        <f t="shared" si="609"/>
        <v/>
      </c>
    </row>
    <row r="12619" spans="9:14" x14ac:dyDescent="0.25">
      <c r="I12619" s="11" t="b">
        <f t="shared" si="607"/>
        <v>0</v>
      </c>
      <c r="M12619" s="17" t="str">
        <f t="shared" si="608"/>
        <v/>
      </c>
      <c r="N12619" s="11" t="str">
        <f t="shared" si="609"/>
        <v/>
      </c>
    </row>
    <row r="12620" spans="9:14" x14ac:dyDescent="0.25">
      <c r="I12620" s="11" t="b">
        <f t="shared" si="607"/>
        <v>0</v>
      </c>
      <c r="M12620" s="17" t="str">
        <f t="shared" si="608"/>
        <v/>
      </c>
      <c r="N12620" s="11" t="str">
        <f t="shared" si="609"/>
        <v/>
      </c>
    </row>
    <row r="12621" spans="9:14" x14ac:dyDescent="0.25">
      <c r="I12621" s="11" t="b">
        <f t="shared" si="607"/>
        <v>0</v>
      </c>
      <c r="M12621" s="17" t="str">
        <f t="shared" si="608"/>
        <v/>
      </c>
      <c r="N12621" s="11" t="str">
        <f t="shared" si="609"/>
        <v/>
      </c>
    </row>
    <row r="12622" spans="9:14" x14ac:dyDescent="0.25">
      <c r="I12622" s="11" t="b">
        <f t="shared" si="607"/>
        <v>0</v>
      </c>
      <c r="M12622" s="17" t="str">
        <f t="shared" si="608"/>
        <v/>
      </c>
      <c r="N12622" s="11" t="str">
        <f t="shared" si="609"/>
        <v/>
      </c>
    </row>
    <row r="12623" spans="9:14" x14ac:dyDescent="0.25">
      <c r="I12623" s="11" t="b">
        <f t="shared" si="607"/>
        <v>0</v>
      </c>
      <c r="M12623" s="17" t="str">
        <f t="shared" si="608"/>
        <v/>
      </c>
      <c r="N12623" s="11" t="str">
        <f t="shared" si="609"/>
        <v/>
      </c>
    </row>
    <row r="12624" spans="9:14" x14ac:dyDescent="0.25">
      <c r="I12624" s="11" t="b">
        <f t="shared" si="607"/>
        <v>0</v>
      </c>
      <c r="M12624" s="17" t="str">
        <f t="shared" si="608"/>
        <v/>
      </c>
      <c r="N12624" s="11" t="str">
        <f t="shared" si="609"/>
        <v/>
      </c>
    </row>
    <row r="12625" spans="9:14" x14ac:dyDescent="0.25">
      <c r="I12625" s="11" t="b">
        <f t="shared" si="607"/>
        <v>0</v>
      </c>
      <c r="M12625" s="17" t="str">
        <f t="shared" si="608"/>
        <v/>
      </c>
      <c r="N12625" s="11" t="str">
        <f t="shared" si="609"/>
        <v/>
      </c>
    </row>
    <row r="12626" spans="9:14" x14ac:dyDescent="0.25">
      <c r="I12626" s="11" t="b">
        <f t="shared" si="607"/>
        <v>0</v>
      </c>
      <c r="M12626" s="17" t="str">
        <f t="shared" si="608"/>
        <v/>
      </c>
      <c r="N12626" s="11" t="str">
        <f t="shared" si="609"/>
        <v/>
      </c>
    </row>
    <row r="12627" spans="9:14" x14ac:dyDescent="0.25">
      <c r="I12627" s="11" t="b">
        <f t="shared" si="607"/>
        <v>0</v>
      </c>
      <c r="M12627" s="17" t="str">
        <f t="shared" si="608"/>
        <v/>
      </c>
      <c r="N12627" s="11" t="str">
        <f t="shared" si="609"/>
        <v/>
      </c>
    </row>
    <row r="12628" spans="9:14" x14ac:dyDescent="0.25">
      <c r="I12628" s="11" t="b">
        <f t="shared" si="607"/>
        <v>0</v>
      </c>
      <c r="M12628" s="17" t="str">
        <f t="shared" si="608"/>
        <v/>
      </c>
      <c r="N12628" s="11" t="str">
        <f t="shared" si="609"/>
        <v/>
      </c>
    </row>
    <row r="12629" spans="9:14" x14ac:dyDescent="0.25">
      <c r="I12629" s="11" t="b">
        <f t="shared" si="607"/>
        <v>0</v>
      </c>
      <c r="M12629" s="17" t="str">
        <f t="shared" si="608"/>
        <v/>
      </c>
      <c r="N12629" s="11" t="str">
        <f t="shared" si="609"/>
        <v/>
      </c>
    </row>
    <row r="12630" spans="9:14" x14ac:dyDescent="0.25">
      <c r="I12630" s="11" t="b">
        <f t="shared" si="607"/>
        <v>0</v>
      </c>
      <c r="M12630" s="17" t="str">
        <f t="shared" si="608"/>
        <v/>
      </c>
      <c r="N12630" s="11" t="str">
        <f t="shared" si="609"/>
        <v/>
      </c>
    </row>
    <row r="12631" spans="9:14" x14ac:dyDescent="0.25">
      <c r="I12631" s="11" t="b">
        <f t="shared" si="607"/>
        <v>0</v>
      </c>
      <c r="M12631" s="17" t="str">
        <f t="shared" si="608"/>
        <v/>
      </c>
      <c r="N12631" s="11" t="str">
        <f t="shared" si="609"/>
        <v/>
      </c>
    </row>
    <row r="12632" spans="9:14" x14ac:dyDescent="0.25">
      <c r="I12632" s="11" t="b">
        <f t="shared" si="607"/>
        <v>0</v>
      </c>
      <c r="M12632" s="17" t="str">
        <f t="shared" si="608"/>
        <v/>
      </c>
      <c r="N12632" s="11" t="str">
        <f t="shared" si="609"/>
        <v/>
      </c>
    </row>
    <row r="12633" spans="9:14" x14ac:dyDescent="0.25">
      <c r="I12633" s="11" t="b">
        <f t="shared" si="607"/>
        <v>0</v>
      </c>
      <c r="M12633" s="17" t="str">
        <f t="shared" si="608"/>
        <v/>
      </c>
      <c r="N12633" s="11" t="str">
        <f t="shared" si="609"/>
        <v/>
      </c>
    </row>
    <row r="12634" spans="9:14" x14ac:dyDescent="0.25">
      <c r="I12634" s="11" t="b">
        <f t="shared" si="607"/>
        <v>0</v>
      </c>
      <c r="M12634" s="17" t="str">
        <f t="shared" si="608"/>
        <v/>
      </c>
      <c r="N12634" s="11" t="str">
        <f t="shared" si="609"/>
        <v/>
      </c>
    </row>
    <row r="12635" spans="9:14" x14ac:dyDescent="0.25">
      <c r="I12635" s="11" t="b">
        <f t="shared" si="607"/>
        <v>0</v>
      </c>
      <c r="M12635" s="17" t="str">
        <f t="shared" si="608"/>
        <v/>
      </c>
      <c r="N12635" s="11" t="str">
        <f t="shared" si="609"/>
        <v/>
      </c>
    </row>
    <row r="12636" spans="9:14" x14ac:dyDescent="0.25">
      <c r="I12636" s="11" t="b">
        <f t="shared" si="607"/>
        <v>0</v>
      </c>
      <c r="M12636" s="17" t="str">
        <f t="shared" si="608"/>
        <v/>
      </c>
      <c r="N12636" s="11" t="str">
        <f t="shared" si="609"/>
        <v/>
      </c>
    </row>
    <row r="12637" spans="9:14" x14ac:dyDescent="0.25">
      <c r="I12637" s="11" t="b">
        <f t="shared" ref="I12637:I12700" si="610">IF(AND(G12637="MERCADO PAGO",A12637="FATURAMENTO"),1,IF(AND(OR(G12637="MERCADO PAGO",G12637="pix mercado pago",G12637= "débito automático mercado pago", G12637= "boleto mercado pago"),A12637="DESPESAS"),4,IF(AND(G12637="SAFRA",A12637="FATURAMENTO"),2,IF(AND(OR(G12637="SAFRA",G12637="PIX SAFRA", G12637="DÉBITO AUTOMÁTICO SAFRA", G12637= "BOLETO SAFRA", G12637= "transferência safra"), A12637="DESPESAS"),5,IF(AND(G12637="espécie",A12637="FATURAMENTO"),3,IF(AND(G12637="espécie",A12637="DESPESAS"),6))))))</f>
        <v>0</v>
      </c>
      <c r="M12637" s="17" t="str">
        <f t="shared" si="608"/>
        <v/>
      </c>
      <c r="N12637" s="11" t="str">
        <f t="shared" si="609"/>
        <v/>
      </c>
    </row>
    <row r="12638" spans="9:14" x14ac:dyDescent="0.25">
      <c r="I12638" s="11" t="b">
        <f t="shared" si="610"/>
        <v>0</v>
      </c>
      <c r="M12638" s="17" t="str">
        <f t="shared" si="608"/>
        <v/>
      </c>
      <c r="N12638" s="11" t="str">
        <f t="shared" si="609"/>
        <v/>
      </c>
    </row>
    <row r="12639" spans="9:14" x14ac:dyDescent="0.25">
      <c r="I12639" s="11" t="b">
        <f t="shared" si="610"/>
        <v>0</v>
      </c>
      <c r="M12639" s="17" t="str">
        <f t="shared" si="608"/>
        <v/>
      </c>
      <c r="N12639" s="11" t="str">
        <f t="shared" si="609"/>
        <v/>
      </c>
    </row>
    <row r="12640" spans="9:14" x14ac:dyDescent="0.25">
      <c r="I12640" s="11" t="b">
        <f t="shared" si="610"/>
        <v>0</v>
      </c>
      <c r="M12640" s="17" t="str">
        <f t="shared" si="608"/>
        <v/>
      </c>
      <c r="N12640" s="11" t="str">
        <f t="shared" si="609"/>
        <v/>
      </c>
    </row>
    <row r="12641" spans="9:14" x14ac:dyDescent="0.25">
      <c r="I12641" s="11" t="b">
        <f t="shared" si="610"/>
        <v>0</v>
      </c>
      <c r="M12641" s="17" t="str">
        <f t="shared" si="608"/>
        <v/>
      </c>
      <c r="N12641" s="11" t="str">
        <f t="shared" si="609"/>
        <v/>
      </c>
    </row>
    <row r="12642" spans="9:14" x14ac:dyDescent="0.25">
      <c r="I12642" s="11" t="b">
        <f t="shared" si="610"/>
        <v>0</v>
      </c>
      <c r="M12642" s="17" t="str">
        <f t="shared" si="608"/>
        <v/>
      </c>
      <c r="N12642" s="11" t="str">
        <f t="shared" si="609"/>
        <v/>
      </c>
    </row>
    <row r="12643" spans="9:14" x14ac:dyDescent="0.25">
      <c r="I12643" s="11" t="b">
        <f t="shared" si="610"/>
        <v>0</v>
      </c>
      <c r="M12643" s="17" t="str">
        <f t="shared" si="608"/>
        <v/>
      </c>
      <c r="N12643" s="11" t="str">
        <f t="shared" si="609"/>
        <v/>
      </c>
    </row>
    <row r="12644" spans="9:14" x14ac:dyDescent="0.25">
      <c r="I12644" s="11" t="b">
        <f t="shared" si="610"/>
        <v>0</v>
      </c>
      <c r="M12644" s="17" t="str">
        <f t="shared" si="608"/>
        <v/>
      </c>
      <c r="N12644" s="11" t="str">
        <f t="shared" si="609"/>
        <v/>
      </c>
    </row>
    <row r="12645" spans="9:14" x14ac:dyDescent="0.25">
      <c r="I12645" s="11" t="b">
        <f t="shared" si="610"/>
        <v>0</v>
      </c>
      <c r="M12645" s="17" t="str">
        <f t="shared" si="608"/>
        <v/>
      </c>
      <c r="N12645" s="11" t="str">
        <f t="shared" si="609"/>
        <v/>
      </c>
    </row>
    <row r="12646" spans="9:14" x14ac:dyDescent="0.25">
      <c r="I12646" s="11" t="b">
        <f t="shared" si="610"/>
        <v>0</v>
      </c>
      <c r="M12646" s="17" t="str">
        <f t="shared" si="608"/>
        <v/>
      </c>
      <c r="N12646" s="11" t="str">
        <f t="shared" si="609"/>
        <v/>
      </c>
    </row>
    <row r="12647" spans="9:14" x14ac:dyDescent="0.25">
      <c r="I12647" s="11" t="b">
        <f t="shared" si="610"/>
        <v>0</v>
      </c>
      <c r="M12647" s="17" t="str">
        <f t="shared" si="608"/>
        <v/>
      </c>
      <c r="N12647" s="11" t="str">
        <f t="shared" si="609"/>
        <v/>
      </c>
    </row>
    <row r="12648" spans="9:14" x14ac:dyDescent="0.25">
      <c r="I12648" s="11" t="b">
        <f t="shared" si="610"/>
        <v>0</v>
      </c>
      <c r="M12648" s="17" t="str">
        <f t="shared" si="608"/>
        <v/>
      </c>
      <c r="N12648" s="11" t="str">
        <f t="shared" si="609"/>
        <v/>
      </c>
    </row>
    <row r="12649" spans="9:14" x14ac:dyDescent="0.25">
      <c r="I12649" s="11" t="b">
        <f t="shared" si="610"/>
        <v>0</v>
      </c>
      <c r="M12649" s="17" t="str">
        <f t="shared" si="608"/>
        <v/>
      </c>
      <c r="N12649" s="11" t="str">
        <f t="shared" si="609"/>
        <v/>
      </c>
    </row>
    <row r="12650" spans="9:14" x14ac:dyDescent="0.25">
      <c r="I12650" s="11" t="b">
        <f t="shared" si="610"/>
        <v>0</v>
      </c>
      <c r="M12650" s="17" t="str">
        <f t="shared" si="608"/>
        <v/>
      </c>
      <c r="N12650" s="11" t="str">
        <f t="shared" si="609"/>
        <v/>
      </c>
    </row>
    <row r="12651" spans="9:14" x14ac:dyDescent="0.25">
      <c r="I12651" s="11" t="b">
        <f t="shared" si="610"/>
        <v>0</v>
      </c>
      <c r="M12651" s="17" t="str">
        <f t="shared" si="608"/>
        <v/>
      </c>
      <c r="N12651" s="11" t="str">
        <f t="shared" si="609"/>
        <v/>
      </c>
    </row>
    <row r="12652" spans="9:14" x14ac:dyDescent="0.25">
      <c r="I12652" s="11" t="b">
        <f t="shared" si="610"/>
        <v>0</v>
      </c>
      <c r="M12652" s="17" t="str">
        <f t="shared" si="608"/>
        <v/>
      </c>
      <c r="N12652" s="11" t="str">
        <f t="shared" si="609"/>
        <v/>
      </c>
    </row>
    <row r="12653" spans="9:14" x14ac:dyDescent="0.25">
      <c r="I12653" s="11" t="b">
        <f t="shared" si="610"/>
        <v>0</v>
      </c>
      <c r="M12653" s="17" t="str">
        <f t="shared" si="608"/>
        <v/>
      </c>
      <c r="N12653" s="11" t="str">
        <f t="shared" si="609"/>
        <v/>
      </c>
    </row>
    <row r="12654" spans="9:14" x14ac:dyDescent="0.25">
      <c r="I12654" s="11" t="b">
        <f t="shared" si="610"/>
        <v>0</v>
      </c>
      <c r="M12654" s="17" t="str">
        <f t="shared" si="608"/>
        <v/>
      </c>
      <c r="N12654" s="11" t="str">
        <f t="shared" si="609"/>
        <v/>
      </c>
    </row>
    <row r="12655" spans="9:14" x14ac:dyDescent="0.25">
      <c r="I12655" s="11" t="b">
        <f t="shared" si="610"/>
        <v>0</v>
      </c>
      <c r="M12655" s="17" t="str">
        <f t="shared" si="608"/>
        <v/>
      </c>
      <c r="N12655" s="11" t="str">
        <f t="shared" si="609"/>
        <v/>
      </c>
    </row>
    <row r="12656" spans="9:14" x14ac:dyDescent="0.25">
      <c r="I12656" s="11" t="b">
        <f t="shared" si="610"/>
        <v>0</v>
      </c>
      <c r="M12656" s="17" t="str">
        <f t="shared" si="608"/>
        <v/>
      </c>
      <c r="N12656" s="11" t="str">
        <f t="shared" si="609"/>
        <v/>
      </c>
    </row>
    <row r="12657" spans="9:14" x14ac:dyDescent="0.25">
      <c r="I12657" s="11" t="b">
        <f t="shared" si="610"/>
        <v>0</v>
      </c>
      <c r="M12657" s="17" t="str">
        <f t="shared" si="608"/>
        <v/>
      </c>
      <c r="N12657" s="11" t="str">
        <f t="shared" si="609"/>
        <v/>
      </c>
    </row>
    <row r="12658" spans="9:14" x14ac:dyDescent="0.25">
      <c r="I12658" s="11" t="b">
        <f t="shared" si="610"/>
        <v>0</v>
      </c>
      <c r="M12658" s="17" t="str">
        <f t="shared" si="608"/>
        <v/>
      </c>
      <c r="N12658" s="11" t="str">
        <f t="shared" si="609"/>
        <v/>
      </c>
    </row>
    <row r="12659" spans="9:14" x14ac:dyDescent="0.25">
      <c r="I12659" s="11" t="b">
        <f t="shared" si="610"/>
        <v>0</v>
      </c>
      <c r="M12659" s="17" t="str">
        <f t="shared" si="608"/>
        <v/>
      </c>
      <c r="N12659" s="11" t="str">
        <f t="shared" si="609"/>
        <v/>
      </c>
    </row>
    <row r="12660" spans="9:14" x14ac:dyDescent="0.25">
      <c r="I12660" s="11" t="b">
        <f t="shared" si="610"/>
        <v>0</v>
      </c>
      <c r="M12660" s="17" t="str">
        <f t="shared" si="608"/>
        <v/>
      </c>
      <c r="N12660" s="11" t="str">
        <f t="shared" si="609"/>
        <v/>
      </c>
    </row>
    <row r="12661" spans="9:14" x14ac:dyDescent="0.25">
      <c r="I12661" s="11" t="b">
        <f t="shared" si="610"/>
        <v>0</v>
      </c>
      <c r="M12661" s="17" t="str">
        <f t="shared" si="608"/>
        <v/>
      </c>
      <c r="N12661" s="11" t="str">
        <f t="shared" si="609"/>
        <v/>
      </c>
    </row>
    <row r="12662" spans="9:14" x14ac:dyDescent="0.25">
      <c r="I12662" s="11" t="b">
        <f t="shared" si="610"/>
        <v>0</v>
      </c>
      <c r="M12662" s="17" t="str">
        <f t="shared" si="608"/>
        <v/>
      </c>
      <c r="N12662" s="11" t="str">
        <f t="shared" si="609"/>
        <v/>
      </c>
    </row>
    <row r="12663" spans="9:14" x14ac:dyDescent="0.25">
      <c r="I12663" s="11" t="b">
        <f t="shared" si="610"/>
        <v>0</v>
      </c>
      <c r="M12663" s="17" t="str">
        <f t="shared" si="608"/>
        <v/>
      </c>
      <c r="N12663" s="11" t="str">
        <f t="shared" si="609"/>
        <v/>
      </c>
    </row>
    <row r="12664" spans="9:14" x14ac:dyDescent="0.25">
      <c r="I12664" s="11" t="b">
        <f t="shared" si="610"/>
        <v>0</v>
      </c>
      <c r="M12664" s="17" t="str">
        <f t="shared" si="608"/>
        <v/>
      </c>
      <c r="N12664" s="11" t="str">
        <f t="shared" si="609"/>
        <v/>
      </c>
    </row>
    <row r="12665" spans="9:14" x14ac:dyDescent="0.25">
      <c r="I12665" s="11" t="b">
        <f t="shared" si="610"/>
        <v>0</v>
      </c>
      <c r="M12665" s="17" t="str">
        <f t="shared" si="608"/>
        <v/>
      </c>
      <c r="N12665" s="11" t="str">
        <f t="shared" si="609"/>
        <v/>
      </c>
    </row>
    <row r="12666" spans="9:14" x14ac:dyDescent="0.25">
      <c r="I12666" s="11" t="b">
        <f t="shared" si="610"/>
        <v>0</v>
      </c>
      <c r="M12666" s="17" t="str">
        <f t="shared" si="608"/>
        <v/>
      </c>
      <c r="N12666" s="11" t="str">
        <f t="shared" si="609"/>
        <v/>
      </c>
    </row>
    <row r="12667" spans="9:14" x14ac:dyDescent="0.25">
      <c r="I12667" s="11" t="b">
        <f t="shared" si="610"/>
        <v>0</v>
      </c>
      <c r="M12667" s="17" t="str">
        <f t="shared" si="608"/>
        <v/>
      </c>
      <c r="N12667" s="11" t="str">
        <f t="shared" si="609"/>
        <v/>
      </c>
    </row>
    <row r="12668" spans="9:14" x14ac:dyDescent="0.25">
      <c r="I12668" s="11" t="b">
        <f t="shared" si="610"/>
        <v>0</v>
      </c>
      <c r="M12668" s="17" t="str">
        <f t="shared" si="608"/>
        <v/>
      </c>
      <c r="N12668" s="11" t="str">
        <f t="shared" si="609"/>
        <v/>
      </c>
    </row>
    <row r="12669" spans="9:14" x14ac:dyDescent="0.25">
      <c r="I12669" s="11" t="b">
        <f t="shared" si="610"/>
        <v>0</v>
      </c>
      <c r="M12669" s="17" t="str">
        <f t="shared" si="608"/>
        <v/>
      </c>
      <c r="N12669" s="11" t="str">
        <f t="shared" si="609"/>
        <v/>
      </c>
    </row>
    <row r="12670" spans="9:14" x14ac:dyDescent="0.25">
      <c r="I12670" s="11" t="b">
        <f t="shared" si="610"/>
        <v>0</v>
      </c>
      <c r="M12670" s="17" t="str">
        <f t="shared" si="608"/>
        <v/>
      </c>
      <c r="N12670" s="11" t="str">
        <f t="shared" si="609"/>
        <v/>
      </c>
    </row>
    <row r="12671" spans="9:14" x14ac:dyDescent="0.25">
      <c r="I12671" s="11" t="b">
        <f t="shared" si="610"/>
        <v>0</v>
      </c>
      <c r="M12671" s="17" t="str">
        <f t="shared" si="608"/>
        <v/>
      </c>
      <c r="N12671" s="11" t="str">
        <f t="shared" si="609"/>
        <v/>
      </c>
    </row>
    <row r="12672" spans="9:14" x14ac:dyDescent="0.25">
      <c r="I12672" s="11" t="b">
        <f t="shared" si="610"/>
        <v>0</v>
      </c>
      <c r="M12672" s="17" t="str">
        <f t="shared" si="608"/>
        <v/>
      </c>
      <c r="N12672" s="11" t="str">
        <f t="shared" si="609"/>
        <v/>
      </c>
    </row>
    <row r="12673" spans="9:14" x14ac:dyDescent="0.25">
      <c r="I12673" s="11" t="b">
        <f t="shared" si="610"/>
        <v>0</v>
      </c>
      <c r="M12673" s="17" t="str">
        <f t="shared" ref="M12673:M12736" si="611">IF(B12673=0, "",M12672+ J12673-K12673)</f>
        <v/>
      </c>
      <c r="N12673" s="11" t="str">
        <f t="shared" ref="N12673:N12736" si="612">IF(B12673=0, "", MONTH(B12673))</f>
        <v/>
      </c>
    </row>
    <row r="12674" spans="9:14" x14ac:dyDescent="0.25">
      <c r="I12674" s="11" t="b">
        <f t="shared" si="610"/>
        <v>0</v>
      </c>
      <c r="M12674" s="17" t="str">
        <f t="shared" si="611"/>
        <v/>
      </c>
      <c r="N12674" s="11" t="str">
        <f t="shared" si="612"/>
        <v/>
      </c>
    </row>
    <row r="12675" spans="9:14" x14ac:dyDescent="0.25">
      <c r="I12675" s="11" t="b">
        <f t="shared" si="610"/>
        <v>0</v>
      </c>
      <c r="M12675" s="17" t="str">
        <f t="shared" si="611"/>
        <v/>
      </c>
      <c r="N12675" s="11" t="str">
        <f t="shared" si="612"/>
        <v/>
      </c>
    </row>
    <row r="12676" spans="9:14" x14ac:dyDescent="0.25">
      <c r="I12676" s="11" t="b">
        <f t="shared" si="610"/>
        <v>0</v>
      </c>
      <c r="M12676" s="17" t="str">
        <f t="shared" si="611"/>
        <v/>
      </c>
      <c r="N12676" s="11" t="str">
        <f t="shared" si="612"/>
        <v/>
      </c>
    </row>
    <row r="12677" spans="9:14" x14ac:dyDescent="0.25">
      <c r="I12677" s="11" t="b">
        <f t="shared" si="610"/>
        <v>0</v>
      </c>
      <c r="M12677" s="17" t="str">
        <f t="shared" si="611"/>
        <v/>
      </c>
      <c r="N12677" s="11" t="str">
        <f t="shared" si="612"/>
        <v/>
      </c>
    </row>
    <row r="12678" spans="9:14" x14ac:dyDescent="0.25">
      <c r="I12678" s="11" t="b">
        <f t="shared" si="610"/>
        <v>0</v>
      </c>
      <c r="M12678" s="17" t="str">
        <f t="shared" si="611"/>
        <v/>
      </c>
      <c r="N12678" s="11" t="str">
        <f t="shared" si="612"/>
        <v/>
      </c>
    </row>
    <row r="12679" spans="9:14" x14ac:dyDescent="0.25">
      <c r="I12679" s="11" t="b">
        <f t="shared" si="610"/>
        <v>0</v>
      </c>
      <c r="M12679" s="17" t="str">
        <f t="shared" si="611"/>
        <v/>
      </c>
      <c r="N12679" s="11" t="str">
        <f t="shared" si="612"/>
        <v/>
      </c>
    </row>
    <row r="12680" spans="9:14" x14ac:dyDescent="0.25">
      <c r="I12680" s="11" t="b">
        <f t="shared" si="610"/>
        <v>0</v>
      </c>
      <c r="M12680" s="17" t="str">
        <f t="shared" si="611"/>
        <v/>
      </c>
      <c r="N12680" s="11" t="str">
        <f t="shared" si="612"/>
        <v/>
      </c>
    </row>
    <row r="12681" spans="9:14" x14ac:dyDescent="0.25">
      <c r="I12681" s="11" t="b">
        <f t="shared" si="610"/>
        <v>0</v>
      </c>
      <c r="M12681" s="17" t="str">
        <f t="shared" si="611"/>
        <v/>
      </c>
      <c r="N12681" s="11" t="str">
        <f t="shared" si="612"/>
        <v/>
      </c>
    </row>
    <row r="12682" spans="9:14" x14ac:dyDescent="0.25">
      <c r="I12682" s="11" t="b">
        <f t="shared" si="610"/>
        <v>0</v>
      </c>
      <c r="M12682" s="17" t="str">
        <f t="shared" si="611"/>
        <v/>
      </c>
      <c r="N12682" s="11" t="str">
        <f t="shared" si="612"/>
        <v/>
      </c>
    </row>
    <row r="12683" spans="9:14" x14ac:dyDescent="0.25">
      <c r="I12683" s="11" t="b">
        <f t="shared" si="610"/>
        <v>0</v>
      </c>
      <c r="M12683" s="17" t="str">
        <f t="shared" si="611"/>
        <v/>
      </c>
      <c r="N12683" s="11" t="str">
        <f t="shared" si="612"/>
        <v/>
      </c>
    </row>
    <row r="12684" spans="9:14" x14ac:dyDescent="0.25">
      <c r="I12684" s="11" t="b">
        <f t="shared" si="610"/>
        <v>0</v>
      </c>
      <c r="M12684" s="17" t="str">
        <f t="shared" si="611"/>
        <v/>
      </c>
      <c r="N12684" s="11" t="str">
        <f t="shared" si="612"/>
        <v/>
      </c>
    </row>
    <row r="12685" spans="9:14" x14ac:dyDescent="0.25">
      <c r="I12685" s="11" t="b">
        <f t="shared" si="610"/>
        <v>0</v>
      </c>
      <c r="M12685" s="17" t="str">
        <f t="shared" si="611"/>
        <v/>
      </c>
      <c r="N12685" s="11" t="str">
        <f t="shared" si="612"/>
        <v/>
      </c>
    </row>
    <row r="12686" spans="9:14" x14ac:dyDescent="0.25">
      <c r="I12686" s="11" t="b">
        <f t="shared" si="610"/>
        <v>0</v>
      </c>
      <c r="M12686" s="17" t="str">
        <f t="shared" si="611"/>
        <v/>
      </c>
      <c r="N12686" s="11" t="str">
        <f t="shared" si="612"/>
        <v/>
      </c>
    </row>
    <row r="12687" spans="9:14" x14ac:dyDescent="0.25">
      <c r="I12687" s="11" t="b">
        <f t="shared" si="610"/>
        <v>0</v>
      </c>
      <c r="M12687" s="17" t="str">
        <f t="shared" si="611"/>
        <v/>
      </c>
      <c r="N12687" s="11" t="str">
        <f t="shared" si="612"/>
        <v/>
      </c>
    </row>
    <row r="12688" spans="9:14" x14ac:dyDescent="0.25">
      <c r="I12688" s="11" t="b">
        <f t="shared" si="610"/>
        <v>0</v>
      </c>
      <c r="M12688" s="17" t="str">
        <f t="shared" si="611"/>
        <v/>
      </c>
      <c r="N12688" s="11" t="str">
        <f t="shared" si="612"/>
        <v/>
      </c>
    </row>
    <row r="12689" spans="9:14" x14ac:dyDescent="0.25">
      <c r="I12689" s="11" t="b">
        <f t="shared" si="610"/>
        <v>0</v>
      </c>
      <c r="M12689" s="17" t="str">
        <f t="shared" si="611"/>
        <v/>
      </c>
      <c r="N12689" s="11" t="str">
        <f t="shared" si="612"/>
        <v/>
      </c>
    </row>
    <row r="12690" spans="9:14" x14ac:dyDescent="0.25">
      <c r="I12690" s="11" t="b">
        <f t="shared" si="610"/>
        <v>0</v>
      </c>
      <c r="M12690" s="17" t="str">
        <f t="shared" si="611"/>
        <v/>
      </c>
      <c r="N12690" s="11" t="str">
        <f t="shared" si="612"/>
        <v/>
      </c>
    </row>
    <row r="12691" spans="9:14" x14ac:dyDescent="0.25">
      <c r="I12691" s="11" t="b">
        <f t="shared" si="610"/>
        <v>0</v>
      </c>
      <c r="M12691" s="17" t="str">
        <f t="shared" si="611"/>
        <v/>
      </c>
      <c r="N12691" s="11" t="str">
        <f t="shared" si="612"/>
        <v/>
      </c>
    </row>
    <row r="12692" spans="9:14" x14ac:dyDescent="0.25">
      <c r="I12692" s="11" t="b">
        <f t="shared" si="610"/>
        <v>0</v>
      </c>
      <c r="M12692" s="17" t="str">
        <f t="shared" si="611"/>
        <v/>
      </c>
      <c r="N12692" s="11" t="str">
        <f t="shared" si="612"/>
        <v/>
      </c>
    </row>
    <row r="12693" spans="9:14" x14ac:dyDescent="0.25">
      <c r="I12693" s="11" t="b">
        <f t="shared" si="610"/>
        <v>0</v>
      </c>
      <c r="M12693" s="17" t="str">
        <f t="shared" si="611"/>
        <v/>
      </c>
      <c r="N12693" s="11" t="str">
        <f t="shared" si="612"/>
        <v/>
      </c>
    </row>
    <row r="12694" spans="9:14" x14ac:dyDescent="0.25">
      <c r="I12694" s="11" t="b">
        <f t="shared" si="610"/>
        <v>0</v>
      </c>
      <c r="M12694" s="17" t="str">
        <f t="shared" si="611"/>
        <v/>
      </c>
      <c r="N12694" s="11" t="str">
        <f t="shared" si="612"/>
        <v/>
      </c>
    </row>
    <row r="12695" spans="9:14" x14ac:dyDescent="0.25">
      <c r="I12695" s="11" t="b">
        <f t="shared" si="610"/>
        <v>0</v>
      </c>
      <c r="M12695" s="17" t="str">
        <f t="shared" si="611"/>
        <v/>
      </c>
      <c r="N12695" s="11" t="str">
        <f t="shared" si="612"/>
        <v/>
      </c>
    </row>
    <row r="12696" spans="9:14" x14ac:dyDescent="0.25">
      <c r="I12696" s="11" t="b">
        <f t="shared" si="610"/>
        <v>0</v>
      </c>
      <c r="M12696" s="17" t="str">
        <f t="shared" si="611"/>
        <v/>
      </c>
      <c r="N12696" s="11" t="str">
        <f t="shared" si="612"/>
        <v/>
      </c>
    </row>
    <row r="12697" spans="9:14" x14ac:dyDescent="0.25">
      <c r="I12697" s="11" t="b">
        <f t="shared" si="610"/>
        <v>0</v>
      </c>
      <c r="M12697" s="17" t="str">
        <f t="shared" si="611"/>
        <v/>
      </c>
      <c r="N12697" s="11" t="str">
        <f t="shared" si="612"/>
        <v/>
      </c>
    </row>
    <row r="12698" spans="9:14" x14ac:dyDescent="0.25">
      <c r="I12698" s="11" t="b">
        <f t="shared" si="610"/>
        <v>0</v>
      </c>
      <c r="M12698" s="17" t="str">
        <f t="shared" si="611"/>
        <v/>
      </c>
      <c r="N12698" s="11" t="str">
        <f t="shared" si="612"/>
        <v/>
      </c>
    </row>
    <row r="12699" spans="9:14" x14ac:dyDescent="0.25">
      <c r="I12699" s="11" t="b">
        <f t="shared" si="610"/>
        <v>0</v>
      </c>
      <c r="M12699" s="17" t="str">
        <f t="shared" si="611"/>
        <v/>
      </c>
      <c r="N12699" s="11" t="str">
        <f t="shared" si="612"/>
        <v/>
      </c>
    </row>
    <row r="12700" spans="9:14" x14ac:dyDescent="0.25">
      <c r="I12700" s="11" t="b">
        <f t="shared" si="610"/>
        <v>0</v>
      </c>
      <c r="M12700" s="17" t="str">
        <f t="shared" si="611"/>
        <v/>
      </c>
      <c r="N12700" s="11" t="str">
        <f t="shared" si="612"/>
        <v/>
      </c>
    </row>
    <row r="12701" spans="9:14" x14ac:dyDescent="0.25">
      <c r="I12701" s="11" t="b">
        <f t="shared" ref="I12701:I12764" si="613">IF(AND(G12701="MERCADO PAGO",A12701="FATURAMENTO"),1,IF(AND(OR(G12701="MERCADO PAGO",G12701="pix mercado pago",G12701= "débito automático mercado pago", G12701= "boleto mercado pago"),A12701="DESPESAS"),4,IF(AND(G12701="SAFRA",A12701="FATURAMENTO"),2,IF(AND(OR(G12701="SAFRA",G12701="PIX SAFRA", G12701="DÉBITO AUTOMÁTICO SAFRA", G12701= "BOLETO SAFRA", G12701= "transferência safra"), A12701="DESPESAS"),5,IF(AND(G12701="espécie",A12701="FATURAMENTO"),3,IF(AND(G12701="espécie",A12701="DESPESAS"),6))))))</f>
        <v>0</v>
      </c>
      <c r="M12701" s="17" t="str">
        <f t="shared" si="611"/>
        <v/>
      </c>
      <c r="N12701" s="11" t="str">
        <f t="shared" si="612"/>
        <v/>
      </c>
    </row>
    <row r="12702" spans="9:14" x14ac:dyDescent="0.25">
      <c r="I12702" s="11" t="b">
        <f t="shared" si="613"/>
        <v>0</v>
      </c>
      <c r="M12702" s="17" t="str">
        <f t="shared" si="611"/>
        <v/>
      </c>
      <c r="N12702" s="11" t="str">
        <f t="shared" si="612"/>
        <v/>
      </c>
    </row>
    <row r="12703" spans="9:14" x14ac:dyDescent="0.25">
      <c r="I12703" s="11" t="b">
        <f t="shared" si="613"/>
        <v>0</v>
      </c>
      <c r="M12703" s="17" t="str">
        <f t="shared" si="611"/>
        <v/>
      </c>
      <c r="N12703" s="11" t="str">
        <f t="shared" si="612"/>
        <v/>
      </c>
    </row>
    <row r="12704" spans="9:14" x14ac:dyDescent="0.25">
      <c r="I12704" s="11" t="b">
        <f t="shared" si="613"/>
        <v>0</v>
      </c>
      <c r="M12704" s="17" t="str">
        <f t="shared" si="611"/>
        <v/>
      </c>
      <c r="N12704" s="11" t="str">
        <f t="shared" si="612"/>
        <v/>
      </c>
    </row>
    <row r="12705" spans="9:14" x14ac:dyDescent="0.25">
      <c r="I12705" s="11" t="b">
        <f t="shared" si="613"/>
        <v>0</v>
      </c>
      <c r="M12705" s="17" t="str">
        <f t="shared" si="611"/>
        <v/>
      </c>
      <c r="N12705" s="11" t="str">
        <f t="shared" si="612"/>
        <v/>
      </c>
    </row>
    <row r="12706" spans="9:14" x14ac:dyDescent="0.25">
      <c r="I12706" s="11" t="b">
        <f t="shared" si="613"/>
        <v>0</v>
      </c>
      <c r="M12706" s="17" t="str">
        <f t="shared" si="611"/>
        <v/>
      </c>
      <c r="N12706" s="11" t="str">
        <f t="shared" si="612"/>
        <v/>
      </c>
    </row>
    <row r="12707" spans="9:14" x14ac:dyDescent="0.25">
      <c r="I12707" s="11" t="b">
        <f t="shared" si="613"/>
        <v>0</v>
      </c>
      <c r="M12707" s="17" t="str">
        <f t="shared" si="611"/>
        <v/>
      </c>
      <c r="N12707" s="11" t="str">
        <f t="shared" si="612"/>
        <v/>
      </c>
    </row>
    <row r="12708" spans="9:14" x14ac:dyDescent="0.25">
      <c r="I12708" s="11" t="b">
        <f t="shared" si="613"/>
        <v>0</v>
      </c>
      <c r="M12708" s="17" t="str">
        <f t="shared" si="611"/>
        <v/>
      </c>
      <c r="N12708" s="11" t="str">
        <f t="shared" si="612"/>
        <v/>
      </c>
    </row>
    <row r="12709" spans="9:14" x14ac:dyDescent="0.25">
      <c r="I12709" s="11" t="b">
        <f t="shared" si="613"/>
        <v>0</v>
      </c>
      <c r="M12709" s="17" t="str">
        <f t="shared" si="611"/>
        <v/>
      </c>
      <c r="N12709" s="11" t="str">
        <f t="shared" si="612"/>
        <v/>
      </c>
    </row>
    <row r="12710" spans="9:14" x14ac:dyDescent="0.25">
      <c r="I12710" s="11" t="b">
        <f t="shared" si="613"/>
        <v>0</v>
      </c>
      <c r="M12710" s="17" t="str">
        <f t="shared" si="611"/>
        <v/>
      </c>
      <c r="N12710" s="11" t="str">
        <f t="shared" si="612"/>
        <v/>
      </c>
    </row>
    <row r="12711" spans="9:14" x14ac:dyDescent="0.25">
      <c r="I12711" s="11" t="b">
        <f t="shared" si="613"/>
        <v>0</v>
      </c>
      <c r="M12711" s="17" t="str">
        <f t="shared" si="611"/>
        <v/>
      </c>
      <c r="N12711" s="11" t="str">
        <f t="shared" si="612"/>
        <v/>
      </c>
    </row>
    <row r="12712" spans="9:14" x14ac:dyDescent="0.25">
      <c r="I12712" s="11" t="b">
        <f t="shared" si="613"/>
        <v>0</v>
      </c>
      <c r="M12712" s="17" t="str">
        <f t="shared" si="611"/>
        <v/>
      </c>
      <c r="N12712" s="11" t="str">
        <f t="shared" si="612"/>
        <v/>
      </c>
    </row>
    <row r="12713" spans="9:14" x14ac:dyDescent="0.25">
      <c r="I12713" s="11" t="b">
        <f t="shared" si="613"/>
        <v>0</v>
      </c>
      <c r="M12713" s="17" t="str">
        <f t="shared" si="611"/>
        <v/>
      </c>
      <c r="N12713" s="11" t="str">
        <f t="shared" si="612"/>
        <v/>
      </c>
    </row>
    <row r="12714" spans="9:14" x14ac:dyDescent="0.25">
      <c r="I12714" s="11" t="b">
        <f t="shared" si="613"/>
        <v>0</v>
      </c>
      <c r="M12714" s="17" t="str">
        <f t="shared" si="611"/>
        <v/>
      </c>
      <c r="N12714" s="11" t="str">
        <f t="shared" si="612"/>
        <v/>
      </c>
    </row>
    <row r="12715" spans="9:14" x14ac:dyDescent="0.25">
      <c r="I12715" s="11" t="b">
        <f t="shared" si="613"/>
        <v>0</v>
      </c>
      <c r="M12715" s="17" t="str">
        <f t="shared" si="611"/>
        <v/>
      </c>
      <c r="N12715" s="11" t="str">
        <f t="shared" si="612"/>
        <v/>
      </c>
    </row>
    <row r="12716" spans="9:14" x14ac:dyDescent="0.25">
      <c r="I12716" s="11" t="b">
        <f t="shared" si="613"/>
        <v>0</v>
      </c>
      <c r="M12716" s="17" t="str">
        <f t="shared" si="611"/>
        <v/>
      </c>
      <c r="N12716" s="11" t="str">
        <f t="shared" si="612"/>
        <v/>
      </c>
    </row>
    <row r="12717" spans="9:14" x14ac:dyDescent="0.25">
      <c r="I12717" s="11" t="b">
        <f t="shared" si="613"/>
        <v>0</v>
      </c>
      <c r="M12717" s="17" t="str">
        <f t="shared" si="611"/>
        <v/>
      </c>
      <c r="N12717" s="11" t="str">
        <f t="shared" si="612"/>
        <v/>
      </c>
    </row>
    <row r="12718" spans="9:14" x14ac:dyDescent="0.25">
      <c r="I12718" s="11" t="b">
        <f t="shared" si="613"/>
        <v>0</v>
      </c>
      <c r="M12718" s="17" t="str">
        <f t="shared" si="611"/>
        <v/>
      </c>
      <c r="N12718" s="11" t="str">
        <f t="shared" si="612"/>
        <v/>
      </c>
    </row>
    <row r="12719" spans="9:14" x14ac:dyDescent="0.25">
      <c r="I12719" s="11" t="b">
        <f t="shared" si="613"/>
        <v>0</v>
      </c>
      <c r="M12719" s="17" t="str">
        <f t="shared" si="611"/>
        <v/>
      </c>
      <c r="N12719" s="11" t="str">
        <f t="shared" si="612"/>
        <v/>
      </c>
    </row>
    <row r="12720" spans="9:14" x14ac:dyDescent="0.25">
      <c r="I12720" s="11" t="b">
        <f t="shared" si="613"/>
        <v>0</v>
      </c>
      <c r="M12720" s="17" t="str">
        <f t="shared" si="611"/>
        <v/>
      </c>
      <c r="N12720" s="11" t="str">
        <f t="shared" si="612"/>
        <v/>
      </c>
    </row>
    <row r="12721" spans="9:14" x14ac:dyDescent="0.25">
      <c r="I12721" s="11" t="b">
        <f t="shared" si="613"/>
        <v>0</v>
      </c>
      <c r="M12721" s="17" t="str">
        <f t="shared" si="611"/>
        <v/>
      </c>
      <c r="N12721" s="11" t="str">
        <f t="shared" si="612"/>
        <v/>
      </c>
    </row>
    <row r="12722" spans="9:14" x14ac:dyDescent="0.25">
      <c r="I12722" s="11" t="b">
        <f t="shared" si="613"/>
        <v>0</v>
      </c>
      <c r="M12722" s="17" t="str">
        <f t="shared" si="611"/>
        <v/>
      </c>
      <c r="N12722" s="11" t="str">
        <f t="shared" si="612"/>
        <v/>
      </c>
    </row>
    <row r="12723" spans="9:14" x14ac:dyDescent="0.25">
      <c r="I12723" s="11" t="b">
        <f t="shared" si="613"/>
        <v>0</v>
      </c>
      <c r="M12723" s="17" t="str">
        <f t="shared" si="611"/>
        <v/>
      </c>
      <c r="N12723" s="11" t="str">
        <f t="shared" si="612"/>
        <v/>
      </c>
    </row>
    <row r="12724" spans="9:14" x14ac:dyDescent="0.25">
      <c r="I12724" s="11" t="b">
        <f t="shared" si="613"/>
        <v>0</v>
      </c>
      <c r="M12724" s="17" t="str">
        <f t="shared" si="611"/>
        <v/>
      </c>
      <c r="N12724" s="11" t="str">
        <f t="shared" si="612"/>
        <v/>
      </c>
    </row>
    <row r="12725" spans="9:14" x14ac:dyDescent="0.25">
      <c r="I12725" s="11" t="b">
        <f t="shared" si="613"/>
        <v>0</v>
      </c>
      <c r="M12725" s="17" t="str">
        <f t="shared" si="611"/>
        <v/>
      </c>
      <c r="N12725" s="11" t="str">
        <f t="shared" si="612"/>
        <v/>
      </c>
    </row>
    <row r="12726" spans="9:14" x14ac:dyDescent="0.25">
      <c r="I12726" s="11" t="b">
        <f t="shared" si="613"/>
        <v>0</v>
      </c>
      <c r="M12726" s="17" t="str">
        <f t="shared" si="611"/>
        <v/>
      </c>
      <c r="N12726" s="11" t="str">
        <f t="shared" si="612"/>
        <v/>
      </c>
    </row>
    <row r="12727" spans="9:14" x14ac:dyDescent="0.25">
      <c r="I12727" s="11" t="b">
        <f t="shared" si="613"/>
        <v>0</v>
      </c>
      <c r="M12727" s="17" t="str">
        <f t="shared" si="611"/>
        <v/>
      </c>
      <c r="N12727" s="11" t="str">
        <f t="shared" si="612"/>
        <v/>
      </c>
    </row>
    <row r="12728" spans="9:14" x14ac:dyDescent="0.25">
      <c r="I12728" s="11" t="b">
        <f t="shared" si="613"/>
        <v>0</v>
      </c>
      <c r="M12728" s="17" t="str">
        <f t="shared" si="611"/>
        <v/>
      </c>
      <c r="N12728" s="11" t="str">
        <f t="shared" si="612"/>
        <v/>
      </c>
    </row>
    <row r="12729" spans="9:14" x14ac:dyDescent="0.25">
      <c r="I12729" s="11" t="b">
        <f t="shared" si="613"/>
        <v>0</v>
      </c>
      <c r="M12729" s="17" t="str">
        <f t="shared" si="611"/>
        <v/>
      </c>
      <c r="N12729" s="11" t="str">
        <f t="shared" si="612"/>
        <v/>
      </c>
    </row>
    <row r="12730" spans="9:14" x14ac:dyDescent="0.25">
      <c r="I12730" s="11" t="b">
        <f t="shared" si="613"/>
        <v>0</v>
      </c>
      <c r="M12730" s="17" t="str">
        <f t="shared" si="611"/>
        <v/>
      </c>
      <c r="N12730" s="11" t="str">
        <f t="shared" si="612"/>
        <v/>
      </c>
    </row>
    <row r="12731" spans="9:14" x14ac:dyDescent="0.25">
      <c r="I12731" s="11" t="b">
        <f t="shared" si="613"/>
        <v>0</v>
      </c>
      <c r="M12731" s="17" t="str">
        <f t="shared" si="611"/>
        <v/>
      </c>
      <c r="N12731" s="11" t="str">
        <f t="shared" si="612"/>
        <v/>
      </c>
    </row>
    <row r="12732" spans="9:14" x14ac:dyDescent="0.25">
      <c r="I12732" s="11" t="b">
        <f t="shared" si="613"/>
        <v>0</v>
      </c>
      <c r="M12732" s="17" t="str">
        <f t="shared" si="611"/>
        <v/>
      </c>
      <c r="N12732" s="11" t="str">
        <f t="shared" si="612"/>
        <v/>
      </c>
    </row>
    <row r="12733" spans="9:14" x14ac:dyDescent="0.25">
      <c r="I12733" s="11" t="b">
        <f t="shared" si="613"/>
        <v>0</v>
      </c>
      <c r="M12733" s="17" t="str">
        <f t="shared" si="611"/>
        <v/>
      </c>
      <c r="N12733" s="11" t="str">
        <f t="shared" si="612"/>
        <v/>
      </c>
    </row>
    <row r="12734" spans="9:14" x14ac:dyDescent="0.25">
      <c r="I12734" s="11" t="b">
        <f t="shared" si="613"/>
        <v>0</v>
      </c>
      <c r="M12734" s="17" t="str">
        <f t="shared" si="611"/>
        <v/>
      </c>
      <c r="N12734" s="11" t="str">
        <f t="shared" si="612"/>
        <v/>
      </c>
    </row>
    <row r="12735" spans="9:14" x14ac:dyDescent="0.25">
      <c r="I12735" s="11" t="b">
        <f t="shared" si="613"/>
        <v>0</v>
      </c>
      <c r="M12735" s="17" t="str">
        <f t="shared" si="611"/>
        <v/>
      </c>
      <c r="N12735" s="11" t="str">
        <f t="shared" si="612"/>
        <v/>
      </c>
    </row>
    <row r="12736" spans="9:14" x14ac:dyDescent="0.25">
      <c r="I12736" s="11" t="b">
        <f t="shared" si="613"/>
        <v>0</v>
      </c>
      <c r="M12736" s="17" t="str">
        <f t="shared" si="611"/>
        <v/>
      </c>
      <c r="N12736" s="11" t="str">
        <f t="shared" si="612"/>
        <v/>
      </c>
    </row>
    <row r="12737" spans="9:14" x14ac:dyDescent="0.25">
      <c r="I12737" s="11" t="b">
        <f t="shared" si="613"/>
        <v>0</v>
      </c>
      <c r="M12737" s="17" t="str">
        <f t="shared" ref="M12737:M12800" si="614">IF(B12737=0, "",M12736+ J12737-K12737)</f>
        <v/>
      </c>
      <c r="N12737" s="11" t="str">
        <f t="shared" ref="N12737:N12800" si="615">IF(B12737=0, "", MONTH(B12737))</f>
        <v/>
      </c>
    </row>
    <row r="12738" spans="9:14" x14ac:dyDescent="0.25">
      <c r="I12738" s="11" t="b">
        <f t="shared" si="613"/>
        <v>0</v>
      </c>
      <c r="M12738" s="17" t="str">
        <f t="shared" si="614"/>
        <v/>
      </c>
      <c r="N12738" s="11" t="str">
        <f t="shared" si="615"/>
        <v/>
      </c>
    </row>
    <row r="12739" spans="9:14" x14ac:dyDescent="0.25">
      <c r="I12739" s="11" t="b">
        <f t="shared" si="613"/>
        <v>0</v>
      </c>
      <c r="M12739" s="17" t="str">
        <f t="shared" si="614"/>
        <v/>
      </c>
      <c r="N12739" s="11" t="str">
        <f t="shared" si="615"/>
        <v/>
      </c>
    </row>
    <row r="12740" spans="9:14" x14ac:dyDescent="0.25">
      <c r="I12740" s="11" t="b">
        <f t="shared" si="613"/>
        <v>0</v>
      </c>
      <c r="M12740" s="17" t="str">
        <f t="shared" si="614"/>
        <v/>
      </c>
      <c r="N12740" s="11" t="str">
        <f t="shared" si="615"/>
        <v/>
      </c>
    </row>
    <row r="12741" spans="9:14" x14ac:dyDescent="0.25">
      <c r="I12741" s="11" t="b">
        <f t="shared" si="613"/>
        <v>0</v>
      </c>
      <c r="M12741" s="17" t="str">
        <f t="shared" si="614"/>
        <v/>
      </c>
      <c r="N12741" s="11" t="str">
        <f t="shared" si="615"/>
        <v/>
      </c>
    </row>
    <row r="12742" spans="9:14" x14ac:dyDescent="0.25">
      <c r="I12742" s="11" t="b">
        <f t="shared" si="613"/>
        <v>0</v>
      </c>
      <c r="M12742" s="17" t="str">
        <f t="shared" si="614"/>
        <v/>
      </c>
      <c r="N12742" s="11" t="str">
        <f t="shared" si="615"/>
        <v/>
      </c>
    </row>
    <row r="12743" spans="9:14" x14ac:dyDescent="0.25">
      <c r="I12743" s="11" t="b">
        <f t="shared" si="613"/>
        <v>0</v>
      </c>
      <c r="M12743" s="17" t="str">
        <f t="shared" si="614"/>
        <v/>
      </c>
      <c r="N12743" s="11" t="str">
        <f t="shared" si="615"/>
        <v/>
      </c>
    </row>
    <row r="12744" spans="9:14" x14ac:dyDescent="0.25">
      <c r="I12744" s="11" t="b">
        <f t="shared" si="613"/>
        <v>0</v>
      </c>
      <c r="M12744" s="17" t="str">
        <f t="shared" si="614"/>
        <v/>
      </c>
      <c r="N12744" s="11" t="str">
        <f t="shared" si="615"/>
        <v/>
      </c>
    </row>
    <row r="12745" spans="9:14" x14ac:dyDescent="0.25">
      <c r="I12745" s="11" t="b">
        <f t="shared" si="613"/>
        <v>0</v>
      </c>
      <c r="M12745" s="17" t="str">
        <f t="shared" si="614"/>
        <v/>
      </c>
      <c r="N12745" s="11" t="str">
        <f t="shared" si="615"/>
        <v/>
      </c>
    </row>
    <row r="12746" spans="9:14" x14ac:dyDescent="0.25">
      <c r="I12746" s="11" t="b">
        <f t="shared" si="613"/>
        <v>0</v>
      </c>
      <c r="M12746" s="17" t="str">
        <f t="shared" si="614"/>
        <v/>
      </c>
      <c r="N12746" s="11" t="str">
        <f t="shared" si="615"/>
        <v/>
      </c>
    </row>
    <row r="12747" spans="9:14" x14ac:dyDescent="0.25">
      <c r="I12747" s="11" t="b">
        <f t="shared" si="613"/>
        <v>0</v>
      </c>
      <c r="M12747" s="17" t="str">
        <f t="shared" si="614"/>
        <v/>
      </c>
      <c r="N12747" s="11" t="str">
        <f t="shared" si="615"/>
        <v/>
      </c>
    </row>
    <row r="12748" spans="9:14" x14ac:dyDescent="0.25">
      <c r="I12748" s="11" t="b">
        <f t="shared" si="613"/>
        <v>0</v>
      </c>
      <c r="M12748" s="17" t="str">
        <f t="shared" si="614"/>
        <v/>
      </c>
      <c r="N12748" s="11" t="str">
        <f t="shared" si="615"/>
        <v/>
      </c>
    </row>
    <row r="12749" spans="9:14" x14ac:dyDescent="0.25">
      <c r="I12749" s="11" t="b">
        <f t="shared" si="613"/>
        <v>0</v>
      </c>
      <c r="M12749" s="17" t="str">
        <f t="shared" si="614"/>
        <v/>
      </c>
      <c r="N12749" s="11" t="str">
        <f t="shared" si="615"/>
        <v/>
      </c>
    </row>
    <row r="12750" spans="9:14" x14ac:dyDescent="0.25">
      <c r="I12750" s="11" t="b">
        <f t="shared" si="613"/>
        <v>0</v>
      </c>
      <c r="M12750" s="17" t="str">
        <f t="shared" si="614"/>
        <v/>
      </c>
      <c r="N12750" s="11" t="str">
        <f t="shared" si="615"/>
        <v/>
      </c>
    </row>
    <row r="12751" spans="9:14" x14ac:dyDescent="0.25">
      <c r="I12751" s="11" t="b">
        <f t="shared" si="613"/>
        <v>0</v>
      </c>
      <c r="M12751" s="17" t="str">
        <f t="shared" si="614"/>
        <v/>
      </c>
      <c r="N12751" s="11" t="str">
        <f t="shared" si="615"/>
        <v/>
      </c>
    </row>
    <row r="12752" spans="9:14" x14ac:dyDescent="0.25">
      <c r="I12752" s="11" t="b">
        <f t="shared" si="613"/>
        <v>0</v>
      </c>
      <c r="M12752" s="17" t="str">
        <f t="shared" si="614"/>
        <v/>
      </c>
      <c r="N12752" s="11" t="str">
        <f t="shared" si="615"/>
        <v/>
      </c>
    </row>
    <row r="12753" spans="9:14" x14ac:dyDescent="0.25">
      <c r="I12753" s="11" t="b">
        <f t="shared" si="613"/>
        <v>0</v>
      </c>
      <c r="M12753" s="17" t="str">
        <f t="shared" si="614"/>
        <v/>
      </c>
      <c r="N12753" s="11" t="str">
        <f t="shared" si="615"/>
        <v/>
      </c>
    </row>
    <row r="12754" spans="9:14" x14ac:dyDescent="0.25">
      <c r="I12754" s="11" t="b">
        <f t="shared" si="613"/>
        <v>0</v>
      </c>
      <c r="M12754" s="17" t="str">
        <f t="shared" si="614"/>
        <v/>
      </c>
      <c r="N12754" s="11" t="str">
        <f t="shared" si="615"/>
        <v/>
      </c>
    </row>
    <row r="12755" spans="9:14" x14ac:dyDescent="0.25">
      <c r="I12755" s="11" t="b">
        <f t="shared" si="613"/>
        <v>0</v>
      </c>
      <c r="M12755" s="17" t="str">
        <f t="shared" si="614"/>
        <v/>
      </c>
      <c r="N12755" s="11" t="str">
        <f t="shared" si="615"/>
        <v/>
      </c>
    </row>
    <row r="12756" spans="9:14" x14ac:dyDescent="0.25">
      <c r="I12756" s="11" t="b">
        <f t="shared" si="613"/>
        <v>0</v>
      </c>
      <c r="M12756" s="17" t="str">
        <f t="shared" si="614"/>
        <v/>
      </c>
      <c r="N12756" s="11" t="str">
        <f t="shared" si="615"/>
        <v/>
      </c>
    </row>
    <row r="12757" spans="9:14" x14ac:dyDescent="0.25">
      <c r="I12757" s="11" t="b">
        <f t="shared" si="613"/>
        <v>0</v>
      </c>
      <c r="M12757" s="17" t="str">
        <f t="shared" si="614"/>
        <v/>
      </c>
      <c r="N12757" s="11" t="str">
        <f t="shared" si="615"/>
        <v/>
      </c>
    </row>
    <row r="12758" spans="9:14" x14ac:dyDescent="0.25">
      <c r="I12758" s="11" t="b">
        <f t="shared" si="613"/>
        <v>0</v>
      </c>
      <c r="M12758" s="17" t="str">
        <f t="shared" si="614"/>
        <v/>
      </c>
      <c r="N12758" s="11" t="str">
        <f t="shared" si="615"/>
        <v/>
      </c>
    </row>
    <row r="12759" spans="9:14" x14ac:dyDescent="0.25">
      <c r="I12759" s="11" t="b">
        <f t="shared" si="613"/>
        <v>0</v>
      </c>
      <c r="M12759" s="17" t="str">
        <f t="shared" si="614"/>
        <v/>
      </c>
      <c r="N12759" s="11" t="str">
        <f t="shared" si="615"/>
        <v/>
      </c>
    </row>
    <row r="12760" spans="9:14" x14ac:dyDescent="0.25">
      <c r="I12760" s="11" t="b">
        <f t="shared" si="613"/>
        <v>0</v>
      </c>
      <c r="M12760" s="17" t="str">
        <f t="shared" si="614"/>
        <v/>
      </c>
      <c r="N12760" s="11" t="str">
        <f t="shared" si="615"/>
        <v/>
      </c>
    </row>
    <row r="12761" spans="9:14" x14ac:dyDescent="0.25">
      <c r="I12761" s="11" t="b">
        <f t="shared" si="613"/>
        <v>0</v>
      </c>
      <c r="M12761" s="17" t="str">
        <f t="shared" si="614"/>
        <v/>
      </c>
      <c r="N12761" s="11" t="str">
        <f t="shared" si="615"/>
        <v/>
      </c>
    </row>
    <row r="12762" spans="9:14" x14ac:dyDescent="0.25">
      <c r="I12762" s="11" t="b">
        <f t="shared" si="613"/>
        <v>0</v>
      </c>
      <c r="M12762" s="17" t="str">
        <f t="shared" si="614"/>
        <v/>
      </c>
      <c r="N12762" s="11" t="str">
        <f t="shared" si="615"/>
        <v/>
      </c>
    </row>
    <row r="12763" spans="9:14" x14ac:dyDescent="0.25">
      <c r="I12763" s="11" t="b">
        <f t="shared" si="613"/>
        <v>0</v>
      </c>
      <c r="M12763" s="17" t="str">
        <f t="shared" si="614"/>
        <v/>
      </c>
      <c r="N12763" s="11" t="str">
        <f t="shared" si="615"/>
        <v/>
      </c>
    </row>
    <row r="12764" spans="9:14" x14ac:dyDescent="0.25">
      <c r="I12764" s="11" t="b">
        <f t="shared" si="613"/>
        <v>0</v>
      </c>
      <c r="M12764" s="17" t="str">
        <f t="shared" si="614"/>
        <v/>
      </c>
      <c r="N12764" s="11" t="str">
        <f t="shared" si="615"/>
        <v/>
      </c>
    </row>
    <row r="12765" spans="9:14" x14ac:dyDescent="0.25">
      <c r="I12765" s="11" t="b">
        <f t="shared" ref="I12765:I12828" si="616">IF(AND(G12765="MERCADO PAGO",A12765="FATURAMENTO"),1,IF(AND(OR(G12765="MERCADO PAGO",G12765="pix mercado pago",G12765= "débito automático mercado pago", G12765= "boleto mercado pago"),A12765="DESPESAS"),4,IF(AND(G12765="SAFRA",A12765="FATURAMENTO"),2,IF(AND(OR(G12765="SAFRA",G12765="PIX SAFRA", G12765="DÉBITO AUTOMÁTICO SAFRA", G12765= "BOLETO SAFRA", G12765= "transferência safra"), A12765="DESPESAS"),5,IF(AND(G12765="espécie",A12765="FATURAMENTO"),3,IF(AND(G12765="espécie",A12765="DESPESAS"),6))))))</f>
        <v>0</v>
      </c>
      <c r="M12765" s="17" t="str">
        <f t="shared" si="614"/>
        <v/>
      </c>
      <c r="N12765" s="11" t="str">
        <f t="shared" si="615"/>
        <v/>
      </c>
    </row>
    <row r="12766" spans="9:14" x14ac:dyDescent="0.25">
      <c r="I12766" s="11" t="b">
        <f t="shared" si="616"/>
        <v>0</v>
      </c>
      <c r="M12766" s="17" t="str">
        <f t="shared" si="614"/>
        <v/>
      </c>
      <c r="N12766" s="11" t="str">
        <f t="shared" si="615"/>
        <v/>
      </c>
    </row>
    <row r="12767" spans="9:14" x14ac:dyDescent="0.25">
      <c r="I12767" s="11" t="b">
        <f t="shared" si="616"/>
        <v>0</v>
      </c>
      <c r="M12767" s="17" t="str">
        <f t="shared" si="614"/>
        <v/>
      </c>
      <c r="N12767" s="11" t="str">
        <f t="shared" si="615"/>
        <v/>
      </c>
    </row>
    <row r="12768" spans="9:14" x14ac:dyDescent="0.25">
      <c r="I12768" s="11" t="b">
        <f t="shared" si="616"/>
        <v>0</v>
      </c>
      <c r="M12768" s="17" t="str">
        <f t="shared" si="614"/>
        <v/>
      </c>
      <c r="N12768" s="11" t="str">
        <f t="shared" si="615"/>
        <v/>
      </c>
    </row>
    <row r="12769" spans="9:14" x14ac:dyDescent="0.25">
      <c r="I12769" s="11" t="b">
        <f t="shared" si="616"/>
        <v>0</v>
      </c>
      <c r="M12769" s="17" t="str">
        <f t="shared" si="614"/>
        <v/>
      </c>
      <c r="N12769" s="11" t="str">
        <f t="shared" si="615"/>
        <v/>
      </c>
    </row>
    <row r="12770" spans="9:14" x14ac:dyDescent="0.25">
      <c r="I12770" s="11" t="b">
        <f t="shared" si="616"/>
        <v>0</v>
      </c>
      <c r="M12770" s="17" t="str">
        <f t="shared" si="614"/>
        <v/>
      </c>
      <c r="N12770" s="11" t="str">
        <f t="shared" si="615"/>
        <v/>
      </c>
    </row>
    <row r="12771" spans="9:14" x14ac:dyDescent="0.25">
      <c r="I12771" s="11" t="b">
        <f t="shared" si="616"/>
        <v>0</v>
      </c>
      <c r="M12771" s="17" t="str">
        <f t="shared" si="614"/>
        <v/>
      </c>
      <c r="N12771" s="11" t="str">
        <f t="shared" si="615"/>
        <v/>
      </c>
    </row>
    <row r="12772" spans="9:14" x14ac:dyDescent="0.25">
      <c r="I12772" s="11" t="b">
        <f t="shared" si="616"/>
        <v>0</v>
      </c>
      <c r="M12772" s="17" t="str">
        <f t="shared" si="614"/>
        <v/>
      </c>
      <c r="N12772" s="11" t="str">
        <f t="shared" si="615"/>
        <v/>
      </c>
    </row>
    <row r="12773" spans="9:14" x14ac:dyDescent="0.25">
      <c r="I12773" s="11" t="b">
        <f t="shared" si="616"/>
        <v>0</v>
      </c>
      <c r="M12773" s="17" t="str">
        <f t="shared" si="614"/>
        <v/>
      </c>
      <c r="N12773" s="11" t="str">
        <f t="shared" si="615"/>
        <v/>
      </c>
    </row>
    <row r="12774" spans="9:14" x14ac:dyDescent="0.25">
      <c r="I12774" s="11" t="b">
        <f t="shared" si="616"/>
        <v>0</v>
      </c>
      <c r="M12774" s="17" t="str">
        <f t="shared" si="614"/>
        <v/>
      </c>
      <c r="N12774" s="11" t="str">
        <f t="shared" si="615"/>
        <v/>
      </c>
    </row>
    <row r="12775" spans="9:14" x14ac:dyDescent="0.25">
      <c r="I12775" s="11" t="b">
        <f t="shared" si="616"/>
        <v>0</v>
      </c>
      <c r="M12775" s="17" t="str">
        <f t="shared" si="614"/>
        <v/>
      </c>
      <c r="N12775" s="11" t="str">
        <f t="shared" si="615"/>
        <v/>
      </c>
    </row>
    <row r="12776" spans="9:14" x14ac:dyDescent="0.25">
      <c r="I12776" s="11" t="b">
        <f t="shared" si="616"/>
        <v>0</v>
      </c>
      <c r="M12776" s="17" t="str">
        <f t="shared" si="614"/>
        <v/>
      </c>
      <c r="N12776" s="11" t="str">
        <f t="shared" si="615"/>
        <v/>
      </c>
    </row>
    <row r="12777" spans="9:14" x14ac:dyDescent="0.25">
      <c r="I12777" s="11" t="b">
        <f t="shared" si="616"/>
        <v>0</v>
      </c>
      <c r="M12777" s="17" t="str">
        <f t="shared" si="614"/>
        <v/>
      </c>
      <c r="N12777" s="11" t="str">
        <f t="shared" si="615"/>
        <v/>
      </c>
    </row>
    <row r="12778" spans="9:14" x14ac:dyDescent="0.25">
      <c r="I12778" s="11" t="b">
        <f t="shared" si="616"/>
        <v>0</v>
      </c>
      <c r="M12778" s="17" t="str">
        <f t="shared" si="614"/>
        <v/>
      </c>
      <c r="N12778" s="11" t="str">
        <f t="shared" si="615"/>
        <v/>
      </c>
    </row>
    <row r="12779" spans="9:14" x14ac:dyDescent="0.25">
      <c r="I12779" s="11" t="b">
        <f t="shared" si="616"/>
        <v>0</v>
      </c>
      <c r="M12779" s="17" t="str">
        <f t="shared" si="614"/>
        <v/>
      </c>
      <c r="N12779" s="11" t="str">
        <f t="shared" si="615"/>
        <v/>
      </c>
    </row>
    <row r="12780" spans="9:14" x14ac:dyDescent="0.25">
      <c r="I12780" s="11" t="b">
        <f t="shared" si="616"/>
        <v>0</v>
      </c>
      <c r="M12780" s="17" t="str">
        <f t="shared" si="614"/>
        <v/>
      </c>
      <c r="N12780" s="11" t="str">
        <f t="shared" si="615"/>
        <v/>
      </c>
    </row>
    <row r="12781" spans="9:14" x14ac:dyDescent="0.25">
      <c r="I12781" s="11" t="b">
        <f t="shared" si="616"/>
        <v>0</v>
      </c>
      <c r="M12781" s="17" t="str">
        <f t="shared" si="614"/>
        <v/>
      </c>
      <c r="N12781" s="11" t="str">
        <f t="shared" si="615"/>
        <v/>
      </c>
    </row>
    <row r="12782" spans="9:14" x14ac:dyDescent="0.25">
      <c r="I12782" s="11" t="b">
        <f t="shared" si="616"/>
        <v>0</v>
      </c>
      <c r="M12782" s="17" t="str">
        <f t="shared" si="614"/>
        <v/>
      </c>
      <c r="N12782" s="11" t="str">
        <f t="shared" si="615"/>
        <v/>
      </c>
    </row>
    <row r="12783" spans="9:14" x14ac:dyDescent="0.25">
      <c r="I12783" s="11" t="b">
        <f t="shared" si="616"/>
        <v>0</v>
      </c>
      <c r="M12783" s="17" t="str">
        <f t="shared" si="614"/>
        <v/>
      </c>
      <c r="N12783" s="11" t="str">
        <f t="shared" si="615"/>
        <v/>
      </c>
    </row>
    <row r="12784" spans="9:14" x14ac:dyDescent="0.25">
      <c r="I12784" s="11" t="b">
        <f t="shared" si="616"/>
        <v>0</v>
      </c>
      <c r="M12784" s="17" t="str">
        <f t="shared" si="614"/>
        <v/>
      </c>
      <c r="N12784" s="11" t="str">
        <f t="shared" si="615"/>
        <v/>
      </c>
    </row>
    <row r="12785" spans="9:14" x14ac:dyDescent="0.25">
      <c r="I12785" s="11" t="b">
        <f t="shared" si="616"/>
        <v>0</v>
      </c>
      <c r="M12785" s="17" t="str">
        <f t="shared" si="614"/>
        <v/>
      </c>
      <c r="N12785" s="11" t="str">
        <f t="shared" si="615"/>
        <v/>
      </c>
    </row>
    <row r="12786" spans="9:14" x14ac:dyDescent="0.25">
      <c r="I12786" s="11" t="b">
        <f t="shared" si="616"/>
        <v>0</v>
      </c>
      <c r="M12786" s="17" t="str">
        <f t="shared" si="614"/>
        <v/>
      </c>
      <c r="N12786" s="11" t="str">
        <f t="shared" si="615"/>
        <v/>
      </c>
    </row>
    <row r="12787" spans="9:14" x14ac:dyDescent="0.25">
      <c r="I12787" s="11" t="b">
        <f t="shared" si="616"/>
        <v>0</v>
      </c>
      <c r="M12787" s="17" t="str">
        <f t="shared" si="614"/>
        <v/>
      </c>
      <c r="N12787" s="11" t="str">
        <f t="shared" si="615"/>
        <v/>
      </c>
    </row>
    <row r="12788" spans="9:14" x14ac:dyDescent="0.25">
      <c r="I12788" s="11" t="b">
        <f t="shared" si="616"/>
        <v>0</v>
      </c>
      <c r="M12788" s="17" t="str">
        <f t="shared" si="614"/>
        <v/>
      </c>
      <c r="N12788" s="11" t="str">
        <f t="shared" si="615"/>
        <v/>
      </c>
    </row>
    <row r="12789" spans="9:14" x14ac:dyDescent="0.25">
      <c r="I12789" s="11" t="b">
        <f t="shared" si="616"/>
        <v>0</v>
      </c>
      <c r="M12789" s="17" t="str">
        <f t="shared" si="614"/>
        <v/>
      </c>
      <c r="N12789" s="11" t="str">
        <f t="shared" si="615"/>
        <v/>
      </c>
    </row>
    <row r="12790" spans="9:14" x14ac:dyDescent="0.25">
      <c r="I12790" s="11" t="b">
        <f t="shared" si="616"/>
        <v>0</v>
      </c>
      <c r="M12790" s="17" t="str">
        <f t="shared" si="614"/>
        <v/>
      </c>
      <c r="N12790" s="11" t="str">
        <f t="shared" si="615"/>
        <v/>
      </c>
    </row>
    <row r="12791" spans="9:14" x14ac:dyDescent="0.25">
      <c r="I12791" s="11" t="b">
        <f t="shared" si="616"/>
        <v>0</v>
      </c>
      <c r="M12791" s="17" t="str">
        <f t="shared" si="614"/>
        <v/>
      </c>
      <c r="N12791" s="11" t="str">
        <f t="shared" si="615"/>
        <v/>
      </c>
    </row>
    <row r="12792" spans="9:14" x14ac:dyDescent="0.25">
      <c r="I12792" s="11" t="b">
        <f t="shared" si="616"/>
        <v>0</v>
      </c>
      <c r="M12792" s="17" t="str">
        <f t="shared" si="614"/>
        <v/>
      </c>
      <c r="N12792" s="11" t="str">
        <f t="shared" si="615"/>
        <v/>
      </c>
    </row>
    <row r="12793" spans="9:14" x14ac:dyDescent="0.25">
      <c r="I12793" s="11" t="b">
        <f t="shared" si="616"/>
        <v>0</v>
      </c>
      <c r="M12793" s="17" t="str">
        <f t="shared" si="614"/>
        <v/>
      </c>
      <c r="N12793" s="11" t="str">
        <f t="shared" si="615"/>
        <v/>
      </c>
    </row>
    <row r="12794" spans="9:14" x14ac:dyDescent="0.25">
      <c r="I12794" s="11" t="b">
        <f t="shared" si="616"/>
        <v>0</v>
      </c>
      <c r="M12794" s="17" t="str">
        <f t="shared" si="614"/>
        <v/>
      </c>
      <c r="N12794" s="11" t="str">
        <f t="shared" si="615"/>
        <v/>
      </c>
    </row>
    <row r="12795" spans="9:14" x14ac:dyDescent="0.25">
      <c r="I12795" s="11" t="b">
        <f t="shared" si="616"/>
        <v>0</v>
      </c>
      <c r="M12795" s="17" t="str">
        <f t="shared" si="614"/>
        <v/>
      </c>
      <c r="N12795" s="11" t="str">
        <f t="shared" si="615"/>
        <v/>
      </c>
    </row>
    <row r="12796" spans="9:14" x14ac:dyDescent="0.25">
      <c r="I12796" s="11" t="b">
        <f t="shared" si="616"/>
        <v>0</v>
      </c>
      <c r="M12796" s="17" t="str">
        <f t="shared" si="614"/>
        <v/>
      </c>
      <c r="N12796" s="11" t="str">
        <f t="shared" si="615"/>
        <v/>
      </c>
    </row>
    <row r="12797" spans="9:14" x14ac:dyDescent="0.25">
      <c r="I12797" s="11" t="b">
        <f t="shared" si="616"/>
        <v>0</v>
      </c>
      <c r="M12797" s="17" t="str">
        <f t="shared" si="614"/>
        <v/>
      </c>
      <c r="N12797" s="11" t="str">
        <f t="shared" si="615"/>
        <v/>
      </c>
    </row>
    <row r="12798" spans="9:14" x14ac:dyDescent="0.25">
      <c r="I12798" s="11" t="b">
        <f t="shared" si="616"/>
        <v>0</v>
      </c>
      <c r="M12798" s="17" t="str">
        <f t="shared" si="614"/>
        <v/>
      </c>
      <c r="N12798" s="11" t="str">
        <f t="shared" si="615"/>
        <v/>
      </c>
    </row>
    <row r="12799" spans="9:14" x14ac:dyDescent="0.25">
      <c r="I12799" s="11" t="b">
        <f t="shared" si="616"/>
        <v>0</v>
      </c>
      <c r="M12799" s="17" t="str">
        <f t="shared" si="614"/>
        <v/>
      </c>
      <c r="N12799" s="11" t="str">
        <f t="shared" si="615"/>
        <v/>
      </c>
    </row>
    <row r="12800" spans="9:14" x14ac:dyDescent="0.25">
      <c r="I12800" s="11" t="b">
        <f t="shared" si="616"/>
        <v>0</v>
      </c>
      <c r="M12800" s="17" t="str">
        <f t="shared" si="614"/>
        <v/>
      </c>
      <c r="N12800" s="11" t="str">
        <f t="shared" si="615"/>
        <v/>
      </c>
    </row>
    <row r="12801" spans="9:14" x14ac:dyDescent="0.25">
      <c r="I12801" s="11" t="b">
        <f t="shared" si="616"/>
        <v>0</v>
      </c>
      <c r="M12801" s="17" t="str">
        <f t="shared" ref="M12801:M12864" si="617">IF(B12801=0, "",M12800+ J12801-K12801)</f>
        <v/>
      </c>
      <c r="N12801" s="11" t="str">
        <f t="shared" ref="N12801:N12864" si="618">IF(B12801=0, "", MONTH(B12801))</f>
        <v/>
      </c>
    </row>
    <row r="12802" spans="9:14" x14ac:dyDescent="0.25">
      <c r="I12802" s="11" t="b">
        <f t="shared" si="616"/>
        <v>0</v>
      </c>
      <c r="M12802" s="17" t="str">
        <f t="shared" si="617"/>
        <v/>
      </c>
      <c r="N12802" s="11" t="str">
        <f t="shared" si="618"/>
        <v/>
      </c>
    </row>
    <row r="12803" spans="9:14" x14ac:dyDescent="0.25">
      <c r="I12803" s="11" t="b">
        <f t="shared" si="616"/>
        <v>0</v>
      </c>
      <c r="M12803" s="17" t="str">
        <f t="shared" si="617"/>
        <v/>
      </c>
      <c r="N12803" s="11" t="str">
        <f t="shared" si="618"/>
        <v/>
      </c>
    </row>
    <row r="12804" spans="9:14" x14ac:dyDescent="0.25">
      <c r="I12804" s="11" t="b">
        <f t="shared" si="616"/>
        <v>0</v>
      </c>
      <c r="M12804" s="17" t="str">
        <f t="shared" si="617"/>
        <v/>
      </c>
      <c r="N12804" s="11" t="str">
        <f t="shared" si="618"/>
        <v/>
      </c>
    </row>
    <row r="12805" spans="9:14" x14ac:dyDescent="0.25">
      <c r="I12805" s="11" t="b">
        <f t="shared" si="616"/>
        <v>0</v>
      </c>
      <c r="M12805" s="17" t="str">
        <f t="shared" si="617"/>
        <v/>
      </c>
      <c r="N12805" s="11" t="str">
        <f t="shared" si="618"/>
        <v/>
      </c>
    </row>
    <row r="12806" spans="9:14" x14ac:dyDescent="0.25">
      <c r="I12806" s="11" t="b">
        <f t="shared" si="616"/>
        <v>0</v>
      </c>
      <c r="M12806" s="17" t="str">
        <f t="shared" si="617"/>
        <v/>
      </c>
      <c r="N12806" s="11" t="str">
        <f t="shared" si="618"/>
        <v/>
      </c>
    </row>
    <row r="12807" spans="9:14" x14ac:dyDescent="0.25">
      <c r="I12807" s="11" t="b">
        <f t="shared" si="616"/>
        <v>0</v>
      </c>
      <c r="M12807" s="17" t="str">
        <f t="shared" si="617"/>
        <v/>
      </c>
      <c r="N12807" s="11" t="str">
        <f t="shared" si="618"/>
        <v/>
      </c>
    </row>
    <row r="12808" spans="9:14" x14ac:dyDescent="0.25">
      <c r="I12808" s="11" t="b">
        <f t="shared" si="616"/>
        <v>0</v>
      </c>
      <c r="M12808" s="17" t="str">
        <f t="shared" si="617"/>
        <v/>
      </c>
      <c r="N12808" s="11" t="str">
        <f t="shared" si="618"/>
        <v/>
      </c>
    </row>
    <row r="12809" spans="9:14" x14ac:dyDescent="0.25">
      <c r="I12809" s="11" t="b">
        <f t="shared" si="616"/>
        <v>0</v>
      </c>
      <c r="M12809" s="17" t="str">
        <f t="shared" si="617"/>
        <v/>
      </c>
      <c r="N12809" s="11" t="str">
        <f t="shared" si="618"/>
        <v/>
      </c>
    </row>
    <row r="12810" spans="9:14" x14ac:dyDescent="0.25">
      <c r="I12810" s="11" t="b">
        <f t="shared" si="616"/>
        <v>0</v>
      </c>
      <c r="M12810" s="17" t="str">
        <f t="shared" si="617"/>
        <v/>
      </c>
      <c r="N12810" s="11" t="str">
        <f t="shared" si="618"/>
        <v/>
      </c>
    </row>
    <row r="12811" spans="9:14" x14ac:dyDescent="0.25">
      <c r="I12811" s="11" t="b">
        <f t="shared" si="616"/>
        <v>0</v>
      </c>
      <c r="M12811" s="17" t="str">
        <f t="shared" si="617"/>
        <v/>
      </c>
      <c r="N12811" s="11" t="str">
        <f t="shared" si="618"/>
        <v/>
      </c>
    </row>
    <row r="12812" spans="9:14" x14ac:dyDescent="0.25">
      <c r="I12812" s="11" t="b">
        <f t="shared" si="616"/>
        <v>0</v>
      </c>
      <c r="M12812" s="17" t="str">
        <f t="shared" si="617"/>
        <v/>
      </c>
      <c r="N12812" s="11" t="str">
        <f t="shared" si="618"/>
        <v/>
      </c>
    </row>
    <row r="12813" spans="9:14" x14ac:dyDescent="0.25">
      <c r="I12813" s="11" t="b">
        <f t="shared" si="616"/>
        <v>0</v>
      </c>
      <c r="M12813" s="17" t="str">
        <f t="shared" si="617"/>
        <v/>
      </c>
      <c r="N12813" s="11" t="str">
        <f t="shared" si="618"/>
        <v/>
      </c>
    </row>
    <row r="12814" spans="9:14" x14ac:dyDescent="0.25">
      <c r="I12814" s="11" t="b">
        <f t="shared" si="616"/>
        <v>0</v>
      </c>
      <c r="M12814" s="17" t="str">
        <f t="shared" si="617"/>
        <v/>
      </c>
      <c r="N12814" s="11" t="str">
        <f t="shared" si="618"/>
        <v/>
      </c>
    </row>
    <row r="12815" spans="9:14" x14ac:dyDescent="0.25">
      <c r="I12815" s="11" t="b">
        <f t="shared" si="616"/>
        <v>0</v>
      </c>
      <c r="M12815" s="17" t="str">
        <f t="shared" si="617"/>
        <v/>
      </c>
      <c r="N12815" s="11" t="str">
        <f t="shared" si="618"/>
        <v/>
      </c>
    </row>
    <row r="12816" spans="9:14" x14ac:dyDescent="0.25">
      <c r="I12816" s="11" t="b">
        <f t="shared" si="616"/>
        <v>0</v>
      </c>
      <c r="M12816" s="17" t="str">
        <f t="shared" si="617"/>
        <v/>
      </c>
      <c r="N12816" s="11" t="str">
        <f t="shared" si="618"/>
        <v/>
      </c>
    </row>
    <row r="12817" spans="9:14" x14ac:dyDescent="0.25">
      <c r="I12817" s="11" t="b">
        <f t="shared" si="616"/>
        <v>0</v>
      </c>
      <c r="M12817" s="17" t="str">
        <f t="shared" si="617"/>
        <v/>
      </c>
      <c r="N12817" s="11" t="str">
        <f t="shared" si="618"/>
        <v/>
      </c>
    </row>
    <row r="12818" spans="9:14" x14ac:dyDescent="0.25">
      <c r="I12818" s="11" t="b">
        <f t="shared" si="616"/>
        <v>0</v>
      </c>
      <c r="M12818" s="17" t="str">
        <f t="shared" si="617"/>
        <v/>
      </c>
      <c r="N12818" s="11" t="str">
        <f t="shared" si="618"/>
        <v/>
      </c>
    </row>
    <row r="12819" spans="9:14" x14ac:dyDescent="0.25">
      <c r="I12819" s="11" t="b">
        <f t="shared" si="616"/>
        <v>0</v>
      </c>
      <c r="M12819" s="17" t="str">
        <f t="shared" si="617"/>
        <v/>
      </c>
      <c r="N12819" s="11" t="str">
        <f t="shared" si="618"/>
        <v/>
      </c>
    </row>
    <row r="12820" spans="9:14" x14ac:dyDescent="0.25">
      <c r="I12820" s="11" t="b">
        <f t="shared" si="616"/>
        <v>0</v>
      </c>
      <c r="M12820" s="17" t="str">
        <f t="shared" si="617"/>
        <v/>
      </c>
      <c r="N12820" s="11" t="str">
        <f t="shared" si="618"/>
        <v/>
      </c>
    </row>
    <row r="12821" spans="9:14" x14ac:dyDescent="0.25">
      <c r="I12821" s="11" t="b">
        <f t="shared" si="616"/>
        <v>0</v>
      </c>
      <c r="M12821" s="17" t="str">
        <f t="shared" si="617"/>
        <v/>
      </c>
      <c r="N12821" s="11" t="str">
        <f t="shared" si="618"/>
        <v/>
      </c>
    </row>
    <row r="12822" spans="9:14" x14ac:dyDescent="0.25">
      <c r="I12822" s="11" t="b">
        <f t="shared" si="616"/>
        <v>0</v>
      </c>
      <c r="M12822" s="17" t="str">
        <f t="shared" si="617"/>
        <v/>
      </c>
      <c r="N12822" s="11" t="str">
        <f t="shared" si="618"/>
        <v/>
      </c>
    </row>
    <row r="12823" spans="9:14" x14ac:dyDescent="0.25">
      <c r="I12823" s="11" t="b">
        <f t="shared" si="616"/>
        <v>0</v>
      </c>
      <c r="M12823" s="17" t="str">
        <f t="shared" si="617"/>
        <v/>
      </c>
      <c r="N12823" s="11" t="str">
        <f t="shared" si="618"/>
        <v/>
      </c>
    </row>
    <row r="12824" spans="9:14" x14ac:dyDescent="0.25">
      <c r="I12824" s="11" t="b">
        <f t="shared" si="616"/>
        <v>0</v>
      </c>
      <c r="M12824" s="17" t="str">
        <f t="shared" si="617"/>
        <v/>
      </c>
      <c r="N12824" s="11" t="str">
        <f t="shared" si="618"/>
        <v/>
      </c>
    </row>
    <row r="12825" spans="9:14" x14ac:dyDescent="0.25">
      <c r="I12825" s="11" t="b">
        <f t="shared" si="616"/>
        <v>0</v>
      </c>
      <c r="M12825" s="17" t="str">
        <f t="shared" si="617"/>
        <v/>
      </c>
      <c r="N12825" s="11" t="str">
        <f t="shared" si="618"/>
        <v/>
      </c>
    </row>
    <row r="12826" spans="9:14" x14ac:dyDescent="0.25">
      <c r="I12826" s="11" t="b">
        <f t="shared" si="616"/>
        <v>0</v>
      </c>
      <c r="M12826" s="17" t="str">
        <f t="shared" si="617"/>
        <v/>
      </c>
      <c r="N12826" s="11" t="str">
        <f t="shared" si="618"/>
        <v/>
      </c>
    </row>
    <row r="12827" spans="9:14" x14ac:dyDescent="0.25">
      <c r="I12827" s="11" t="b">
        <f t="shared" si="616"/>
        <v>0</v>
      </c>
      <c r="M12827" s="17" t="str">
        <f t="shared" si="617"/>
        <v/>
      </c>
      <c r="N12827" s="11" t="str">
        <f t="shared" si="618"/>
        <v/>
      </c>
    </row>
    <row r="12828" spans="9:14" x14ac:dyDescent="0.25">
      <c r="I12828" s="11" t="b">
        <f t="shared" si="616"/>
        <v>0</v>
      </c>
      <c r="M12828" s="17" t="str">
        <f t="shared" si="617"/>
        <v/>
      </c>
      <c r="N12828" s="11" t="str">
        <f t="shared" si="618"/>
        <v/>
      </c>
    </row>
    <row r="12829" spans="9:14" x14ac:dyDescent="0.25">
      <c r="I12829" s="11" t="b">
        <f t="shared" ref="I12829:I12892" si="619">IF(AND(G12829="MERCADO PAGO",A12829="FATURAMENTO"),1,IF(AND(OR(G12829="MERCADO PAGO",G12829="pix mercado pago",G12829= "débito automático mercado pago", G12829= "boleto mercado pago"),A12829="DESPESAS"),4,IF(AND(G12829="SAFRA",A12829="FATURAMENTO"),2,IF(AND(OR(G12829="SAFRA",G12829="PIX SAFRA", G12829="DÉBITO AUTOMÁTICO SAFRA", G12829= "BOLETO SAFRA", G12829= "transferência safra"), A12829="DESPESAS"),5,IF(AND(G12829="espécie",A12829="FATURAMENTO"),3,IF(AND(G12829="espécie",A12829="DESPESAS"),6))))))</f>
        <v>0</v>
      </c>
      <c r="M12829" s="17" t="str">
        <f t="shared" si="617"/>
        <v/>
      </c>
      <c r="N12829" s="11" t="str">
        <f t="shared" si="618"/>
        <v/>
      </c>
    </row>
    <row r="12830" spans="9:14" x14ac:dyDescent="0.25">
      <c r="I12830" s="11" t="b">
        <f t="shared" si="619"/>
        <v>0</v>
      </c>
      <c r="M12830" s="17" t="str">
        <f t="shared" si="617"/>
        <v/>
      </c>
      <c r="N12830" s="11" t="str">
        <f t="shared" si="618"/>
        <v/>
      </c>
    </row>
    <row r="12831" spans="9:14" x14ac:dyDescent="0.25">
      <c r="I12831" s="11" t="b">
        <f t="shared" si="619"/>
        <v>0</v>
      </c>
      <c r="M12831" s="17" t="str">
        <f t="shared" si="617"/>
        <v/>
      </c>
      <c r="N12831" s="11" t="str">
        <f t="shared" si="618"/>
        <v/>
      </c>
    </row>
    <row r="12832" spans="9:14" x14ac:dyDescent="0.25">
      <c r="I12832" s="11" t="b">
        <f t="shared" si="619"/>
        <v>0</v>
      </c>
      <c r="M12832" s="17" t="str">
        <f t="shared" si="617"/>
        <v/>
      </c>
      <c r="N12832" s="11" t="str">
        <f t="shared" si="618"/>
        <v/>
      </c>
    </row>
    <row r="12833" spans="9:14" x14ac:dyDescent="0.25">
      <c r="I12833" s="11" t="b">
        <f t="shared" si="619"/>
        <v>0</v>
      </c>
      <c r="M12833" s="17" t="str">
        <f t="shared" si="617"/>
        <v/>
      </c>
      <c r="N12833" s="11" t="str">
        <f t="shared" si="618"/>
        <v/>
      </c>
    </row>
    <row r="12834" spans="9:14" x14ac:dyDescent="0.25">
      <c r="I12834" s="11" t="b">
        <f t="shared" si="619"/>
        <v>0</v>
      </c>
      <c r="M12834" s="17" t="str">
        <f t="shared" si="617"/>
        <v/>
      </c>
      <c r="N12834" s="11" t="str">
        <f t="shared" si="618"/>
        <v/>
      </c>
    </row>
    <row r="12835" spans="9:14" x14ac:dyDescent="0.25">
      <c r="I12835" s="11" t="b">
        <f t="shared" si="619"/>
        <v>0</v>
      </c>
      <c r="M12835" s="17" t="str">
        <f t="shared" si="617"/>
        <v/>
      </c>
      <c r="N12835" s="11" t="str">
        <f t="shared" si="618"/>
        <v/>
      </c>
    </row>
    <row r="12836" spans="9:14" x14ac:dyDescent="0.25">
      <c r="I12836" s="11" t="b">
        <f t="shared" si="619"/>
        <v>0</v>
      </c>
      <c r="M12836" s="17" t="str">
        <f t="shared" si="617"/>
        <v/>
      </c>
      <c r="N12836" s="11" t="str">
        <f t="shared" si="618"/>
        <v/>
      </c>
    </row>
    <row r="12837" spans="9:14" x14ac:dyDescent="0.25">
      <c r="I12837" s="11" t="b">
        <f t="shared" si="619"/>
        <v>0</v>
      </c>
      <c r="M12837" s="17" t="str">
        <f t="shared" si="617"/>
        <v/>
      </c>
      <c r="N12837" s="11" t="str">
        <f t="shared" si="618"/>
        <v/>
      </c>
    </row>
    <row r="12838" spans="9:14" x14ac:dyDescent="0.25">
      <c r="I12838" s="11" t="b">
        <f t="shared" si="619"/>
        <v>0</v>
      </c>
      <c r="M12838" s="17" t="str">
        <f t="shared" si="617"/>
        <v/>
      </c>
      <c r="N12838" s="11" t="str">
        <f t="shared" si="618"/>
        <v/>
      </c>
    </row>
    <row r="12839" spans="9:14" x14ac:dyDescent="0.25">
      <c r="I12839" s="11" t="b">
        <f t="shared" si="619"/>
        <v>0</v>
      </c>
      <c r="M12839" s="17" t="str">
        <f t="shared" si="617"/>
        <v/>
      </c>
      <c r="N12839" s="11" t="str">
        <f t="shared" si="618"/>
        <v/>
      </c>
    </row>
    <row r="12840" spans="9:14" x14ac:dyDescent="0.25">
      <c r="I12840" s="11" t="b">
        <f t="shared" si="619"/>
        <v>0</v>
      </c>
      <c r="M12840" s="17" t="str">
        <f t="shared" si="617"/>
        <v/>
      </c>
      <c r="N12840" s="11" t="str">
        <f t="shared" si="618"/>
        <v/>
      </c>
    </row>
    <row r="12841" spans="9:14" x14ac:dyDescent="0.25">
      <c r="I12841" s="11" t="b">
        <f t="shared" si="619"/>
        <v>0</v>
      </c>
      <c r="M12841" s="17" t="str">
        <f t="shared" si="617"/>
        <v/>
      </c>
      <c r="N12841" s="11" t="str">
        <f t="shared" si="618"/>
        <v/>
      </c>
    </row>
    <row r="12842" spans="9:14" x14ac:dyDescent="0.25">
      <c r="I12842" s="11" t="b">
        <f t="shared" si="619"/>
        <v>0</v>
      </c>
      <c r="M12842" s="17" t="str">
        <f t="shared" si="617"/>
        <v/>
      </c>
      <c r="N12842" s="11" t="str">
        <f t="shared" si="618"/>
        <v/>
      </c>
    </row>
    <row r="12843" spans="9:14" x14ac:dyDescent="0.25">
      <c r="I12843" s="11" t="b">
        <f t="shared" si="619"/>
        <v>0</v>
      </c>
      <c r="M12843" s="17" t="str">
        <f t="shared" si="617"/>
        <v/>
      </c>
      <c r="N12843" s="11" t="str">
        <f t="shared" si="618"/>
        <v/>
      </c>
    </row>
    <row r="12844" spans="9:14" x14ac:dyDescent="0.25">
      <c r="I12844" s="11" t="b">
        <f t="shared" si="619"/>
        <v>0</v>
      </c>
      <c r="M12844" s="17" t="str">
        <f t="shared" si="617"/>
        <v/>
      </c>
      <c r="N12844" s="11" t="str">
        <f t="shared" si="618"/>
        <v/>
      </c>
    </row>
    <row r="12845" spans="9:14" x14ac:dyDescent="0.25">
      <c r="I12845" s="11" t="b">
        <f t="shared" si="619"/>
        <v>0</v>
      </c>
      <c r="M12845" s="17" t="str">
        <f t="shared" si="617"/>
        <v/>
      </c>
      <c r="N12845" s="11" t="str">
        <f t="shared" si="618"/>
        <v/>
      </c>
    </row>
    <row r="12846" spans="9:14" x14ac:dyDescent="0.25">
      <c r="I12846" s="11" t="b">
        <f t="shared" si="619"/>
        <v>0</v>
      </c>
      <c r="M12846" s="17" t="str">
        <f t="shared" si="617"/>
        <v/>
      </c>
      <c r="N12846" s="11" t="str">
        <f t="shared" si="618"/>
        <v/>
      </c>
    </row>
    <row r="12847" spans="9:14" x14ac:dyDescent="0.25">
      <c r="I12847" s="11" t="b">
        <f t="shared" si="619"/>
        <v>0</v>
      </c>
      <c r="M12847" s="17" t="str">
        <f t="shared" si="617"/>
        <v/>
      </c>
      <c r="N12847" s="11" t="str">
        <f t="shared" si="618"/>
        <v/>
      </c>
    </row>
    <row r="12848" spans="9:14" x14ac:dyDescent="0.25">
      <c r="I12848" s="11" t="b">
        <f t="shared" si="619"/>
        <v>0</v>
      </c>
      <c r="M12848" s="17" t="str">
        <f t="shared" si="617"/>
        <v/>
      </c>
      <c r="N12848" s="11" t="str">
        <f t="shared" si="618"/>
        <v/>
      </c>
    </row>
    <row r="12849" spans="9:14" x14ac:dyDescent="0.25">
      <c r="I12849" s="11" t="b">
        <f t="shared" si="619"/>
        <v>0</v>
      </c>
      <c r="M12849" s="17" t="str">
        <f t="shared" si="617"/>
        <v/>
      </c>
      <c r="N12849" s="11" t="str">
        <f t="shared" si="618"/>
        <v/>
      </c>
    </row>
    <row r="12850" spans="9:14" x14ac:dyDescent="0.25">
      <c r="I12850" s="11" t="b">
        <f t="shared" si="619"/>
        <v>0</v>
      </c>
      <c r="M12850" s="17" t="str">
        <f t="shared" si="617"/>
        <v/>
      </c>
      <c r="N12850" s="11" t="str">
        <f t="shared" si="618"/>
        <v/>
      </c>
    </row>
    <row r="12851" spans="9:14" x14ac:dyDescent="0.25">
      <c r="I12851" s="11" t="b">
        <f t="shared" si="619"/>
        <v>0</v>
      </c>
      <c r="M12851" s="17" t="str">
        <f t="shared" si="617"/>
        <v/>
      </c>
      <c r="N12851" s="11" t="str">
        <f t="shared" si="618"/>
        <v/>
      </c>
    </row>
    <row r="12852" spans="9:14" x14ac:dyDescent="0.25">
      <c r="I12852" s="11" t="b">
        <f t="shared" si="619"/>
        <v>0</v>
      </c>
      <c r="M12852" s="17" t="str">
        <f t="shared" si="617"/>
        <v/>
      </c>
      <c r="N12852" s="11" t="str">
        <f t="shared" si="618"/>
        <v/>
      </c>
    </row>
    <row r="12853" spans="9:14" x14ac:dyDescent="0.25">
      <c r="I12853" s="11" t="b">
        <f t="shared" si="619"/>
        <v>0</v>
      </c>
      <c r="M12853" s="17" t="str">
        <f t="shared" si="617"/>
        <v/>
      </c>
      <c r="N12853" s="11" t="str">
        <f t="shared" si="618"/>
        <v/>
      </c>
    </row>
    <row r="12854" spans="9:14" x14ac:dyDescent="0.25">
      <c r="I12854" s="11" t="b">
        <f t="shared" si="619"/>
        <v>0</v>
      </c>
      <c r="M12854" s="17" t="str">
        <f t="shared" si="617"/>
        <v/>
      </c>
      <c r="N12854" s="11" t="str">
        <f t="shared" si="618"/>
        <v/>
      </c>
    </row>
    <row r="12855" spans="9:14" x14ac:dyDescent="0.25">
      <c r="I12855" s="11" t="b">
        <f t="shared" si="619"/>
        <v>0</v>
      </c>
      <c r="M12855" s="17" t="str">
        <f t="shared" si="617"/>
        <v/>
      </c>
      <c r="N12855" s="11" t="str">
        <f t="shared" si="618"/>
        <v/>
      </c>
    </row>
    <row r="12856" spans="9:14" x14ac:dyDescent="0.25">
      <c r="I12856" s="11" t="b">
        <f t="shared" si="619"/>
        <v>0</v>
      </c>
      <c r="M12856" s="17" t="str">
        <f t="shared" si="617"/>
        <v/>
      </c>
      <c r="N12856" s="11" t="str">
        <f t="shared" si="618"/>
        <v/>
      </c>
    </row>
    <row r="12857" spans="9:14" x14ac:dyDescent="0.25">
      <c r="I12857" s="11" t="b">
        <f t="shared" si="619"/>
        <v>0</v>
      </c>
      <c r="M12857" s="17" t="str">
        <f t="shared" si="617"/>
        <v/>
      </c>
      <c r="N12857" s="11" t="str">
        <f t="shared" si="618"/>
        <v/>
      </c>
    </row>
    <row r="12858" spans="9:14" x14ac:dyDescent="0.25">
      <c r="I12858" s="11" t="b">
        <f t="shared" si="619"/>
        <v>0</v>
      </c>
      <c r="M12858" s="17" t="str">
        <f t="shared" si="617"/>
        <v/>
      </c>
      <c r="N12858" s="11" t="str">
        <f t="shared" si="618"/>
        <v/>
      </c>
    </row>
    <row r="12859" spans="9:14" x14ac:dyDescent="0.25">
      <c r="I12859" s="11" t="b">
        <f t="shared" si="619"/>
        <v>0</v>
      </c>
      <c r="M12859" s="17" t="str">
        <f t="shared" si="617"/>
        <v/>
      </c>
      <c r="N12859" s="11" t="str">
        <f t="shared" si="618"/>
        <v/>
      </c>
    </row>
    <row r="12860" spans="9:14" x14ac:dyDescent="0.25">
      <c r="I12860" s="11" t="b">
        <f t="shared" si="619"/>
        <v>0</v>
      </c>
      <c r="M12860" s="17" t="str">
        <f t="shared" si="617"/>
        <v/>
      </c>
      <c r="N12860" s="11" t="str">
        <f t="shared" si="618"/>
        <v/>
      </c>
    </row>
    <row r="12861" spans="9:14" x14ac:dyDescent="0.25">
      <c r="I12861" s="11" t="b">
        <f t="shared" si="619"/>
        <v>0</v>
      </c>
      <c r="M12861" s="17" t="str">
        <f t="shared" si="617"/>
        <v/>
      </c>
      <c r="N12861" s="11" t="str">
        <f t="shared" si="618"/>
        <v/>
      </c>
    </row>
    <row r="12862" spans="9:14" x14ac:dyDescent="0.25">
      <c r="I12862" s="11" t="b">
        <f t="shared" si="619"/>
        <v>0</v>
      </c>
      <c r="M12862" s="17" t="str">
        <f t="shared" si="617"/>
        <v/>
      </c>
      <c r="N12862" s="11" t="str">
        <f t="shared" si="618"/>
        <v/>
      </c>
    </row>
    <row r="12863" spans="9:14" x14ac:dyDescent="0.25">
      <c r="I12863" s="11" t="b">
        <f t="shared" si="619"/>
        <v>0</v>
      </c>
      <c r="M12863" s="17" t="str">
        <f t="shared" si="617"/>
        <v/>
      </c>
      <c r="N12863" s="11" t="str">
        <f t="shared" si="618"/>
        <v/>
      </c>
    </row>
    <row r="12864" spans="9:14" x14ac:dyDescent="0.25">
      <c r="I12864" s="11" t="b">
        <f t="shared" si="619"/>
        <v>0</v>
      </c>
      <c r="M12864" s="17" t="str">
        <f t="shared" si="617"/>
        <v/>
      </c>
      <c r="N12864" s="11" t="str">
        <f t="shared" si="618"/>
        <v/>
      </c>
    </row>
    <row r="12865" spans="9:14" x14ac:dyDescent="0.25">
      <c r="I12865" s="11" t="b">
        <f t="shared" si="619"/>
        <v>0</v>
      </c>
      <c r="M12865" s="17" t="str">
        <f t="shared" ref="M12865:M12928" si="620">IF(B12865=0, "",M12864+ J12865-K12865)</f>
        <v/>
      </c>
      <c r="N12865" s="11" t="str">
        <f t="shared" ref="N12865:N12928" si="621">IF(B12865=0, "", MONTH(B12865))</f>
        <v/>
      </c>
    </row>
    <row r="12866" spans="9:14" x14ac:dyDescent="0.25">
      <c r="I12866" s="11" t="b">
        <f t="shared" si="619"/>
        <v>0</v>
      </c>
      <c r="M12866" s="17" t="str">
        <f t="shared" si="620"/>
        <v/>
      </c>
      <c r="N12866" s="11" t="str">
        <f t="shared" si="621"/>
        <v/>
      </c>
    </row>
    <row r="12867" spans="9:14" x14ac:dyDescent="0.25">
      <c r="I12867" s="11" t="b">
        <f t="shared" si="619"/>
        <v>0</v>
      </c>
      <c r="M12867" s="17" t="str">
        <f t="shared" si="620"/>
        <v/>
      </c>
      <c r="N12867" s="11" t="str">
        <f t="shared" si="621"/>
        <v/>
      </c>
    </row>
    <row r="12868" spans="9:14" x14ac:dyDescent="0.25">
      <c r="I12868" s="11" t="b">
        <f t="shared" si="619"/>
        <v>0</v>
      </c>
      <c r="M12868" s="17" t="str">
        <f t="shared" si="620"/>
        <v/>
      </c>
      <c r="N12868" s="11" t="str">
        <f t="shared" si="621"/>
        <v/>
      </c>
    </row>
    <row r="12869" spans="9:14" x14ac:dyDescent="0.25">
      <c r="I12869" s="11" t="b">
        <f t="shared" si="619"/>
        <v>0</v>
      </c>
      <c r="M12869" s="17" t="str">
        <f t="shared" si="620"/>
        <v/>
      </c>
      <c r="N12869" s="11" t="str">
        <f t="shared" si="621"/>
        <v/>
      </c>
    </row>
    <row r="12870" spans="9:14" x14ac:dyDescent="0.25">
      <c r="I12870" s="11" t="b">
        <f t="shared" si="619"/>
        <v>0</v>
      </c>
      <c r="M12870" s="17" t="str">
        <f t="shared" si="620"/>
        <v/>
      </c>
      <c r="N12870" s="11" t="str">
        <f t="shared" si="621"/>
        <v/>
      </c>
    </row>
    <row r="12871" spans="9:14" x14ac:dyDescent="0.25">
      <c r="I12871" s="11" t="b">
        <f t="shared" si="619"/>
        <v>0</v>
      </c>
      <c r="M12871" s="17" t="str">
        <f t="shared" si="620"/>
        <v/>
      </c>
      <c r="N12871" s="11" t="str">
        <f t="shared" si="621"/>
        <v/>
      </c>
    </row>
    <row r="12872" spans="9:14" x14ac:dyDescent="0.25">
      <c r="I12872" s="11" t="b">
        <f t="shared" si="619"/>
        <v>0</v>
      </c>
      <c r="M12872" s="17" t="str">
        <f t="shared" si="620"/>
        <v/>
      </c>
      <c r="N12872" s="11" t="str">
        <f t="shared" si="621"/>
        <v/>
      </c>
    </row>
    <row r="12873" spans="9:14" x14ac:dyDescent="0.25">
      <c r="I12873" s="11" t="b">
        <f t="shared" si="619"/>
        <v>0</v>
      </c>
      <c r="M12873" s="17" t="str">
        <f t="shared" si="620"/>
        <v/>
      </c>
      <c r="N12873" s="11" t="str">
        <f t="shared" si="621"/>
        <v/>
      </c>
    </row>
    <row r="12874" spans="9:14" x14ac:dyDescent="0.25">
      <c r="I12874" s="11" t="b">
        <f t="shared" si="619"/>
        <v>0</v>
      </c>
      <c r="M12874" s="17" t="str">
        <f t="shared" si="620"/>
        <v/>
      </c>
      <c r="N12874" s="11" t="str">
        <f t="shared" si="621"/>
        <v/>
      </c>
    </row>
    <row r="12875" spans="9:14" x14ac:dyDescent="0.25">
      <c r="I12875" s="11" t="b">
        <f t="shared" si="619"/>
        <v>0</v>
      </c>
      <c r="M12875" s="17" t="str">
        <f t="shared" si="620"/>
        <v/>
      </c>
      <c r="N12875" s="11" t="str">
        <f t="shared" si="621"/>
        <v/>
      </c>
    </row>
    <row r="12876" spans="9:14" x14ac:dyDescent="0.25">
      <c r="I12876" s="11" t="b">
        <f t="shared" si="619"/>
        <v>0</v>
      </c>
      <c r="M12876" s="17" t="str">
        <f t="shared" si="620"/>
        <v/>
      </c>
      <c r="N12876" s="11" t="str">
        <f t="shared" si="621"/>
        <v/>
      </c>
    </row>
    <row r="12877" spans="9:14" x14ac:dyDescent="0.25">
      <c r="I12877" s="11" t="b">
        <f t="shared" si="619"/>
        <v>0</v>
      </c>
      <c r="M12877" s="17" t="str">
        <f t="shared" si="620"/>
        <v/>
      </c>
      <c r="N12877" s="11" t="str">
        <f t="shared" si="621"/>
        <v/>
      </c>
    </row>
    <row r="12878" spans="9:14" x14ac:dyDescent="0.25">
      <c r="I12878" s="11" t="b">
        <f t="shared" si="619"/>
        <v>0</v>
      </c>
      <c r="M12878" s="17" t="str">
        <f t="shared" si="620"/>
        <v/>
      </c>
      <c r="N12878" s="11" t="str">
        <f t="shared" si="621"/>
        <v/>
      </c>
    </row>
    <row r="12879" spans="9:14" x14ac:dyDescent="0.25">
      <c r="I12879" s="11" t="b">
        <f t="shared" si="619"/>
        <v>0</v>
      </c>
      <c r="M12879" s="17" t="str">
        <f t="shared" si="620"/>
        <v/>
      </c>
      <c r="N12879" s="11" t="str">
        <f t="shared" si="621"/>
        <v/>
      </c>
    </row>
    <row r="12880" spans="9:14" x14ac:dyDescent="0.25">
      <c r="I12880" s="11" t="b">
        <f t="shared" si="619"/>
        <v>0</v>
      </c>
      <c r="M12880" s="17" t="str">
        <f t="shared" si="620"/>
        <v/>
      </c>
      <c r="N12880" s="11" t="str">
        <f t="shared" si="621"/>
        <v/>
      </c>
    </row>
    <row r="12881" spans="9:14" x14ac:dyDescent="0.25">
      <c r="I12881" s="11" t="b">
        <f t="shared" si="619"/>
        <v>0</v>
      </c>
      <c r="M12881" s="17" t="str">
        <f t="shared" si="620"/>
        <v/>
      </c>
      <c r="N12881" s="11" t="str">
        <f t="shared" si="621"/>
        <v/>
      </c>
    </row>
    <row r="12882" spans="9:14" x14ac:dyDescent="0.25">
      <c r="I12882" s="11" t="b">
        <f t="shared" si="619"/>
        <v>0</v>
      </c>
      <c r="M12882" s="17" t="str">
        <f t="shared" si="620"/>
        <v/>
      </c>
      <c r="N12882" s="11" t="str">
        <f t="shared" si="621"/>
        <v/>
      </c>
    </row>
    <row r="12883" spans="9:14" x14ac:dyDescent="0.25">
      <c r="I12883" s="11" t="b">
        <f t="shared" si="619"/>
        <v>0</v>
      </c>
      <c r="M12883" s="17" t="str">
        <f t="shared" si="620"/>
        <v/>
      </c>
      <c r="N12883" s="11" t="str">
        <f t="shared" si="621"/>
        <v/>
      </c>
    </row>
    <row r="12884" spans="9:14" x14ac:dyDescent="0.25">
      <c r="I12884" s="11" t="b">
        <f t="shared" si="619"/>
        <v>0</v>
      </c>
      <c r="M12884" s="17" t="str">
        <f t="shared" si="620"/>
        <v/>
      </c>
      <c r="N12884" s="11" t="str">
        <f t="shared" si="621"/>
        <v/>
      </c>
    </row>
    <row r="12885" spans="9:14" x14ac:dyDescent="0.25">
      <c r="I12885" s="11" t="b">
        <f t="shared" si="619"/>
        <v>0</v>
      </c>
      <c r="M12885" s="17" t="str">
        <f t="shared" si="620"/>
        <v/>
      </c>
      <c r="N12885" s="11" t="str">
        <f t="shared" si="621"/>
        <v/>
      </c>
    </row>
    <row r="12886" spans="9:14" x14ac:dyDescent="0.25">
      <c r="I12886" s="11" t="b">
        <f t="shared" si="619"/>
        <v>0</v>
      </c>
      <c r="M12886" s="17" t="str">
        <f t="shared" si="620"/>
        <v/>
      </c>
      <c r="N12886" s="11" t="str">
        <f t="shared" si="621"/>
        <v/>
      </c>
    </row>
    <row r="12887" spans="9:14" x14ac:dyDescent="0.25">
      <c r="I12887" s="11" t="b">
        <f t="shared" si="619"/>
        <v>0</v>
      </c>
      <c r="M12887" s="17" t="str">
        <f t="shared" si="620"/>
        <v/>
      </c>
      <c r="N12887" s="11" t="str">
        <f t="shared" si="621"/>
        <v/>
      </c>
    </row>
    <row r="12888" spans="9:14" x14ac:dyDescent="0.25">
      <c r="I12888" s="11" t="b">
        <f t="shared" si="619"/>
        <v>0</v>
      </c>
      <c r="M12888" s="17" t="str">
        <f t="shared" si="620"/>
        <v/>
      </c>
      <c r="N12888" s="11" t="str">
        <f t="shared" si="621"/>
        <v/>
      </c>
    </row>
    <row r="12889" spans="9:14" x14ac:dyDescent="0.25">
      <c r="I12889" s="11" t="b">
        <f t="shared" si="619"/>
        <v>0</v>
      </c>
      <c r="M12889" s="17" t="str">
        <f t="shared" si="620"/>
        <v/>
      </c>
      <c r="N12889" s="11" t="str">
        <f t="shared" si="621"/>
        <v/>
      </c>
    </row>
    <row r="12890" spans="9:14" x14ac:dyDescent="0.25">
      <c r="I12890" s="11" t="b">
        <f t="shared" si="619"/>
        <v>0</v>
      </c>
      <c r="M12890" s="17" t="str">
        <f t="shared" si="620"/>
        <v/>
      </c>
      <c r="N12890" s="11" t="str">
        <f t="shared" si="621"/>
        <v/>
      </c>
    </row>
    <row r="12891" spans="9:14" x14ac:dyDescent="0.25">
      <c r="I12891" s="11" t="b">
        <f t="shared" si="619"/>
        <v>0</v>
      </c>
      <c r="M12891" s="17" t="str">
        <f t="shared" si="620"/>
        <v/>
      </c>
      <c r="N12891" s="11" t="str">
        <f t="shared" si="621"/>
        <v/>
      </c>
    </row>
    <row r="12892" spans="9:14" x14ac:dyDescent="0.25">
      <c r="I12892" s="11" t="b">
        <f t="shared" si="619"/>
        <v>0</v>
      </c>
      <c r="M12892" s="17" t="str">
        <f t="shared" si="620"/>
        <v/>
      </c>
      <c r="N12892" s="11" t="str">
        <f t="shared" si="621"/>
        <v/>
      </c>
    </row>
    <row r="12893" spans="9:14" x14ac:dyDescent="0.25">
      <c r="I12893" s="11" t="b">
        <f t="shared" ref="I12893:I12956" si="622">IF(AND(G12893="MERCADO PAGO",A12893="FATURAMENTO"),1,IF(AND(OR(G12893="MERCADO PAGO",G12893="pix mercado pago",G12893= "débito automático mercado pago", G12893= "boleto mercado pago"),A12893="DESPESAS"),4,IF(AND(G12893="SAFRA",A12893="FATURAMENTO"),2,IF(AND(OR(G12893="SAFRA",G12893="PIX SAFRA", G12893="DÉBITO AUTOMÁTICO SAFRA", G12893= "BOLETO SAFRA", G12893= "transferência safra"), A12893="DESPESAS"),5,IF(AND(G12893="espécie",A12893="FATURAMENTO"),3,IF(AND(G12893="espécie",A12893="DESPESAS"),6))))))</f>
        <v>0</v>
      </c>
      <c r="M12893" s="17" t="str">
        <f t="shared" si="620"/>
        <v/>
      </c>
      <c r="N12893" s="11" t="str">
        <f t="shared" si="621"/>
        <v/>
      </c>
    </row>
    <row r="12894" spans="9:14" x14ac:dyDescent="0.25">
      <c r="I12894" s="11" t="b">
        <f t="shared" si="622"/>
        <v>0</v>
      </c>
      <c r="M12894" s="17" t="str">
        <f t="shared" si="620"/>
        <v/>
      </c>
      <c r="N12894" s="11" t="str">
        <f t="shared" si="621"/>
        <v/>
      </c>
    </row>
    <row r="12895" spans="9:14" x14ac:dyDescent="0.25">
      <c r="I12895" s="11" t="b">
        <f t="shared" si="622"/>
        <v>0</v>
      </c>
      <c r="M12895" s="17" t="str">
        <f t="shared" si="620"/>
        <v/>
      </c>
      <c r="N12895" s="11" t="str">
        <f t="shared" si="621"/>
        <v/>
      </c>
    </row>
    <row r="12896" spans="9:14" x14ac:dyDescent="0.25">
      <c r="I12896" s="11" t="b">
        <f t="shared" si="622"/>
        <v>0</v>
      </c>
      <c r="M12896" s="17" t="str">
        <f t="shared" si="620"/>
        <v/>
      </c>
      <c r="N12896" s="11" t="str">
        <f t="shared" si="621"/>
        <v/>
      </c>
    </row>
    <row r="12897" spans="9:14" x14ac:dyDescent="0.25">
      <c r="I12897" s="11" t="b">
        <f t="shared" si="622"/>
        <v>0</v>
      </c>
      <c r="M12897" s="17" t="str">
        <f t="shared" si="620"/>
        <v/>
      </c>
      <c r="N12897" s="11" t="str">
        <f t="shared" si="621"/>
        <v/>
      </c>
    </row>
    <row r="12898" spans="9:14" x14ac:dyDescent="0.25">
      <c r="I12898" s="11" t="b">
        <f t="shared" si="622"/>
        <v>0</v>
      </c>
      <c r="M12898" s="17" t="str">
        <f t="shared" si="620"/>
        <v/>
      </c>
      <c r="N12898" s="11" t="str">
        <f t="shared" si="621"/>
        <v/>
      </c>
    </row>
    <row r="12899" spans="9:14" x14ac:dyDescent="0.25">
      <c r="I12899" s="11" t="b">
        <f t="shared" si="622"/>
        <v>0</v>
      </c>
      <c r="M12899" s="17" t="str">
        <f t="shared" si="620"/>
        <v/>
      </c>
      <c r="N12899" s="11" t="str">
        <f t="shared" si="621"/>
        <v/>
      </c>
    </row>
    <row r="12900" spans="9:14" x14ac:dyDescent="0.25">
      <c r="I12900" s="11" t="b">
        <f t="shared" si="622"/>
        <v>0</v>
      </c>
      <c r="M12900" s="17" t="str">
        <f t="shared" si="620"/>
        <v/>
      </c>
      <c r="N12900" s="11" t="str">
        <f t="shared" si="621"/>
        <v/>
      </c>
    </row>
    <row r="12901" spans="9:14" x14ac:dyDescent="0.25">
      <c r="I12901" s="11" t="b">
        <f t="shared" si="622"/>
        <v>0</v>
      </c>
      <c r="M12901" s="17" t="str">
        <f t="shared" si="620"/>
        <v/>
      </c>
      <c r="N12901" s="11" t="str">
        <f t="shared" si="621"/>
        <v/>
      </c>
    </row>
    <row r="12902" spans="9:14" x14ac:dyDescent="0.25">
      <c r="I12902" s="11" t="b">
        <f t="shared" si="622"/>
        <v>0</v>
      </c>
      <c r="M12902" s="17" t="str">
        <f t="shared" si="620"/>
        <v/>
      </c>
      <c r="N12902" s="11" t="str">
        <f t="shared" si="621"/>
        <v/>
      </c>
    </row>
    <row r="12903" spans="9:14" x14ac:dyDescent="0.25">
      <c r="I12903" s="11" t="b">
        <f t="shared" si="622"/>
        <v>0</v>
      </c>
      <c r="M12903" s="17" t="str">
        <f t="shared" si="620"/>
        <v/>
      </c>
      <c r="N12903" s="11" t="str">
        <f t="shared" si="621"/>
        <v/>
      </c>
    </row>
    <row r="12904" spans="9:14" x14ac:dyDescent="0.25">
      <c r="I12904" s="11" t="b">
        <f t="shared" si="622"/>
        <v>0</v>
      </c>
      <c r="M12904" s="17" t="str">
        <f t="shared" si="620"/>
        <v/>
      </c>
      <c r="N12904" s="11" t="str">
        <f t="shared" si="621"/>
        <v/>
      </c>
    </row>
    <row r="12905" spans="9:14" x14ac:dyDescent="0.25">
      <c r="I12905" s="11" t="b">
        <f t="shared" si="622"/>
        <v>0</v>
      </c>
      <c r="M12905" s="17" t="str">
        <f t="shared" si="620"/>
        <v/>
      </c>
      <c r="N12905" s="11" t="str">
        <f t="shared" si="621"/>
        <v/>
      </c>
    </row>
    <row r="12906" spans="9:14" x14ac:dyDescent="0.25">
      <c r="I12906" s="11" t="b">
        <f t="shared" si="622"/>
        <v>0</v>
      </c>
      <c r="M12906" s="17" t="str">
        <f t="shared" si="620"/>
        <v/>
      </c>
      <c r="N12906" s="11" t="str">
        <f t="shared" si="621"/>
        <v/>
      </c>
    </row>
    <row r="12907" spans="9:14" x14ac:dyDescent="0.25">
      <c r="I12907" s="11" t="b">
        <f t="shared" si="622"/>
        <v>0</v>
      </c>
      <c r="M12907" s="17" t="str">
        <f t="shared" si="620"/>
        <v/>
      </c>
      <c r="N12907" s="11" t="str">
        <f t="shared" si="621"/>
        <v/>
      </c>
    </row>
    <row r="12908" spans="9:14" x14ac:dyDescent="0.25">
      <c r="I12908" s="11" t="b">
        <f t="shared" si="622"/>
        <v>0</v>
      </c>
      <c r="M12908" s="17" t="str">
        <f t="shared" si="620"/>
        <v/>
      </c>
      <c r="N12908" s="11" t="str">
        <f t="shared" si="621"/>
        <v/>
      </c>
    </row>
    <row r="12909" spans="9:14" x14ac:dyDescent="0.25">
      <c r="I12909" s="11" t="b">
        <f t="shared" si="622"/>
        <v>0</v>
      </c>
      <c r="M12909" s="17" t="str">
        <f t="shared" si="620"/>
        <v/>
      </c>
      <c r="N12909" s="11" t="str">
        <f t="shared" si="621"/>
        <v/>
      </c>
    </row>
    <row r="12910" spans="9:14" x14ac:dyDescent="0.25">
      <c r="I12910" s="11" t="b">
        <f t="shared" si="622"/>
        <v>0</v>
      </c>
      <c r="M12910" s="17" t="str">
        <f t="shared" si="620"/>
        <v/>
      </c>
      <c r="N12910" s="11" t="str">
        <f t="shared" si="621"/>
        <v/>
      </c>
    </row>
    <row r="12911" spans="9:14" x14ac:dyDescent="0.25">
      <c r="I12911" s="11" t="b">
        <f t="shared" si="622"/>
        <v>0</v>
      </c>
      <c r="M12911" s="17" t="str">
        <f t="shared" si="620"/>
        <v/>
      </c>
      <c r="N12911" s="11" t="str">
        <f t="shared" si="621"/>
        <v/>
      </c>
    </row>
    <row r="12912" spans="9:14" x14ac:dyDescent="0.25">
      <c r="I12912" s="11" t="b">
        <f t="shared" si="622"/>
        <v>0</v>
      </c>
      <c r="M12912" s="17" t="str">
        <f t="shared" si="620"/>
        <v/>
      </c>
      <c r="N12912" s="11" t="str">
        <f t="shared" si="621"/>
        <v/>
      </c>
    </row>
    <row r="12913" spans="9:14" x14ac:dyDescent="0.25">
      <c r="I12913" s="11" t="b">
        <f t="shared" si="622"/>
        <v>0</v>
      </c>
      <c r="M12913" s="17" t="str">
        <f t="shared" si="620"/>
        <v/>
      </c>
      <c r="N12913" s="11" t="str">
        <f t="shared" si="621"/>
        <v/>
      </c>
    </row>
    <row r="12914" spans="9:14" x14ac:dyDescent="0.25">
      <c r="I12914" s="11" t="b">
        <f t="shared" si="622"/>
        <v>0</v>
      </c>
      <c r="M12914" s="17" t="str">
        <f t="shared" si="620"/>
        <v/>
      </c>
      <c r="N12914" s="11" t="str">
        <f t="shared" si="621"/>
        <v/>
      </c>
    </row>
    <row r="12915" spans="9:14" x14ac:dyDescent="0.25">
      <c r="I12915" s="11" t="b">
        <f t="shared" si="622"/>
        <v>0</v>
      </c>
      <c r="M12915" s="17" t="str">
        <f t="shared" si="620"/>
        <v/>
      </c>
      <c r="N12915" s="11" t="str">
        <f t="shared" si="621"/>
        <v/>
      </c>
    </row>
    <row r="12916" spans="9:14" x14ac:dyDescent="0.25">
      <c r="I12916" s="11" t="b">
        <f t="shared" si="622"/>
        <v>0</v>
      </c>
      <c r="M12916" s="17" t="str">
        <f t="shared" si="620"/>
        <v/>
      </c>
      <c r="N12916" s="11" t="str">
        <f t="shared" si="621"/>
        <v/>
      </c>
    </row>
    <row r="12917" spans="9:14" x14ac:dyDescent="0.25">
      <c r="I12917" s="11" t="b">
        <f t="shared" si="622"/>
        <v>0</v>
      </c>
      <c r="M12917" s="17" t="str">
        <f t="shared" si="620"/>
        <v/>
      </c>
      <c r="N12917" s="11" t="str">
        <f t="shared" si="621"/>
        <v/>
      </c>
    </row>
    <row r="12918" spans="9:14" x14ac:dyDescent="0.25">
      <c r="I12918" s="11" t="b">
        <f t="shared" si="622"/>
        <v>0</v>
      </c>
      <c r="M12918" s="17" t="str">
        <f t="shared" si="620"/>
        <v/>
      </c>
      <c r="N12918" s="11" t="str">
        <f t="shared" si="621"/>
        <v/>
      </c>
    </row>
    <row r="12919" spans="9:14" x14ac:dyDescent="0.25">
      <c r="I12919" s="11" t="b">
        <f t="shared" si="622"/>
        <v>0</v>
      </c>
      <c r="M12919" s="17" t="str">
        <f t="shared" si="620"/>
        <v/>
      </c>
      <c r="N12919" s="11" t="str">
        <f t="shared" si="621"/>
        <v/>
      </c>
    </row>
    <row r="12920" spans="9:14" x14ac:dyDescent="0.25">
      <c r="I12920" s="11" t="b">
        <f t="shared" si="622"/>
        <v>0</v>
      </c>
      <c r="M12920" s="17" t="str">
        <f t="shared" si="620"/>
        <v/>
      </c>
      <c r="N12920" s="11" t="str">
        <f t="shared" si="621"/>
        <v/>
      </c>
    </row>
    <row r="12921" spans="9:14" x14ac:dyDescent="0.25">
      <c r="I12921" s="11" t="b">
        <f t="shared" si="622"/>
        <v>0</v>
      </c>
      <c r="M12921" s="17" t="str">
        <f t="shared" si="620"/>
        <v/>
      </c>
      <c r="N12921" s="11" t="str">
        <f t="shared" si="621"/>
        <v/>
      </c>
    </row>
    <row r="12922" spans="9:14" x14ac:dyDescent="0.25">
      <c r="I12922" s="11" t="b">
        <f t="shared" si="622"/>
        <v>0</v>
      </c>
      <c r="M12922" s="17" t="str">
        <f t="shared" si="620"/>
        <v/>
      </c>
      <c r="N12922" s="11" t="str">
        <f t="shared" si="621"/>
        <v/>
      </c>
    </row>
    <row r="12923" spans="9:14" x14ac:dyDescent="0.25">
      <c r="I12923" s="11" t="b">
        <f t="shared" si="622"/>
        <v>0</v>
      </c>
      <c r="M12923" s="17" t="str">
        <f t="shared" si="620"/>
        <v/>
      </c>
      <c r="N12923" s="11" t="str">
        <f t="shared" si="621"/>
        <v/>
      </c>
    </row>
    <row r="12924" spans="9:14" x14ac:dyDescent="0.25">
      <c r="I12924" s="11" t="b">
        <f t="shared" si="622"/>
        <v>0</v>
      </c>
      <c r="M12924" s="17" t="str">
        <f t="shared" si="620"/>
        <v/>
      </c>
      <c r="N12924" s="11" t="str">
        <f t="shared" si="621"/>
        <v/>
      </c>
    </row>
    <row r="12925" spans="9:14" x14ac:dyDescent="0.25">
      <c r="I12925" s="11" t="b">
        <f t="shared" si="622"/>
        <v>0</v>
      </c>
      <c r="M12925" s="17" t="str">
        <f t="shared" si="620"/>
        <v/>
      </c>
      <c r="N12925" s="11" t="str">
        <f t="shared" si="621"/>
        <v/>
      </c>
    </row>
    <row r="12926" spans="9:14" x14ac:dyDescent="0.25">
      <c r="I12926" s="11" t="b">
        <f t="shared" si="622"/>
        <v>0</v>
      </c>
      <c r="M12926" s="17" t="str">
        <f t="shared" si="620"/>
        <v/>
      </c>
      <c r="N12926" s="11" t="str">
        <f t="shared" si="621"/>
        <v/>
      </c>
    </row>
    <row r="12927" spans="9:14" x14ac:dyDescent="0.25">
      <c r="I12927" s="11" t="b">
        <f t="shared" si="622"/>
        <v>0</v>
      </c>
      <c r="M12927" s="17" t="str">
        <f t="shared" si="620"/>
        <v/>
      </c>
      <c r="N12927" s="11" t="str">
        <f t="shared" si="621"/>
        <v/>
      </c>
    </row>
    <row r="12928" spans="9:14" x14ac:dyDescent="0.25">
      <c r="I12928" s="11" t="b">
        <f t="shared" si="622"/>
        <v>0</v>
      </c>
      <c r="M12928" s="17" t="str">
        <f t="shared" si="620"/>
        <v/>
      </c>
      <c r="N12928" s="11" t="str">
        <f t="shared" si="621"/>
        <v/>
      </c>
    </row>
    <row r="12929" spans="9:14" x14ac:dyDescent="0.25">
      <c r="I12929" s="11" t="b">
        <f t="shared" si="622"/>
        <v>0</v>
      </c>
      <c r="M12929" s="17" t="str">
        <f t="shared" ref="M12929:M12992" si="623">IF(B12929=0, "",M12928+ J12929-K12929)</f>
        <v/>
      </c>
      <c r="N12929" s="11" t="str">
        <f t="shared" ref="N12929:N12992" si="624">IF(B12929=0, "", MONTH(B12929))</f>
        <v/>
      </c>
    </row>
    <row r="12930" spans="9:14" x14ac:dyDescent="0.25">
      <c r="I12930" s="11" t="b">
        <f t="shared" si="622"/>
        <v>0</v>
      </c>
      <c r="M12930" s="17" t="str">
        <f t="shared" si="623"/>
        <v/>
      </c>
      <c r="N12930" s="11" t="str">
        <f t="shared" si="624"/>
        <v/>
      </c>
    </row>
    <row r="12931" spans="9:14" x14ac:dyDescent="0.25">
      <c r="I12931" s="11" t="b">
        <f t="shared" si="622"/>
        <v>0</v>
      </c>
      <c r="M12931" s="17" t="str">
        <f t="shared" si="623"/>
        <v/>
      </c>
      <c r="N12931" s="11" t="str">
        <f t="shared" si="624"/>
        <v/>
      </c>
    </row>
    <row r="12932" spans="9:14" x14ac:dyDescent="0.25">
      <c r="I12932" s="11" t="b">
        <f t="shared" si="622"/>
        <v>0</v>
      </c>
      <c r="M12932" s="17" t="str">
        <f t="shared" si="623"/>
        <v/>
      </c>
      <c r="N12932" s="11" t="str">
        <f t="shared" si="624"/>
        <v/>
      </c>
    </row>
    <row r="12933" spans="9:14" x14ac:dyDescent="0.25">
      <c r="I12933" s="11" t="b">
        <f t="shared" si="622"/>
        <v>0</v>
      </c>
      <c r="M12933" s="17" t="str">
        <f t="shared" si="623"/>
        <v/>
      </c>
      <c r="N12933" s="11" t="str">
        <f t="shared" si="624"/>
        <v/>
      </c>
    </row>
    <row r="12934" spans="9:14" x14ac:dyDescent="0.25">
      <c r="I12934" s="11" t="b">
        <f t="shared" si="622"/>
        <v>0</v>
      </c>
      <c r="M12934" s="17" t="str">
        <f t="shared" si="623"/>
        <v/>
      </c>
      <c r="N12934" s="11" t="str">
        <f t="shared" si="624"/>
        <v/>
      </c>
    </row>
    <row r="12935" spans="9:14" x14ac:dyDescent="0.25">
      <c r="I12935" s="11" t="b">
        <f t="shared" si="622"/>
        <v>0</v>
      </c>
      <c r="M12935" s="17" t="str">
        <f t="shared" si="623"/>
        <v/>
      </c>
      <c r="N12935" s="11" t="str">
        <f t="shared" si="624"/>
        <v/>
      </c>
    </row>
    <row r="12936" spans="9:14" x14ac:dyDescent="0.25">
      <c r="I12936" s="11" t="b">
        <f t="shared" si="622"/>
        <v>0</v>
      </c>
      <c r="M12936" s="17" t="str">
        <f t="shared" si="623"/>
        <v/>
      </c>
      <c r="N12936" s="11" t="str">
        <f t="shared" si="624"/>
        <v/>
      </c>
    </row>
    <row r="12937" spans="9:14" x14ac:dyDescent="0.25">
      <c r="I12937" s="11" t="b">
        <f t="shared" si="622"/>
        <v>0</v>
      </c>
      <c r="M12937" s="17" t="str">
        <f t="shared" si="623"/>
        <v/>
      </c>
      <c r="N12937" s="11" t="str">
        <f t="shared" si="624"/>
        <v/>
      </c>
    </row>
    <row r="12938" spans="9:14" x14ac:dyDescent="0.25">
      <c r="I12938" s="11" t="b">
        <f t="shared" si="622"/>
        <v>0</v>
      </c>
      <c r="M12938" s="17" t="str">
        <f t="shared" si="623"/>
        <v/>
      </c>
      <c r="N12938" s="11" t="str">
        <f t="shared" si="624"/>
        <v/>
      </c>
    </row>
    <row r="12939" spans="9:14" x14ac:dyDescent="0.25">
      <c r="I12939" s="11" t="b">
        <f t="shared" si="622"/>
        <v>0</v>
      </c>
      <c r="M12939" s="17" t="str">
        <f t="shared" si="623"/>
        <v/>
      </c>
      <c r="N12939" s="11" t="str">
        <f t="shared" si="624"/>
        <v/>
      </c>
    </row>
    <row r="12940" spans="9:14" x14ac:dyDescent="0.25">
      <c r="I12940" s="11" t="b">
        <f t="shared" si="622"/>
        <v>0</v>
      </c>
      <c r="M12940" s="17" t="str">
        <f t="shared" si="623"/>
        <v/>
      </c>
      <c r="N12940" s="11" t="str">
        <f t="shared" si="624"/>
        <v/>
      </c>
    </row>
    <row r="12941" spans="9:14" x14ac:dyDescent="0.25">
      <c r="I12941" s="11" t="b">
        <f t="shared" si="622"/>
        <v>0</v>
      </c>
      <c r="M12941" s="17" t="str">
        <f t="shared" si="623"/>
        <v/>
      </c>
      <c r="N12941" s="11" t="str">
        <f t="shared" si="624"/>
        <v/>
      </c>
    </row>
    <row r="12942" spans="9:14" x14ac:dyDescent="0.25">
      <c r="I12942" s="11" t="b">
        <f t="shared" si="622"/>
        <v>0</v>
      </c>
      <c r="M12942" s="17" t="str">
        <f t="shared" si="623"/>
        <v/>
      </c>
      <c r="N12942" s="11" t="str">
        <f t="shared" si="624"/>
        <v/>
      </c>
    </row>
    <row r="12943" spans="9:14" x14ac:dyDescent="0.25">
      <c r="I12943" s="11" t="b">
        <f t="shared" si="622"/>
        <v>0</v>
      </c>
      <c r="M12943" s="17" t="str">
        <f t="shared" si="623"/>
        <v/>
      </c>
      <c r="N12943" s="11" t="str">
        <f t="shared" si="624"/>
        <v/>
      </c>
    </row>
    <row r="12944" spans="9:14" x14ac:dyDescent="0.25">
      <c r="I12944" s="11" t="b">
        <f t="shared" si="622"/>
        <v>0</v>
      </c>
      <c r="M12944" s="17" t="str">
        <f t="shared" si="623"/>
        <v/>
      </c>
      <c r="N12944" s="11" t="str">
        <f t="shared" si="624"/>
        <v/>
      </c>
    </row>
    <row r="12945" spans="9:14" x14ac:dyDescent="0.25">
      <c r="I12945" s="11" t="b">
        <f t="shared" si="622"/>
        <v>0</v>
      </c>
      <c r="M12945" s="17" t="str">
        <f t="shared" si="623"/>
        <v/>
      </c>
      <c r="N12945" s="11" t="str">
        <f t="shared" si="624"/>
        <v/>
      </c>
    </row>
    <row r="12946" spans="9:14" x14ac:dyDescent="0.25">
      <c r="I12946" s="11" t="b">
        <f t="shared" si="622"/>
        <v>0</v>
      </c>
      <c r="M12946" s="17" t="str">
        <f t="shared" si="623"/>
        <v/>
      </c>
      <c r="N12946" s="11" t="str">
        <f t="shared" si="624"/>
        <v/>
      </c>
    </row>
    <row r="12947" spans="9:14" x14ac:dyDescent="0.25">
      <c r="I12947" s="11" t="b">
        <f t="shared" si="622"/>
        <v>0</v>
      </c>
      <c r="M12947" s="17" t="str">
        <f t="shared" si="623"/>
        <v/>
      </c>
      <c r="N12947" s="11" t="str">
        <f t="shared" si="624"/>
        <v/>
      </c>
    </row>
    <row r="12948" spans="9:14" x14ac:dyDescent="0.25">
      <c r="I12948" s="11" t="b">
        <f t="shared" si="622"/>
        <v>0</v>
      </c>
      <c r="M12948" s="17" t="str">
        <f t="shared" si="623"/>
        <v/>
      </c>
      <c r="N12948" s="11" t="str">
        <f t="shared" si="624"/>
        <v/>
      </c>
    </row>
    <row r="12949" spans="9:14" x14ac:dyDescent="0.25">
      <c r="I12949" s="11" t="b">
        <f t="shared" si="622"/>
        <v>0</v>
      </c>
      <c r="M12949" s="17" t="str">
        <f t="shared" si="623"/>
        <v/>
      </c>
      <c r="N12949" s="11" t="str">
        <f t="shared" si="624"/>
        <v/>
      </c>
    </row>
    <row r="12950" spans="9:14" x14ac:dyDescent="0.25">
      <c r="I12950" s="11" t="b">
        <f t="shared" si="622"/>
        <v>0</v>
      </c>
      <c r="M12950" s="17" t="str">
        <f t="shared" si="623"/>
        <v/>
      </c>
      <c r="N12950" s="11" t="str">
        <f t="shared" si="624"/>
        <v/>
      </c>
    </row>
    <row r="12951" spans="9:14" x14ac:dyDescent="0.25">
      <c r="I12951" s="11" t="b">
        <f t="shared" si="622"/>
        <v>0</v>
      </c>
      <c r="M12951" s="17" t="str">
        <f t="shared" si="623"/>
        <v/>
      </c>
      <c r="N12951" s="11" t="str">
        <f t="shared" si="624"/>
        <v/>
      </c>
    </row>
    <row r="12952" spans="9:14" x14ac:dyDescent="0.25">
      <c r="I12952" s="11" t="b">
        <f t="shared" si="622"/>
        <v>0</v>
      </c>
      <c r="M12952" s="17" t="str">
        <f t="shared" si="623"/>
        <v/>
      </c>
      <c r="N12952" s="11" t="str">
        <f t="shared" si="624"/>
        <v/>
      </c>
    </row>
    <row r="12953" spans="9:14" x14ac:dyDescent="0.25">
      <c r="I12953" s="11" t="b">
        <f t="shared" si="622"/>
        <v>0</v>
      </c>
      <c r="M12953" s="17" t="str">
        <f t="shared" si="623"/>
        <v/>
      </c>
      <c r="N12953" s="11" t="str">
        <f t="shared" si="624"/>
        <v/>
      </c>
    </row>
    <row r="12954" spans="9:14" x14ac:dyDescent="0.25">
      <c r="I12954" s="11" t="b">
        <f t="shared" si="622"/>
        <v>0</v>
      </c>
      <c r="M12954" s="17" t="str">
        <f t="shared" si="623"/>
        <v/>
      </c>
      <c r="N12954" s="11" t="str">
        <f t="shared" si="624"/>
        <v/>
      </c>
    </row>
    <row r="12955" spans="9:14" x14ac:dyDescent="0.25">
      <c r="I12955" s="11" t="b">
        <f t="shared" si="622"/>
        <v>0</v>
      </c>
      <c r="M12955" s="17" t="str">
        <f t="shared" si="623"/>
        <v/>
      </c>
      <c r="N12955" s="11" t="str">
        <f t="shared" si="624"/>
        <v/>
      </c>
    </row>
    <row r="12956" spans="9:14" x14ac:dyDescent="0.25">
      <c r="I12956" s="11" t="b">
        <f t="shared" si="622"/>
        <v>0</v>
      </c>
      <c r="M12956" s="17" t="str">
        <f t="shared" si="623"/>
        <v/>
      </c>
      <c r="N12956" s="11" t="str">
        <f t="shared" si="624"/>
        <v/>
      </c>
    </row>
    <row r="12957" spans="9:14" x14ac:dyDescent="0.25">
      <c r="I12957" s="11" t="b">
        <f t="shared" ref="I12957:I13020" si="625">IF(AND(G12957="MERCADO PAGO",A12957="FATURAMENTO"),1,IF(AND(OR(G12957="MERCADO PAGO",G12957="pix mercado pago",G12957= "débito automático mercado pago", G12957= "boleto mercado pago"),A12957="DESPESAS"),4,IF(AND(G12957="SAFRA",A12957="FATURAMENTO"),2,IF(AND(OR(G12957="SAFRA",G12957="PIX SAFRA", G12957="DÉBITO AUTOMÁTICO SAFRA", G12957= "BOLETO SAFRA", G12957= "transferência safra"), A12957="DESPESAS"),5,IF(AND(G12957="espécie",A12957="FATURAMENTO"),3,IF(AND(G12957="espécie",A12957="DESPESAS"),6))))))</f>
        <v>0</v>
      </c>
      <c r="M12957" s="17" t="str">
        <f t="shared" si="623"/>
        <v/>
      </c>
      <c r="N12957" s="11" t="str">
        <f t="shared" si="624"/>
        <v/>
      </c>
    </row>
    <row r="12958" spans="9:14" x14ac:dyDescent="0.25">
      <c r="I12958" s="11" t="b">
        <f t="shared" si="625"/>
        <v>0</v>
      </c>
      <c r="M12958" s="17" t="str">
        <f t="shared" si="623"/>
        <v/>
      </c>
      <c r="N12958" s="11" t="str">
        <f t="shared" si="624"/>
        <v/>
      </c>
    </row>
    <row r="12959" spans="9:14" x14ac:dyDescent="0.25">
      <c r="I12959" s="11" t="b">
        <f t="shared" si="625"/>
        <v>0</v>
      </c>
      <c r="M12959" s="17" t="str">
        <f t="shared" si="623"/>
        <v/>
      </c>
      <c r="N12959" s="11" t="str">
        <f t="shared" si="624"/>
        <v/>
      </c>
    </row>
    <row r="12960" spans="9:14" x14ac:dyDescent="0.25">
      <c r="I12960" s="11" t="b">
        <f t="shared" si="625"/>
        <v>0</v>
      </c>
      <c r="M12960" s="17" t="str">
        <f t="shared" si="623"/>
        <v/>
      </c>
      <c r="N12960" s="11" t="str">
        <f t="shared" si="624"/>
        <v/>
      </c>
    </row>
    <row r="12961" spans="9:14" x14ac:dyDescent="0.25">
      <c r="I12961" s="11" t="b">
        <f t="shared" si="625"/>
        <v>0</v>
      </c>
      <c r="M12961" s="17" t="str">
        <f t="shared" si="623"/>
        <v/>
      </c>
      <c r="N12961" s="11" t="str">
        <f t="shared" si="624"/>
        <v/>
      </c>
    </row>
    <row r="12962" spans="9:14" x14ac:dyDescent="0.25">
      <c r="I12962" s="11" t="b">
        <f t="shared" si="625"/>
        <v>0</v>
      </c>
      <c r="M12962" s="17" t="str">
        <f t="shared" si="623"/>
        <v/>
      </c>
      <c r="N12962" s="11" t="str">
        <f t="shared" si="624"/>
        <v/>
      </c>
    </row>
    <row r="12963" spans="9:14" x14ac:dyDescent="0.25">
      <c r="I12963" s="11" t="b">
        <f t="shared" si="625"/>
        <v>0</v>
      </c>
      <c r="M12963" s="17" t="str">
        <f t="shared" si="623"/>
        <v/>
      </c>
      <c r="N12963" s="11" t="str">
        <f t="shared" si="624"/>
        <v/>
      </c>
    </row>
    <row r="12964" spans="9:14" x14ac:dyDescent="0.25">
      <c r="I12964" s="11" t="b">
        <f t="shared" si="625"/>
        <v>0</v>
      </c>
      <c r="M12964" s="17" t="str">
        <f t="shared" si="623"/>
        <v/>
      </c>
      <c r="N12964" s="11" t="str">
        <f t="shared" si="624"/>
        <v/>
      </c>
    </row>
    <row r="12965" spans="9:14" x14ac:dyDescent="0.25">
      <c r="I12965" s="11" t="b">
        <f t="shared" si="625"/>
        <v>0</v>
      </c>
      <c r="M12965" s="17" t="str">
        <f t="shared" si="623"/>
        <v/>
      </c>
      <c r="N12965" s="11" t="str">
        <f t="shared" si="624"/>
        <v/>
      </c>
    </row>
    <row r="12966" spans="9:14" x14ac:dyDescent="0.25">
      <c r="I12966" s="11" t="b">
        <f t="shared" si="625"/>
        <v>0</v>
      </c>
      <c r="M12966" s="17" t="str">
        <f t="shared" si="623"/>
        <v/>
      </c>
      <c r="N12966" s="11" t="str">
        <f t="shared" si="624"/>
        <v/>
      </c>
    </row>
    <row r="12967" spans="9:14" x14ac:dyDescent="0.25">
      <c r="I12967" s="11" t="b">
        <f t="shared" si="625"/>
        <v>0</v>
      </c>
      <c r="M12967" s="17" t="str">
        <f t="shared" si="623"/>
        <v/>
      </c>
      <c r="N12967" s="11" t="str">
        <f t="shared" si="624"/>
        <v/>
      </c>
    </row>
    <row r="12968" spans="9:14" x14ac:dyDescent="0.25">
      <c r="I12968" s="11" t="b">
        <f t="shared" si="625"/>
        <v>0</v>
      </c>
      <c r="M12968" s="17" t="str">
        <f t="shared" si="623"/>
        <v/>
      </c>
      <c r="N12968" s="11" t="str">
        <f t="shared" si="624"/>
        <v/>
      </c>
    </row>
    <row r="12969" spans="9:14" x14ac:dyDescent="0.25">
      <c r="I12969" s="11" t="b">
        <f t="shared" si="625"/>
        <v>0</v>
      </c>
      <c r="M12969" s="17" t="str">
        <f t="shared" si="623"/>
        <v/>
      </c>
      <c r="N12969" s="11" t="str">
        <f t="shared" si="624"/>
        <v/>
      </c>
    </row>
    <row r="12970" spans="9:14" x14ac:dyDescent="0.25">
      <c r="I12970" s="11" t="b">
        <f t="shared" si="625"/>
        <v>0</v>
      </c>
      <c r="M12970" s="17" t="str">
        <f t="shared" si="623"/>
        <v/>
      </c>
      <c r="N12970" s="11" t="str">
        <f t="shared" si="624"/>
        <v/>
      </c>
    </row>
    <row r="12971" spans="9:14" x14ac:dyDescent="0.25">
      <c r="I12971" s="11" t="b">
        <f t="shared" si="625"/>
        <v>0</v>
      </c>
      <c r="M12971" s="17" t="str">
        <f t="shared" si="623"/>
        <v/>
      </c>
      <c r="N12971" s="11" t="str">
        <f t="shared" si="624"/>
        <v/>
      </c>
    </row>
    <row r="12972" spans="9:14" x14ac:dyDescent="0.25">
      <c r="I12972" s="11" t="b">
        <f t="shared" si="625"/>
        <v>0</v>
      </c>
      <c r="M12972" s="17" t="str">
        <f t="shared" si="623"/>
        <v/>
      </c>
      <c r="N12972" s="11" t="str">
        <f t="shared" si="624"/>
        <v/>
      </c>
    </row>
    <row r="12973" spans="9:14" x14ac:dyDescent="0.25">
      <c r="I12973" s="11" t="b">
        <f t="shared" si="625"/>
        <v>0</v>
      </c>
      <c r="M12973" s="17" t="str">
        <f t="shared" si="623"/>
        <v/>
      </c>
      <c r="N12973" s="11" t="str">
        <f t="shared" si="624"/>
        <v/>
      </c>
    </row>
    <row r="12974" spans="9:14" x14ac:dyDescent="0.25">
      <c r="I12974" s="11" t="b">
        <f t="shared" si="625"/>
        <v>0</v>
      </c>
      <c r="M12974" s="17" t="str">
        <f t="shared" si="623"/>
        <v/>
      </c>
      <c r="N12974" s="11" t="str">
        <f t="shared" si="624"/>
        <v/>
      </c>
    </row>
    <row r="12975" spans="9:14" x14ac:dyDescent="0.25">
      <c r="I12975" s="11" t="b">
        <f t="shared" si="625"/>
        <v>0</v>
      </c>
      <c r="M12975" s="17" t="str">
        <f t="shared" si="623"/>
        <v/>
      </c>
      <c r="N12975" s="11" t="str">
        <f t="shared" si="624"/>
        <v/>
      </c>
    </row>
    <row r="12976" spans="9:14" x14ac:dyDescent="0.25">
      <c r="I12976" s="11" t="b">
        <f t="shared" si="625"/>
        <v>0</v>
      </c>
      <c r="M12976" s="17" t="str">
        <f t="shared" si="623"/>
        <v/>
      </c>
      <c r="N12976" s="11" t="str">
        <f t="shared" si="624"/>
        <v/>
      </c>
    </row>
    <row r="12977" spans="9:14" x14ac:dyDescent="0.25">
      <c r="I12977" s="11" t="b">
        <f t="shared" si="625"/>
        <v>0</v>
      </c>
      <c r="M12977" s="17" t="str">
        <f t="shared" si="623"/>
        <v/>
      </c>
      <c r="N12977" s="11" t="str">
        <f t="shared" si="624"/>
        <v/>
      </c>
    </row>
    <row r="12978" spans="9:14" x14ac:dyDescent="0.25">
      <c r="I12978" s="11" t="b">
        <f t="shared" si="625"/>
        <v>0</v>
      </c>
      <c r="M12978" s="17" t="str">
        <f t="shared" si="623"/>
        <v/>
      </c>
      <c r="N12978" s="11" t="str">
        <f t="shared" si="624"/>
        <v/>
      </c>
    </row>
    <row r="12979" spans="9:14" x14ac:dyDescent="0.25">
      <c r="I12979" s="11" t="b">
        <f t="shared" si="625"/>
        <v>0</v>
      </c>
      <c r="M12979" s="17" t="str">
        <f t="shared" si="623"/>
        <v/>
      </c>
      <c r="N12979" s="11" t="str">
        <f t="shared" si="624"/>
        <v/>
      </c>
    </row>
    <row r="12980" spans="9:14" x14ac:dyDescent="0.25">
      <c r="I12980" s="11" t="b">
        <f t="shared" si="625"/>
        <v>0</v>
      </c>
      <c r="M12980" s="17" t="str">
        <f t="shared" si="623"/>
        <v/>
      </c>
      <c r="N12980" s="11" t="str">
        <f t="shared" si="624"/>
        <v/>
      </c>
    </row>
    <row r="12981" spans="9:14" x14ac:dyDescent="0.25">
      <c r="I12981" s="11" t="b">
        <f t="shared" si="625"/>
        <v>0</v>
      </c>
      <c r="M12981" s="17" t="str">
        <f t="shared" si="623"/>
        <v/>
      </c>
      <c r="N12981" s="11" t="str">
        <f t="shared" si="624"/>
        <v/>
      </c>
    </row>
    <row r="12982" spans="9:14" x14ac:dyDescent="0.25">
      <c r="I12982" s="11" t="b">
        <f t="shared" si="625"/>
        <v>0</v>
      </c>
      <c r="M12982" s="17" t="str">
        <f t="shared" si="623"/>
        <v/>
      </c>
      <c r="N12982" s="11" t="str">
        <f t="shared" si="624"/>
        <v/>
      </c>
    </row>
    <row r="12983" spans="9:14" x14ac:dyDescent="0.25">
      <c r="I12983" s="11" t="b">
        <f t="shared" si="625"/>
        <v>0</v>
      </c>
      <c r="M12983" s="17" t="str">
        <f t="shared" si="623"/>
        <v/>
      </c>
      <c r="N12983" s="11" t="str">
        <f t="shared" si="624"/>
        <v/>
      </c>
    </row>
    <row r="12984" spans="9:14" x14ac:dyDescent="0.25">
      <c r="I12984" s="11" t="b">
        <f t="shared" si="625"/>
        <v>0</v>
      </c>
      <c r="M12984" s="17" t="str">
        <f t="shared" si="623"/>
        <v/>
      </c>
      <c r="N12984" s="11" t="str">
        <f t="shared" si="624"/>
        <v/>
      </c>
    </row>
    <row r="12985" spans="9:14" x14ac:dyDescent="0.25">
      <c r="I12985" s="11" t="b">
        <f t="shared" si="625"/>
        <v>0</v>
      </c>
      <c r="M12985" s="17" t="str">
        <f t="shared" si="623"/>
        <v/>
      </c>
      <c r="N12985" s="11" t="str">
        <f t="shared" si="624"/>
        <v/>
      </c>
    </row>
    <row r="12986" spans="9:14" x14ac:dyDescent="0.25">
      <c r="I12986" s="11" t="b">
        <f t="shared" si="625"/>
        <v>0</v>
      </c>
      <c r="M12986" s="17" t="str">
        <f t="shared" si="623"/>
        <v/>
      </c>
      <c r="N12986" s="11" t="str">
        <f t="shared" si="624"/>
        <v/>
      </c>
    </row>
    <row r="12987" spans="9:14" x14ac:dyDescent="0.25">
      <c r="I12987" s="11" t="b">
        <f t="shared" si="625"/>
        <v>0</v>
      </c>
      <c r="M12987" s="17" t="str">
        <f t="shared" si="623"/>
        <v/>
      </c>
      <c r="N12987" s="11" t="str">
        <f t="shared" si="624"/>
        <v/>
      </c>
    </row>
    <row r="12988" spans="9:14" x14ac:dyDescent="0.25">
      <c r="I12988" s="11" t="b">
        <f t="shared" si="625"/>
        <v>0</v>
      </c>
      <c r="M12988" s="17" t="str">
        <f t="shared" si="623"/>
        <v/>
      </c>
      <c r="N12988" s="11" t="str">
        <f t="shared" si="624"/>
        <v/>
      </c>
    </row>
    <row r="12989" spans="9:14" x14ac:dyDescent="0.25">
      <c r="I12989" s="11" t="b">
        <f t="shared" si="625"/>
        <v>0</v>
      </c>
      <c r="M12989" s="17" t="str">
        <f t="shared" si="623"/>
        <v/>
      </c>
      <c r="N12989" s="11" t="str">
        <f t="shared" si="624"/>
        <v/>
      </c>
    </row>
    <row r="12990" spans="9:14" x14ac:dyDescent="0.25">
      <c r="I12990" s="11" t="b">
        <f t="shared" si="625"/>
        <v>0</v>
      </c>
      <c r="M12990" s="17" t="str">
        <f t="shared" si="623"/>
        <v/>
      </c>
      <c r="N12990" s="11" t="str">
        <f t="shared" si="624"/>
        <v/>
      </c>
    </row>
    <row r="12991" spans="9:14" x14ac:dyDescent="0.25">
      <c r="I12991" s="11" t="b">
        <f t="shared" si="625"/>
        <v>0</v>
      </c>
      <c r="M12991" s="17" t="str">
        <f t="shared" si="623"/>
        <v/>
      </c>
      <c r="N12991" s="11" t="str">
        <f t="shared" si="624"/>
        <v/>
      </c>
    </row>
    <row r="12992" spans="9:14" x14ac:dyDescent="0.25">
      <c r="I12992" s="11" t="b">
        <f t="shared" si="625"/>
        <v>0</v>
      </c>
      <c r="M12992" s="17" t="str">
        <f t="shared" si="623"/>
        <v/>
      </c>
      <c r="N12992" s="11" t="str">
        <f t="shared" si="624"/>
        <v/>
      </c>
    </row>
    <row r="12993" spans="9:14" x14ac:dyDescent="0.25">
      <c r="I12993" s="11" t="b">
        <f t="shared" si="625"/>
        <v>0</v>
      </c>
      <c r="M12993" s="17" t="str">
        <f t="shared" ref="M12993:M13056" si="626">IF(B12993=0, "",M12992+ J12993-K12993)</f>
        <v/>
      </c>
      <c r="N12993" s="11" t="str">
        <f t="shared" ref="N12993:N13056" si="627">IF(B12993=0, "", MONTH(B12993))</f>
        <v/>
      </c>
    </row>
    <row r="12994" spans="9:14" x14ac:dyDescent="0.25">
      <c r="I12994" s="11" t="b">
        <f t="shared" si="625"/>
        <v>0</v>
      </c>
      <c r="M12994" s="17" t="str">
        <f t="shared" si="626"/>
        <v/>
      </c>
      <c r="N12994" s="11" t="str">
        <f t="shared" si="627"/>
        <v/>
      </c>
    </row>
    <row r="12995" spans="9:14" x14ac:dyDescent="0.25">
      <c r="I12995" s="11" t="b">
        <f t="shared" si="625"/>
        <v>0</v>
      </c>
      <c r="M12995" s="17" t="str">
        <f t="shared" si="626"/>
        <v/>
      </c>
      <c r="N12995" s="11" t="str">
        <f t="shared" si="627"/>
        <v/>
      </c>
    </row>
    <row r="12996" spans="9:14" x14ac:dyDescent="0.25">
      <c r="I12996" s="11" t="b">
        <f t="shared" si="625"/>
        <v>0</v>
      </c>
      <c r="M12996" s="17" t="str">
        <f t="shared" si="626"/>
        <v/>
      </c>
      <c r="N12996" s="11" t="str">
        <f t="shared" si="627"/>
        <v/>
      </c>
    </row>
    <row r="12997" spans="9:14" x14ac:dyDescent="0.25">
      <c r="I12997" s="11" t="b">
        <f t="shared" si="625"/>
        <v>0</v>
      </c>
      <c r="M12997" s="17" t="str">
        <f t="shared" si="626"/>
        <v/>
      </c>
      <c r="N12997" s="11" t="str">
        <f t="shared" si="627"/>
        <v/>
      </c>
    </row>
    <row r="12998" spans="9:14" x14ac:dyDescent="0.25">
      <c r="I12998" s="11" t="b">
        <f t="shared" si="625"/>
        <v>0</v>
      </c>
      <c r="M12998" s="17" t="str">
        <f t="shared" si="626"/>
        <v/>
      </c>
      <c r="N12998" s="11" t="str">
        <f t="shared" si="627"/>
        <v/>
      </c>
    </row>
    <row r="12999" spans="9:14" x14ac:dyDescent="0.25">
      <c r="I12999" s="11" t="b">
        <f t="shared" si="625"/>
        <v>0</v>
      </c>
      <c r="M12999" s="17" t="str">
        <f t="shared" si="626"/>
        <v/>
      </c>
      <c r="N12999" s="11" t="str">
        <f t="shared" si="627"/>
        <v/>
      </c>
    </row>
    <row r="13000" spans="9:14" x14ac:dyDescent="0.25">
      <c r="I13000" s="11" t="b">
        <f t="shared" si="625"/>
        <v>0</v>
      </c>
      <c r="M13000" s="17" t="str">
        <f t="shared" si="626"/>
        <v/>
      </c>
      <c r="N13000" s="11" t="str">
        <f t="shared" si="627"/>
        <v/>
      </c>
    </row>
    <row r="13001" spans="9:14" x14ac:dyDescent="0.25">
      <c r="I13001" s="11" t="b">
        <f t="shared" si="625"/>
        <v>0</v>
      </c>
      <c r="M13001" s="17" t="str">
        <f t="shared" si="626"/>
        <v/>
      </c>
      <c r="N13001" s="11" t="str">
        <f t="shared" si="627"/>
        <v/>
      </c>
    </row>
    <row r="13002" spans="9:14" x14ac:dyDescent="0.25">
      <c r="I13002" s="11" t="b">
        <f t="shared" si="625"/>
        <v>0</v>
      </c>
      <c r="M13002" s="17" t="str">
        <f t="shared" si="626"/>
        <v/>
      </c>
      <c r="N13002" s="11" t="str">
        <f t="shared" si="627"/>
        <v/>
      </c>
    </row>
    <row r="13003" spans="9:14" x14ac:dyDescent="0.25">
      <c r="I13003" s="11" t="b">
        <f t="shared" si="625"/>
        <v>0</v>
      </c>
      <c r="M13003" s="17" t="str">
        <f t="shared" si="626"/>
        <v/>
      </c>
      <c r="N13003" s="11" t="str">
        <f t="shared" si="627"/>
        <v/>
      </c>
    </row>
    <row r="13004" spans="9:14" x14ac:dyDescent="0.25">
      <c r="I13004" s="11" t="b">
        <f t="shared" si="625"/>
        <v>0</v>
      </c>
      <c r="M13004" s="17" t="str">
        <f t="shared" si="626"/>
        <v/>
      </c>
      <c r="N13004" s="11" t="str">
        <f t="shared" si="627"/>
        <v/>
      </c>
    </row>
    <row r="13005" spans="9:14" x14ac:dyDescent="0.25">
      <c r="I13005" s="11" t="b">
        <f t="shared" si="625"/>
        <v>0</v>
      </c>
      <c r="M13005" s="17" t="str">
        <f t="shared" si="626"/>
        <v/>
      </c>
      <c r="N13005" s="11" t="str">
        <f t="shared" si="627"/>
        <v/>
      </c>
    </row>
    <row r="13006" spans="9:14" x14ac:dyDescent="0.25">
      <c r="I13006" s="11" t="b">
        <f t="shared" si="625"/>
        <v>0</v>
      </c>
      <c r="M13006" s="17" t="str">
        <f t="shared" si="626"/>
        <v/>
      </c>
      <c r="N13006" s="11" t="str">
        <f t="shared" si="627"/>
        <v/>
      </c>
    </row>
    <row r="13007" spans="9:14" x14ac:dyDescent="0.25">
      <c r="I13007" s="11" t="b">
        <f t="shared" si="625"/>
        <v>0</v>
      </c>
      <c r="M13007" s="17" t="str">
        <f t="shared" si="626"/>
        <v/>
      </c>
      <c r="N13007" s="11" t="str">
        <f t="shared" si="627"/>
        <v/>
      </c>
    </row>
    <row r="13008" spans="9:14" x14ac:dyDescent="0.25">
      <c r="I13008" s="11" t="b">
        <f t="shared" si="625"/>
        <v>0</v>
      </c>
      <c r="M13008" s="17" t="str">
        <f t="shared" si="626"/>
        <v/>
      </c>
      <c r="N13008" s="11" t="str">
        <f t="shared" si="627"/>
        <v/>
      </c>
    </row>
    <row r="13009" spans="9:14" x14ac:dyDescent="0.25">
      <c r="I13009" s="11" t="b">
        <f t="shared" si="625"/>
        <v>0</v>
      </c>
      <c r="M13009" s="17" t="str">
        <f t="shared" si="626"/>
        <v/>
      </c>
      <c r="N13009" s="11" t="str">
        <f t="shared" si="627"/>
        <v/>
      </c>
    </row>
    <row r="13010" spans="9:14" x14ac:dyDescent="0.25">
      <c r="I13010" s="11" t="b">
        <f t="shared" si="625"/>
        <v>0</v>
      </c>
      <c r="M13010" s="17" t="str">
        <f t="shared" si="626"/>
        <v/>
      </c>
      <c r="N13010" s="11" t="str">
        <f t="shared" si="627"/>
        <v/>
      </c>
    </row>
    <row r="13011" spans="9:14" x14ac:dyDescent="0.25">
      <c r="I13011" s="11" t="b">
        <f t="shared" si="625"/>
        <v>0</v>
      </c>
      <c r="M13011" s="17" t="str">
        <f t="shared" si="626"/>
        <v/>
      </c>
      <c r="N13011" s="11" t="str">
        <f t="shared" si="627"/>
        <v/>
      </c>
    </row>
    <row r="13012" spans="9:14" x14ac:dyDescent="0.25">
      <c r="I13012" s="11" t="b">
        <f t="shared" si="625"/>
        <v>0</v>
      </c>
      <c r="M13012" s="17" t="str">
        <f t="shared" si="626"/>
        <v/>
      </c>
      <c r="N13012" s="11" t="str">
        <f t="shared" si="627"/>
        <v/>
      </c>
    </row>
    <row r="13013" spans="9:14" x14ac:dyDescent="0.25">
      <c r="I13013" s="11" t="b">
        <f t="shared" si="625"/>
        <v>0</v>
      </c>
      <c r="M13013" s="17" t="str">
        <f t="shared" si="626"/>
        <v/>
      </c>
      <c r="N13013" s="11" t="str">
        <f t="shared" si="627"/>
        <v/>
      </c>
    </row>
    <row r="13014" spans="9:14" x14ac:dyDescent="0.25">
      <c r="I13014" s="11" t="b">
        <f t="shared" si="625"/>
        <v>0</v>
      </c>
      <c r="M13014" s="17" t="str">
        <f t="shared" si="626"/>
        <v/>
      </c>
      <c r="N13014" s="11" t="str">
        <f t="shared" si="627"/>
        <v/>
      </c>
    </row>
    <row r="13015" spans="9:14" x14ac:dyDescent="0.25">
      <c r="I13015" s="11" t="b">
        <f t="shared" si="625"/>
        <v>0</v>
      </c>
      <c r="M13015" s="17" t="str">
        <f t="shared" si="626"/>
        <v/>
      </c>
      <c r="N13015" s="11" t="str">
        <f t="shared" si="627"/>
        <v/>
      </c>
    </row>
    <row r="13016" spans="9:14" x14ac:dyDescent="0.25">
      <c r="I13016" s="11" t="b">
        <f t="shared" si="625"/>
        <v>0</v>
      </c>
      <c r="M13016" s="17" t="str">
        <f t="shared" si="626"/>
        <v/>
      </c>
      <c r="N13016" s="11" t="str">
        <f t="shared" si="627"/>
        <v/>
      </c>
    </row>
    <row r="13017" spans="9:14" x14ac:dyDescent="0.25">
      <c r="I13017" s="11" t="b">
        <f t="shared" si="625"/>
        <v>0</v>
      </c>
      <c r="M13017" s="17" t="str">
        <f t="shared" si="626"/>
        <v/>
      </c>
      <c r="N13017" s="11" t="str">
        <f t="shared" si="627"/>
        <v/>
      </c>
    </row>
    <row r="13018" spans="9:14" x14ac:dyDescent="0.25">
      <c r="I13018" s="11" t="b">
        <f t="shared" si="625"/>
        <v>0</v>
      </c>
      <c r="M13018" s="17" t="str">
        <f t="shared" si="626"/>
        <v/>
      </c>
      <c r="N13018" s="11" t="str">
        <f t="shared" si="627"/>
        <v/>
      </c>
    </row>
    <row r="13019" spans="9:14" x14ac:dyDescent="0.25">
      <c r="I13019" s="11" t="b">
        <f t="shared" si="625"/>
        <v>0</v>
      </c>
      <c r="M13019" s="17" t="str">
        <f t="shared" si="626"/>
        <v/>
      </c>
      <c r="N13019" s="11" t="str">
        <f t="shared" si="627"/>
        <v/>
      </c>
    </row>
    <row r="13020" spans="9:14" x14ac:dyDescent="0.25">
      <c r="I13020" s="11" t="b">
        <f t="shared" si="625"/>
        <v>0</v>
      </c>
      <c r="M13020" s="17" t="str">
        <f t="shared" si="626"/>
        <v/>
      </c>
      <c r="N13020" s="11" t="str">
        <f t="shared" si="627"/>
        <v/>
      </c>
    </row>
    <row r="13021" spans="9:14" x14ac:dyDescent="0.25">
      <c r="I13021" s="11" t="b">
        <f t="shared" ref="I13021:I13084" si="628">IF(AND(G13021="MERCADO PAGO",A13021="FATURAMENTO"),1,IF(AND(OR(G13021="MERCADO PAGO",G13021="pix mercado pago",G13021= "débito automático mercado pago", G13021= "boleto mercado pago"),A13021="DESPESAS"),4,IF(AND(G13021="SAFRA",A13021="FATURAMENTO"),2,IF(AND(OR(G13021="SAFRA",G13021="PIX SAFRA", G13021="DÉBITO AUTOMÁTICO SAFRA", G13021= "BOLETO SAFRA", G13021= "transferência safra"), A13021="DESPESAS"),5,IF(AND(G13021="espécie",A13021="FATURAMENTO"),3,IF(AND(G13021="espécie",A13021="DESPESAS"),6))))))</f>
        <v>0</v>
      </c>
      <c r="M13021" s="17" t="str">
        <f t="shared" si="626"/>
        <v/>
      </c>
      <c r="N13021" s="11" t="str">
        <f t="shared" si="627"/>
        <v/>
      </c>
    </row>
    <row r="13022" spans="9:14" x14ac:dyDescent="0.25">
      <c r="I13022" s="11" t="b">
        <f t="shared" si="628"/>
        <v>0</v>
      </c>
      <c r="M13022" s="17" t="str">
        <f t="shared" si="626"/>
        <v/>
      </c>
      <c r="N13022" s="11" t="str">
        <f t="shared" si="627"/>
        <v/>
      </c>
    </row>
    <row r="13023" spans="9:14" x14ac:dyDescent="0.25">
      <c r="I13023" s="11" t="b">
        <f t="shared" si="628"/>
        <v>0</v>
      </c>
      <c r="M13023" s="17" t="str">
        <f t="shared" si="626"/>
        <v/>
      </c>
      <c r="N13023" s="11" t="str">
        <f t="shared" si="627"/>
        <v/>
      </c>
    </row>
    <row r="13024" spans="9:14" x14ac:dyDescent="0.25">
      <c r="I13024" s="11" t="b">
        <f t="shared" si="628"/>
        <v>0</v>
      </c>
      <c r="M13024" s="17" t="str">
        <f t="shared" si="626"/>
        <v/>
      </c>
      <c r="N13024" s="11" t="str">
        <f t="shared" si="627"/>
        <v/>
      </c>
    </row>
    <row r="13025" spans="9:14" x14ac:dyDescent="0.25">
      <c r="I13025" s="11" t="b">
        <f t="shared" si="628"/>
        <v>0</v>
      </c>
      <c r="M13025" s="17" t="str">
        <f t="shared" si="626"/>
        <v/>
      </c>
      <c r="N13025" s="11" t="str">
        <f t="shared" si="627"/>
        <v/>
      </c>
    </row>
    <row r="13026" spans="9:14" x14ac:dyDescent="0.25">
      <c r="I13026" s="11" t="b">
        <f t="shared" si="628"/>
        <v>0</v>
      </c>
      <c r="M13026" s="17" t="str">
        <f t="shared" si="626"/>
        <v/>
      </c>
      <c r="N13026" s="11" t="str">
        <f t="shared" si="627"/>
        <v/>
      </c>
    </row>
    <row r="13027" spans="9:14" x14ac:dyDescent="0.25">
      <c r="I13027" s="11" t="b">
        <f t="shared" si="628"/>
        <v>0</v>
      </c>
      <c r="M13027" s="17" t="str">
        <f t="shared" si="626"/>
        <v/>
      </c>
      <c r="N13027" s="11" t="str">
        <f t="shared" si="627"/>
        <v/>
      </c>
    </row>
    <row r="13028" spans="9:14" x14ac:dyDescent="0.25">
      <c r="I13028" s="11" t="b">
        <f t="shared" si="628"/>
        <v>0</v>
      </c>
      <c r="M13028" s="17" t="str">
        <f t="shared" si="626"/>
        <v/>
      </c>
      <c r="N13028" s="11" t="str">
        <f t="shared" si="627"/>
        <v/>
      </c>
    </row>
    <row r="13029" spans="9:14" x14ac:dyDescent="0.25">
      <c r="I13029" s="11" t="b">
        <f t="shared" si="628"/>
        <v>0</v>
      </c>
      <c r="M13029" s="17" t="str">
        <f t="shared" si="626"/>
        <v/>
      </c>
      <c r="N13029" s="11" t="str">
        <f t="shared" si="627"/>
        <v/>
      </c>
    </row>
    <row r="13030" spans="9:14" x14ac:dyDescent="0.25">
      <c r="I13030" s="11" t="b">
        <f t="shared" si="628"/>
        <v>0</v>
      </c>
      <c r="M13030" s="17" t="str">
        <f t="shared" si="626"/>
        <v/>
      </c>
      <c r="N13030" s="11" t="str">
        <f t="shared" si="627"/>
        <v/>
      </c>
    </row>
    <row r="13031" spans="9:14" x14ac:dyDescent="0.25">
      <c r="I13031" s="11" t="b">
        <f t="shared" si="628"/>
        <v>0</v>
      </c>
      <c r="M13031" s="17" t="str">
        <f t="shared" si="626"/>
        <v/>
      </c>
      <c r="N13031" s="11" t="str">
        <f t="shared" si="627"/>
        <v/>
      </c>
    </row>
    <row r="13032" spans="9:14" x14ac:dyDescent="0.25">
      <c r="I13032" s="11" t="b">
        <f t="shared" si="628"/>
        <v>0</v>
      </c>
      <c r="M13032" s="17" t="str">
        <f t="shared" si="626"/>
        <v/>
      </c>
      <c r="N13032" s="11" t="str">
        <f t="shared" si="627"/>
        <v/>
      </c>
    </row>
    <row r="13033" spans="9:14" x14ac:dyDescent="0.25">
      <c r="I13033" s="11" t="b">
        <f t="shared" si="628"/>
        <v>0</v>
      </c>
      <c r="M13033" s="17" t="str">
        <f t="shared" si="626"/>
        <v/>
      </c>
      <c r="N13033" s="11" t="str">
        <f t="shared" si="627"/>
        <v/>
      </c>
    </row>
    <row r="13034" spans="9:14" x14ac:dyDescent="0.25">
      <c r="I13034" s="11" t="b">
        <f t="shared" si="628"/>
        <v>0</v>
      </c>
      <c r="M13034" s="17" t="str">
        <f t="shared" si="626"/>
        <v/>
      </c>
      <c r="N13034" s="11" t="str">
        <f t="shared" si="627"/>
        <v/>
      </c>
    </row>
    <row r="13035" spans="9:14" x14ac:dyDescent="0.25">
      <c r="I13035" s="11" t="b">
        <f t="shared" si="628"/>
        <v>0</v>
      </c>
      <c r="M13035" s="17" t="str">
        <f t="shared" si="626"/>
        <v/>
      </c>
      <c r="N13035" s="11" t="str">
        <f t="shared" si="627"/>
        <v/>
      </c>
    </row>
    <row r="13036" spans="9:14" x14ac:dyDescent="0.25">
      <c r="I13036" s="11" t="b">
        <f t="shared" si="628"/>
        <v>0</v>
      </c>
      <c r="M13036" s="17" t="str">
        <f t="shared" si="626"/>
        <v/>
      </c>
      <c r="N13036" s="11" t="str">
        <f t="shared" si="627"/>
        <v/>
      </c>
    </row>
    <row r="13037" spans="9:14" x14ac:dyDescent="0.25">
      <c r="I13037" s="11" t="b">
        <f t="shared" si="628"/>
        <v>0</v>
      </c>
      <c r="M13037" s="17" t="str">
        <f t="shared" si="626"/>
        <v/>
      </c>
      <c r="N13037" s="11" t="str">
        <f t="shared" si="627"/>
        <v/>
      </c>
    </row>
    <row r="13038" spans="9:14" x14ac:dyDescent="0.25">
      <c r="I13038" s="11" t="b">
        <f t="shared" si="628"/>
        <v>0</v>
      </c>
      <c r="M13038" s="17" t="str">
        <f t="shared" si="626"/>
        <v/>
      </c>
      <c r="N13038" s="11" t="str">
        <f t="shared" si="627"/>
        <v/>
      </c>
    </row>
    <row r="13039" spans="9:14" x14ac:dyDescent="0.25">
      <c r="I13039" s="11" t="b">
        <f t="shared" si="628"/>
        <v>0</v>
      </c>
      <c r="M13039" s="17" t="str">
        <f t="shared" si="626"/>
        <v/>
      </c>
      <c r="N13039" s="11" t="str">
        <f t="shared" si="627"/>
        <v/>
      </c>
    </row>
    <row r="13040" spans="9:14" x14ac:dyDescent="0.25">
      <c r="I13040" s="11" t="b">
        <f t="shared" si="628"/>
        <v>0</v>
      </c>
      <c r="M13040" s="17" t="str">
        <f t="shared" si="626"/>
        <v/>
      </c>
      <c r="N13040" s="11" t="str">
        <f t="shared" si="627"/>
        <v/>
      </c>
    </row>
    <row r="13041" spans="9:14" x14ac:dyDescent="0.25">
      <c r="I13041" s="11" t="b">
        <f t="shared" si="628"/>
        <v>0</v>
      </c>
      <c r="M13041" s="17" t="str">
        <f t="shared" si="626"/>
        <v/>
      </c>
      <c r="N13041" s="11" t="str">
        <f t="shared" si="627"/>
        <v/>
      </c>
    </row>
    <row r="13042" spans="9:14" x14ac:dyDescent="0.25">
      <c r="I13042" s="11" t="b">
        <f t="shared" si="628"/>
        <v>0</v>
      </c>
      <c r="M13042" s="17" t="str">
        <f t="shared" si="626"/>
        <v/>
      </c>
      <c r="N13042" s="11" t="str">
        <f t="shared" si="627"/>
        <v/>
      </c>
    </row>
    <row r="13043" spans="9:14" x14ac:dyDescent="0.25">
      <c r="I13043" s="11" t="b">
        <f t="shared" si="628"/>
        <v>0</v>
      </c>
      <c r="M13043" s="17" t="str">
        <f t="shared" si="626"/>
        <v/>
      </c>
      <c r="N13043" s="11" t="str">
        <f t="shared" si="627"/>
        <v/>
      </c>
    </row>
    <row r="13044" spans="9:14" x14ac:dyDescent="0.25">
      <c r="I13044" s="11" t="b">
        <f t="shared" si="628"/>
        <v>0</v>
      </c>
      <c r="M13044" s="17" t="str">
        <f t="shared" si="626"/>
        <v/>
      </c>
      <c r="N13044" s="11" t="str">
        <f t="shared" si="627"/>
        <v/>
      </c>
    </row>
    <row r="13045" spans="9:14" x14ac:dyDescent="0.25">
      <c r="I13045" s="11" t="b">
        <f t="shared" si="628"/>
        <v>0</v>
      </c>
      <c r="M13045" s="17" t="str">
        <f t="shared" si="626"/>
        <v/>
      </c>
      <c r="N13045" s="11" t="str">
        <f t="shared" si="627"/>
        <v/>
      </c>
    </row>
    <row r="13046" spans="9:14" x14ac:dyDescent="0.25">
      <c r="I13046" s="11" t="b">
        <f t="shared" si="628"/>
        <v>0</v>
      </c>
      <c r="M13046" s="17" t="str">
        <f t="shared" si="626"/>
        <v/>
      </c>
      <c r="N13046" s="11" t="str">
        <f t="shared" si="627"/>
        <v/>
      </c>
    </row>
    <row r="13047" spans="9:14" x14ac:dyDescent="0.25">
      <c r="I13047" s="11" t="b">
        <f t="shared" si="628"/>
        <v>0</v>
      </c>
      <c r="M13047" s="17" t="str">
        <f t="shared" si="626"/>
        <v/>
      </c>
      <c r="N13047" s="11" t="str">
        <f t="shared" si="627"/>
        <v/>
      </c>
    </row>
    <row r="13048" spans="9:14" x14ac:dyDescent="0.25">
      <c r="I13048" s="11" t="b">
        <f t="shared" si="628"/>
        <v>0</v>
      </c>
      <c r="M13048" s="17" t="str">
        <f t="shared" si="626"/>
        <v/>
      </c>
      <c r="N13048" s="11" t="str">
        <f t="shared" si="627"/>
        <v/>
      </c>
    </row>
    <row r="13049" spans="9:14" x14ac:dyDescent="0.25">
      <c r="I13049" s="11" t="b">
        <f t="shared" si="628"/>
        <v>0</v>
      </c>
      <c r="M13049" s="17" t="str">
        <f t="shared" si="626"/>
        <v/>
      </c>
      <c r="N13049" s="11" t="str">
        <f t="shared" si="627"/>
        <v/>
      </c>
    </row>
    <row r="13050" spans="9:14" x14ac:dyDescent="0.25">
      <c r="I13050" s="11" t="b">
        <f t="shared" si="628"/>
        <v>0</v>
      </c>
      <c r="M13050" s="17" t="str">
        <f t="shared" si="626"/>
        <v/>
      </c>
      <c r="N13050" s="11" t="str">
        <f t="shared" si="627"/>
        <v/>
      </c>
    </row>
    <row r="13051" spans="9:14" x14ac:dyDescent="0.25">
      <c r="I13051" s="11" t="b">
        <f t="shared" si="628"/>
        <v>0</v>
      </c>
      <c r="M13051" s="17" t="str">
        <f t="shared" si="626"/>
        <v/>
      </c>
      <c r="N13051" s="11" t="str">
        <f t="shared" si="627"/>
        <v/>
      </c>
    </row>
    <row r="13052" spans="9:14" x14ac:dyDescent="0.25">
      <c r="I13052" s="11" t="b">
        <f t="shared" si="628"/>
        <v>0</v>
      </c>
      <c r="M13052" s="17" t="str">
        <f t="shared" si="626"/>
        <v/>
      </c>
      <c r="N13052" s="11" t="str">
        <f t="shared" si="627"/>
        <v/>
      </c>
    </row>
    <row r="13053" spans="9:14" x14ac:dyDescent="0.25">
      <c r="I13053" s="11" t="b">
        <f t="shared" si="628"/>
        <v>0</v>
      </c>
      <c r="M13053" s="17" t="str">
        <f t="shared" si="626"/>
        <v/>
      </c>
      <c r="N13053" s="11" t="str">
        <f t="shared" si="627"/>
        <v/>
      </c>
    </row>
    <row r="13054" spans="9:14" x14ac:dyDescent="0.25">
      <c r="I13054" s="11" t="b">
        <f t="shared" si="628"/>
        <v>0</v>
      </c>
      <c r="M13054" s="17" t="str">
        <f t="shared" si="626"/>
        <v/>
      </c>
      <c r="N13054" s="11" t="str">
        <f t="shared" si="627"/>
        <v/>
      </c>
    </row>
    <row r="13055" spans="9:14" x14ac:dyDescent="0.25">
      <c r="I13055" s="11" t="b">
        <f t="shared" si="628"/>
        <v>0</v>
      </c>
      <c r="M13055" s="17" t="str">
        <f t="shared" si="626"/>
        <v/>
      </c>
      <c r="N13055" s="11" t="str">
        <f t="shared" si="627"/>
        <v/>
      </c>
    </row>
    <row r="13056" spans="9:14" x14ac:dyDescent="0.25">
      <c r="I13056" s="11" t="b">
        <f t="shared" si="628"/>
        <v>0</v>
      </c>
      <c r="M13056" s="17" t="str">
        <f t="shared" si="626"/>
        <v/>
      </c>
      <c r="N13056" s="11" t="str">
        <f t="shared" si="627"/>
        <v/>
      </c>
    </row>
    <row r="13057" spans="9:14" x14ac:dyDescent="0.25">
      <c r="I13057" s="11" t="b">
        <f t="shared" si="628"/>
        <v>0</v>
      </c>
      <c r="M13057" s="17" t="str">
        <f t="shared" ref="M13057:M13120" si="629">IF(B13057=0, "",M13056+ J13057-K13057)</f>
        <v/>
      </c>
      <c r="N13057" s="11" t="str">
        <f t="shared" ref="N13057:N13120" si="630">IF(B13057=0, "", MONTH(B13057))</f>
        <v/>
      </c>
    </row>
    <row r="13058" spans="9:14" x14ac:dyDescent="0.25">
      <c r="I13058" s="11" t="b">
        <f t="shared" si="628"/>
        <v>0</v>
      </c>
      <c r="M13058" s="17" t="str">
        <f t="shared" si="629"/>
        <v/>
      </c>
      <c r="N13058" s="11" t="str">
        <f t="shared" si="630"/>
        <v/>
      </c>
    </row>
    <row r="13059" spans="9:14" x14ac:dyDescent="0.25">
      <c r="I13059" s="11" t="b">
        <f t="shared" si="628"/>
        <v>0</v>
      </c>
      <c r="M13059" s="17" t="str">
        <f t="shared" si="629"/>
        <v/>
      </c>
      <c r="N13059" s="11" t="str">
        <f t="shared" si="630"/>
        <v/>
      </c>
    </row>
    <row r="13060" spans="9:14" x14ac:dyDescent="0.25">
      <c r="I13060" s="11" t="b">
        <f t="shared" si="628"/>
        <v>0</v>
      </c>
      <c r="M13060" s="17" t="str">
        <f t="shared" si="629"/>
        <v/>
      </c>
      <c r="N13060" s="11" t="str">
        <f t="shared" si="630"/>
        <v/>
      </c>
    </row>
    <row r="13061" spans="9:14" x14ac:dyDescent="0.25">
      <c r="I13061" s="11" t="b">
        <f t="shared" si="628"/>
        <v>0</v>
      </c>
      <c r="M13061" s="17" t="str">
        <f t="shared" si="629"/>
        <v/>
      </c>
      <c r="N13061" s="11" t="str">
        <f t="shared" si="630"/>
        <v/>
      </c>
    </row>
    <row r="13062" spans="9:14" x14ac:dyDescent="0.25">
      <c r="I13062" s="11" t="b">
        <f t="shared" si="628"/>
        <v>0</v>
      </c>
      <c r="M13062" s="17" t="str">
        <f t="shared" si="629"/>
        <v/>
      </c>
      <c r="N13062" s="11" t="str">
        <f t="shared" si="630"/>
        <v/>
      </c>
    </row>
    <row r="13063" spans="9:14" x14ac:dyDescent="0.25">
      <c r="I13063" s="11" t="b">
        <f t="shared" si="628"/>
        <v>0</v>
      </c>
      <c r="M13063" s="17" t="str">
        <f t="shared" si="629"/>
        <v/>
      </c>
      <c r="N13063" s="11" t="str">
        <f t="shared" si="630"/>
        <v/>
      </c>
    </row>
    <row r="13064" spans="9:14" x14ac:dyDescent="0.25">
      <c r="I13064" s="11" t="b">
        <f t="shared" si="628"/>
        <v>0</v>
      </c>
      <c r="M13064" s="17" t="str">
        <f t="shared" si="629"/>
        <v/>
      </c>
      <c r="N13064" s="11" t="str">
        <f t="shared" si="630"/>
        <v/>
      </c>
    </row>
    <row r="13065" spans="9:14" x14ac:dyDescent="0.25">
      <c r="I13065" s="11" t="b">
        <f t="shared" si="628"/>
        <v>0</v>
      </c>
      <c r="M13065" s="17" t="str">
        <f t="shared" si="629"/>
        <v/>
      </c>
      <c r="N13065" s="11" t="str">
        <f t="shared" si="630"/>
        <v/>
      </c>
    </row>
    <row r="13066" spans="9:14" x14ac:dyDescent="0.25">
      <c r="I13066" s="11" t="b">
        <f t="shared" si="628"/>
        <v>0</v>
      </c>
      <c r="M13066" s="17" t="str">
        <f t="shared" si="629"/>
        <v/>
      </c>
      <c r="N13066" s="11" t="str">
        <f t="shared" si="630"/>
        <v/>
      </c>
    </row>
    <row r="13067" spans="9:14" x14ac:dyDescent="0.25">
      <c r="I13067" s="11" t="b">
        <f t="shared" si="628"/>
        <v>0</v>
      </c>
      <c r="M13067" s="17" t="str">
        <f t="shared" si="629"/>
        <v/>
      </c>
      <c r="N13067" s="11" t="str">
        <f t="shared" si="630"/>
        <v/>
      </c>
    </row>
    <row r="13068" spans="9:14" x14ac:dyDescent="0.25">
      <c r="I13068" s="11" t="b">
        <f t="shared" si="628"/>
        <v>0</v>
      </c>
      <c r="M13068" s="17" t="str">
        <f t="shared" si="629"/>
        <v/>
      </c>
      <c r="N13068" s="11" t="str">
        <f t="shared" si="630"/>
        <v/>
      </c>
    </row>
    <row r="13069" spans="9:14" x14ac:dyDescent="0.25">
      <c r="I13069" s="11" t="b">
        <f t="shared" si="628"/>
        <v>0</v>
      </c>
      <c r="M13069" s="17" t="str">
        <f t="shared" si="629"/>
        <v/>
      </c>
      <c r="N13069" s="11" t="str">
        <f t="shared" si="630"/>
        <v/>
      </c>
    </row>
    <row r="13070" spans="9:14" x14ac:dyDescent="0.25">
      <c r="I13070" s="11" t="b">
        <f t="shared" si="628"/>
        <v>0</v>
      </c>
      <c r="M13070" s="17" t="str">
        <f t="shared" si="629"/>
        <v/>
      </c>
      <c r="N13070" s="11" t="str">
        <f t="shared" si="630"/>
        <v/>
      </c>
    </row>
    <row r="13071" spans="9:14" x14ac:dyDescent="0.25">
      <c r="I13071" s="11" t="b">
        <f t="shared" si="628"/>
        <v>0</v>
      </c>
      <c r="M13071" s="17" t="str">
        <f t="shared" si="629"/>
        <v/>
      </c>
      <c r="N13071" s="11" t="str">
        <f t="shared" si="630"/>
        <v/>
      </c>
    </row>
    <row r="13072" spans="9:14" x14ac:dyDescent="0.25">
      <c r="I13072" s="11" t="b">
        <f t="shared" si="628"/>
        <v>0</v>
      </c>
      <c r="M13072" s="17" t="str">
        <f t="shared" si="629"/>
        <v/>
      </c>
      <c r="N13072" s="11" t="str">
        <f t="shared" si="630"/>
        <v/>
      </c>
    </row>
    <row r="13073" spans="9:14" x14ac:dyDescent="0.25">
      <c r="I13073" s="11" t="b">
        <f t="shared" si="628"/>
        <v>0</v>
      </c>
      <c r="M13073" s="17" t="str">
        <f t="shared" si="629"/>
        <v/>
      </c>
      <c r="N13073" s="11" t="str">
        <f t="shared" si="630"/>
        <v/>
      </c>
    </row>
    <row r="13074" spans="9:14" x14ac:dyDescent="0.25">
      <c r="I13074" s="11" t="b">
        <f t="shared" si="628"/>
        <v>0</v>
      </c>
      <c r="M13074" s="17" t="str">
        <f t="shared" si="629"/>
        <v/>
      </c>
      <c r="N13074" s="11" t="str">
        <f t="shared" si="630"/>
        <v/>
      </c>
    </row>
    <row r="13075" spans="9:14" x14ac:dyDescent="0.25">
      <c r="I13075" s="11" t="b">
        <f t="shared" si="628"/>
        <v>0</v>
      </c>
      <c r="M13075" s="17" t="str">
        <f t="shared" si="629"/>
        <v/>
      </c>
      <c r="N13075" s="11" t="str">
        <f t="shared" si="630"/>
        <v/>
      </c>
    </row>
    <row r="13076" spans="9:14" x14ac:dyDescent="0.25">
      <c r="I13076" s="11" t="b">
        <f t="shared" si="628"/>
        <v>0</v>
      </c>
      <c r="M13076" s="17" t="str">
        <f t="shared" si="629"/>
        <v/>
      </c>
      <c r="N13076" s="11" t="str">
        <f t="shared" si="630"/>
        <v/>
      </c>
    </row>
    <row r="13077" spans="9:14" x14ac:dyDescent="0.25">
      <c r="I13077" s="11" t="b">
        <f t="shared" si="628"/>
        <v>0</v>
      </c>
      <c r="M13077" s="17" t="str">
        <f t="shared" si="629"/>
        <v/>
      </c>
      <c r="N13077" s="11" t="str">
        <f t="shared" si="630"/>
        <v/>
      </c>
    </row>
    <row r="13078" spans="9:14" x14ac:dyDescent="0.25">
      <c r="I13078" s="11" t="b">
        <f t="shared" si="628"/>
        <v>0</v>
      </c>
      <c r="M13078" s="17" t="str">
        <f t="shared" si="629"/>
        <v/>
      </c>
      <c r="N13078" s="11" t="str">
        <f t="shared" si="630"/>
        <v/>
      </c>
    </row>
    <row r="13079" spans="9:14" x14ac:dyDescent="0.25">
      <c r="I13079" s="11" t="b">
        <f t="shared" si="628"/>
        <v>0</v>
      </c>
      <c r="M13079" s="17" t="str">
        <f t="shared" si="629"/>
        <v/>
      </c>
      <c r="N13079" s="11" t="str">
        <f t="shared" si="630"/>
        <v/>
      </c>
    </row>
    <row r="13080" spans="9:14" x14ac:dyDescent="0.25">
      <c r="I13080" s="11" t="b">
        <f t="shared" si="628"/>
        <v>0</v>
      </c>
      <c r="M13080" s="17" t="str">
        <f t="shared" si="629"/>
        <v/>
      </c>
      <c r="N13080" s="11" t="str">
        <f t="shared" si="630"/>
        <v/>
      </c>
    </row>
    <row r="13081" spans="9:14" x14ac:dyDescent="0.25">
      <c r="I13081" s="11" t="b">
        <f t="shared" si="628"/>
        <v>0</v>
      </c>
      <c r="M13081" s="17" t="str">
        <f t="shared" si="629"/>
        <v/>
      </c>
      <c r="N13081" s="11" t="str">
        <f t="shared" si="630"/>
        <v/>
      </c>
    </row>
    <row r="13082" spans="9:14" x14ac:dyDescent="0.25">
      <c r="I13082" s="11" t="b">
        <f t="shared" si="628"/>
        <v>0</v>
      </c>
      <c r="M13082" s="17" t="str">
        <f t="shared" si="629"/>
        <v/>
      </c>
      <c r="N13082" s="11" t="str">
        <f t="shared" si="630"/>
        <v/>
      </c>
    </row>
    <row r="13083" spans="9:14" x14ac:dyDescent="0.25">
      <c r="I13083" s="11" t="b">
        <f t="shared" si="628"/>
        <v>0</v>
      </c>
      <c r="M13083" s="17" t="str">
        <f t="shared" si="629"/>
        <v/>
      </c>
      <c r="N13083" s="11" t="str">
        <f t="shared" si="630"/>
        <v/>
      </c>
    </row>
    <row r="13084" spans="9:14" x14ac:dyDescent="0.25">
      <c r="I13084" s="11" t="b">
        <f t="shared" si="628"/>
        <v>0</v>
      </c>
      <c r="M13084" s="17" t="str">
        <f t="shared" si="629"/>
        <v/>
      </c>
      <c r="N13084" s="11" t="str">
        <f t="shared" si="630"/>
        <v/>
      </c>
    </row>
    <row r="13085" spans="9:14" x14ac:dyDescent="0.25">
      <c r="I13085" s="11" t="b">
        <f t="shared" ref="I13085:I13148" si="631">IF(AND(G13085="MERCADO PAGO",A13085="FATURAMENTO"),1,IF(AND(OR(G13085="MERCADO PAGO",G13085="pix mercado pago",G13085= "débito automático mercado pago", G13085= "boleto mercado pago"),A13085="DESPESAS"),4,IF(AND(G13085="SAFRA",A13085="FATURAMENTO"),2,IF(AND(OR(G13085="SAFRA",G13085="PIX SAFRA", G13085="DÉBITO AUTOMÁTICO SAFRA", G13085= "BOLETO SAFRA", G13085= "transferência safra"), A13085="DESPESAS"),5,IF(AND(G13085="espécie",A13085="FATURAMENTO"),3,IF(AND(G13085="espécie",A13085="DESPESAS"),6))))))</f>
        <v>0</v>
      </c>
      <c r="M13085" s="17" t="str">
        <f t="shared" si="629"/>
        <v/>
      </c>
      <c r="N13085" s="11" t="str">
        <f t="shared" si="630"/>
        <v/>
      </c>
    </row>
    <row r="13086" spans="9:14" x14ac:dyDescent="0.25">
      <c r="I13086" s="11" t="b">
        <f t="shared" si="631"/>
        <v>0</v>
      </c>
      <c r="M13086" s="17" t="str">
        <f t="shared" si="629"/>
        <v/>
      </c>
      <c r="N13086" s="11" t="str">
        <f t="shared" si="630"/>
        <v/>
      </c>
    </row>
    <row r="13087" spans="9:14" x14ac:dyDescent="0.25">
      <c r="I13087" s="11" t="b">
        <f t="shared" si="631"/>
        <v>0</v>
      </c>
      <c r="M13087" s="17" t="str">
        <f t="shared" si="629"/>
        <v/>
      </c>
      <c r="N13087" s="11" t="str">
        <f t="shared" si="630"/>
        <v/>
      </c>
    </row>
    <row r="13088" spans="9:14" x14ac:dyDescent="0.25">
      <c r="I13088" s="11" t="b">
        <f t="shared" si="631"/>
        <v>0</v>
      </c>
      <c r="M13088" s="17" t="str">
        <f t="shared" si="629"/>
        <v/>
      </c>
      <c r="N13088" s="11" t="str">
        <f t="shared" si="630"/>
        <v/>
      </c>
    </row>
    <row r="13089" spans="9:14" x14ac:dyDescent="0.25">
      <c r="I13089" s="11" t="b">
        <f t="shared" si="631"/>
        <v>0</v>
      </c>
      <c r="M13089" s="17" t="str">
        <f t="shared" si="629"/>
        <v/>
      </c>
      <c r="N13089" s="11" t="str">
        <f t="shared" si="630"/>
        <v/>
      </c>
    </row>
    <row r="13090" spans="9:14" x14ac:dyDescent="0.25">
      <c r="I13090" s="11" t="b">
        <f t="shared" si="631"/>
        <v>0</v>
      </c>
      <c r="M13090" s="17" t="str">
        <f t="shared" si="629"/>
        <v/>
      </c>
      <c r="N13090" s="11" t="str">
        <f t="shared" si="630"/>
        <v/>
      </c>
    </row>
    <row r="13091" spans="9:14" x14ac:dyDescent="0.25">
      <c r="I13091" s="11" t="b">
        <f t="shared" si="631"/>
        <v>0</v>
      </c>
      <c r="M13091" s="17" t="str">
        <f t="shared" si="629"/>
        <v/>
      </c>
      <c r="N13091" s="11" t="str">
        <f t="shared" si="630"/>
        <v/>
      </c>
    </row>
    <row r="13092" spans="9:14" x14ac:dyDescent="0.25">
      <c r="I13092" s="11" t="b">
        <f t="shared" si="631"/>
        <v>0</v>
      </c>
      <c r="M13092" s="17" t="str">
        <f t="shared" si="629"/>
        <v/>
      </c>
      <c r="N13092" s="11" t="str">
        <f t="shared" si="630"/>
        <v/>
      </c>
    </row>
    <row r="13093" spans="9:14" x14ac:dyDescent="0.25">
      <c r="I13093" s="11" t="b">
        <f t="shared" si="631"/>
        <v>0</v>
      </c>
      <c r="M13093" s="17" t="str">
        <f t="shared" si="629"/>
        <v/>
      </c>
      <c r="N13093" s="11" t="str">
        <f t="shared" si="630"/>
        <v/>
      </c>
    </row>
    <row r="13094" spans="9:14" x14ac:dyDescent="0.25">
      <c r="I13094" s="11" t="b">
        <f t="shared" si="631"/>
        <v>0</v>
      </c>
      <c r="M13094" s="17" t="str">
        <f t="shared" si="629"/>
        <v/>
      </c>
      <c r="N13094" s="11" t="str">
        <f t="shared" si="630"/>
        <v/>
      </c>
    </row>
    <row r="13095" spans="9:14" x14ac:dyDescent="0.25">
      <c r="I13095" s="11" t="b">
        <f t="shared" si="631"/>
        <v>0</v>
      </c>
      <c r="M13095" s="17" t="str">
        <f t="shared" si="629"/>
        <v/>
      </c>
      <c r="N13095" s="11" t="str">
        <f t="shared" si="630"/>
        <v/>
      </c>
    </row>
    <row r="13096" spans="9:14" x14ac:dyDescent="0.25">
      <c r="I13096" s="11" t="b">
        <f t="shared" si="631"/>
        <v>0</v>
      </c>
      <c r="M13096" s="17" t="str">
        <f t="shared" si="629"/>
        <v/>
      </c>
      <c r="N13096" s="11" t="str">
        <f t="shared" si="630"/>
        <v/>
      </c>
    </row>
    <row r="13097" spans="9:14" x14ac:dyDescent="0.25">
      <c r="I13097" s="11" t="b">
        <f t="shared" si="631"/>
        <v>0</v>
      </c>
      <c r="M13097" s="17" t="str">
        <f t="shared" si="629"/>
        <v/>
      </c>
      <c r="N13097" s="11" t="str">
        <f t="shared" si="630"/>
        <v/>
      </c>
    </row>
    <row r="13098" spans="9:14" x14ac:dyDescent="0.25">
      <c r="I13098" s="11" t="b">
        <f t="shared" si="631"/>
        <v>0</v>
      </c>
      <c r="M13098" s="17" t="str">
        <f t="shared" si="629"/>
        <v/>
      </c>
      <c r="N13098" s="11" t="str">
        <f t="shared" si="630"/>
        <v/>
      </c>
    </row>
    <row r="13099" spans="9:14" x14ac:dyDescent="0.25">
      <c r="I13099" s="11" t="b">
        <f t="shared" si="631"/>
        <v>0</v>
      </c>
      <c r="M13099" s="17" t="str">
        <f t="shared" si="629"/>
        <v/>
      </c>
      <c r="N13099" s="11" t="str">
        <f t="shared" si="630"/>
        <v/>
      </c>
    </row>
    <row r="13100" spans="9:14" x14ac:dyDescent="0.25">
      <c r="I13100" s="11" t="b">
        <f t="shared" si="631"/>
        <v>0</v>
      </c>
      <c r="M13100" s="17" t="str">
        <f t="shared" si="629"/>
        <v/>
      </c>
      <c r="N13100" s="11" t="str">
        <f t="shared" si="630"/>
        <v/>
      </c>
    </row>
    <row r="13101" spans="9:14" x14ac:dyDescent="0.25">
      <c r="I13101" s="11" t="b">
        <f t="shared" si="631"/>
        <v>0</v>
      </c>
      <c r="M13101" s="17" t="str">
        <f t="shared" si="629"/>
        <v/>
      </c>
      <c r="N13101" s="11" t="str">
        <f t="shared" si="630"/>
        <v/>
      </c>
    </row>
    <row r="13102" spans="9:14" x14ac:dyDescent="0.25">
      <c r="I13102" s="11" t="b">
        <f t="shared" si="631"/>
        <v>0</v>
      </c>
      <c r="M13102" s="17" t="str">
        <f t="shared" si="629"/>
        <v/>
      </c>
      <c r="N13102" s="11" t="str">
        <f t="shared" si="630"/>
        <v/>
      </c>
    </row>
    <row r="13103" spans="9:14" x14ac:dyDescent="0.25">
      <c r="I13103" s="11" t="b">
        <f t="shared" si="631"/>
        <v>0</v>
      </c>
      <c r="M13103" s="17" t="str">
        <f t="shared" si="629"/>
        <v/>
      </c>
      <c r="N13103" s="11" t="str">
        <f t="shared" si="630"/>
        <v/>
      </c>
    </row>
    <row r="13104" spans="9:14" x14ac:dyDescent="0.25">
      <c r="I13104" s="11" t="b">
        <f t="shared" si="631"/>
        <v>0</v>
      </c>
      <c r="M13104" s="17" t="str">
        <f t="shared" si="629"/>
        <v/>
      </c>
      <c r="N13104" s="11" t="str">
        <f t="shared" si="630"/>
        <v/>
      </c>
    </row>
    <row r="13105" spans="9:14" x14ac:dyDescent="0.25">
      <c r="I13105" s="11" t="b">
        <f t="shared" si="631"/>
        <v>0</v>
      </c>
      <c r="M13105" s="17" t="str">
        <f t="shared" si="629"/>
        <v/>
      </c>
      <c r="N13105" s="11" t="str">
        <f t="shared" si="630"/>
        <v/>
      </c>
    </row>
    <row r="13106" spans="9:14" x14ac:dyDescent="0.25">
      <c r="I13106" s="11" t="b">
        <f t="shared" si="631"/>
        <v>0</v>
      </c>
      <c r="M13106" s="17" t="str">
        <f t="shared" si="629"/>
        <v/>
      </c>
      <c r="N13106" s="11" t="str">
        <f t="shared" si="630"/>
        <v/>
      </c>
    </row>
    <row r="13107" spans="9:14" x14ac:dyDescent="0.25">
      <c r="I13107" s="11" t="b">
        <f t="shared" si="631"/>
        <v>0</v>
      </c>
      <c r="M13107" s="17" t="str">
        <f t="shared" si="629"/>
        <v/>
      </c>
      <c r="N13107" s="11" t="str">
        <f t="shared" si="630"/>
        <v/>
      </c>
    </row>
    <row r="13108" spans="9:14" x14ac:dyDescent="0.25">
      <c r="I13108" s="11" t="b">
        <f t="shared" si="631"/>
        <v>0</v>
      </c>
      <c r="M13108" s="17" t="str">
        <f t="shared" si="629"/>
        <v/>
      </c>
      <c r="N13108" s="11" t="str">
        <f t="shared" si="630"/>
        <v/>
      </c>
    </row>
    <row r="13109" spans="9:14" x14ac:dyDescent="0.25">
      <c r="I13109" s="11" t="b">
        <f t="shared" si="631"/>
        <v>0</v>
      </c>
      <c r="M13109" s="17" t="str">
        <f t="shared" si="629"/>
        <v/>
      </c>
      <c r="N13109" s="11" t="str">
        <f t="shared" si="630"/>
        <v/>
      </c>
    </row>
    <row r="13110" spans="9:14" x14ac:dyDescent="0.25">
      <c r="I13110" s="11" t="b">
        <f t="shared" si="631"/>
        <v>0</v>
      </c>
      <c r="M13110" s="17" t="str">
        <f t="shared" si="629"/>
        <v/>
      </c>
      <c r="N13110" s="11" t="str">
        <f t="shared" si="630"/>
        <v/>
      </c>
    </row>
    <row r="13111" spans="9:14" x14ac:dyDescent="0.25">
      <c r="I13111" s="11" t="b">
        <f t="shared" si="631"/>
        <v>0</v>
      </c>
      <c r="M13111" s="17" t="str">
        <f t="shared" si="629"/>
        <v/>
      </c>
      <c r="N13111" s="11" t="str">
        <f t="shared" si="630"/>
        <v/>
      </c>
    </row>
    <row r="13112" spans="9:14" x14ac:dyDescent="0.25">
      <c r="I13112" s="11" t="b">
        <f t="shared" si="631"/>
        <v>0</v>
      </c>
      <c r="M13112" s="17" t="str">
        <f t="shared" si="629"/>
        <v/>
      </c>
      <c r="N13112" s="11" t="str">
        <f t="shared" si="630"/>
        <v/>
      </c>
    </row>
    <row r="13113" spans="9:14" x14ac:dyDescent="0.25">
      <c r="I13113" s="11" t="b">
        <f t="shared" si="631"/>
        <v>0</v>
      </c>
      <c r="M13113" s="17" t="str">
        <f t="shared" si="629"/>
        <v/>
      </c>
      <c r="N13113" s="11" t="str">
        <f t="shared" si="630"/>
        <v/>
      </c>
    </row>
    <row r="13114" spans="9:14" x14ac:dyDescent="0.25">
      <c r="I13114" s="11" t="b">
        <f t="shared" si="631"/>
        <v>0</v>
      </c>
      <c r="M13114" s="17" t="str">
        <f t="shared" si="629"/>
        <v/>
      </c>
      <c r="N13114" s="11" t="str">
        <f t="shared" si="630"/>
        <v/>
      </c>
    </row>
    <row r="13115" spans="9:14" x14ac:dyDescent="0.25">
      <c r="I13115" s="11" t="b">
        <f t="shared" si="631"/>
        <v>0</v>
      </c>
      <c r="M13115" s="17" t="str">
        <f t="shared" si="629"/>
        <v/>
      </c>
      <c r="N13115" s="11" t="str">
        <f t="shared" si="630"/>
        <v/>
      </c>
    </row>
    <row r="13116" spans="9:14" x14ac:dyDescent="0.25">
      <c r="I13116" s="11" t="b">
        <f t="shared" si="631"/>
        <v>0</v>
      </c>
      <c r="M13116" s="17" t="str">
        <f t="shared" si="629"/>
        <v/>
      </c>
      <c r="N13116" s="11" t="str">
        <f t="shared" si="630"/>
        <v/>
      </c>
    </row>
    <row r="13117" spans="9:14" x14ac:dyDescent="0.25">
      <c r="I13117" s="11" t="b">
        <f t="shared" si="631"/>
        <v>0</v>
      </c>
      <c r="M13117" s="17" t="str">
        <f t="shared" si="629"/>
        <v/>
      </c>
      <c r="N13117" s="11" t="str">
        <f t="shared" si="630"/>
        <v/>
      </c>
    </row>
    <row r="13118" spans="9:14" x14ac:dyDescent="0.25">
      <c r="I13118" s="11" t="b">
        <f t="shared" si="631"/>
        <v>0</v>
      </c>
      <c r="M13118" s="17" t="str">
        <f t="shared" si="629"/>
        <v/>
      </c>
      <c r="N13118" s="11" t="str">
        <f t="shared" si="630"/>
        <v/>
      </c>
    </row>
    <row r="13119" spans="9:14" x14ac:dyDescent="0.25">
      <c r="I13119" s="11" t="b">
        <f t="shared" si="631"/>
        <v>0</v>
      </c>
      <c r="M13119" s="17" t="str">
        <f t="shared" si="629"/>
        <v/>
      </c>
      <c r="N13119" s="11" t="str">
        <f t="shared" si="630"/>
        <v/>
      </c>
    </row>
    <row r="13120" spans="9:14" x14ac:dyDescent="0.25">
      <c r="I13120" s="11" t="b">
        <f t="shared" si="631"/>
        <v>0</v>
      </c>
      <c r="M13120" s="17" t="str">
        <f t="shared" si="629"/>
        <v/>
      </c>
      <c r="N13120" s="11" t="str">
        <f t="shared" si="630"/>
        <v/>
      </c>
    </row>
    <row r="13121" spans="9:14" x14ac:dyDescent="0.25">
      <c r="I13121" s="11" t="b">
        <f t="shared" si="631"/>
        <v>0</v>
      </c>
      <c r="M13121" s="17" t="str">
        <f t="shared" ref="M13121:M13184" si="632">IF(B13121=0, "",M13120+ J13121-K13121)</f>
        <v/>
      </c>
      <c r="N13121" s="11" t="str">
        <f t="shared" ref="N13121:N13184" si="633">IF(B13121=0, "", MONTH(B13121))</f>
        <v/>
      </c>
    </row>
    <row r="13122" spans="9:14" x14ac:dyDescent="0.25">
      <c r="I13122" s="11" t="b">
        <f t="shared" si="631"/>
        <v>0</v>
      </c>
      <c r="M13122" s="17" t="str">
        <f t="shared" si="632"/>
        <v/>
      </c>
      <c r="N13122" s="11" t="str">
        <f t="shared" si="633"/>
        <v/>
      </c>
    </row>
    <row r="13123" spans="9:14" x14ac:dyDescent="0.25">
      <c r="I13123" s="11" t="b">
        <f t="shared" si="631"/>
        <v>0</v>
      </c>
      <c r="M13123" s="17" t="str">
        <f t="shared" si="632"/>
        <v/>
      </c>
      <c r="N13123" s="11" t="str">
        <f t="shared" si="633"/>
        <v/>
      </c>
    </row>
    <row r="13124" spans="9:14" x14ac:dyDescent="0.25">
      <c r="I13124" s="11" t="b">
        <f t="shared" si="631"/>
        <v>0</v>
      </c>
      <c r="M13124" s="17" t="str">
        <f t="shared" si="632"/>
        <v/>
      </c>
      <c r="N13124" s="11" t="str">
        <f t="shared" si="633"/>
        <v/>
      </c>
    </row>
    <row r="13125" spans="9:14" x14ac:dyDescent="0.25">
      <c r="I13125" s="11" t="b">
        <f t="shared" si="631"/>
        <v>0</v>
      </c>
      <c r="M13125" s="17" t="str">
        <f t="shared" si="632"/>
        <v/>
      </c>
      <c r="N13125" s="11" t="str">
        <f t="shared" si="633"/>
        <v/>
      </c>
    </row>
    <row r="13126" spans="9:14" x14ac:dyDescent="0.25">
      <c r="I13126" s="11" t="b">
        <f t="shared" si="631"/>
        <v>0</v>
      </c>
      <c r="M13126" s="17" t="str">
        <f t="shared" si="632"/>
        <v/>
      </c>
      <c r="N13126" s="11" t="str">
        <f t="shared" si="633"/>
        <v/>
      </c>
    </row>
    <row r="13127" spans="9:14" x14ac:dyDescent="0.25">
      <c r="I13127" s="11" t="b">
        <f t="shared" si="631"/>
        <v>0</v>
      </c>
      <c r="M13127" s="17" t="str">
        <f t="shared" si="632"/>
        <v/>
      </c>
      <c r="N13127" s="11" t="str">
        <f t="shared" si="633"/>
        <v/>
      </c>
    </row>
    <row r="13128" spans="9:14" x14ac:dyDescent="0.25">
      <c r="I13128" s="11" t="b">
        <f t="shared" si="631"/>
        <v>0</v>
      </c>
      <c r="M13128" s="17" t="str">
        <f t="shared" si="632"/>
        <v/>
      </c>
      <c r="N13128" s="11" t="str">
        <f t="shared" si="633"/>
        <v/>
      </c>
    </row>
    <row r="13129" spans="9:14" x14ac:dyDescent="0.25">
      <c r="I13129" s="11" t="b">
        <f t="shared" si="631"/>
        <v>0</v>
      </c>
      <c r="M13129" s="17" t="str">
        <f t="shared" si="632"/>
        <v/>
      </c>
      <c r="N13129" s="11" t="str">
        <f t="shared" si="633"/>
        <v/>
      </c>
    </row>
    <row r="13130" spans="9:14" x14ac:dyDescent="0.25">
      <c r="I13130" s="11" t="b">
        <f t="shared" si="631"/>
        <v>0</v>
      </c>
      <c r="M13130" s="17" t="str">
        <f t="shared" si="632"/>
        <v/>
      </c>
      <c r="N13130" s="11" t="str">
        <f t="shared" si="633"/>
        <v/>
      </c>
    </row>
    <row r="13131" spans="9:14" x14ac:dyDescent="0.25">
      <c r="I13131" s="11" t="b">
        <f t="shared" si="631"/>
        <v>0</v>
      </c>
      <c r="M13131" s="17" t="str">
        <f t="shared" si="632"/>
        <v/>
      </c>
      <c r="N13131" s="11" t="str">
        <f t="shared" si="633"/>
        <v/>
      </c>
    </row>
    <row r="13132" spans="9:14" x14ac:dyDescent="0.25">
      <c r="I13132" s="11" t="b">
        <f t="shared" si="631"/>
        <v>0</v>
      </c>
      <c r="M13132" s="17" t="str">
        <f t="shared" si="632"/>
        <v/>
      </c>
      <c r="N13132" s="11" t="str">
        <f t="shared" si="633"/>
        <v/>
      </c>
    </row>
    <row r="13133" spans="9:14" x14ac:dyDescent="0.25">
      <c r="I13133" s="11" t="b">
        <f t="shared" si="631"/>
        <v>0</v>
      </c>
      <c r="M13133" s="17" t="str">
        <f t="shared" si="632"/>
        <v/>
      </c>
      <c r="N13133" s="11" t="str">
        <f t="shared" si="633"/>
        <v/>
      </c>
    </row>
    <row r="13134" spans="9:14" x14ac:dyDescent="0.25">
      <c r="I13134" s="11" t="b">
        <f t="shared" si="631"/>
        <v>0</v>
      </c>
      <c r="M13134" s="17" t="str">
        <f t="shared" si="632"/>
        <v/>
      </c>
      <c r="N13134" s="11" t="str">
        <f t="shared" si="633"/>
        <v/>
      </c>
    </row>
    <row r="13135" spans="9:14" x14ac:dyDescent="0.25">
      <c r="I13135" s="11" t="b">
        <f t="shared" si="631"/>
        <v>0</v>
      </c>
      <c r="M13135" s="17" t="str">
        <f t="shared" si="632"/>
        <v/>
      </c>
      <c r="N13135" s="11" t="str">
        <f t="shared" si="633"/>
        <v/>
      </c>
    </row>
    <row r="13136" spans="9:14" x14ac:dyDescent="0.25">
      <c r="I13136" s="11" t="b">
        <f t="shared" si="631"/>
        <v>0</v>
      </c>
      <c r="M13136" s="17" t="str">
        <f t="shared" si="632"/>
        <v/>
      </c>
      <c r="N13136" s="11" t="str">
        <f t="shared" si="633"/>
        <v/>
      </c>
    </row>
    <row r="13137" spans="9:14" x14ac:dyDescent="0.25">
      <c r="I13137" s="11" t="b">
        <f t="shared" si="631"/>
        <v>0</v>
      </c>
      <c r="M13137" s="17" t="str">
        <f t="shared" si="632"/>
        <v/>
      </c>
      <c r="N13137" s="11" t="str">
        <f t="shared" si="633"/>
        <v/>
      </c>
    </row>
    <row r="13138" spans="9:14" x14ac:dyDescent="0.25">
      <c r="I13138" s="11" t="b">
        <f t="shared" si="631"/>
        <v>0</v>
      </c>
      <c r="M13138" s="17" t="str">
        <f t="shared" si="632"/>
        <v/>
      </c>
      <c r="N13138" s="11" t="str">
        <f t="shared" si="633"/>
        <v/>
      </c>
    </row>
    <row r="13139" spans="9:14" x14ac:dyDescent="0.25">
      <c r="I13139" s="11" t="b">
        <f t="shared" si="631"/>
        <v>0</v>
      </c>
      <c r="M13139" s="17" t="str">
        <f t="shared" si="632"/>
        <v/>
      </c>
      <c r="N13139" s="11" t="str">
        <f t="shared" si="633"/>
        <v/>
      </c>
    </row>
    <row r="13140" spans="9:14" x14ac:dyDescent="0.25">
      <c r="I13140" s="11" t="b">
        <f t="shared" si="631"/>
        <v>0</v>
      </c>
      <c r="M13140" s="17" t="str">
        <f t="shared" si="632"/>
        <v/>
      </c>
      <c r="N13140" s="11" t="str">
        <f t="shared" si="633"/>
        <v/>
      </c>
    </row>
    <row r="13141" spans="9:14" x14ac:dyDescent="0.25">
      <c r="I13141" s="11" t="b">
        <f t="shared" si="631"/>
        <v>0</v>
      </c>
      <c r="M13141" s="17" t="str">
        <f t="shared" si="632"/>
        <v/>
      </c>
      <c r="N13141" s="11" t="str">
        <f t="shared" si="633"/>
        <v/>
      </c>
    </row>
    <row r="13142" spans="9:14" x14ac:dyDescent="0.25">
      <c r="I13142" s="11" t="b">
        <f t="shared" si="631"/>
        <v>0</v>
      </c>
      <c r="M13142" s="17" t="str">
        <f t="shared" si="632"/>
        <v/>
      </c>
      <c r="N13142" s="11" t="str">
        <f t="shared" si="633"/>
        <v/>
      </c>
    </row>
    <row r="13143" spans="9:14" x14ac:dyDescent="0.25">
      <c r="I13143" s="11" t="b">
        <f t="shared" si="631"/>
        <v>0</v>
      </c>
      <c r="M13143" s="17" t="str">
        <f t="shared" si="632"/>
        <v/>
      </c>
      <c r="N13143" s="11" t="str">
        <f t="shared" si="633"/>
        <v/>
      </c>
    </row>
    <row r="13144" spans="9:14" x14ac:dyDescent="0.25">
      <c r="I13144" s="11" t="b">
        <f t="shared" si="631"/>
        <v>0</v>
      </c>
      <c r="M13144" s="17" t="str">
        <f t="shared" si="632"/>
        <v/>
      </c>
      <c r="N13144" s="11" t="str">
        <f t="shared" si="633"/>
        <v/>
      </c>
    </row>
    <row r="13145" spans="9:14" x14ac:dyDescent="0.25">
      <c r="I13145" s="11" t="b">
        <f t="shared" si="631"/>
        <v>0</v>
      </c>
      <c r="M13145" s="17" t="str">
        <f t="shared" si="632"/>
        <v/>
      </c>
      <c r="N13145" s="11" t="str">
        <f t="shared" si="633"/>
        <v/>
      </c>
    </row>
    <row r="13146" spans="9:14" x14ac:dyDescent="0.25">
      <c r="I13146" s="11" t="b">
        <f t="shared" si="631"/>
        <v>0</v>
      </c>
      <c r="M13146" s="17" t="str">
        <f t="shared" si="632"/>
        <v/>
      </c>
      <c r="N13146" s="11" t="str">
        <f t="shared" si="633"/>
        <v/>
      </c>
    </row>
    <row r="13147" spans="9:14" x14ac:dyDescent="0.25">
      <c r="I13147" s="11" t="b">
        <f t="shared" si="631"/>
        <v>0</v>
      </c>
      <c r="M13147" s="17" t="str">
        <f t="shared" si="632"/>
        <v/>
      </c>
      <c r="N13147" s="11" t="str">
        <f t="shared" si="633"/>
        <v/>
      </c>
    </row>
    <row r="13148" spans="9:14" x14ac:dyDescent="0.25">
      <c r="I13148" s="11" t="b">
        <f t="shared" si="631"/>
        <v>0</v>
      </c>
      <c r="M13148" s="17" t="str">
        <f t="shared" si="632"/>
        <v/>
      </c>
      <c r="N13148" s="11" t="str">
        <f t="shared" si="633"/>
        <v/>
      </c>
    </row>
    <row r="13149" spans="9:14" x14ac:dyDescent="0.25">
      <c r="I13149" s="11" t="b">
        <f t="shared" ref="I13149:I13212" si="634">IF(AND(G13149="MERCADO PAGO",A13149="FATURAMENTO"),1,IF(AND(OR(G13149="MERCADO PAGO",G13149="pix mercado pago",G13149= "débito automático mercado pago", G13149= "boleto mercado pago"),A13149="DESPESAS"),4,IF(AND(G13149="SAFRA",A13149="FATURAMENTO"),2,IF(AND(OR(G13149="SAFRA",G13149="PIX SAFRA", G13149="DÉBITO AUTOMÁTICO SAFRA", G13149= "BOLETO SAFRA", G13149= "transferência safra"), A13149="DESPESAS"),5,IF(AND(G13149="espécie",A13149="FATURAMENTO"),3,IF(AND(G13149="espécie",A13149="DESPESAS"),6))))))</f>
        <v>0</v>
      </c>
      <c r="M13149" s="17" t="str">
        <f t="shared" si="632"/>
        <v/>
      </c>
      <c r="N13149" s="11" t="str">
        <f t="shared" si="633"/>
        <v/>
      </c>
    </row>
    <row r="13150" spans="9:14" x14ac:dyDescent="0.25">
      <c r="I13150" s="11" t="b">
        <f t="shared" si="634"/>
        <v>0</v>
      </c>
      <c r="M13150" s="17" t="str">
        <f t="shared" si="632"/>
        <v/>
      </c>
      <c r="N13150" s="11" t="str">
        <f t="shared" si="633"/>
        <v/>
      </c>
    </row>
    <row r="13151" spans="9:14" x14ac:dyDescent="0.25">
      <c r="I13151" s="11" t="b">
        <f t="shared" si="634"/>
        <v>0</v>
      </c>
      <c r="M13151" s="17" t="str">
        <f t="shared" si="632"/>
        <v/>
      </c>
      <c r="N13151" s="11" t="str">
        <f t="shared" si="633"/>
        <v/>
      </c>
    </row>
    <row r="13152" spans="9:14" x14ac:dyDescent="0.25">
      <c r="I13152" s="11" t="b">
        <f t="shared" si="634"/>
        <v>0</v>
      </c>
      <c r="M13152" s="17" t="str">
        <f t="shared" si="632"/>
        <v/>
      </c>
      <c r="N13152" s="11" t="str">
        <f t="shared" si="633"/>
        <v/>
      </c>
    </row>
    <row r="13153" spans="9:14" x14ac:dyDescent="0.25">
      <c r="I13153" s="11" t="b">
        <f t="shared" si="634"/>
        <v>0</v>
      </c>
      <c r="M13153" s="17" t="str">
        <f t="shared" si="632"/>
        <v/>
      </c>
      <c r="N13153" s="11" t="str">
        <f t="shared" si="633"/>
        <v/>
      </c>
    </row>
    <row r="13154" spans="9:14" x14ac:dyDescent="0.25">
      <c r="I13154" s="11" t="b">
        <f t="shared" si="634"/>
        <v>0</v>
      </c>
      <c r="M13154" s="17" t="str">
        <f t="shared" si="632"/>
        <v/>
      </c>
      <c r="N13154" s="11" t="str">
        <f t="shared" si="633"/>
        <v/>
      </c>
    </row>
    <row r="13155" spans="9:14" x14ac:dyDescent="0.25">
      <c r="I13155" s="11" t="b">
        <f t="shared" si="634"/>
        <v>0</v>
      </c>
      <c r="M13155" s="17" t="str">
        <f t="shared" si="632"/>
        <v/>
      </c>
      <c r="N13155" s="11" t="str">
        <f t="shared" si="633"/>
        <v/>
      </c>
    </row>
    <row r="13156" spans="9:14" x14ac:dyDescent="0.25">
      <c r="I13156" s="11" t="b">
        <f t="shared" si="634"/>
        <v>0</v>
      </c>
      <c r="M13156" s="17" t="str">
        <f t="shared" si="632"/>
        <v/>
      </c>
      <c r="N13156" s="11" t="str">
        <f t="shared" si="633"/>
        <v/>
      </c>
    </row>
    <row r="13157" spans="9:14" x14ac:dyDescent="0.25">
      <c r="I13157" s="11" t="b">
        <f t="shared" si="634"/>
        <v>0</v>
      </c>
      <c r="M13157" s="17" t="str">
        <f t="shared" si="632"/>
        <v/>
      </c>
      <c r="N13157" s="11" t="str">
        <f t="shared" si="633"/>
        <v/>
      </c>
    </row>
    <row r="13158" spans="9:14" x14ac:dyDescent="0.25">
      <c r="I13158" s="11" t="b">
        <f t="shared" si="634"/>
        <v>0</v>
      </c>
      <c r="M13158" s="17" t="str">
        <f t="shared" si="632"/>
        <v/>
      </c>
      <c r="N13158" s="11" t="str">
        <f t="shared" si="633"/>
        <v/>
      </c>
    </row>
    <row r="13159" spans="9:14" x14ac:dyDescent="0.25">
      <c r="I13159" s="11" t="b">
        <f t="shared" si="634"/>
        <v>0</v>
      </c>
      <c r="M13159" s="17" t="str">
        <f t="shared" si="632"/>
        <v/>
      </c>
      <c r="N13159" s="11" t="str">
        <f t="shared" si="633"/>
        <v/>
      </c>
    </row>
    <row r="13160" spans="9:14" x14ac:dyDescent="0.25">
      <c r="I13160" s="11" t="b">
        <f t="shared" si="634"/>
        <v>0</v>
      </c>
      <c r="M13160" s="17" t="str">
        <f t="shared" si="632"/>
        <v/>
      </c>
      <c r="N13160" s="11" t="str">
        <f t="shared" si="633"/>
        <v/>
      </c>
    </row>
    <row r="13161" spans="9:14" x14ac:dyDescent="0.25">
      <c r="I13161" s="11" t="b">
        <f t="shared" si="634"/>
        <v>0</v>
      </c>
      <c r="M13161" s="17" t="str">
        <f t="shared" si="632"/>
        <v/>
      </c>
      <c r="N13161" s="11" t="str">
        <f t="shared" si="633"/>
        <v/>
      </c>
    </row>
    <row r="13162" spans="9:14" x14ac:dyDescent="0.25">
      <c r="I13162" s="11" t="b">
        <f t="shared" si="634"/>
        <v>0</v>
      </c>
      <c r="M13162" s="17" t="str">
        <f t="shared" si="632"/>
        <v/>
      </c>
      <c r="N13162" s="11" t="str">
        <f t="shared" si="633"/>
        <v/>
      </c>
    </row>
    <row r="13163" spans="9:14" x14ac:dyDescent="0.25">
      <c r="I13163" s="11" t="b">
        <f t="shared" si="634"/>
        <v>0</v>
      </c>
      <c r="M13163" s="17" t="str">
        <f t="shared" si="632"/>
        <v/>
      </c>
      <c r="N13163" s="11" t="str">
        <f t="shared" si="633"/>
        <v/>
      </c>
    </row>
    <row r="13164" spans="9:14" x14ac:dyDescent="0.25">
      <c r="I13164" s="11" t="b">
        <f t="shared" si="634"/>
        <v>0</v>
      </c>
      <c r="M13164" s="17" t="str">
        <f t="shared" si="632"/>
        <v/>
      </c>
      <c r="N13164" s="11" t="str">
        <f t="shared" si="633"/>
        <v/>
      </c>
    </row>
    <row r="13165" spans="9:14" x14ac:dyDescent="0.25">
      <c r="I13165" s="11" t="b">
        <f t="shared" si="634"/>
        <v>0</v>
      </c>
      <c r="M13165" s="17" t="str">
        <f t="shared" si="632"/>
        <v/>
      </c>
      <c r="N13165" s="11" t="str">
        <f t="shared" si="633"/>
        <v/>
      </c>
    </row>
    <row r="13166" spans="9:14" x14ac:dyDescent="0.25">
      <c r="I13166" s="11" t="b">
        <f t="shared" si="634"/>
        <v>0</v>
      </c>
      <c r="M13166" s="17" t="str">
        <f t="shared" si="632"/>
        <v/>
      </c>
      <c r="N13166" s="11" t="str">
        <f t="shared" si="633"/>
        <v/>
      </c>
    </row>
    <row r="13167" spans="9:14" x14ac:dyDescent="0.25">
      <c r="I13167" s="11" t="b">
        <f t="shared" si="634"/>
        <v>0</v>
      </c>
      <c r="M13167" s="17" t="str">
        <f t="shared" si="632"/>
        <v/>
      </c>
      <c r="N13167" s="11" t="str">
        <f t="shared" si="633"/>
        <v/>
      </c>
    </row>
    <row r="13168" spans="9:14" x14ac:dyDescent="0.25">
      <c r="I13168" s="11" t="b">
        <f t="shared" si="634"/>
        <v>0</v>
      </c>
      <c r="M13168" s="17" t="str">
        <f t="shared" si="632"/>
        <v/>
      </c>
      <c r="N13168" s="11" t="str">
        <f t="shared" si="633"/>
        <v/>
      </c>
    </row>
    <row r="13169" spans="9:14" x14ac:dyDescent="0.25">
      <c r="I13169" s="11" t="b">
        <f t="shared" si="634"/>
        <v>0</v>
      </c>
      <c r="M13169" s="17" t="str">
        <f t="shared" si="632"/>
        <v/>
      </c>
      <c r="N13169" s="11" t="str">
        <f t="shared" si="633"/>
        <v/>
      </c>
    </row>
    <row r="13170" spans="9:14" x14ac:dyDescent="0.25">
      <c r="I13170" s="11" t="b">
        <f t="shared" si="634"/>
        <v>0</v>
      </c>
      <c r="M13170" s="17" t="str">
        <f t="shared" si="632"/>
        <v/>
      </c>
      <c r="N13170" s="11" t="str">
        <f t="shared" si="633"/>
        <v/>
      </c>
    </row>
    <row r="13171" spans="9:14" x14ac:dyDescent="0.25">
      <c r="I13171" s="11" t="b">
        <f t="shared" si="634"/>
        <v>0</v>
      </c>
      <c r="M13171" s="17" t="str">
        <f t="shared" si="632"/>
        <v/>
      </c>
      <c r="N13171" s="11" t="str">
        <f t="shared" si="633"/>
        <v/>
      </c>
    </row>
    <row r="13172" spans="9:14" x14ac:dyDescent="0.25">
      <c r="I13172" s="11" t="b">
        <f t="shared" si="634"/>
        <v>0</v>
      </c>
      <c r="M13172" s="17" t="str">
        <f t="shared" si="632"/>
        <v/>
      </c>
      <c r="N13172" s="11" t="str">
        <f t="shared" si="633"/>
        <v/>
      </c>
    </row>
    <row r="13173" spans="9:14" x14ac:dyDescent="0.25">
      <c r="I13173" s="11" t="b">
        <f t="shared" si="634"/>
        <v>0</v>
      </c>
      <c r="M13173" s="17" t="str">
        <f t="shared" si="632"/>
        <v/>
      </c>
      <c r="N13173" s="11" t="str">
        <f t="shared" si="633"/>
        <v/>
      </c>
    </row>
    <row r="13174" spans="9:14" x14ac:dyDescent="0.25">
      <c r="I13174" s="11" t="b">
        <f t="shared" si="634"/>
        <v>0</v>
      </c>
      <c r="M13174" s="17" t="str">
        <f t="shared" si="632"/>
        <v/>
      </c>
      <c r="N13174" s="11" t="str">
        <f t="shared" si="633"/>
        <v/>
      </c>
    </row>
    <row r="13175" spans="9:14" x14ac:dyDescent="0.25">
      <c r="I13175" s="11" t="b">
        <f t="shared" si="634"/>
        <v>0</v>
      </c>
      <c r="M13175" s="17" t="str">
        <f t="shared" si="632"/>
        <v/>
      </c>
      <c r="N13175" s="11" t="str">
        <f t="shared" si="633"/>
        <v/>
      </c>
    </row>
    <row r="13176" spans="9:14" x14ac:dyDescent="0.25">
      <c r="I13176" s="11" t="b">
        <f t="shared" si="634"/>
        <v>0</v>
      </c>
      <c r="M13176" s="17" t="str">
        <f t="shared" si="632"/>
        <v/>
      </c>
      <c r="N13176" s="11" t="str">
        <f t="shared" si="633"/>
        <v/>
      </c>
    </row>
    <row r="13177" spans="9:14" x14ac:dyDescent="0.25">
      <c r="I13177" s="11" t="b">
        <f t="shared" si="634"/>
        <v>0</v>
      </c>
      <c r="M13177" s="17" t="str">
        <f t="shared" si="632"/>
        <v/>
      </c>
      <c r="N13177" s="11" t="str">
        <f t="shared" si="633"/>
        <v/>
      </c>
    </row>
    <row r="13178" spans="9:14" x14ac:dyDescent="0.25">
      <c r="I13178" s="11" t="b">
        <f t="shared" si="634"/>
        <v>0</v>
      </c>
      <c r="M13178" s="17" t="str">
        <f t="shared" si="632"/>
        <v/>
      </c>
      <c r="N13178" s="11" t="str">
        <f t="shared" si="633"/>
        <v/>
      </c>
    </row>
    <row r="13179" spans="9:14" x14ac:dyDescent="0.25">
      <c r="I13179" s="11" t="b">
        <f t="shared" si="634"/>
        <v>0</v>
      </c>
      <c r="M13179" s="17" t="str">
        <f t="shared" si="632"/>
        <v/>
      </c>
      <c r="N13179" s="11" t="str">
        <f t="shared" si="633"/>
        <v/>
      </c>
    </row>
    <row r="13180" spans="9:14" x14ac:dyDescent="0.25">
      <c r="I13180" s="11" t="b">
        <f t="shared" si="634"/>
        <v>0</v>
      </c>
      <c r="M13180" s="17" t="str">
        <f t="shared" si="632"/>
        <v/>
      </c>
      <c r="N13180" s="11" t="str">
        <f t="shared" si="633"/>
        <v/>
      </c>
    </row>
    <row r="13181" spans="9:14" x14ac:dyDescent="0.25">
      <c r="I13181" s="11" t="b">
        <f t="shared" si="634"/>
        <v>0</v>
      </c>
      <c r="M13181" s="17" t="str">
        <f t="shared" si="632"/>
        <v/>
      </c>
      <c r="N13181" s="11" t="str">
        <f t="shared" si="633"/>
        <v/>
      </c>
    </row>
    <row r="13182" spans="9:14" x14ac:dyDescent="0.25">
      <c r="I13182" s="11" t="b">
        <f t="shared" si="634"/>
        <v>0</v>
      </c>
      <c r="M13182" s="17" t="str">
        <f t="shared" si="632"/>
        <v/>
      </c>
      <c r="N13182" s="11" t="str">
        <f t="shared" si="633"/>
        <v/>
      </c>
    </row>
    <row r="13183" spans="9:14" x14ac:dyDescent="0.25">
      <c r="I13183" s="11" t="b">
        <f t="shared" si="634"/>
        <v>0</v>
      </c>
      <c r="M13183" s="17" t="str">
        <f t="shared" si="632"/>
        <v/>
      </c>
      <c r="N13183" s="11" t="str">
        <f t="shared" si="633"/>
        <v/>
      </c>
    </row>
    <row r="13184" spans="9:14" x14ac:dyDescent="0.25">
      <c r="I13184" s="11" t="b">
        <f t="shared" si="634"/>
        <v>0</v>
      </c>
      <c r="M13184" s="17" t="str">
        <f t="shared" si="632"/>
        <v/>
      </c>
      <c r="N13184" s="11" t="str">
        <f t="shared" si="633"/>
        <v/>
      </c>
    </row>
    <row r="13185" spans="9:14" x14ac:dyDescent="0.25">
      <c r="I13185" s="11" t="b">
        <f t="shared" si="634"/>
        <v>0</v>
      </c>
      <c r="M13185" s="17" t="str">
        <f t="shared" ref="M13185:M13248" si="635">IF(B13185=0, "",M13184+ J13185-K13185)</f>
        <v/>
      </c>
      <c r="N13185" s="11" t="str">
        <f t="shared" ref="N13185:N13248" si="636">IF(B13185=0, "", MONTH(B13185))</f>
        <v/>
      </c>
    </row>
    <row r="13186" spans="9:14" x14ac:dyDescent="0.25">
      <c r="I13186" s="11" t="b">
        <f t="shared" si="634"/>
        <v>0</v>
      </c>
      <c r="M13186" s="17" t="str">
        <f t="shared" si="635"/>
        <v/>
      </c>
      <c r="N13186" s="11" t="str">
        <f t="shared" si="636"/>
        <v/>
      </c>
    </row>
    <row r="13187" spans="9:14" x14ac:dyDescent="0.25">
      <c r="I13187" s="11" t="b">
        <f t="shared" si="634"/>
        <v>0</v>
      </c>
      <c r="M13187" s="17" t="str">
        <f t="shared" si="635"/>
        <v/>
      </c>
      <c r="N13187" s="11" t="str">
        <f t="shared" si="636"/>
        <v/>
      </c>
    </row>
    <row r="13188" spans="9:14" x14ac:dyDescent="0.25">
      <c r="I13188" s="11" t="b">
        <f t="shared" si="634"/>
        <v>0</v>
      </c>
      <c r="M13188" s="17" t="str">
        <f t="shared" si="635"/>
        <v/>
      </c>
      <c r="N13188" s="11" t="str">
        <f t="shared" si="636"/>
        <v/>
      </c>
    </row>
    <row r="13189" spans="9:14" x14ac:dyDescent="0.25">
      <c r="I13189" s="11" t="b">
        <f t="shared" si="634"/>
        <v>0</v>
      </c>
      <c r="M13189" s="17" t="str">
        <f t="shared" si="635"/>
        <v/>
      </c>
      <c r="N13189" s="11" t="str">
        <f t="shared" si="636"/>
        <v/>
      </c>
    </row>
    <row r="13190" spans="9:14" x14ac:dyDescent="0.25">
      <c r="I13190" s="11" t="b">
        <f t="shared" si="634"/>
        <v>0</v>
      </c>
      <c r="M13190" s="17" t="str">
        <f t="shared" si="635"/>
        <v/>
      </c>
      <c r="N13190" s="11" t="str">
        <f t="shared" si="636"/>
        <v/>
      </c>
    </row>
    <row r="13191" spans="9:14" x14ac:dyDescent="0.25">
      <c r="I13191" s="11" t="b">
        <f t="shared" si="634"/>
        <v>0</v>
      </c>
      <c r="M13191" s="17" t="str">
        <f t="shared" si="635"/>
        <v/>
      </c>
      <c r="N13191" s="11" t="str">
        <f t="shared" si="636"/>
        <v/>
      </c>
    </row>
    <row r="13192" spans="9:14" x14ac:dyDescent="0.25">
      <c r="I13192" s="11" t="b">
        <f t="shared" si="634"/>
        <v>0</v>
      </c>
      <c r="M13192" s="17" t="str">
        <f t="shared" si="635"/>
        <v/>
      </c>
      <c r="N13192" s="11" t="str">
        <f t="shared" si="636"/>
        <v/>
      </c>
    </row>
    <row r="13193" spans="9:14" x14ac:dyDescent="0.25">
      <c r="I13193" s="11" t="b">
        <f t="shared" si="634"/>
        <v>0</v>
      </c>
      <c r="M13193" s="17" t="str">
        <f t="shared" si="635"/>
        <v/>
      </c>
      <c r="N13193" s="11" t="str">
        <f t="shared" si="636"/>
        <v/>
      </c>
    </row>
    <row r="13194" spans="9:14" x14ac:dyDescent="0.25">
      <c r="I13194" s="11" t="b">
        <f t="shared" si="634"/>
        <v>0</v>
      </c>
      <c r="M13194" s="17" t="str">
        <f t="shared" si="635"/>
        <v/>
      </c>
      <c r="N13194" s="11" t="str">
        <f t="shared" si="636"/>
        <v/>
      </c>
    </row>
    <row r="13195" spans="9:14" x14ac:dyDescent="0.25">
      <c r="I13195" s="11" t="b">
        <f t="shared" si="634"/>
        <v>0</v>
      </c>
      <c r="M13195" s="17" t="str">
        <f t="shared" si="635"/>
        <v/>
      </c>
      <c r="N13195" s="11" t="str">
        <f t="shared" si="636"/>
        <v/>
      </c>
    </row>
    <row r="13196" spans="9:14" x14ac:dyDescent="0.25">
      <c r="I13196" s="11" t="b">
        <f t="shared" si="634"/>
        <v>0</v>
      </c>
      <c r="M13196" s="17" t="str">
        <f t="shared" si="635"/>
        <v/>
      </c>
      <c r="N13196" s="11" t="str">
        <f t="shared" si="636"/>
        <v/>
      </c>
    </row>
    <row r="13197" spans="9:14" x14ac:dyDescent="0.25">
      <c r="I13197" s="11" t="b">
        <f t="shared" si="634"/>
        <v>0</v>
      </c>
      <c r="M13197" s="17" t="str">
        <f t="shared" si="635"/>
        <v/>
      </c>
      <c r="N13197" s="11" t="str">
        <f t="shared" si="636"/>
        <v/>
      </c>
    </row>
    <row r="13198" spans="9:14" x14ac:dyDescent="0.25">
      <c r="I13198" s="11" t="b">
        <f t="shared" si="634"/>
        <v>0</v>
      </c>
      <c r="M13198" s="17" t="str">
        <f t="shared" si="635"/>
        <v/>
      </c>
      <c r="N13198" s="11" t="str">
        <f t="shared" si="636"/>
        <v/>
      </c>
    </row>
    <row r="13199" spans="9:14" x14ac:dyDescent="0.25">
      <c r="I13199" s="11" t="b">
        <f t="shared" si="634"/>
        <v>0</v>
      </c>
      <c r="M13199" s="17" t="str">
        <f t="shared" si="635"/>
        <v/>
      </c>
      <c r="N13199" s="11" t="str">
        <f t="shared" si="636"/>
        <v/>
      </c>
    </row>
    <row r="13200" spans="9:14" x14ac:dyDescent="0.25">
      <c r="I13200" s="11" t="b">
        <f t="shared" si="634"/>
        <v>0</v>
      </c>
      <c r="M13200" s="17" t="str">
        <f t="shared" si="635"/>
        <v/>
      </c>
      <c r="N13200" s="11" t="str">
        <f t="shared" si="636"/>
        <v/>
      </c>
    </row>
    <row r="13201" spans="9:14" x14ac:dyDescent="0.25">
      <c r="I13201" s="11" t="b">
        <f t="shared" si="634"/>
        <v>0</v>
      </c>
      <c r="M13201" s="17" t="str">
        <f t="shared" si="635"/>
        <v/>
      </c>
      <c r="N13201" s="11" t="str">
        <f t="shared" si="636"/>
        <v/>
      </c>
    </row>
    <row r="13202" spans="9:14" x14ac:dyDescent="0.25">
      <c r="I13202" s="11" t="b">
        <f t="shared" si="634"/>
        <v>0</v>
      </c>
      <c r="M13202" s="17" t="str">
        <f t="shared" si="635"/>
        <v/>
      </c>
      <c r="N13202" s="11" t="str">
        <f t="shared" si="636"/>
        <v/>
      </c>
    </row>
    <row r="13203" spans="9:14" x14ac:dyDescent="0.25">
      <c r="I13203" s="11" t="b">
        <f t="shared" si="634"/>
        <v>0</v>
      </c>
      <c r="M13203" s="17" t="str">
        <f t="shared" si="635"/>
        <v/>
      </c>
      <c r="N13203" s="11" t="str">
        <f t="shared" si="636"/>
        <v/>
      </c>
    </row>
    <row r="13204" spans="9:14" x14ac:dyDescent="0.25">
      <c r="I13204" s="11" t="b">
        <f t="shared" si="634"/>
        <v>0</v>
      </c>
      <c r="M13204" s="17" t="str">
        <f t="shared" si="635"/>
        <v/>
      </c>
      <c r="N13204" s="11" t="str">
        <f t="shared" si="636"/>
        <v/>
      </c>
    </row>
    <row r="13205" spans="9:14" x14ac:dyDescent="0.25">
      <c r="I13205" s="11" t="b">
        <f t="shared" si="634"/>
        <v>0</v>
      </c>
      <c r="M13205" s="17" t="str">
        <f t="shared" si="635"/>
        <v/>
      </c>
      <c r="N13205" s="11" t="str">
        <f t="shared" si="636"/>
        <v/>
      </c>
    </row>
    <row r="13206" spans="9:14" x14ac:dyDescent="0.25">
      <c r="I13206" s="11" t="b">
        <f t="shared" si="634"/>
        <v>0</v>
      </c>
      <c r="M13206" s="17" t="str">
        <f t="shared" si="635"/>
        <v/>
      </c>
      <c r="N13206" s="11" t="str">
        <f t="shared" si="636"/>
        <v/>
      </c>
    </row>
    <row r="13207" spans="9:14" x14ac:dyDescent="0.25">
      <c r="I13207" s="11" t="b">
        <f t="shared" si="634"/>
        <v>0</v>
      </c>
      <c r="M13207" s="17" t="str">
        <f t="shared" si="635"/>
        <v/>
      </c>
      <c r="N13207" s="11" t="str">
        <f t="shared" si="636"/>
        <v/>
      </c>
    </row>
    <row r="13208" spans="9:14" x14ac:dyDescent="0.25">
      <c r="I13208" s="11" t="b">
        <f t="shared" si="634"/>
        <v>0</v>
      </c>
      <c r="M13208" s="17" t="str">
        <f t="shared" si="635"/>
        <v/>
      </c>
      <c r="N13208" s="11" t="str">
        <f t="shared" si="636"/>
        <v/>
      </c>
    </row>
    <row r="13209" spans="9:14" x14ac:dyDescent="0.25">
      <c r="I13209" s="11" t="b">
        <f t="shared" si="634"/>
        <v>0</v>
      </c>
      <c r="M13209" s="17" t="str">
        <f t="shared" si="635"/>
        <v/>
      </c>
      <c r="N13209" s="11" t="str">
        <f t="shared" si="636"/>
        <v/>
      </c>
    </row>
    <row r="13210" spans="9:14" x14ac:dyDescent="0.25">
      <c r="I13210" s="11" t="b">
        <f t="shared" si="634"/>
        <v>0</v>
      </c>
      <c r="M13210" s="17" t="str">
        <f t="shared" si="635"/>
        <v/>
      </c>
      <c r="N13210" s="11" t="str">
        <f t="shared" si="636"/>
        <v/>
      </c>
    </row>
    <row r="13211" spans="9:14" x14ac:dyDescent="0.25">
      <c r="I13211" s="11" t="b">
        <f t="shared" si="634"/>
        <v>0</v>
      </c>
      <c r="M13211" s="17" t="str">
        <f t="shared" si="635"/>
        <v/>
      </c>
      <c r="N13211" s="11" t="str">
        <f t="shared" si="636"/>
        <v/>
      </c>
    </row>
    <row r="13212" spans="9:14" x14ac:dyDescent="0.25">
      <c r="I13212" s="11" t="b">
        <f t="shared" si="634"/>
        <v>0</v>
      </c>
      <c r="M13212" s="17" t="str">
        <f t="shared" si="635"/>
        <v/>
      </c>
      <c r="N13212" s="11" t="str">
        <f t="shared" si="636"/>
        <v/>
      </c>
    </row>
    <row r="13213" spans="9:14" x14ac:dyDescent="0.25">
      <c r="I13213" s="11" t="b">
        <f t="shared" ref="I13213:I13276" si="637">IF(AND(G13213="MERCADO PAGO",A13213="FATURAMENTO"),1,IF(AND(OR(G13213="MERCADO PAGO",G13213="pix mercado pago",G13213= "débito automático mercado pago", G13213= "boleto mercado pago"),A13213="DESPESAS"),4,IF(AND(G13213="SAFRA",A13213="FATURAMENTO"),2,IF(AND(OR(G13213="SAFRA",G13213="PIX SAFRA", G13213="DÉBITO AUTOMÁTICO SAFRA", G13213= "BOLETO SAFRA", G13213= "transferência safra"), A13213="DESPESAS"),5,IF(AND(G13213="espécie",A13213="FATURAMENTO"),3,IF(AND(G13213="espécie",A13213="DESPESAS"),6))))))</f>
        <v>0</v>
      </c>
      <c r="M13213" s="17" t="str">
        <f t="shared" si="635"/>
        <v/>
      </c>
      <c r="N13213" s="11" t="str">
        <f t="shared" si="636"/>
        <v/>
      </c>
    </row>
    <row r="13214" spans="9:14" x14ac:dyDescent="0.25">
      <c r="I13214" s="11" t="b">
        <f t="shared" si="637"/>
        <v>0</v>
      </c>
      <c r="M13214" s="17" t="str">
        <f t="shared" si="635"/>
        <v/>
      </c>
      <c r="N13214" s="11" t="str">
        <f t="shared" si="636"/>
        <v/>
      </c>
    </row>
    <row r="13215" spans="9:14" x14ac:dyDescent="0.25">
      <c r="I13215" s="11" t="b">
        <f t="shared" si="637"/>
        <v>0</v>
      </c>
      <c r="M13215" s="17" t="str">
        <f t="shared" si="635"/>
        <v/>
      </c>
      <c r="N13215" s="11" t="str">
        <f t="shared" si="636"/>
        <v/>
      </c>
    </row>
    <row r="13216" spans="9:14" x14ac:dyDescent="0.25">
      <c r="I13216" s="11" t="b">
        <f t="shared" si="637"/>
        <v>0</v>
      </c>
      <c r="M13216" s="17" t="str">
        <f t="shared" si="635"/>
        <v/>
      </c>
      <c r="N13216" s="11" t="str">
        <f t="shared" si="636"/>
        <v/>
      </c>
    </row>
    <row r="13217" spans="9:14" x14ac:dyDescent="0.25">
      <c r="I13217" s="11" t="b">
        <f t="shared" si="637"/>
        <v>0</v>
      </c>
      <c r="M13217" s="17" t="str">
        <f t="shared" si="635"/>
        <v/>
      </c>
      <c r="N13217" s="11" t="str">
        <f t="shared" si="636"/>
        <v/>
      </c>
    </row>
    <row r="13218" spans="9:14" x14ac:dyDescent="0.25">
      <c r="I13218" s="11" t="b">
        <f t="shared" si="637"/>
        <v>0</v>
      </c>
      <c r="M13218" s="17" t="str">
        <f t="shared" si="635"/>
        <v/>
      </c>
      <c r="N13218" s="11" t="str">
        <f t="shared" si="636"/>
        <v/>
      </c>
    </row>
    <row r="13219" spans="9:14" x14ac:dyDescent="0.25">
      <c r="I13219" s="11" t="b">
        <f t="shared" si="637"/>
        <v>0</v>
      </c>
      <c r="M13219" s="17" t="str">
        <f t="shared" si="635"/>
        <v/>
      </c>
      <c r="N13219" s="11" t="str">
        <f t="shared" si="636"/>
        <v/>
      </c>
    </row>
    <row r="13220" spans="9:14" x14ac:dyDescent="0.25">
      <c r="I13220" s="11" t="b">
        <f t="shared" si="637"/>
        <v>0</v>
      </c>
      <c r="M13220" s="17" t="str">
        <f t="shared" si="635"/>
        <v/>
      </c>
      <c r="N13220" s="11" t="str">
        <f t="shared" si="636"/>
        <v/>
      </c>
    </row>
    <row r="13221" spans="9:14" x14ac:dyDescent="0.25">
      <c r="I13221" s="11" t="b">
        <f t="shared" si="637"/>
        <v>0</v>
      </c>
      <c r="M13221" s="17" t="str">
        <f t="shared" si="635"/>
        <v/>
      </c>
      <c r="N13221" s="11" t="str">
        <f t="shared" si="636"/>
        <v/>
      </c>
    </row>
    <row r="13222" spans="9:14" x14ac:dyDescent="0.25">
      <c r="I13222" s="11" t="b">
        <f t="shared" si="637"/>
        <v>0</v>
      </c>
      <c r="M13222" s="17" t="str">
        <f t="shared" si="635"/>
        <v/>
      </c>
      <c r="N13222" s="11" t="str">
        <f t="shared" si="636"/>
        <v/>
      </c>
    </row>
    <row r="13223" spans="9:14" x14ac:dyDescent="0.25">
      <c r="I13223" s="11" t="b">
        <f t="shared" si="637"/>
        <v>0</v>
      </c>
      <c r="M13223" s="17" t="str">
        <f t="shared" si="635"/>
        <v/>
      </c>
      <c r="N13223" s="11" t="str">
        <f t="shared" si="636"/>
        <v/>
      </c>
    </row>
    <row r="13224" spans="9:14" x14ac:dyDescent="0.25">
      <c r="I13224" s="11" t="b">
        <f t="shared" si="637"/>
        <v>0</v>
      </c>
      <c r="M13224" s="17" t="str">
        <f t="shared" si="635"/>
        <v/>
      </c>
      <c r="N13224" s="11" t="str">
        <f t="shared" si="636"/>
        <v/>
      </c>
    </row>
    <row r="13225" spans="9:14" x14ac:dyDescent="0.25">
      <c r="I13225" s="11" t="b">
        <f t="shared" si="637"/>
        <v>0</v>
      </c>
      <c r="M13225" s="17" t="str">
        <f t="shared" si="635"/>
        <v/>
      </c>
      <c r="N13225" s="11" t="str">
        <f t="shared" si="636"/>
        <v/>
      </c>
    </row>
    <row r="13226" spans="9:14" x14ac:dyDescent="0.25">
      <c r="I13226" s="11" t="b">
        <f t="shared" si="637"/>
        <v>0</v>
      </c>
      <c r="M13226" s="17" t="str">
        <f t="shared" si="635"/>
        <v/>
      </c>
      <c r="N13226" s="11" t="str">
        <f t="shared" si="636"/>
        <v/>
      </c>
    </row>
    <row r="13227" spans="9:14" x14ac:dyDescent="0.25">
      <c r="I13227" s="11" t="b">
        <f t="shared" si="637"/>
        <v>0</v>
      </c>
      <c r="M13227" s="17" t="str">
        <f t="shared" si="635"/>
        <v/>
      </c>
      <c r="N13227" s="11" t="str">
        <f t="shared" si="636"/>
        <v/>
      </c>
    </row>
    <row r="13228" spans="9:14" x14ac:dyDescent="0.25">
      <c r="I13228" s="11" t="b">
        <f t="shared" si="637"/>
        <v>0</v>
      </c>
      <c r="M13228" s="17" t="str">
        <f t="shared" si="635"/>
        <v/>
      </c>
      <c r="N13228" s="11" t="str">
        <f t="shared" si="636"/>
        <v/>
      </c>
    </row>
    <row r="13229" spans="9:14" x14ac:dyDescent="0.25">
      <c r="I13229" s="11" t="b">
        <f t="shared" si="637"/>
        <v>0</v>
      </c>
      <c r="M13229" s="17" t="str">
        <f t="shared" si="635"/>
        <v/>
      </c>
      <c r="N13229" s="11" t="str">
        <f t="shared" si="636"/>
        <v/>
      </c>
    </row>
    <row r="13230" spans="9:14" x14ac:dyDescent="0.25">
      <c r="I13230" s="11" t="b">
        <f t="shared" si="637"/>
        <v>0</v>
      </c>
      <c r="M13230" s="17" t="str">
        <f t="shared" si="635"/>
        <v/>
      </c>
      <c r="N13230" s="11" t="str">
        <f t="shared" si="636"/>
        <v/>
      </c>
    </row>
    <row r="13231" spans="9:14" x14ac:dyDescent="0.25">
      <c r="I13231" s="11" t="b">
        <f t="shared" si="637"/>
        <v>0</v>
      </c>
      <c r="M13231" s="17" t="str">
        <f t="shared" si="635"/>
        <v/>
      </c>
      <c r="N13231" s="11" t="str">
        <f t="shared" si="636"/>
        <v/>
      </c>
    </row>
    <row r="13232" spans="9:14" x14ac:dyDescent="0.25">
      <c r="I13232" s="11" t="b">
        <f t="shared" si="637"/>
        <v>0</v>
      </c>
      <c r="M13232" s="17" t="str">
        <f t="shared" si="635"/>
        <v/>
      </c>
      <c r="N13232" s="11" t="str">
        <f t="shared" si="636"/>
        <v/>
      </c>
    </row>
    <row r="13233" spans="9:14" x14ac:dyDescent="0.25">
      <c r="I13233" s="11" t="b">
        <f t="shared" si="637"/>
        <v>0</v>
      </c>
      <c r="M13233" s="17" t="str">
        <f t="shared" si="635"/>
        <v/>
      </c>
      <c r="N13233" s="11" t="str">
        <f t="shared" si="636"/>
        <v/>
      </c>
    </row>
    <row r="13234" spans="9:14" x14ac:dyDescent="0.25">
      <c r="I13234" s="11" t="b">
        <f t="shared" si="637"/>
        <v>0</v>
      </c>
      <c r="M13234" s="17" t="str">
        <f t="shared" si="635"/>
        <v/>
      </c>
      <c r="N13234" s="11" t="str">
        <f t="shared" si="636"/>
        <v/>
      </c>
    </row>
    <row r="13235" spans="9:14" x14ac:dyDescent="0.25">
      <c r="I13235" s="11" t="b">
        <f t="shared" si="637"/>
        <v>0</v>
      </c>
      <c r="M13235" s="17" t="str">
        <f t="shared" si="635"/>
        <v/>
      </c>
      <c r="N13235" s="11" t="str">
        <f t="shared" si="636"/>
        <v/>
      </c>
    </row>
    <row r="13236" spans="9:14" x14ac:dyDescent="0.25">
      <c r="I13236" s="11" t="b">
        <f t="shared" si="637"/>
        <v>0</v>
      </c>
      <c r="M13236" s="17" t="str">
        <f t="shared" si="635"/>
        <v/>
      </c>
      <c r="N13236" s="11" t="str">
        <f t="shared" si="636"/>
        <v/>
      </c>
    </row>
    <row r="13237" spans="9:14" x14ac:dyDescent="0.25">
      <c r="I13237" s="11" t="b">
        <f t="shared" si="637"/>
        <v>0</v>
      </c>
      <c r="M13237" s="17" t="str">
        <f t="shared" si="635"/>
        <v/>
      </c>
      <c r="N13237" s="11" t="str">
        <f t="shared" si="636"/>
        <v/>
      </c>
    </row>
    <row r="13238" spans="9:14" x14ac:dyDescent="0.25">
      <c r="I13238" s="11" t="b">
        <f t="shared" si="637"/>
        <v>0</v>
      </c>
      <c r="M13238" s="17" t="str">
        <f t="shared" si="635"/>
        <v/>
      </c>
      <c r="N13238" s="11" t="str">
        <f t="shared" si="636"/>
        <v/>
      </c>
    </row>
    <row r="13239" spans="9:14" x14ac:dyDescent="0.25">
      <c r="I13239" s="11" t="b">
        <f t="shared" si="637"/>
        <v>0</v>
      </c>
      <c r="M13239" s="17" t="str">
        <f t="shared" si="635"/>
        <v/>
      </c>
      <c r="N13239" s="11" t="str">
        <f t="shared" si="636"/>
        <v/>
      </c>
    </row>
    <row r="13240" spans="9:14" x14ac:dyDescent="0.25">
      <c r="I13240" s="11" t="b">
        <f t="shared" si="637"/>
        <v>0</v>
      </c>
      <c r="M13240" s="17" t="str">
        <f t="shared" si="635"/>
        <v/>
      </c>
      <c r="N13240" s="11" t="str">
        <f t="shared" si="636"/>
        <v/>
      </c>
    </row>
    <row r="13241" spans="9:14" x14ac:dyDescent="0.25">
      <c r="I13241" s="11" t="b">
        <f t="shared" si="637"/>
        <v>0</v>
      </c>
      <c r="M13241" s="17" t="str">
        <f t="shared" si="635"/>
        <v/>
      </c>
      <c r="N13241" s="11" t="str">
        <f t="shared" si="636"/>
        <v/>
      </c>
    </row>
    <row r="13242" spans="9:14" x14ac:dyDescent="0.25">
      <c r="I13242" s="11" t="b">
        <f t="shared" si="637"/>
        <v>0</v>
      </c>
      <c r="M13242" s="17" t="str">
        <f t="shared" si="635"/>
        <v/>
      </c>
      <c r="N13242" s="11" t="str">
        <f t="shared" si="636"/>
        <v/>
      </c>
    </row>
    <row r="13243" spans="9:14" x14ac:dyDescent="0.25">
      <c r="I13243" s="11" t="b">
        <f t="shared" si="637"/>
        <v>0</v>
      </c>
      <c r="M13243" s="17" t="str">
        <f t="shared" si="635"/>
        <v/>
      </c>
      <c r="N13243" s="11" t="str">
        <f t="shared" si="636"/>
        <v/>
      </c>
    </row>
    <row r="13244" spans="9:14" x14ac:dyDescent="0.25">
      <c r="I13244" s="11" t="b">
        <f t="shared" si="637"/>
        <v>0</v>
      </c>
      <c r="M13244" s="17" t="str">
        <f t="shared" si="635"/>
        <v/>
      </c>
      <c r="N13244" s="11" t="str">
        <f t="shared" si="636"/>
        <v/>
      </c>
    </row>
    <row r="13245" spans="9:14" x14ac:dyDescent="0.25">
      <c r="I13245" s="11" t="b">
        <f t="shared" si="637"/>
        <v>0</v>
      </c>
      <c r="M13245" s="17" t="str">
        <f t="shared" si="635"/>
        <v/>
      </c>
      <c r="N13245" s="11" t="str">
        <f t="shared" si="636"/>
        <v/>
      </c>
    </row>
    <row r="13246" spans="9:14" x14ac:dyDescent="0.25">
      <c r="I13246" s="11" t="b">
        <f t="shared" si="637"/>
        <v>0</v>
      </c>
      <c r="M13246" s="17" t="str">
        <f t="shared" si="635"/>
        <v/>
      </c>
      <c r="N13246" s="11" t="str">
        <f t="shared" si="636"/>
        <v/>
      </c>
    </row>
    <row r="13247" spans="9:14" x14ac:dyDescent="0.25">
      <c r="I13247" s="11" t="b">
        <f t="shared" si="637"/>
        <v>0</v>
      </c>
      <c r="M13247" s="17" t="str">
        <f t="shared" si="635"/>
        <v/>
      </c>
      <c r="N13247" s="11" t="str">
        <f t="shared" si="636"/>
        <v/>
      </c>
    </row>
    <row r="13248" spans="9:14" x14ac:dyDescent="0.25">
      <c r="I13248" s="11" t="b">
        <f t="shared" si="637"/>
        <v>0</v>
      </c>
      <c r="M13248" s="17" t="str">
        <f t="shared" si="635"/>
        <v/>
      </c>
      <c r="N13248" s="11" t="str">
        <f t="shared" si="636"/>
        <v/>
      </c>
    </row>
    <row r="13249" spans="9:14" x14ac:dyDescent="0.25">
      <c r="I13249" s="11" t="b">
        <f t="shared" si="637"/>
        <v>0</v>
      </c>
      <c r="M13249" s="17" t="str">
        <f t="shared" ref="M13249:M13312" si="638">IF(B13249=0, "",M13248+ J13249-K13249)</f>
        <v/>
      </c>
      <c r="N13249" s="11" t="str">
        <f t="shared" ref="N13249:N13312" si="639">IF(B13249=0, "", MONTH(B13249))</f>
        <v/>
      </c>
    </row>
    <row r="13250" spans="9:14" x14ac:dyDescent="0.25">
      <c r="I13250" s="11" t="b">
        <f t="shared" si="637"/>
        <v>0</v>
      </c>
      <c r="M13250" s="17" t="str">
        <f t="shared" si="638"/>
        <v/>
      </c>
      <c r="N13250" s="11" t="str">
        <f t="shared" si="639"/>
        <v/>
      </c>
    </row>
    <row r="13251" spans="9:14" x14ac:dyDescent="0.25">
      <c r="I13251" s="11" t="b">
        <f t="shared" si="637"/>
        <v>0</v>
      </c>
      <c r="M13251" s="17" t="str">
        <f t="shared" si="638"/>
        <v/>
      </c>
      <c r="N13251" s="11" t="str">
        <f t="shared" si="639"/>
        <v/>
      </c>
    </row>
    <row r="13252" spans="9:14" x14ac:dyDescent="0.25">
      <c r="I13252" s="11" t="b">
        <f t="shared" si="637"/>
        <v>0</v>
      </c>
      <c r="M13252" s="17" t="str">
        <f t="shared" si="638"/>
        <v/>
      </c>
      <c r="N13252" s="11" t="str">
        <f t="shared" si="639"/>
        <v/>
      </c>
    </row>
    <row r="13253" spans="9:14" x14ac:dyDescent="0.25">
      <c r="I13253" s="11" t="b">
        <f t="shared" si="637"/>
        <v>0</v>
      </c>
      <c r="M13253" s="17" t="str">
        <f t="shared" si="638"/>
        <v/>
      </c>
      <c r="N13253" s="11" t="str">
        <f t="shared" si="639"/>
        <v/>
      </c>
    </row>
    <row r="13254" spans="9:14" x14ac:dyDescent="0.25">
      <c r="I13254" s="11" t="b">
        <f t="shared" si="637"/>
        <v>0</v>
      </c>
      <c r="M13254" s="17" t="str">
        <f t="shared" si="638"/>
        <v/>
      </c>
      <c r="N13254" s="11" t="str">
        <f t="shared" si="639"/>
        <v/>
      </c>
    </row>
    <row r="13255" spans="9:14" x14ac:dyDescent="0.25">
      <c r="I13255" s="11" t="b">
        <f t="shared" si="637"/>
        <v>0</v>
      </c>
      <c r="M13255" s="17" t="str">
        <f t="shared" si="638"/>
        <v/>
      </c>
      <c r="N13255" s="11" t="str">
        <f t="shared" si="639"/>
        <v/>
      </c>
    </row>
    <row r="13256" spans="9:14" x14ac:dyDescent="0.25">
      <c r="I13256" s="11" t="b">
        <f t="shared" si="637"/>
        <v>0</v>
      </c>
      <c r="M13256" s="17" t="str">
        <f t="shared" si="638"/>
        <v/>
      </c>
      <c r="N13256" s="11" t="str">
        <f t="shared" si="639"/>
        <v/>
      </c>
    </row>
    <row r="13257" spans="9:14" x14ac:dyDescent="0.25">
      <c r="I13257" s="11" t="b">
        <f t="shared" si="637"/>
        <v>0</v>
      </c>
      <c r="M13257" s="17" t="str">
        <f t="shared" si="638"/>
        <v/>
      </c>
      <c r="N13257" s="11" t="str">
        <f t="shared" si="639"/>
        <v/>
      </c>
    </row>
    <row r="13258" spans="9:14" x14ac:dyDescent="0.25">
      <c r="I13258" s="11" t="b">
        <f t="shared" si="637"/>
        <v>0</v>
      </c>
      <c r="M13258" s="17" t="str">
        <f t="shared" si="638"/>
        <v/>
      </c>
      <c r="N13258" s="11" t="str">
        <f t="shared" si="639"/>
        <v/>
      </c>
    </row>
    <row r="13259" spans="9:14" x14ac:dyDescent="0.25">
      <c r="I13259" s="11" t="b">
        <f t="shared" si="637"/>
        <v>0</v>
      </c>
      <c r="M13259" s="17" t="str">
        <f t="shared" si="638"/>
        <v/>
      </c>
      <c r="N13259" s="11" t="str">
        <f t="shared" si="639"/>
        <v/>
      </c>
    </row>
    <row r="13260" spans="9:14" x14ac:dyDescent="0.25">
      <c r="I13260" s="11" t="b">
        <f t="shared" si="637"/>
        <v>0</v>
      </c>
      <c r="M13260" s="17" t="str">
        <f t="shared" si="638"/>
        <v/>
      </c>
      <c r="N13260" s="11" t="str">
        <f t="shared" si="639"/>
        <v/>
      </c>
    </row>
    <row r="13261" spans="9:14" x14ac:dyDescent="0.25">
      <c r="I13261" s="11" t="b">
        <f t="shared" si="637"/>
        <v>0</v>
      </c>
      <c r="M13261" s="17" t="str">
        <f t="shared" si="638"/>
        <v/>
      </c>
      <c r="N13261" s="11" t="str">
        <f t="shared" si="639"/>
        <v/>
      </c>
    </row>
    <row r="13262" spans="9:14" x14ac:dyDescent="0.25">
      <c r="I13262" s="11" t="b">
        <f t="shared" si="637"/>
        <v>0</v>
      </c>
      <c r="M13262" s="17" t="str">
        <f t="shared" si="638"/>
        <v/>
      </c>
      <c r="N13262" s="11" t="str">
        <f t="shared" si="639"/>
        <v/>
      </c>
    </row>
    <row r="13263" spans="9:14" x14ac:dyDescent="0.25">
      <c r="I13263" s="11" t="b">
        <f t="shared" si="637"/>
        <v>0</v>
      </c>
      <c r="M13263" s="17" t="str">
        <f t="shared" si="638"/>
        <v/>
      </c>
      <c r="N13263" s="11" t="str">
        <f t="shared" si="639"/>
        <v/>
      </c>
    </row>
    <row r="13264" spans="9:14" x14ac:dyDescent="0.25">
      <c r="I13264" s="11" t="b">
        <f t="shared" si="637"/>
        <v>0</v>
      </c>
      <c r="M13264" s="17" t="str">
        <f t="shared" si="638"/>
        <v/>
      </c>
      <c r="N13264" s="11" t="str">
        <f t="shared" si="639"/>
        <v/>
      </c>
    </row>
    <row r="13265" spans="9:14" x14ac:dyDescent="0.25">
      <c r="I13265" s="11" t="b">
        <f t="shared" si="637"/>
        <v>0</v>
      </c>
      <c r="M13265" s="17" t="str">
        <f t="shared" si="638"/>
        <v/>
      </c>
      <c r="N13265" s="11" t="str">
        <f t="shared" si="639"/>
        <v/>
      </c>
    </row>
    <row r="13266" spans="9:14" x14ac:dyDescent="0.25">
      <c r="I13266" s="11" t="b">
        <f t="shared" si="637"/>
        <v>0</v>
      </c>
      <c r="M13266" s="17" t="str">
        <f t="shared" si="638"/>
        <v/>
      </c>
      <c r="N13266" s="11" t="str">
        <f t="shared" si="639"/>
        <v/>
      </c>
    </row>
    <row r="13267" spans="9:14" x14ac:dyDescent="0.25">
      <c r="I13267" s="11" t="b">
        <f t="shared" si="637"/>
        <v>0</v>
      </c>
      <c r="M13267" s="17" t="str">
        <f t="shared" si="638"/>
        <v/>
      </c>
      <c r="N13267" s="11" t="str">
        <f t="shared" si="639"/>
        <v/>
      </c>
    </row>
    <row r="13268" spans="9:14" x14ac:dyDescent="0.25">
      <c r="I13268" s="11" t="b">
        <f t="shared" si="637"/>
        <v>0</v>
      </c>
      <c r="M13268" s="17" t="str">
        <f t="shared" si="638"/>
        <v/>
      </c>
      <c r="N13268" s="11" t="str">
        <f t="shared" si="639"/>
        <v/>
      </c>
    </row>
    <row r="13269" spans="9:14" x14ac:dyDescent="0.25">
      <c r="I13269" s="11" t="b">
        <f t="shared" si="637"/>
        <v>0</v>
      </c>
      <c r="M13269" s="17" t="str">
        <f t="shared" si="638"/>
        <v/>
      </c>
      <c r="N13269" s="11" t="str">
        <f t="shared" si="639"/>
        <v/>
      </c>
    </row>
    <row r="13270" spans="9:14" x14ac:dyDescent="0.25">
      <c r="I13270" s="11" t="b">
        <f t="shared" si="637"/>
        <v>0</v>
      </c>
      <c r="M13270" s="17" t="str">
        <f t="shared" si="638"/>
        <v/>
      </c>
      <c r="N13270" s="11" t="str">
        <f t="shared" si="639"/>
        <v/>
      </c>
    </row>
    <row r="13271" spans="9:14" x14ac:dyDescent="0.25">
      <c r="I13271" s="11" t="b">
        <f t="shared" si="637"/>
        <v>0</v>
      </c>
      <c r="M13271" s="17" t="str">
        <f t="shared" si="638"/>
        <v/>
      </c>
      <c r="N13271" s="11" t="str">
        <f t="shared" si="639"/>
        <v/>
      </c>
    </row>
    <row r="13272" spans="9:14" x14ac:dyDescent="0.25">
      <c r="I13272" s="11" t="b">
        <f t="shared" si="637"/>
        <v>0</v>
      </c>
      <c r="M13272" s="17" t="str">
        <f t="shared" si="638"/>
        <v/>
      </c>
      <c r="N13272" s="11" t="str">
        <f t="shared" si="639"/>
        <v/>
      </c>
    </row>
    <row r="13273" spans="9:14" x14ac:dyDescent="0.25">
      <c r="I13273" s="11" t="b">
        <f t="shared" si="637"/>
        <v>0</v>
      </c>
      <c r="M13273" s="17" t="str">
        <f t="shared" si="638"/>
        <v/>
      </c>
      <c r="N13273" s="11" t="str">
        <f t="shared" si="639"/>
        <v/>
      </c>
    </row>
    <row r="13274" spans="9:14" x14ac:dyDescent="0.25">
      <c r="I13274" s="11" t="b">
        <f t="shared" si="637"/>
        <v>0</v>
      </c>
      <c r="M13274" s="17" t="str">
        <f t="shared" si="638"/>
        <v/>
      </c>
      <c r="N13274" s="11" t="str">
        <f t="shared" si="639"/>
        <v/>
      </c>
    </row>
    <row r="13275" spans="9:14" x14ac:dyDescent="0.25">
      <c r="I13275" s="11" t="b">
        <f t="shared" si="637"/>
        <v>0</v>
      </c>
      <c r="M13275" s="17" t="str">
        <f t="shared" si="638"/>
        <v/>
      </c>
      <c r="N13275" s="11" t="str">
        <f t="shared" si="639"/>
        <v/>
      </c>
    </row>
    <row r="13276" spans="9:14" x14ac:dyDescent="0.25">
      <c r="I13276" s="11" t="b">
        <f t="shared" si="637"/>
        <v>0</v>
      </c>
      <c r="M13276" s="17" t="str">
        <f t="shared" si="638"/>
        <v/>
      </c>
      <c r="N13276" s="11" t="str">
        <f t="shared" si="639"/>
        <v/>
      </c>
    </row>
    <row r="13277" spans="9:14" x14ac:dyDescent="0.25">
      <c r="I13277" s="11" t="b">
        <f t="shared" ref="I13277:I13340" si="640">IF(AND(G13277="MERCADO PAGO",A13277="FATURAMENTO"),1,IF(AND(OR(G13277="MERCADO PAGO",G13277="pix mercado pago",G13277= "débito automático mercado pago", G13277= "boleto mercado pago"),A13277="DESPESAS"),4,IF(AND(G13277="SAFRA",A13277="FATURAMENTO"),2,IF(AND(OR(G13277="SAFRA",G13277="PIX SAFRA", G13277="DÉBITO AUTOMÁTICO SAFRA", G13277= "BOLETO SAFRA", G13277= "transferência safra"), A13277="DESPESAS"),5,IF(AND(G13277="espécie",A13277="FATURAMENTO"),3,IF(AND(G13277="espécie",A13277="DESPESAS"),6))))))</f>
        <v>0</v>
      </c>
      <c r="M13277" s="17" t="str">
        <f t="shared" si="638"/>
        <v/>
      </c>
      <c r="N13277" s="11" t="str">
        <f t="shared" si="639"/>
        <v/>
      </c>
    </row>
    <row r="13278" spans="9:14" x14ac:dyDescent="0.25">
      <c r="I13278" s="11" t="b">
        <f t="shared" si="640"/>
        <v>0</v>
      </c>
      <c r="M13278" s="17" t="str">
        <f t="shared" si="638"/>
        <v/>
      </c>
      <c r="N13278" s="11" t="str">
        <f t="shared" si="639"/>
        <v/>
      </c>
    </row>
    <row r="13279" spans="9:14" x14ac:dyDescent="0.25">
      <c r="I13279" s="11" t="b">
        <f t="shared" si="640"/>
        <v>0</v>
      </c>
      <c r="M13279" s="17" t="str">
        <f t="shared" si="638"/>
        <v/>
      </c>
      <c r="N13279" s="11" t="str">
        <f t="shared" si="639"/>
        <v/>
      </c>
    </row>
    <row r="13280" spans="9:14" x14ac:dyDescent="0.25">
      <c r="I13280" s="11" t="b">
        <f t="shared" si="640"/>
        <v>0</v>
      </c>
      <c r="M13280" s="17" t="str">
        <f t="shared" si="638"/>
        <v/>
      </c>
      <c r="N13280" s="11" t="str">
        <f t="shared" si="639"/>
        <v/>
      </c>
    </row>
    <row r="13281" spans="9:14" x14ac:dyDescent="0.25">
      <c r="I13281" s="11" t="b">
        <f t="shared" si="640"/>
        <v>0</v>
      </c>
      <c r="M13281" s="17" t="str">
        <f t="shared" si="638"/>
        <v/>
      </c>
      <c r="N13281" s="11" t="str">
        <f t="shared" si="639"/>
        <v/>
      </c>
    </row>
    <row r="13282" spans="9:14" x14ac:dyDescent="0.25">
      <c r="I13282" s="11" t="b">
        <f t="shared" si="640"/>
        <v>0</v>
      </c>
      <c r="M13282" s="17" t="str">
        <f t="shared" si="638"/>
        <v/>
      </c>
      <c r="N13282" s="11" t="str">
        <f t="shared" si="639"/>
        <v/>
      </c>
    </row>
    <row r="13283" spans="9:14" x14ac:dyDescent="0.25">
      <c r="I13283" s="11" t="b">
        <f t="shared" si="640"/>
        <v>0</v>
      </c>
      <c r="M13283" s="17" t="str">
        <f t="shared" si="638"/>
        <v/>
      </c>
      <c r="N13283" s="11" t="str">
        <f t="shared" si="639"/>
        <v/>
      </c>
    </row>
    <row r="13284" spans="9:14" x14ac:dyDescent="0.25">
      <c r="I13284" s="11" t="b">
        <f t="shared" si="640"/>
        <v>0</v>
      </c>
      <c r="M13284" s="17" t="str">
        <f t="shared" si="638"/>
        <v/>
      </c>
      <c r="N13284" s="11" t="str">
        <f t="shared" si="639"/>
        <v/>
      </c>
    </row>
    <row r="13285" spans="9:14" x14ac:dyDescent="0.25">
      <c r="I13285" s="11" t="b">
        <f t="shared" si="640"/>
        <v>0</v>
      </c>
      <c r="M13285" s="17" t="str">
        <f t="shared" si="638"/>
        <v/>
      </c>
      <c r="N13285" s="11" t="str">
        <f t="shared" si="639"/>
        <v/>
      </c>
    </row>
    <row r="13286" spans="9:14" x14ac:dyDescent="0.25">
      <c r="I13286" s="11" t="b">
        <f t="shared" si="640"/>
        <v>0</v>
      </c>
      <c r="M13286" s="17" t="str">
        <f t="shared" si="638"/>
        <v/>
      </c>
      <c r="N13286" s="11" t="str">
        <f t="shared" si="639"/>
        <v/>
      </c>
    </row>
    <row r="13287" spans="9:14" x14ac:dyDescent="0.25">
      <c r="I13287" s="11" t="b">
        <f t="shared" si="640"/>
        <v>0</v>
      </c>
      <c r="M13287" s="17" t="str">
        <f t="shared" si="638"/>
        <v/>
      </c>
      <c r="N13287" s="11" t="str">
        <f t="shared" si="639"/>
        <v/>
      </c>
    </row>
    <row r="13288" spans="9:14" x14ac:dyDescent="0.25">
      <c r="I13288" s="11" t="b">
        <f t="shared" si="640"/>
        <v>0</v>
      </c>
      <c r="M13288" s="17" t="str">
        <f t="shared" si="638"/>
        <v/>
      </c>
      <c r="N13288" s="11" t="str">
        <f t="shared" si="639"/>
        <v/>
      </c>
    </row>
    <row r="13289" spans="9:14" x14ac:dyDescent="0.25">
      <c r="I13289" s="11" t="b">
        <f t="shared" si="640"/>
        <v>0</v>
      </c>
      <c r="M13289" s="17" t="str">
        <f t="shared" si="638"/>
        <v/>
      </c>
      <c r="N13289" s="11" t="str">
        <f t="shared" si="639"/>
        <v/>
      </c>
    </row>
    <row r="13290" spans="9:14" x14ac:dyDescent="0.25">
      <c r="I13290" s="11" t="b">
        <f t="shared" si="640"/>
        <v>0</v>
      </c>
      <c r="M13290" s="17" t="str">
        <f t="shared" si="638"/>
        <v/>
      </c>
      <c r="N13290" s="11" t="str">
        <f t="shared" si="639"/>
        <v/>
      </c>
    </row>
    <row r="13291" spans="9:14" x14ac:dyDescent="0.25">
      <c r="I13291" s="11" t="b">
        <f t="shared" si="640"/>
        <v>0</v>
      </c>
      <c r="M13291" s="17" t="str">
        <f t="shared" si="638"/>
        <v/>
      </c>
      <c r="N13291" s="11" t="str">
        <f t="shared" si="639"/>
        <v/>
      </c>
    </row>
    <row r="13292" spans="9:14" x14ac:dyDescent="0.25">
      <c r="I13292" s="11" t="b">
        <f t="shared" si="640"/>
        <v>0</v>
      </c>
      <c r="M13292" s="17" t="str">
        <f t="shared" si="638"/>
        <v/>
      </c>
      <c r="N13292" s="11" t="str">
        <f t="shared" si="639"/>
        <v/>
      </c>
    </row>
    <row r="13293" spans="9:14" x14ac:dyDescent="0.25">
      <c r="I13293" s="11" t="b">
        <f t="shared" si="640"/>
        <v>0</v>
      </c>
      <c r="M13293" s="17" t="str">
        <f t="shared" si="638"/>
        <v/>
      </c>
      <c r="N13293" s="11" t="str">
        <f t="shared" si="639"/>
        <v/>
      </c>
    </row>
    <row r="13294" spans="9:14" x14ac:dyDescent="0.25">
      <c r="I13294" s="11" t="b">
        <f t="shared" si="640"/>
        <v>0</v>
      </c>
      <c r="M13294" s="17" t="str">
        <f t="shared" si="638"/>
        <v/>
      </c>
      <c r="N13294" s="11" t="str">
        <f t="shared" si="639"/>
        <v/>
      </c>
    </row>
    <row r="13295" spans="9:14" x14ac:dyDescent="0.25">
      <c r="I13295" s="11" t="b">
        <f t="shared" si="640"/>
        <v>0</v>
      </c>
      <c r="M13295" s="17" t="str">
        <f t="shared" si="638"/>
        <v/>
      </c>
      <c r="N13295" s="11" t="str">
        <f t="shared" si="639"/>
        <v/>
      </c>
    </row>
    <row r="13296" spans="9:14" x14ac:dyDescent="0.25">
      <c r="I13296" s="11" t="b">
        <f t="shared" si="640"/>
        <v>0</v>
      </c>
      <c r="M13296" s="17" t="str">
        <f t="shared" si="638"/>
        <v/>
      </c>
      <c r="N13296" s="11" t="str">
        <f t="shared" si="639"/>
        <v/>
      </c>
    </row>
    <row r="13297" spans="9:14" x14ac:dyDescent="0.25">
      <c r="I13297" s="11" t="b">
        <f t="shared" si="640"/>
        <v>0</v>
      </c>
      <c r="M13297" s="17" t="str">
        <f t="shared" si="638"/>
        <v/>
      </c>
      <c r="N13297" s="11" t="str">
        <f t="shared" si="639"/>
        <v/>
      </c>
    </row>
    <row r="13298" spans="9:14" x14ac:dyDescent="0.25">
      <c r="I13298" s="11" t="b">
        <f t="shared" si="640"/>
        <v>0</v>
      </c>
      <c r="M13298" s="17" t="str">
        <f t="shared" si="638"/>
        <v/>
      </c>
      <c r="N13298" s="11" t="str">
        <f t="shared" si="639"/>
        <v/>
      </c>
    </row>
    <row r="13299" spans="9:14" x14ac:dyDescent="0.25">
      <c r="I13299" s="11" t="b">
        <f t="shared" si="640"/>
        <v>0</v>
      </c>
      <c r="M13299" s="17" t="str">
        <f t="shared" si="638"/>
        <v/>
      </c>
      <c r="N13299" s="11" t="str">
        <f t="shared" si="639"/>
        <v/>
      </c>
    </row>
    <row r="13300" spans="9:14" x14ac:dyDescent="0.25">
      <c r="I13300" s="11" t="b">
        <f t="shared" si="640"/>
        <v>0</v>
      </c>
      <c r="M13300" s="17" t="str">
        <f t="shared" si="638"/>
        <v/>
      </c>
      <c r="N13300" s="11" t="str">
        <f t="shared" si="639"/>
        <v/>
      </c>
    </row>
    <row r="13301" spans="9:14" x14ac:dyDescent="0.25">
      <c r="I13301" s="11" t="b">
        <f t="shared" si="640"/>
        <v>0</v>
      </c>
      <c r="M13301" s="17" t="str">
        <f t="shared" si="638"/>
        <v/>
      </c>
      <c r="N13301" s="11" t="str">
        <f t="shared" si="639"/>
        <v/>
      </c>
    </row>
    <row r="13302" spans="9:14" x14ac:dyDescent="0.25">
      <c r="I13302" s="11" t="b">
        <f t="shared" si="640"/>
        <v>0</v>
      </c>
      <c r="M13302" s="17" t="str">
        <f t="shared" si="638"/>
        <v/>
      </c>
      <c r="N13302" s="11" t="str">
        <f t="shared" si="639"/>
        <v/>
      </c>
    </row>
    <row r="13303" spans="9:14" x14ac:dyDescent="0.25">
      <c r="I13303" s="11" t="b">
        <f t="shared" si="640"/>
        <v>0</v>
      </c>
      <c r="M13303" s="17" t="str">
        <f t="shared" si="638"/>
        <v/>
      </c>
      <c r="N13303" s="11" t="str">
        <f t="shared" si="639"/>
        <v/>
      </c>
    </row>
    <row r="13304" spans="9:14" x14ac:dyDescent="0.25">
      <c r="I13304" s="11" t="b">
        <f t="shared" si="640"/>
        <v>0</v>
      </c>
      <c r="M13304" s="17" t="str">
        <f t="shared" si="638"/>
        <v/>
      </c>
      <c r="N13304" s="11" t="str">
        <f t="shared" si="639"/>
        <v/>
      </c>
    </row>
    <row r="13305" spans="9:14" x14ac:dyDescent="0.25">
      <c r="I13305" s="11" t="b">
        <f t="shared" si="640"/>
        <v>0</v>
      </c>
      <c r="M13305" s="17" t="str">
        <f t="shared" si="638"/>
        <v/>
      </c>
      <c r="N13305" s="11" t="str">
        <f t="shared" si="639"/>
        <v/>
      </c>
    </row>
    <row r="13306" spans="9:14" x14ac:dyDescent="0.25">
      <c r="I13306" s="11" t="b">
        <f t="shared" si="640"/>
        <v>0</v>
      </c>
      <c r="M13306" s="17" t="str">
        <f t="shared" si="638"/>
        <v/>
      </c>
      <c r="N13306" s="11" t="str">
        <f t="shared" si="639"/>
        <v/>
      </c>
    </row>
    <row r="13307" spans="9:14" x14ac:dyDescent="0.25">
      <c r="I13307" s="11" t="b">
        <f t="shared" si="640"/>
        <v>0</v>
      </c>
      <c r="M13307" s="17" t="str">
        <f t="shared" si="638"/>
        <v/>
      </c>
      <c r="N13307" s="11" t="str">
        <f t="shared" si="639"/>
        <v/>
      </c>
    </row>
    <row r="13308" spans="9:14" x14ac:dyDescent="0.25">
      <c r="I13308" s="11" t="b">
        <f t="shared" si="640"/>
        <v>0</v>
      </c>
      <c r="M13308" s="17" t="str">
        <f t="shared" si="638"/>
        <v/>
      </c>
      <c r="N13308" s="11" t="str">
        <f t="shared" si="639"/>
        <v/>
      </c>
    </row>
    <row r="13309" spans="9:14" x14ac:dyDescent="0.25">
      <c r="I13309" s="11" t="b">
        <f t="shared" si="640"/>
        <v>0</v>
      </c>
      <c r="M13309" s="17" t="str">
        <f t="shared" si="638"/>
        <v/>
      </c>
      <c r="N13309" s="11" t="str">
        <f t="shared" si="639"/>
        <v/>
      </c>
    </row>
    <row r="13310" spans="9:14" x14ac:dyDescent="0.25">
      <c r="I13310" s="11" t="b">
        <f t="shared" si="640"/>
        <v>0</v>
      </c>
      <c r="M13310" s="17" t="str">
        <f t="shared" si="638"/>
        <v/>
      </c>
      <c r="N13310" s="11" t="str">
        <f t="shared" si="639"/>
        <v/>
      </c>
    </row>
    <row r="13311" spans="9:14" x14ac:dyDescent="0.25">
      <c r="I13311" s="11" t="b">
        <f t="shared" si="640"/>
        <v>0</v>
      </c>
      <c r="M13311" s="17" t="str">
        <f t="shared" si="638"/>
        <v/>
      </c>
      <c r="N13311" s="11" t="str">
        <f t="shared" si="639"/>
        <v/>
      </c>
    </row>
    <row r="13312" spans="9:14" x14ac:dyDescent="0.25">
      <c r="I13312" s="11" t="b">
        <f t="shared" si="640"/>
        <v>0</v>
      </c>
      <c r="M13312" s="17" t="str">
        <f t="shared" si="638"/>
        <v/>
      </c>
      <c r="N13312" s="11" t="str">
        <f t="shared" si="639"/>
        <v/>
      </c>
    </row>
    <row r="13313" spans="9:14" x14ac:dyDescent="0.25">
      <c r="I13313" s="11" t="b">
        <f t="shared" si="640"/>
        <v>0</v>
      </c>
      <c r="M13313" s="17" t="str">
        <f t="shared" ref="M13313:M13376" si="641">IF(B13313=0, "",M13312+ J13313-K13313)</f>
        <v/>
      </c>
      <c r="N13313" s="11" t="str">
        <f t="shared" ref="N13313:N13376" si="642">IF(B13313=0, "", MONTH(B13313))</f>
        <v/>
      </c>
    </row>
    <row r="13314" spans="9:14" x14ac:dyDescent="0.25">
      <c r="I13314" s="11" t="b">
        <f t="shared" si="640"/>
        <v>0</v>
      </c>
      <c r="M13314" s="17" t="str">
        <f t="shared" si="641"/>
        <v/>
      </c>
      <c r="N13314" s="11" t="str">
        <f t="shared" si="642"/>
        <v/>
      </c>
    </row>
    <row r="13315" spans="9:14" x14ac:dyDescent="0.25">
      <c r="I13315" s="11" t="b">
        <f t="shared" si="640"/>
        <v>0</v>
      </c>
      <c r="M13315" s="17" t="str">
        <f t="shared" si="641"/>
        <v/>
      </c>
      <c r="N13315" s="11" t="str">
        <f t="shared" si="642"/>
        <v/>
      </c>
    </row>
    <row r="13316" spans="9:14" x14ac:dyDescent="0.25">
      <c r="I13316" s="11" t="b">
        <f t="shared" si="640"/>
        <v>0</v>
      </c>
      <c r="M13316" s="17" t="str">
        <f t="shared" si="641"/>
        <v/>
      </c>
      <c r="N13316" s="11" t="str">
        <f t="shared" si="642"/>
        <v/>
      </c>
    </row>
    <row r="13317" spans="9:14" x14ac:dyDescent="0.25">
      <c r="I13317" s="11" t="b">
        <f t="shared" si="640"/>
        <v>0</v>
      </c>
      <c r="M13317" s="17" t="str">
        <f t="shared" si="641"/>
        <v/>
      </c>
      <c r="N13317" s="11" t="str">
        <f t="shared" si="642"/>
        <v/>
      </c>
    </row>
    <row r="13318" spans="9:14" x14ac:dyDescent="0.25">
      <c r="I13318" s="11" t="b">
        <f t="shared" si="640"/>
        <v>0</v>
      </c>
      <c r="M13318" s="17" t="str">
        <f t="shared" si="641"/>
        <v/>
      </c>
      <c r="N13318" s="11" t="str">
        <f t="shared" si="642"/>
        <v/>
      </c>
    </row>
    <row r="13319" spans="9:14" x14ac:dyDescent="0.25">
      <c r="I13319" s="11" t="b">
        <f t="shared" si="640"/>
        <v>0</v>
      </c>
      <c r="M13319" s="17" t="str">
        <f t="shared" si="641"/>
        <v/>
      </c>
      <c r="N13319" s="11" t="str">
        <f t="shared" si="642"/>
        <v/>
      </c>
    </row>
    <row r="13320" spans="9:14" x14ac:dyDescent="0.25">
      <c r="I13320" s="11" t="b">
        <f t="shared" si="640"/>
        <v>0</v>
      </c>
      <c r="M13320" s="17" t="str">
        <f t="shared" si="641"/>
        <v/>
      </c>
      <c r="N13320" s="11" t="str">
        <f t="shared" si="642"/>
        <v/>
      </c>
    </row>
    <row r="13321" spans="9:14" x14ac:dyDescent="0.25">
      <c r="I13321" s="11" t="b">
        <f t="shared" si="640"/>
        <v>0</v>
      </c>
      <c r="M13321" s="17" t="str">
        <f t="shared" si="641"/>
        <v/>
      </c>
      <c r="N13321" s="11" t="str">
        <f t="shared" si="642"/>
        <v/>
      </c>
    </row>
    <row r="13322" spans="9:14" x14ac:dyDescent="0.25">
      <c r="I13322" s="11" t="b">
        <f t="shared" si="640"/>
        <v>0</v>
      </c>
      <c r="M13322" s="17" t="str">
        <f t="shared" si="641"/>
        <v/>
      </c>
      <c r="N13322" s="11" t="str">
        <f t="shared" si="642"/>
        <v/>
      </c>
    </row>
    <row r="13323" spans="9:14" x14ac:dyDescent="0.25">
      <c r="I13323" s="11" t="b">
        <f t="shared" si="640"/>
        <v>0</v>
      </c>
      <c r="M13323" s="17" t="str">
        <f t="shared" si="641"/>
        <v/>
      </c>
      <c r="N13323" s="11" t="str">
        <f t="shared" si="642"/>
        <v/>
      </c>
    </row>
    <row r="13324" spans="9:14" x14ac:dyDescent="0.25">
      <c r="I13324" s="11" t="b">
        <f t="shared" si="640"/>
        <v>0</v>
      </c>
      <c r="M13324" s="17" t="str">
        <f t="shared" si="641"/>
        <v/>
      </c>
      <c r="N13324" s="11" t="str">
        <f t="shared" si="642"/>
        <v/>
      </c>
    </row>
    <row r="13325" spans="9:14" x14ac:dyDescent="0.25">
      <c r="I13325" s="11" t="b">
        <f t="shared" si="640"/>
        <v>0</v>
      </c>
      <c r="M13325" s="17" t="str">
        <f t="shared" si="641"/>
        <v/>
      </c>
      <c r="N13325" s="11" t="str">
        <f t="shared" si="642"/>
        <v/>
      </c>
    </row>
    <row r="13326" spans="9:14" x14ac:dyDescent="0.25">
      <c r="I13326" s="11" t="b">
        <f t="shared" si="640"/>
        <v>0</v>
      </c>
      <c r="M13326" s="17" t="str">
        <f t="shared" si="641"/>
        <v/>
      </c>
      <c r="N13326" s="11" t="str">
        <f t="shared" si="642"/>
        <v/>
      </c>
    </row>
    <row r="13327" spans="9:14" x14ac:dyDescent="0.25">
      <c r="I13327" s="11" t="b">
        <f t="shared" si="640"/>
        <v>0</v>
      </c>
      <c r="M13327" s="17" t="str">
        <f t="shared" si="641"/>
        <v/>
      </c>
      <c r="N13327" s="11" t="str">
        <f t="shared" si="642"/>
        <v/>
      </c>
    </row>
    <row r="13328" spans="9:14" x14ac:dyDescent="0.25">
      <c r="I13328" s="11" t="b">
        <f t="shared" si="640"/>
        <v>0</v>
      </c>
      <c r="M13328" s="17" t="str">
        <f t="shared" si="641"/>
        <v/>
      </c>
      <c r="N13328" s="11" t="str">
        <f t="shared" si="642"/>
        <v/>
      </c>
    </row>
    <row r="13329" spans="9:14" x14ac:dyDescent="0.25">
      <c r="I13329" s="11" t="b">
        <f t="shared" si="640"/>
        <v>0</v>
      </c>
      <c r="M13329" s="17" t="str">
        <f t="shared" si="641"/>
        <v/>
      </c>
      <c r="N13329" s="11" t="str">
        <f t="shared" si="642"/>
        <v/>
      </c>
    </row>
    <row r="13330" spans="9:14" x14ac:dyDescent="0.25">
      <c r="I13330" s="11" t="b">
        <f t="shared" si="640"/>
        <v>0</v>
      </c>
      <c r="M13330" s="17" t="str">
        <f t="shared" si="641"/>
        <v/>
      </c>
      <c r="N13330" s="11" t="str">
        <f t="shared" si="642"/>
        <v/>
      </c>
    </row>
    <row r="13331" spans="9:14" x14ac:dyDescent="0.25">
      <c r="I13331" s="11" t="b">
        <f t="shared" si="640"/>
        <v>0</v>
      </c>
      <c r="M13331" s="17" t="str">
        <f t="shared" si="641"/>
        <v/>
      </c>
      <c r="N13331" s="11" t="str">
        <f t="shared" si="642"/>
        <v/>
      </c>
    </row>
    <row r="13332" spans="9:14" x14ac:dyDescent="0.25">
      <c r="I13332" s="11" t="b">
        <f t="shared" si="640"/>
        <v>0</v>
      </c>
      <c r="M13332" s="17" t="str">
        <f t="shared" si="641"/>
        <v/>
      </c>
      <c r="N13332" s="11" t="str">
        <f t="shared" si="642"/>
        <v/>
      </c>
    </row>
    <row r="13333" spans="9:14" x14ac:dyDescent="0.25">
      <c r="I13333" s="11" t="b">
        <f t="shared" si="640"/>
        <v>0</v>
      </c>
      <c r="M13333" s="17" t="str">
        <f t="shared" si="641"/>
        <v/>
      </c>
      <c r="N13333" s="11" t="str">
        <f t="shared" si="642"/>
        <v/>
      </c>
    </row>
    <row r="13334" spans="9:14" x14ac:dyDescent="0.25">
      <c r="I13334" s="11" t="b">
        <f t="shared" si="640"/>
        <v>0</v>
      </c>
      <c r="M13334" s="17" t="str">
        <f t="shared" si="641"/>
        <v/>
      </c>
      <c r="N13334" s="11" t="str">
        <f t="shared" si="642"/>
        <v/>
      </c>
    </row>
    <row r="13335" spans="9:14" x14ac:dyDescent="0.25">
      <c r="I13335" s="11" t="b">
        <f t="shared" si="640"/>
        <v>0</v>
      </c>
      <c r="M13335" s="17" t="str">
        <f t="shared" si="641"/>
        <v/>
      </c>
      <c r="N13335" s="11" t="str">
        <f t="shared" si="642"/>
        <v/>
      </c>
    </row>
    <row r="13336" spans="9:14" x14ac:dyDescent="0.25">
      <c r="I13336" s="11" t="b">
        <f t="shared" si="640"/>
        <v>0</v>
      </c>
      <c r="M13336" s="17" t="str">
        <f t="shared" si="641"/>
        <v/>
      </c>
      <c r="N13336" s="11" t="str">
        <f t="shared" si="642"/>
        <v/>
      </c>
    </row>
    <row r="13337" spans="9:14" x14ac:dyDescent="0.25">
      <c r="I13337" s="11" t="b">
        <f t="shared" si="640"/>
        <v>0</v>
      </c>
      <c r="M13337" s="17" t="str">
        <f t="shared" si="641"/>
        <v/>
      </c>
      <c r="N13337" s="11" t="str">
        <f t="shared" si="642"/>
        <v/>
      </c>
    </row>
    <row r="13338" spans="9:14" x14ac:dyDescent="0.25">
      <c r="I13338" s="11" t="b">
        <f t="shared" si="640"/>
        <v>0</v>
      </c>
      <c r="M13338" s="17" t="str">
        <f t="shared" si="641"/>
        <v/>
      </c>
      <c r="N13338" s="11" t="str">
        <f t="shared" si="642"/>
        <v/>
      </c>
    </row>
    <row r="13339" spans="9:14" x14ac:dyDescent="0.25">
      <c r="I13339" s="11" t="b">
        <f t="shared" si="640"/>
        <v>0</v>
      </c>
      <c r="M13339" s="17" t="str">
        <f t="shared" si="641"/>
        <v/>
      </c>
      <c r="N13339" s="11" t="str">
        <f t="shared" si="642"/>
        <v/>
      </c>
    </row>
    <row r="13340" spans="9:14" x14ac:dyDescent="0.25">
      <c r="I13340" s="11" t="b">
        <f t="shared" si="640"/>
        <v>0</v>
      </c>
      <c r="M13340" s="17" t="str">
        <f t="shared" si="641"/>
        <v/>
      </c>
      <c r="N13340" s="11" t="str">
        <f t="shared" si="642"/>
        <v/>
      </c>
    </row>
    <row r="13341" spans="9:14" x14ac:dyDescent="0.25">
      <c r="I13341" s="11" t="b">
        <f t="shared" ref="I13341:I13404" si="643">IF(AND(G13341="MERCADO PAGO",A13341="FATURAMENTO"),1,IF(AND(OR(G13341="MERCADO PAGO",G13341="pix mercado pago",G13341= "débito automático mercado pago", G13341= "boleto mercado pago"),A13341="DESPESAS"),4,IF(AND(G13341="SAFRA",A13341="FATURAMENTO"),2,IF(AND(OR(G13341="SAFRA",G13341="PIX SAFRA", G13341="DÉBITO AUTOMÁTICO SAFRA", G13341= "BOLETO SAFRA", G13341= "transferência safra"), A13341="DESPESAS"),5,IF(AND(G13341="espécie",A13341="FATURAMENTO"),3,IF(AND(G13341="espécie",A13341="DESPESAS"),6))))))</f>
        <v>0</v>
      </c>
      <c r="M13341" s="17" t="str">
        <f t="shared" si="641"/>
        <v/>
      </c>
      <c r="N13341" s="11" t="str">
        <f t="shared" si="642"/>
        <v/>
      </c>
    </row>
    <row r="13342" spans="9:14" x14ac:dyDescent="0.25">
      <c r="I13342" s="11" t="b">
        <f t="shared" si="643"/>
        <v>0</v>
      </c>
      <c r="M13342" s="17" t="str">
        <f t="shared" si="641"/>
        <v/>
      </c>
      <c r="N13342" s="11" t="str">
        <f t="shared" si="642"/>
        <v/>
      </c>
    </row>
    <row r="13343" spans="9:14" x14ac:dyDescent="0.25">
      <c r="I13343" s="11" t="b">
        <f t="shared" si="643"/>
        <v>0</v>
      </c>
      <c r="M13343" s="17" t="str">
        <f t="shared" si="641"/>
        <v/>
      </c>
      <c r="N13343" s="11" t="str">
        <f t="shared" si="642"/>
        <v/>
      </c>
    </row>
    <row r="13344" spans="9:14" x14ac:dyDescent="0.25">
      <c r="I13344" s="11" t="b">
        <f t="shared" si="643"/>
        <v>0</v>
      </c>
      <c r="M13344" s="17" t="str">
        <f t="shared" si="641"/>
        <v/>
      </c>
      <c r="N13344" s="11" t="str">
        <f t="shared" si="642"/>
        <v/>
      </c>
    </row>
    <row r="13345" spans="9:14" x14ac:dyDescent="0.25">
      <c r="I13345" s="11" t="b">
        <f t="shared" si="643"/>
        <v>0</v>
      </c>
      <c r="M13345" s="17" t="str">
        <f t="shared" si="641"/>
        <v/>
      </c>
      <c r="N13345" s="11" t="str">
        <f t="shared" si="642"/>
        <v/>
      </c>
    </row>
    <row r="13346" spans="9:14" x14ac:dyDescent="0.25">
      <c r="I13346" s="11" t="b">
        <f t="shared" si="643"/>
        <v>0</v>
      </c>
      <c r="M13346" s="17" t="str">
        <f t="shared" si="641"/>
        <v/>
      </c>
      <c r="N13346" s="11" t="str">
        <f t="shared" si="642"/>
        <v/>
      </c>
    </row>
    <row r="13347" spans="9:14" x14ac:dyDescent="0.25">
      <c r="I13347" s="11" t="b">
        <f t="shared" si="643"/>
        <v>0</v>
      </c>
      <c r="M13347" s="17" t="str">
        <f t="shared" si="641"/>
        <v/>
      </c>
      <c r="N13347" s="11" t="str">
        <f t="shared" si="642"/>
        <v/>
      </c>
    </row>
    <row r="13348" spans="9:14" x14ac:dyDescent="0.25">
      <c r="I13348" s="11" t="b">
        <f t="shared" si="643"/>
        <v>0</v>
      </c>
      <c r="M13348" s="17" t="str">
        <f t="shared" si="641"/>
        <v/>
      </c>
      <c r="N13348" s="11" t="str">
        <f t="shared" si="642"/>
        <v/>
      </c>
    </row>
    <row r="13349" spans="9:14" x14ac:dyDescent="0.25">
      <c r="I13349" s="11" t="b">
        <f t="shared" si="643"/>
        <v>0</v>
      </c>
      <c r="M13349" s="17" t="str">
        <f t="shared" si="641"/>
        <v/>
      </c>
      <c r="N13349" s="11" t="str">
        <f t="shared" si="642"/>
        <v/>
      </c>
    </row>
    <row r="13350" spans="9:14" x14ac:dyDescent="0.25">
      <c r="I13350" s="11" t="b">
        <f t="shared" si="643"/>
        <v>0</v>
      </c>
      <c r="M13350" s="17" t="str">
        <f t="shared" si="641"/>
        <v/>
      </c>
      <c r="N13350" s="11" t="str">
        <f t="shared" si="642"/>
        <v/>
      </c>
    </row>
    <row r="13351" spans="9:14" x14ac:dyDescent="0.25">
      <c r="I13351" s="11" t="b">
        <f t="shared" si="643"/>
        <v>0</v>
      </c>
      <c r="M13351" s="17" t="str">
        <f t="shared" si="641"/>
        <v/>
      </c>
      <c r="N13351" s="11" t="str">
        <f t="shared" si="642"/>
        <v/>
      </c>
    </row>
    <row r="13352" spans="9:14" x14ac:dyDescent="0.25">
      <c r="I13352" s="11" t="b">
        <f t="shared" si="643"/>
        <v>0</v>
      </c>
      <c r="M13352" s="17" t="str">
        <f t="shared" si="641"/>
        <v/>
      </c>
      <c r="N13352" s="11" t="str">
        <f t="shared" si="642"/>
        <v/>
      </c>
    </row>
    <row r="13353" spans="9:14" x14ac:dyDescent="0.25">
      <c r="I13353" s="11" t="b">
        <f t="shared" si="643"/>
        <v>0</v>
      </c>
      <c r="M13353" s="17" t="str">
        <f t="shared" si="641"/>
        <v/>
      </c>
      <c r="N13353" s="11" t="str">
        <f t="shared" si="642"/>
        <v/>
      </c>
    </row>
    <row r="13354" spans="9:14" x14ac:dyDescent="0.25">
      <c r="I13354" s="11" t="b">
        <f t="shared" si="643"/>
        <v>0</v>
      </c>
      <c r="M13354" s="17" t="str">
        <f t="shared" si="641"/>
        <v/>
      </c>
      <c r="N13354" s="11" t="str">
        <f t="shared" si="642"/>
        <v/>
      </c>
    </row>
    <row r="13355" spans="9:14" x14ac:dyDescent="0.25">
      <c r="I13355" s="11" t="b">
        <f t="shared" si="643"/>
        <v>0</v>
      </c>
      <c r="M13355" s="17" t="str">
        <f t="shared" si="641"/>
        <v/>
      </c>
      <c r="N13355" s="11" t="str">
        <f t="shared" si="642"/>
        <v/>
      </c>
    </row>
    <row r="13356" spans="9:14" x14ac:dyDescent="0.25">
      <c r="I13356" s="11" t="b">
        <f t="shared" si="643"/>
        <v>0</v>
      </c>
      <c r="M13356" s="17" t="str">
        <f t="shared" si="641"/>
        <v/>
      </c>
      <c r="N13356" s="11" t="str">
        <f t="shared" si="642"/>
        <v/>
      </c>
    </row>
    <row r="13357" spans="9:14" x14ac:dyDescent="0.25">
      <c r="I13357" s="11" t="b">
        <f t="shared" si="643"/>
        <v>0</v>
      </c>
      <c r="M13357" s="17" t="str">
        <f t="shared" si="641"/>
        <v/>
      </c>
      <c r="N13357" s="11" t="str">
        <f t="shared" si="642"/>
        <v/>
      </c>
    </row>
    <row r="13358" spans="9:14" x14ac:dyDescent="0.25">
      <c r="I13358" s="11" t="b">
        <f t="shared" si="643"/>
        <v>0</v>
      </c>
      <c r="M13358" s="17" t="str">
        <f t="shared" si="641"/>
        <v/>
      </c>
      <c r="N13358" s="11" t="str">
        <f t="shared" si="642"/>
        <v/>
      </c>
    </row>
    <row r="13359" spans="9:14" x14ac:dyDescent="0.25">
      <c r="I13359" s="11" t="b">
        <f t="shared" si="643"/>
        <v>0</v>
      </c>
      <c r="M13359" s="17" t="str">
        <f t="shared" si="641"/>
        <v/>
      </c>
      <c r="N13359" s="11" t="str">
        <f t="shared" si="642"/>
        <v/>
      </c>
    </row>
    <row r="13360" spans="9:14" x14ac:dyDescent="0.25">
      <c r="I13360" s="11" t="b">
        <f t="shared" si="643"/>
        <v>0</v>
      </c>
      <c r="M13360" s="17" t="str">
        <f t="shared" si="641"/>
        <v/>
      </c>
      <c r="N13360" s="11" t="str">
        <f t="shared" si="642"/>
        <v/>
      </c>
    </row>
    <row r="13361" spans="9:14" x14ac:dyDescent="0.25">
      <c r="I13361" s="11" t="b">
        <f t="shared" si="643"/>
        <v>0</v>
      </c>
      <c r="M13361" s="17" t="str">
        <f t="shared" si="641"/>
        <v/>
      </c>
      <c r="N13361" s="11" t="str">
        <f t="shared" si="642"/>
        <v/>
      </c>
    </row>
    <row r="13362" spans="9:14" x14ac:dyDescent="0.25">
      <c r="I13362" s="11" t="b">
        <f t="shared" si="643"/>
        <v>0</v>
      </c>
      <c r="M13362" s="17" t="str">
        <f t="shared" si="641"/>
        <v/>
      </c>
      <c r="N13362" s="11" t="str">
        <f t="shared" si="642"/>
        <v/>
      </c>
    </row>
    <row r="13363" spans="9:14" x14ac:dyDescent="0.25">
      <c r="I13363" s="11" t="b">
        <f t="shared" si="643"/>
        <v>0</v>
      </c>
      <c r="M13363" s="17" t="str">
        <f t="shared" si="641"/>
        <v/>
      </c>
      <c r="N13363" s="11" t="str">
        <f t="shared" si="642"/>
        <v/>
      </c>
    </row>
    <row r="13364" spans="9:14" x14ac:dyDescent="0.25">
      <c r="I13364" s="11" t="b">
        <f t="shared" si="643"/>
        <v>0</v>
      </c>
      <c r="M13364" s="17" t="str">
        <f t="shared" si="641"/>
        <v/>
      </c>
      <c r="N13364" s="11" t="str">
        <f t="shared" si="642"/>
        <v/>
      </c>
    </row>
    <row r="13365" spans="9:14" x14ac:dyDescent="0.25">
      <c r="I13365" s="11" t="b">
        <f t="shared" si="643"/>
        <v>0</v>
      </c>
      <c r="M13365" s="17" t="str">
        <f t="shared" si="641"/>
        <v/>
      </c>
      <c r="N13365" s="11" t="str">
        <f t="shared" si="642"/>
        <v/>
      </c>
    </row>
    <row r="13366" spans="9:14" x14ac:dyDescent="0.25">
      <c r="I13366" s="11" t="b">
        <f t="shared" si="643"/>
        <v>0</v>
      </c>
      <c r="M13366" s="17" t="str">
        <f t="shared" si="641"/>
        <v/>
      </c>
      <c r="N13366" s="11" t="str">
        <f t="shared" si="642"/>
        <v/>
      </c>
    </row>
    <row r="13367" spans="9:14" x14ac:dyDescent="0.25">
      <c r="I13367" s="11" t="b">
        <f t="shared" si="643"/>
        <v>0</v>
      </c>
      <c r="M13367" s="17" t="str">
        <f t="shared" si="641"/>
        <v/>
      </c>
      <c r="N13367" s="11" t="str">
        <f t="shared" si="642"/>
        <v/>
      </c>
    </row>
    <row r="13368" spans="9:14" x14ac:dyDescent="0.25">
      <c r="I13368" s="11" t="b">
        <f t="shared" si="643"/>
        <v>0</v>
      </c>
      <c r="M13368" s="17" t="str">
        <f t="shared" si="641"/>
        <v/>
      </c>
      <c r="N13368" s="11" t="str">
        <f t="shared" si="642"/>
        <v/>
      </c>
    </row>
    <row r="13369" spans="9:14" x14ac:dyDescent="0.25">
      <c r="I13369" s="11" t="b">
        <f t="shared" si="643"/>
        <v>0</v>
      </c>
      <c r="M13369" s="17" t="str">
        <f t="shared" si="641"/>
        <v/>
      </c>
      <c r="N13369" s="11" t="str">
        <f t="shared" si="642"/>
        <v/>
      </c>
    </row>
    <row r="13370" spans="9:14" x14ac:dyDescent="0.25">
      <c r="I13370" s="11" t="b">
        <f t="shared" si="643"/>
        <v>0</v>
      </c>
      <c r="M13370" s="17" t="str">
        <f t="shared" si="641"/>
        <v/>
      </c>
      <c r="N13370" s="11" t="str">
        <f t="shared" si="642"/>
        <v/>
      </c>
    </row>
    <row r="13371" spans="9:14" x14ac:dyDescent="0.25">
      <c r="I13371" s="11" t="b">
        <f t="shared" si="643"/>
        <v>0</v>
      </c>
      <c r="M13371" s="17" t="str">
        <f t="shared" si="641"/>
        <v/>
      </c>
      <c r="N13371" s="11" t="str">
        <f t="shared" si="642"/>
        <v/>
      </c>
    </row>
    <row r="13372" spans="9:14" x14ac:dyDescent="0.25">
      <c r="I13372" s="11" t="b">
        <f t="shared" si="643"/>
        <v>0</v>
      </c>
      <c r="M13372" s="17" t="str">
        <f t="shared" si="641"/>
        <v/>
      </c>
      <c r="N13372" s="11" t="str">
        <f t="shared" si="642"/>
        <v/>
      </c>
    </row>
    <row r="13373" spans="9:14" x14ac:dyDescent="0.25">
      <c r="I13373" s="11" t="b">
        <f t="shared" si="643"/>
        <v>0</v>
      </c>
      <c r="M13373" s="17" t="str">
        <f t="shared" si="641"/>
        <v/>
      </c>
      <c r="N13373" s="11" t="str">
        <f t="shared" si="642"/>
        <v/>
      </c>
    </row>
    <row r="13374" spans="9:14" x14ac:dyDescent="0.25">
      <c r="I13374" s="11" t="b">
        <f t="shared" si="643"/>
        <v>0</v>
      </c>
      <c r="M13374" s="17" t="str">
        <f t="shared" si="641"/>
        <v/>
      </c>
      <c r="N13374" s="11" t="str">
        <f t="shared" si="642"/>
        <v/>
      </c>
    </row>
    <row r="13375" spans="9:14" x14ac:dyDescent="0.25">
      <c r="I13375" s="11" t="b">
        <f t="shared" si="643"/>
        <v>0</v>
      </c>
      <c r="M13375" s="17" t="str">
        <f t="shared" si="641"/>
        <v/>
      </c>
      <c r="N13375" s="11" t="str">
        <f t="shared" si="642"/>
        <v/>
      </c>
    </row>
    <row r="13376" spans="9:14" x14ac:dyDescent="0.25">
      <c r="I13376" s="11" t="b">
        <f t="shared" si="643"/>
        <v>0</v>
      </c>
      <c r="M13376" s="17" t="str">
        <f t="shared" si="641"/>
        <v/>
      </c>
      <c r="N13376" s="11" t="str">
        <f t="shared" si="642"/>
        <v/>
      </c>
    </row>
    <row r="13377" spans="9:14" x14ac:dyDescent="0.25">
      <c r="I13377" s="11" t="b">
        <f t="shared" si="643"/>
        <v>0</v>
      </c>
      <c r="M13377" s="17" t="str">
        <f t="shared" ref="M13377:M13440" si="644">IF(B13377=0, "",M13376+ J13377-K13377)</f>
        <v/>
      </c>
      <c r="N13377" s="11" t="str">
        <f t="shared" ref="N13377:N13440" si="645">IF(B13377=0, "", MONTH(B13377))</f>
        <v/>
      </c>
    </row>
    <row r="13378" spans="9:14" x14ac:dyDescent="0.25">
      <c r="I13378" s="11" t="b">
        <f t="shared" si="643"/>
        <v>0</v>
      </c>
      <c r="M13378" s="17" t="str">
        <f t="shared" si="644"/>
        <v/>
      </c>
      <c r="N13378" s="11" t="str">
        <f t="shared" si="645"/>
        <v/>
      </c>
    </row>
    <row r="13379" spans="9:14" x14ac:dyDescent="0.25">
      <c r="I13379" s="11" t="b">
        <f t="shared" si="643"/>
        <v>0</v>
      </c>
      <c r="M13379" s="17" t="str">
        <f t="shared" si="644"/>
        <v/>
      </c>
      <c r="N13379" s="11" t="str">
        <f t="shared" si="645"/>
        <v/>
      </c>
    </row>
    <row r="13380" spans="9:14" x14ac:dyDescent="0.25">
      <c r="I13380" s="11" t="b">
        <f t="shared" si="643"/>
        <v>0</v>
      </c>
      <c r="M13380" s="17" t="str">
        <f t="shared" si="644"/>
        <v/>
      </c>
      <c r="N13380" s="11" t="str">
        <f t="shared" si="645"/>
        <v/>
      </c>
    </row>
    <row r="13381" spans="9:14" x14ac:dyDescent="0.25">
      <c r="I13381" s="11" t="b">
        <f t="shared" si="643"/>
        <v>0</v>
      </c>
      <c r="M13381" s="17" t="str">
        <f t="shared" si="644"/>
        <v/>
      </c>
      <c r="N13381" s="11" t="str">
        <f t="shared" si="645"/>
        <v/>
      </c>
    </row>
    <row r="13382" spans="9:14" x14ac:dyDescent="0.25">
      <c r="I13382" s="11" t="b">
        <f t="shared" si="643"/>
        <v>0</v>
      </c>
      <c r="M13382" s="17" t="str">
        <f t="shared" si="644"/>
        <v/>
      </c>
      <c r="N13382" s="11" t="str">
        <f t="shared" si="645"/>
        <v/>
      </c>
    </row>
    <row r="13383" spans="9:14" x14ac:dyDescent="0.25">
      <c r="I13383" s="11" t="b">
        <f t="shared" si="643"/>
        <v>0</v>
      </c>
      <c r="M13383" s="17" t="str">
        <f t="shared" si="644"/>
        <v/>
      </c>
      <c r="N13383" s="11" t="str">
        <f t="shared" si="645"/>
        <v/>
      </c>
    </row>
    <row r="13384" spans="9:14" x14ac:dyDescent="0.25">
      <c r="I13384" s="11" t="b">
        <f t="shared" si="643"/>
        <v>0</v>
      </c>
      <c r="M13384" s="17" t="str">
        <f t="shared" si="644"/>
        <v/>
      </c>
      <c r="N13384" s="11" t="str">
        <f t="shared" si="645"/>
        <v/>
      </c>
    </row>
    <row r="13385" spans="9:14" x14ac:dyDescent="0.25">
      <c r="I13385" s="11" t="b">
        <f t="shared" si="643"/>
        <v>0</v>
      </c>
      <c r="M13385" s="17" t="str">
        <f t="shared" si="644"/>
        <v/>
      </c>
      <c r="N13385" s="11" t="str">
        <f t="shared" si="645"/>
        <v/>
      </c>
    </row>
    <row r="13386" spans="9:14" x14ac:dyDescent="0.25">
      <c r="I13386" s="11" t="b">
        <f t="shared" si="643"/>
        <v>0</v>
      </c>
      <c r="M13386" s="17" t="str">
        <f t="shared" si="644"/>
        <v/>
      </c>
      <c r="N13386" s="11" t="str">
        <f t="shared" si="645"/>
        <v/>
      </c>
    </row>
    <row r="13387" spans="9:14" x14ac:dyDescent="0.25">
      <c r="I13387" s="11" t="b">
        <f t="shared" si="643"/>
        <v>0</v>
      </c>
      <c r="M13387" s="17" t="str">
        <f t="shared" si="644"/>
        <v/>
      </c>
      <c r="N13387" s="11" t="str">
        <f t="shared" si="645"/>
        <v/>
      </c>
    </row>
    <row r="13388" spans="9:14" x14ac:dyDescent="0.25">
      <c r="I13388" s="11" t="b">
        <f t="shared" si="643"/>
        <v>0</v>
      </c>
      <c r="M13388" s="17" t="str">
        <f t="shared" si="644"/>
        <v/>
      </c>
      <c r="N13388" s="11" t="str">
        <f t="shared" si="645"/>
        <v/>
      </c>
    </row>
    <row r="13389" spans="9:14" x14ac:dyDescent="0.25">
      <c r="I13389" s="11" t="b">
        <f t="shared" si="643"/>
        <v>0</v>
      </c>
      <c r="M13389" s="17" t="str">
        <f t="shared" si="644"/>
        <v/>
      </c>
      <c r="N13389" s="11" t="str">
        <f t="shared" si="645"/>
        <v/>
      </c>
    </row>
    <row r="13390" spans="9:14" x14ac:dyDescent="0.25">
      <c r="I13390" s="11" t="b">
        <f t="shared" si="643"/>
        <v>0</v>
      </c>
      <c r="M13390" s="17" t="str">
        <f t="shared" si="644"/>
        <v/>
      </c>
      <c r="N13390" s="11" t="str">
        <f t="shared" si="645"/>
        <v/>
      </c>
    </row>
    <row r="13391" spans="9:14" x14ac:dyDescent="0.25">
      <c r="I13391" s="11" t="b">
        <f t="shared" si="643"/>
        <v>0</v>
      </c>
      <c r="M13391" s="17" t="str">
        <f t="shared" si="644"/>
        <v/>
      </c>
      <c r="N13391" s="11" t="str">
        <f t="shared" si="645"/>
        <v/>
      </c>
    </row>
    <row r="13392" spans="9:14" x14ac:dyDescent="0.25">
      <c r="I13392" s="11" t="b">
        <f t="shared" si="643"/>
        <v>0</v>
      </c>
      <c r="M13392" s="17" t="str">
        <f t="shared" si="644"/>
        <v/>
      </c>
      <c r="N13392" s="11" t="str">
        <f t="shared" si="645"/>
        <v/>
      </c>
    </row>
    <row r="13393" spans="9:14" x14ac:dyDescent="0.25">
      <c r="I13393" s="11" t="b">
        <f t="shared" si="643"/>
        <v>0</v>
      </c>
      <c r="M13393" s="17" t="str">
        <f t="shared" si="644"/>
        <v/>
      </c>
      <c r="N13393" s="11" t="str">
        <f t="shared" si="645"/>
        <v/>
      </c>
    </row>
    <row r="13394" spans="9:14" x14ac:dyDescent="0.25">
      <c r="I13394" s="11" t="b">
        <f t="shared" si="643"/>
        <v>0</v>
      </c>
      <c r="M13394" s="17" t="str">
        <f t="shared" si="644"/>
        <v/>
      </c>
      <c r="N13394" s="11" t="str">
        <f t="shared" si="645"/>
        <v/>
      </c>
    </row>
    <row r="13395" spans="9:14" x14ac:dyDescent="0.25">
      <c r="I13395" s="11" t="b">
        <f t="shared" si="643"/>
        <v>0</v>
      </c>
      <c r="M13395" s="17" t="str">
        <f t="shared" si="644"/>
        <v/>
      </c>
      <c r="N13395" s="11" t="str">
        <f t="shared" si="645"/>
        <v/>
      </c>
    </row>
    <row r="13396" spans="9:14" x14ac:dyDescent="0.25">
      <c r="I13396" s="11" t="b">
        <f t="shared" si="643"/>
        <v>0</v>
      </c>
      <c r="M13396" s="17" t="str">
        <f t="shared" si="644"/>
        <v/>
      </c>
      <c r="N13396" s="11" t="str">
        <f t="shared" si="645"/>
        <v/>
      </c>
    </row>
    <row r="13397" spans="9:14" x14ac:dyDescent="0.25">
      <c r="I13397" s="11" t="b">
        <f t="shared" si="643"/>
        <v>0</v>
      </c>
      <c r="M13397" s="17" t="str">
        <f t="shared" si="644"/>
        <v/>
      </c>
      <c r="N13397" s="11" t="str">
        <f t="shared" si="645"/>
        <v/>
      </c>
    </row>
    <row r="13398" spans="9:14" x14ac:dyDescent="0.25">
      <c r="I13398" s="11" t="b">
        <f t="shared" si="643"/>
        <v>0</v>
      </c>
      <c r="M13398" s="17" t="str">
        <f t="shared" si="644"/>
        <v/>
      </c>
      <c r="N13398" s="11" t="str">
        <f t="shared" si="645"/>
        <v/>
      </c>
    </row>
    <row r="13399" spans="9:14" x14ac:dyDescent="0.25">
      <c r="I13399" s="11" t="b">
        <f t="shared" si="643"/>
        <v>0</v>
      </c>
      <c r="M13399" s="17" t="str">
        <f t="shared" si="644"/>
        <v/>
      </c>
      <c r="N13399" s="11" t="str">
        <f t="shared" si="645"/>
        <v/>
      </c>
    </row>
    <row r="13400" spans="9:14" x14ac:dyDescent="0.25">
      <c r="I13400" s="11" t="b">
        <f t="shared" si="643"/>
        <v>0</v>
      </c>
      <c r="M13400" s="17" t="str">
        <f t="shared" si="644"/>
        <v/>
      </c>
      <c r="N13400" s="11" t="str">
        <f t="shared" si="645"/>
        <v/>
      </c>
    </row>
    <row r="13401" spans="9:14" x14ac:dyDescent="0.25">
      <c r="I13401" s="11" t="b">
        <f t="shared" si="643"/>
        <v>0</v>
      </c>
      <c r="M13401" s="17" t="str">
        <f t="shared" si="644"/>
        <v/>
      </c>
      <c r="N13401" s="11" t="str">
        <f t="shared" si="645"/>
        <v/>
      </c>
    </row>
    <row r="13402" spans="9:14" x14ac:dyDescent="0.25">
      <c r="I13402" s="11" t="b">
        <f t="shared" si="643"/>
        <v>0</v>
      </c>
      <c r="M13402" s="17" t="str">
        <f t="shared" si="644"/>
        <v/>
      </c>
      <c r="N13402" s="11" t="str">
        <f t="shared" si="645"/>
        <v/>
      </c>
    </row>
    <row r="13403" spans="9:14" x14ac:dyDescent="0.25">
      <c r="I13403" s="11" t="b">
        <f t="shared" si="643"/>
        <v>0</v>
      </c>
      <c r="M13403" s="17" t="str">
        <f t="shared" si="644"/>
        <v/>
      </c>
      <c r="N13403" s="11" t="str">
        <f t="shared" si="645"/>
        <v/>
      </c>
    </row>
    <row r="13404" spans="9:14" x14ac:dyDescent="0.25">
      <c r="I13404" s="11" t="b">
        <f t="shared" si="643"/>
        <v>0</v>
      </c>
      <c r="M13404" s="17" t="str">
        <f t="shared" si="644"/>
        <v/>
      </c>
      <c r="N13404" s="11" t="str">
        <f t="shared" si="645"/>
        <v/>
      </c>
    </row>
    <row r="13405" spans="9:14" x14ac:dyDescent="0.25">
      <c r="I13405" s="11" t="b">
        <f t="shared" ref="I13405:I13468" si="646">IF(AND(G13405="MERCADO PAGO",A13405="FATURAMENTO"),1,IF(AND(OR(G13405="MERCADO PAGO",G13405="pix mercado pago",G13405= "débito automático mercado pago", G13405= "boleto mercado pago"),A13405="DESPESAS"),4,IF(AND(G13405="SAFRA",A13405="FATURAMENTO"),2,IF(AND(OR(G13405="SAFRA",G13405="PIX SAFRA", G13405="DÉBITO AUTOMÁTICO SAFRA", G13405= "BOLETO SAFRA", G13405= "transferência safra"), A13405="DESPESAS"),5,IF(AND(G13405="espécie",A13405="FATURAMENTO"),3,IF(AND(G13405="espécie",A13405="DESPESAS"),6))))))</f>
        <v>0</v>
      </c>
      <c r="M13405" s="17" t="str">
        <f t="shared" si="644"/>
        <v/>
      </c>
      <c r="N13405" s="11" t="str">
        <f t="shared" si="645"/>
        <v/>
      </c>
    </row>
    <row r="13406" spans="9:14" x14ac:dyDescent="0.25">
      <c r="I13406" s="11" t="b">
        <f t="shared" si="646"/>
        <v>0</v>
      </c>
      <c r="M13406" s="17" t="str">
        <f t="shared" si="644"/>
        <v/>
      </c>
      <c r="N13406" s="11" t="str">
        <f t="shared" si="645"/>
        <v/>
      </c>
    </row>
    <row r="13407" spans="9:14" x14ac:dyDescent="0.25">
      <c r="I13407" s="11" t="b">
        <f t="shared" si="646"/>
        <v>0</v>
      </c>
      <c r="M13407" s="17" t="str">
        <f t="shared" si="644"/>
        <v/>
      </c>
      <c r="N13407" s="11" t="str">
        <f t="shared" si="645"/>
        <v/>
      </c>
    </row>
    <row r="13408" spans="9:14" x14ac:dyDescent="0.25">
      <c r="I13408" s="11" t="b">
        <f t="shared" si="646"/>
        <v>0</v>
      </c>
      <c r="M13408" s="17" t="str">
        <f t="shared" si="644"/>
        <v/>
      </c>
      <c r="N13408" s="11" t="str">
        <f t="shared" si="645"/>
        <v/>
      </c>
    </row>
    <row r="13409" spans="9:14" x14ac:dyDescent="0.25">
      <c r="I13409" s="11" t="b">
        <f t="shared" si="646"/>
        <v>0</v>
      </c>
      <c r="M13409" s="17" t="str">
        <f t="shared" si="644"/>
        <v/>
      </c>
      <c r="N13409" s="11" t="str">
        <f t="shared" si="645"/>
        <v/>
      </c>
    </row>
    <row r="13410" spans="9:14" x14ac:dyDescent="0.25">
      <c r="I13410" s="11" t="b">
        <f t="shared" si="646"/>
        <v>0</v>
      </c>
      <c r="M13410" s="17" t="str">
        <f t="shared" si="644"/>
        <v/>
      </c>
      <c r="N13410" s="11" t="str">
        <f t="shared" si="645"/>
        <v/>
      </c>
    </row>
    <row r="13411" spans="9:14" x14ac:dyDescent="0.25">
      <c r="I13411" s="11" t="b">
        <f t="shared" si="646"/>
        <v>0</v>
      </c>
      <c r="M13411" s="17" t="str">
        <f t="shared" si="644"/>
        <v/>
      </c>
      <c r="N13411" s="11" t="str">
        <f t="shared" si="645"/>
        <v/>
      </c>
    </row>
    <row r="13412" spans="9:14" x14ac:dyDescent="0.25">
      <c r="I13412" s="11" t="b">
        <f t="shared" si="646"/>
        <v>0</v>
      </c>
      <c r="M13412" s="17" t="str">
        <f t="shared" si="644"/>
        <v/>
      </c>
      <c r="N13412" s="11" t="str">
        <f t="shared" si="645"/>
        <v/>
      </c>
    </row>
    <row r="13413" spans="9:14" x14ac:dyDescent="0.25">
      <c r="I13413" s="11" t="b">
        <f t="shared" si="646"/>
        <v>0</v>
      </c>
      <c r="M13413" s="17" t="str">
        <f t="shared" si="644"/>
        <v/>
      </c>
      <c r="N13413" s="11" t="str">
        <f t="shared" si="645"/>
        <v/>
      </c>
    </row>
    <row r="13414" spans="9:14" x14ac:dyDescent="0.25">
      <c r="I13414" s="11" t="b">
        <f t="shared" si="646"/>
        <v>0</v>
      </c>
      <c r="M13414" s="17" t="str">
        <f t="shared" si="644"/>
        <v/>
      </c>
      <c r="N13414" s="11" t="str">
        <f t="shared" si="645"/>
        <v/>
      </c>
    </row>
    <row r="13415" spans="9:14" x14ac:dyDescent="0.25">
      <c r="I13415" s="11" t="b">
        <f t="shared" si="646"/>
        <v>0</v>
      </c>
      <c r="M13415" s="17" t="str">
        <f t="shared" si="644"/>
        <v/>
      </c>
      <c r="N13415" s="11" t="str">
        <f t="shared" si="645"/>
        <v/>
      </c>
    </row>
    <row r="13416" spans="9:14" x14ac:dyDescent="0.25">
      <c r="I13416" s="11" t="b">
        <f t="shared" si="646"/>
        <v>0</v>
      </c>
      <c r="M13416" s="17" t="str">
        <f t="shared" si="644"/>
        <v/>
      </c>
      <c r="N13416" s="11" t="str">
        <f t="shared" si="645"/>
        <v/>
      </c>
    </row>
    <row r="13417" spans="9:14" x14ac:dyDescent="0.25">
      <c r="I13417" s="11" t="b">
        <f t="shared" si="646"/>
        <v>0</v>
      </c>
      <c r="M13417" s="17" t="str">
        <f t="shared" si="644"/>
        <v/>
      </c>
      <c r="N13417" s="11" t="str">
        <f t="shared" si="645"/>
        <v/>
      </c>
    </row>
    <row r="13418" spans="9:14" x14ac:dyDescent="0.25">
      <c r="I13418" s="11" t="b">
        <f t="shared" si="646"/>
        <v>0</v>
      </c>
      <c r="M13418" s="17" t="str">
        <f t="shared" si="644"/>
        <v/>
      </c>
      <c r="N13418" s="11" t="str">
        <f t="shared" si="645"/>
        <v/>
      </c>
    </row>
    <row r="13419" spans="9:14" x14ac:dyDescent="0.25">
      <c r="I13419" s="11" t="b">
        <f t="shared" si="646"/>
        <v>0</v>
      </c>
      <c r="M13419" s="17" t="str">
        <f t="shared" si="644"/>
        <v/>
      </c>
      <c r="N13419" s="11" t="str">
        <f t="shared" si="645"/>
        <v/>
      </c>
    </row>
    <row r="13420" spans="9:14" x14ac:dyDescent="0.25">
      <c r="I13420" s="11" t="b">
        <f t="shared" si="646"/>
        <v>0</v>
      </c>
      <c r="M13420" s="17" t="str">
        <f t="shared" si="644"/>
        <v/>
      </c>
      <c r="N13420" s="11" t="str">
        <f t="shared" si="645"/>
        <v/>
      </c>
    </row>
    <row r="13421" spans="9:14" x14ac:dyDescent="0.25">
      <c r="I13421" s="11" t="b">
        <f t="shared" si="646"/>
        <v>0</v>
      </c>
      <c r="M13421" s="17" t="str">
        <f t="shared" si="644"/>
        <v/>
      </c>
      <c r="N13421" s="11" t="str">
        <f t="shared" si="645"/>
        <v/>
      </c>
    </row>
    <row r="13422" spans="9:14" x14ac:dyDescent="0.25">
      <c r="I13422" s="11" t="b">
        <f t="shared" si="646"/>
        <v>0</v>
      </c>
      <c r="M13422" s="17" t="str">
        <f t="shared" si="644"/>
        <v/>
      </c>
      <c r="N13422" s="11" t="str">
        <f t="shared" si="645"/>
        <v/>
      </c>
    </row>
    <row r="13423" spans="9:14" x14ac:dyDescent="0.25">
      <c r="I13423" s="11" t="b">
        <f t="shared" si="646"/>
        <v>0</v>
      </c>
      <c r="M13423" s="17" t="str">
        <f t="shared" si="644"/>
        <v/>
      </c>
      <c r="N13423" s="11" t="str">
        <f t="shared" si="645"/>
        <v/>
      </c>
    </row>
    <row r="13424" spans="9:14" x14ac:dyDescent="0.25">
      <c r="I13424" s="11" t="b">
        <f t="shared" si="646"/>
        <v>0</v>
      </c>
      <c r="M13424" s="17" t="str">
        <f t="shared" si="644"/>
        <v/>
      </c>
      <c r="N13424" s="11" t="str">
        <f t="shared" si="645"/>
        <v/>
      </c>
    </row>
    <row r="13425" spans="9:14" x14ac:dyDescent="0.25">
      <c r="I13425" s="11" t="b">
        <f t="shared" si="646"/>
        <v>0</v>
      </c>
      <c r="M13425" s="17" t="str">
        <f t="shared" si="644"/>
        <v/>
      </c>
      <c r="N13425" s="11" t="str">
        <f t="shared" si="645"/>
        <v/>
      </c>
    </row>
    <row r="13426" spans="9:14" x14ac:dyDescent="0.25">
      <c r="I13426" s="11" t="b">
        <f t="shared" si="646"/>
        <v>0</v>
      </c>
      <c r="M13426" s="17" t="str">
        <f t="shared" si="644"/>
        <v/>
      </c>
      <c r="N13426" s="11" t="str">
        <f t="shared" si="645"/>
        <v/>
      </c>
    </row>
    <row r="13427" spans="9:14" x14ac:dyDescent="0.25">
      <c r="I13427" s="11" t="b">
        <f t="shared" si="646"/>
        <v>0</v>
      </c>
      <c r="M13427" s="17" t="str">
        <f t="shared" si="644"/>
        <v/>
      </c>
      <c r="N13427" s="11" t="str">
        <f t="shared" si="645"/>
        <v/>
      </c>
    </row>
    <row r="13428" spans="9:14" x14ac:dyDescent="0.25">
      <c r="I13428" s="11" t="b">
        <f t="shared" si="646"/>
        <v>0</v>
      </c>
      <c r="M13428" s="17" t="str">
        <f t="shared" si="644"/>
        <v/>
      </c>
      <c r="N13428" s="11" t="str">
        <f t="shared" si="645"/>
        <v/>
      </c>
    </row>
    <row r="13429" spans="9:14" x14ac:dyDescent="0.25">
      <c r="I13429" s="11" t="b">
        <f t="shared" si="646"/>
        <v>0</v>
      </c>
      <c r="M13429" s="17" t="str">
        <f t="shared" si="644"/>
        <v/>
      </c>
      <c r="N13429" s="11" t="str">
        <f t="shared" si="645"/>
        <v/>
      </c>
    </row>
    <row r="13430" spans="9:14" x14ac:dyDescent="0.25">
      <c r="I13430" s="11" t="b">
        <f t="shared" si="646"/>
        <v>0</v>
      </c>
      <c r="M13430" s="17" t="str">
        <f t="shared" si="644"/>
        <v/>
      </c>
      <c r="N13430" s="11" t="str">
        <f t="shared" si="645"/>
        <v/>
      </c>
    </row>
    <row r="13431" spans="9:14" x14ac:dyDescent="0.25">
      <c r="I13431" s="11" t="b">
        <f t="shared" si="646"/>
        <v>0</v>
      </c>
      <c r="M13431" s="17" t="str">
        <f t="shared" si="644"/>
        <v/>
      </c>
      <c r="N13431" s="11" t="str">
        <f t="shared" si="645"/>
        <v/>
      </c>
    </row>
    <row r="13432" spans="9:14" x14ac:dyDescent="0.25">
      <c r="I13432" s="11" t="b">
        <f t="shared" si="646"/>
        <v>0</v>
      </c>
      <c r="M13432" s="17" t="str">
        <f t="shared" si="644"/>
        <v/>
      </c>
      <c r="N13432" s="11" t="str">
        <f t="shared" si="645"/>
        <v/>
      </c>
    </row>
    <row r="13433" spans="9:14" x14ac:dyDescent="0.25">
      <c r="I13433" s="11" t="b">
        <f t="shared" si="646"/>
        <v>0</v>
      </c>
      <c r="M13433" s="17" t="str">
        <f t="shared" si="644"/>
        <v/>
      </c>
      <c r="N13433" s="11" t="str">
        <f t="shared" si="645"/>
        <v/>
      </c>
    </row>
    <row r="13434" spans="9:14" x14ac:dyDescent="0.25">
      <c r="I13434" s="11" t="b">
        <f t="shared" si="646"/>
        <v>0</v>
      </c>
      <c r="M13434" s="17" t="str">
        <f t="shared" si="644"/>
        <v/>
      </c>
      <c r="N13434" s="11" t="str">
        <f t="shared" si="645"/>
        <v/>
      </c>
    </row>
    <row r="13435" spans="9:14" x14ac:dyDescent="0.25">
      <c r="I13435" s="11" t="b">
        <f t="shared" si="646"/>
        <v>0</v>
      </c>
      <c r="M13435" s="17" t="str">
        <f t="shared" si="644"/>
        <v/>
      </c>
      <c r="N13435" s="11" t="str">
        <f t="shared" si="645"/>
        <v/>
      </c>
    </row>
    <row r="13436" spans="9:14" x14ac:dyDescent="0.25">
      <c r="I13436" s="11" t="b">
        <f t="shared" si="646"/>
        <v>0</v>
      </c>
      <c r="M13436" s="17" t="str">
        <f t="shared" si="644"/>
        <v/>
      </c>
      <c r="N13436" s="11" t="str">
        <f t="shared" si="645"/>
        <v/>
      </c>
    </row>
    <row r="13437" spans="9:14" x14ac:dyDescent="0.25">
      <c r="I13437" s="11" t="b">
        <f t="shared" si="646"/>
        <v>0</v>
      </c>
      <c r="M13437" s="17" t="str">
        <f t="shared" si="644"/>
        <v/>
      </c>
      <c r="N13437" s="11" t="str">
        <f t="shared" si="645"/>
        <v/>
      </c>
    </row>
    <row r="13438" spans="9:14" x14ac:dyDescent="0.25">
      <c r="I13438" s="11" t="b">
        <f t="shared" si="646"/>
        <v>0</v>
      </c>
      <c r="M13438" s="17" t="str">
        <f t="shared" si="644"/>
        <v/>
      </c>
      <c r="N13438" s="11" t="str">
        <f t="shared" si="645"/>
        <v/>
      </c>
    </row>
    <row r="13439" spans="9:14" x14ac:dyDescent="0.25">
      <c r="I13439" s="11" t="b">
        <f t="shared" si="646"/>
        <v>0</v>
      </c>
      <c r="M13439" s="17" t="str">
        <f t="shared" si="644"/>
        <v/>
      </c>
      <c r="N13439" s="11" t="str">
        <f t="shared" si="645"/>
        <v/>
      </c>
    </row>
    <row r="13440" spans="9:14" x14ac:dyDescent="0.25">
      <c r="I13440" s="11" t="b">
        <f t="shared" si="646"/>
        <v>0</v>
      </c>
      <c r="M13440" s="17" t="str">
        <f t="shared" si="644"/>
        <v/>
      </c>
      <c r="N13440" s="11" t="str">
        <f t="shared" si="645"/>
        <v/>
      </c>
    </row>
    <row r="13441" spans="9:14" x14ac:dyDescent="0.25">
      <c r="I13441" s="11" t="b">
        <f t="shared" si="646"/>
        <v>0</v>
      </c>
      <c r="M13441" s="17" t="str">
        <f t="shared" ref="M13441:M13504" si="647">IF(B13441=0, "",M13440+ J13441-K13441)</f>
        <v/>
      </c>
      <c r="N13441" s="11" t="str">
        <f t="shared" ref="N13441:N13504" si="648">IF(B13441=0, "", MONTH(B13441))</f>
        <v/>
      </c>
    </row>
    <row r="13442" spans="9:14" x14ac:dyDescent="0.25">
      <c r="I13442" s="11" t="b">
        <f t="shared" si="646"/>
        <v>0</v>
      </c>
      <c r="M13442" s="17" t="str">
        <f t="shared" si="647"/>
        <v/>
      </c>
      <c r="N13442" s="11" t="str">
        <f t="shared" si="648"/>
        <v/>
      </c>
    </row>
    <row r="13443" spans="9:14" x14ac:dyDescent="0.25">
      <c r="I13443" s="11" t="b">
        <f t="shared" si="646"/>
        <v>0</v>
      </c>
      <c r="M13443" s="17" t="str">
        <f t="shared" si="647"/>
        <v/>
      </c>
      <c r="N13443" s="11" t="str">
        <f t="shared" si="648"/>
        <v/>
      </c>
    </row>
    <row r="13444" spans="9:14" x14ac:dyDescent="0.25">
      <c r="I13444" s="11" t="b">
        <f t="shared" si="646"/>
        <v>0</v>
      </c>
      <c r="M13444" s="17" t="str">
        <f t="shared" si="647"/>
        <v/>
      </c>
      <c r="N13444" s="11" t="str">
        <f t="shared" si="648"/>
        <v/>
      </c>
    </row>
    <row r="13445" spans="9:14" x14ac:dyDescent="0.25">
      <c r="I13445" s="11" t="b">
        <f t="shared" si="646"/>
        <v>0</v>
      </c>
      <c r="M13445" s="17" t="str">
        <f t="shared" si="647"/>
        <v/>
      </c>
      <c r="N13445" s="11" t="str">
        <f t="shared" si="648"/>
        <v/>
      </c>
    </row>
    <row r="13446" spans="9:14" x14ac:dyDescent="0.25">
      <c r="I13446" s="11" t="b">
        <f t="shared" si="646"/>
        <v>0</v>
      </c>
      <c r="M13446" s="17" t="str">
        <f t="shared" si="647"/>
        <v/>
      </c>
      <c r="N13446" s="11" t="str">
        <f t="shared" si="648"/>
        <v/>
      </c>
    </row>
    <row r="13447" spans="9:14" x14ac:dyDescent="0.25">
      <c r="I13447" s="11" t="b">
        <f t="shared" si="646"/>
        <v>0</v>
      </c>
      <c r="M13447" s="17" t="str">
        <f t="shared" si="647"/>
        <v/>
      </c>
      <c r="N13447" s="11" t="str">
        <f t="shared" si="648"/>
        <v/>
      </c>
    </row>
    <row r="13448" spans="9:14" x14ac:dyDescent="0.25">
      <c r="I13448" s="11" t="b">
        <f t="shared" si="646"/>
        <v>0</v>
      </c>
      <c r="M13448" s="17" t="str">
        <f t="shared" si="647"/>
        <v/>
      </c>
      <c r="N13448" s="11" t="str">
        <f t="shared" si="648"/>
        <v/>
      </c>
    </row>
    <row r="13449" spans="9:14" x14ac:dyDescent="0.25">
      <c r="I13449" s="11" t="b">
        <f t="shared" si="646"/>
        <v>0</v>
      </c>
      <c r="M13449" s="17" t="str">
        <f t="shared" si="647"/>
        <v/>
      </c>
      <c r="N13449" s="11" t="str">
        <f t="shared" si="648"/>
        <v/>
      </c>
    </row>
    <row r="13450" spans="9:14" x14ac:dyDescent="0.25">
      <c r="I13450" s="11" t="b">
        <f t="shared" si="646"/>
        <v>0</v>
      </c>
      <c r="M13450" s="17" t="str">
        <f t="shared" si="647"/>
        <v/>
      </c>
      <c r="N13450" s="11" t="str">
        <f t="shared" si="648"/>
        <v/>
      </c>
    </row>
    <row r="13451" spans="9:14" x14ac:dyDescent="0.25">
      <c r="I13451" s="11" t="b">
        <f t="shared" si="646"/>
        <v>0</v>
      </c>
      <c r="M13451" s="17" t="str">
        <f t="shared" si="647"/>
        <v/>
      </c>
      <c r="N13451" s="11" t="str">
        <f t="shared" si="648"/>
        <v/>
      </c>
    </row>
    <row r="13452" spans="9:14" x14ac:dyDescent="0.25">
      <c r="I13452" s="11" t="b">
        <f t="shared" si="646"/>
        <v>0</v>
      </c>
      <c r="M13452" s="17" t="str">
        <f t="shared" si="647"/>
        <v/>
      </c>
      <c r="N13452" s="11" t="str">
        <f t="shared" si="648"/>
        <v/>
      </c>
    </row>
    <row r="13453" spans="9:14" x14ac:dyDescent="0.25">
      <c r="I13453" s="11" t="b">
        <f t="shared" si="646"/>
        <v>0</v>
      </c>
      <c r="M13453" s="17" t="str">
        <f t="shared" si="647"/>
        <v/>
      </c>
      <c r="N13453" s="11" t="str">
        <f t="shared" si="648"/>
        <v/>
      </c>
    </row>
    <row r="13454" spans="9:14" x14ac:dyDescent="0.25">
      <c r="I13454" s="11" t="b">
        <f t="shared" si="646"/>
        <v>0</v>
      </c>
      <c r="M13454" s="17" t="str">
        <f t="shared" si="647"/>
        <v/>
      </c>
      <c r="N13454" s="11" t="str">
        <f t="shared" si="648"/>
        <v/>
      </c>
    </row>
    <row r="13455" spans="9:14" x14ac:dyDescent="0.25">
      <c r="I13455" s="11" t="b">
        <f t="shared" si="646"/>
        <v>0</v>
      </c>
      <c r="M13455" s="17" t="str">
        <f t="shared" si="647"/>
        <v/>
      </c>
      <c r="N13455" s="11" t="str">
        <f t="shared" si="648"/>
        <v/>
      </c>
    </row>
    <row r="13456" spans="9:14" x14ac:dyDescent="0.25">
      <c r="I13456" s="11" t="b">
        <f t="shared" si="646"/>
        <v>0</v>
      </c>
      <c r="M13456" s="17" t="str">
        <f t="shared" si="647"/>
        <v/>
      </c>
      <c r="N13456" s="11" t="str">
        <f t="shared" si="648"/>
        <v/>
      </c>
    </row>
    <row r="13457" spans="9:14" x14ac:dyDescent="0.25">
      <c r="I13457" s="11" t="b">
        <f t="shared" si="646"/>
        <v>0</v>
      </c>
      <c r="M13457" s="17" t="str">
        <f t="shared" si="647"/>
        <v/>
      </c>
      <c r="N13457" s="11" t="str">
        <f t="shared" si="648"/>
        <v/>
      </c>
    </row>
    <row r="13458" spans="9:14" x14ac:dyDescent="0.25">
      <c r="I13458" s="11" t="b">
        <f t="shared" si="646"/>
        <v>0</v>
      </c>
      <c r="M13458" s="17" t="str">
        <f t="shared" si="647"/>
        <v/>
      </c>
      <c r="N13458" s="11" t="str">
        <f t="shared" si="648"/>
        <v/>
      </c>
    </row>
    <row r="13459" spans="9:14" x14ac:dyDescent="0.25">
      <c r="I13459" s="11" t="b">
        <f t="shared" si="646"/>
        <v>0</v>
      </c>
      <c r="M13459" s="17" t="str">
        <f t="shared" si="647"/>
        <v/>
      </c>
      <c r="N13459" s="11" t="str">
        <f t="shared" si="648"/>
        <v/>
      </c>
    </row>
    <row r="13460" spans="9:14" x14ac:dyDescent="0.25">
      <c r="I13460" s="11" t="b">
        <f t="shared" si="646"/>
        <v>0</v>
      </c>
      <c r="M13460" s="17" t="str">
        <f t="shared" si="647"/>
        <v/>
      </c>
      <c r="N13460" s="11" t="str">
        <f t="shared" si="648"/>
        <v/>
      </c>
    </row>
    <row r="13461" spans="9:14" x14ac:dyDescent="0.25">
      <c r="I13461" s="11" t="b">
        <f t="shared" si="646"/>
        <v>0</v>
      </c>
      <c r="M13461" s="17" t="str">
        <f t="shared" si="647"/>
        <v/>
      </c>
      <c r="N13461" s="11" t="str">
        <f t="shared" si="648"/>
        <v/>
      </c>
    </row>
    <row r="13462" spans="9:14" x14ac:dyDescent="0.25">
      <c r="I13462" s="11" t="b">
        <f t="shared" si="646"/>
        <v>0</v>
      </c>
      <c r="M13462" s="17" t="str">
        <f t="shared" si="647"/>
        <v/>
      </c>
      <c r="N13462" s="11" t="str">
        <f t="shared" si="648"/>
        <v/>
      </c>
    </row>
    <row r="13463" spans="9:14" x14ac:dyDescent="0.25">
      <c r="I13463" s="11" t="b">
        <f t="shared" si="646"/>
        <v>0</v>
      </c>
      <c r="M13463" s="17" t="str">
        <f t="shared" si="647"/>
        <v/>
      </c>
      <c r="N13463" s="11" t="str">
        <f t="shared" si="648"/>
        <v/>
      </c>
    </row>
    <row r="13464" spans="9:14" x14ac:dyDescent="0.25">
      <c r="I13464" s="11" t="b">
        <f t="shared" si="646"/>
        <v>0</v>
      </c>
      <c r="M13464" s="17" t="str">
        <f t="shared" si="647"/>
        <v/>
      </c>
      <c r="N13464" s="11" t="str">
        <f t="shared" si="648"/>
        <v/>
      </c>
    </row>
    <row r="13465" spans="9:14" x14ac:dyDescent="0.25">
      <c r="I13465" s="11" t="b">
        <f t="shared" si="646"/>
        <v>0</v>
      </c>
      <c r="M13465" s="17" t="str">
        <f t="shared" si="647"/>
        <v/>
      </c>
      <c r="N13465" s="11" t="str">
        <f t="shared" si="648"/>
        <v/>
      </c>
    </row>
    <row r="13466" spans="9:14" x14ac:dyDescent="0.25">
      <c r="I13466" s="11" t="b">
        <f t="shared" si="646"/>
        <v>0</v>
      </c>
      <c r="M13466" s="17" t="str">
        <f t="shared" si="647"/>
        <v/>
      </c>
      <c r="N13466" s="11" t="str">
        <f t="shared" si="648"/>
        <v/>
      </c>
    </row>
    <row r="13467" spans="9:14" x14ac:dyDescent="0.25">
      <c r="I13467" s="11" t="b">
        <f t="shared" si="646"/>
        <v>0</v>
      </c>
      <c r="M13467" s="17" t="str">
        <f t="shared" si="647"/>
        <v/>
      </c>
      <c r="N13467" s="11" t="str">
        <f t="shared" si="648"/>
        <v/>
      </c>
    </row>
    <row r="13468" spans="9:14" x14ac:dyDescent="0.25">
      <c r="I13468" s="11" t="b">
        <f t="shared" si="646"/>
        <v>0</v>
      </c>
      <c r="M13468" s="17" t="str">
        <f t="shared" si="647"/>
        <v/>
      </c>
      <c r="N13468" s="11" t="str">
        <f t="shared" si="648"/>
        <v/>
      </c>
    </row>
    <row r="13469" spans="9:14" x14ac:dyDescent="0.25">
      <c r="I13469" s="11" t="b">
        <f t="shared" ref="I13469:I13532" si="649">IF(AND(G13469="MERCADO PAGO",A13469="FATURAMENTO"),1,IF(AND(OR(G13469="MERCADO PAGO",G13469="pix mercado pago",G13469= "débito automático mercado pago", G13469= "boleto mercado pago"),A13469="DESPESAS"),4,IF(AND(G13469="SAFRA",A13469="FATURAMENTO"),2,IF(AND(OR(G13469="SAFRA",G13469="PIX SAFRA", G13469="DÉBITO AUTOMÁTICO SAFRA", G13469= "BOLETO SAFRA", G13469= "transferência safra"), A13469="DESPESAS"),5,IF(AND(G13469="espécie",A13469="FATURAMENTO"),3,IF(AND(G13469="espécie",A13469="DESPESAS"),6))))))</f>
        <v>0</v>
      </c>
      <c r="M13469" s="17" t="str">
        <f t="shared" si="647"/>
        <v/>
      </c>
      <c r="N13469" s="11" t="str">
        <f t="shared" si="648"/>
        <v/>
      </c>
    </row>
    <row r="13470" spans="9:14" x14ac:dyDescent="0.25">
      <c r="I13470" s="11" t="b">
        <f t="shared" si="649"/>
        <v>0</v>
      </c>
      <c r="M13470" s="17" t="str">
        <f t="shared" si="647"/>
        <v/>
      </c>
      <c r="N13470" s="11" t="str">
        <f t="shared" si="648"/>
        <v/>
      </c>
    </row>
    <row r="13471" spans="9:14" x14ac:dyDescent="0.25">
      <c r="I13471" s="11" t="b">
        <f t="shared" si="649"/>
        <v>0</v>
      </c>
      <c r="M13471" s="17" t="str">
        <f t="shared" si="647"/>
        <v/>
      </c>
      <c r="N13471" s="11" t="str">
        <f t="shared" si="648"/>
        <v/>
      </c>
    </row>
    <row r="13472" spans="9:14" x14ac:dyDescent="0.25">
      <c r="I13472" s="11" t="b">
        <f t="shared" si="649"/>
        <v>0</v>
      </c>
      <c r="M13472" s="17" t="str">
        <f t="shared" si="647"/>
        <v/>
      </c>
      <c r="N13472" s="11" t="str">
        <f t="shared" si="648"/>
        <v/>
      </c>
    </row>
    <row r="13473" spans="9:14" x14ac:dyDescent="0.25">
      <c r="I13473" s="11" t="b">
        <f t="shared" si="649"/>
        <v>0</v>
      </c>
      <c r="M13473" s="17" t="str">
        <f t="shared" si="647"/>
        <v/>
      </c>
      <c r="N13473" s="11" t="str">
        <f t="shared" si="648"/>
        <v/>
      </c>
    </row>
    <row r="13474" spans="9:14" x14ac:dyDescent="0.25">
      <c r="I13474" s="11" t="b">
        <f t="shared" si="649"/>
        <v>0</v>
      </c>
      <c r="M13474" s="17" t="str">
        <f t="shared" si="647"/>
        <v/>
      </c>
      <c r="N13474" s="11" t="str">
        <f t="shared" si="648"/>
        <v/>
      </c>
    </row>
    <row r="13475" spans="9:14" x14ac:dyDescent="0.25">
      <c r="I13475" s="11" t="b">
        <f t="shared" si="649"/>
        <v>0</v>
      </c>
      <c r="M13475" s="17" t="str">
        <f t="shared" si="647"/>
        <v/>
      </c>
      <c r="N13475" s="11" t="str">
        <f t="shared" si="648"/>
        <v/>
      </c>
    </row>
    <row r="13476" spans="9:14" x14ac:dyDescent="0.25">
      <c r="I13476" s="11" t="b">
        <f t="shared" si="649"/>
        <v>0</v>
      </c>
      <c r="M13476" s="17" t="str">
        <f t="shared" si="647"/>
        <v/>
      </c>
      <c r="N13476" s="11" t="str">
        <f t="shared" si="648"/>
        <v/>
      </c>
    </row>
    <row r="13477" spans="9:14" x14ac:dyDescent="0.25">
      <c r="I13477" s="11" t="b">
        <f t="shared" si="649"/>
        <v>0</v>
      </c>
      <c r="M13477" s="17" t="str">
        <f t="shared" si="647"/>
        <v/>
      </c>
      <c r="N13477" s="11" t="str">
        <f t="shared" si="648"/>
        <v/>
      </c>
    </row>
    <row r="13478" spans="9:14" x14ac:dyDescent="0.25">
      <c r="I13478" s="11" t="b">
        <f t="shared" si="649"/>
        <v>0</v>
      </c>
      <c r="M13478" s="17" t="str">
        <f t="shared" si="647"/>
        <v/>
      </c>
      <c r="N13478" s="11" t="str">
        <f t="shared" si="648"/>
        <v/>
      </c>
    </row>
    <row r="13479" spans="9:14" x14ac:dyDescent="0.25">
      <c r="I13479" s="11" t="b">
        <f t="shared" si="649"/>
        <v>0</v>
      </c>
      <c r="M13479" s="17" t="str">
        <f t="shared" si="647"/>
        <v/>
      </c>
      <c r="N13479" s="11" t="str">
        <f t="shared" si="648"/>
        <v/>
      </c>
    </row>
    <row r="13480" spans="9:14" x14ac:dyDescent="0.25">
      <c r="I13480" s="11" t="b">
        <f t="shared" si="649"/>
        <v>0</v>
      </c>
      <c r="M13480" s="17" t="str">
        <f t="shared" si="647"/>
        <v/>
      </c>
      <c r="N13480" s="11" t="str">
        <f t="shared" si="648"/>
        <v/>
      </c>
    </row>
    <row r="13481" spans="9:14" x14ac:dyDescent="0.25">
      <c r="I13481" s="11" t="b">
        <f t="shared" si="649"/>
        <v>0</v>
      </c>
      <c r="M13481" s="17" t="str">
        <f t="shared" si="647"/>
        <v/>
      </c>
      <c r="N13481" s="11" t="str">
        <f t="shared" si="648"/>
        <v/>
      </c>
    </row>
    <row r="13482" spans="9:14" x14ac:dyDescent="0.25">
      <c r="I13482" s="11" t="b">
        <f t="shared" si="649"/>
        <v>0</v>
      </c>
      <c r="M13482" s="17" t="str">
        <f t="shared" si="647"/>
        <v/>
      </c>
      <c r="N13482" s="11" t="str">
        <f t="shared" si="648"/>
        <v/>
      </c>
    </row>
    <row r="13483" spans="9:14" x14ac:dyDescent="0.25">
      <c r="I13483" s="11" t="b">
        <f t="shared" si="649"/>
        <v>0</v>
      </c>
      <c r="M13483" s="17" t="str">
        <f t="shared" si="647"/>
        <v/>
      </c>
      <c r="N13483" s="11" t="str">
        <f t="shared" si="648"/>
        <v/>
      </c>
    </row>
    <row r="13484" spans="9:14" x14ac:dyDescent="0.25">
      <c r="I13484" s="11" t="b">
        <f t="shared" si="649"/>
        <v>0</v>
      </c>
      <c r="M13484" s="17" t="str">
        <f t="shared" si="647"/>
        <v/>
      </c>
      <c r="N13484" s="11" t="str">
        <f t="shared" si="648"/>
        <v/>
      </c>
    </row>
    <row r="13485" spans="9:14" x14ac:dyDescent="0.25">
      <c r="I13485" s="11" t="b">
        <f t="shared" si="649"/>
        <v>0</v>
      </c>
      <c r="M13485" s="17" t="str">
        <f t="shared" si="647"/>
        <v/>
      </c>
      <c r="N13485" s="11" t="str">
        <f t="shared" si="648"/>
        <v/>
      </c>
    </row>
    <row r="13486" spans="9:14" x14ac:dyDescent="0.25">
      <c r="I13486" s="11" t="b">
        <f t="shared" si="649"/>
        <v>0</v>
      </c>
      <c r="M13486" s="17" t="str">
        <f t="shared" si="647"/>
        <v/>
      </c>
      <c r="N13486" s="11" t="str">
        <f t="shared" si="648"/>
        <v/>
      </c>
    </row>
    <row r="13487" spans="9:14" x14ac:dyDescent="0.25">
      <c r="I13487" s="11" t="b">
        <f t="shared" si="649"/>
        <v>0</v>
      </c>
      <c r="M13487" s="17" t="str">
        <f t="shared" si="647"/>
        <v/>
      </c>
      <c r="N13487" s="11" t="str">
        <f t="shared" si="648"/>
        <v/>
      </c>
    </row>
    <row r="13488" spans="9:14" x14ac:dyDescent="0.25">
      <c r="I13488" s="11" t="b">
        <f t="shared" si="649"/>
        <v>0</v>
      </c>
      <c r="M13488" s="17" t="str">
        <f t="shared" si="647"/>
        <v/>
      </c>
      <c r="N13488" s="11" t="str">
        <f t="shared" si="648"/>
        <v/>
      </c>
    </row>
    <row r="13489" spans="9:14" x14ac:dyDescent="0.25">
      <c r="I13489" s="11" t="b">
        <f t="shared" si="649"/>
        <v>0</v>
      </c>
      <c r="M13489" s="17" t="str">
        <f t="shared" si="647"/>
        <v/>
      </c>
      <c r="N13489" s="11" t="str">
        <f t="shared" si="648"/>
        <v/>
      </c>
    </row>
    <row r="13490" spans="9:14" x14ac:dyDescent="0.25">
      <c r="I13490" s="11" t="b">
        <f t="shared" si="649"/>
        <v>0</v>
      </c>
      <c r="M13490" s="17" t="str">
        <f t="shared" si="647"/>
        <v/>
      </c>
      <c r="N13490" s="11" t="str">
        <f t="shared" si="648"/>
        <v/>
      </c>
    </row>
    <row r="13491" spans="9:14" x14ac:dyDescent="0.25">
      <c r="I13491" s="11" t="b">
        <f t="shared" si="649"/>
        <v>0</v>
      </c>
      <c r="M13491" s="17" t="str">
        <f t="shared" si="647"/>
        <v/>
      </c>
      <c r="N13491" s="11" t="str">
        <f t="shared" si="648"/>
        <v/>
      </c>
    </row>
    <row r="13492" spans="9:14" x14ac:dyDescent="0.25">
      <c r="I13492" s="11" t="b">
        <f t="shared" si="649"/>
        <v>0</v>
      </c>
      <c r="M13492" s="17" t="str">
        <f t="shared" si="647"/>
        <v/>
      </c>
      <c r="N13492" s="11" t="str">
        <f t="shared" si="648"/>
        <v/>
      </c>
    </row>
    <row r="13493" spans="9:14" x14ac:dyDescent="0.25">
      <c r="I13493" s="11" t="b">
        <f t="shared" si="649"/>
        <v>0</v>
      </c>
      <c r="M13493" s="17" t="str">
        <f t="shared" si="647"/>
        <v/>
      </c>
      <c r="N13493" s="11" t="str">
        <f t="shared" si="648"/>
        <v/>
      </c>
    </row>
    <row r="13494" spans="9:14" x14ac:dyDescent="0.25">
      <c r="I13494" s="11" t="b">
        <f t="shared" si="649"/>
        <v>0</v>
      </c>
      <c r="M13494" s="17" t="str">
        <f t="shared" si="647"/>
        <v/>
      </c>
      <c r="N13494" s="11" t="str">
        <f t="shared" si="648"/>
        <v/>
      </c>
    </row>
    <row r="13495" spans="9:14" x14ac:dyDescent="0.25">
      <c r="I13495" s="11" t="b">
        <f t="shared" si="649"/>
        <v>0</v>
      </c>
      <c r="M13495" s="17" t="str">
        <f t="shared" si="647"/>
        <v/>
      </c>
      <c r="N13495" s="11" t="str">
        <f t="shared" si="648"/>
        <v/>
      </c>
    </row>
    <row r="13496" spans="9:14" x14ac:dyDescent="0.25">
      <c r="I13496" s="11" t="b">
        <f t="shared" si="649"/>
        <v>0</v>
      </c>
      <c r="M13496" s="17" t="str">
        <f t="shared" si="647"/>
        <v/>
      </c>
      <c r="N13496" s="11" t="str">
        <f t="shared" si="648"/>
        <v/>
      </c>
    </row>
    <row r="13497" spans="9:14" x14ac:dyDescent="0.25">
      <c r="I13497" s="11" t="b">
        <f t="shared" si="649"/>
        <v>0</v>
      </c>
      <c r="M13497" s="17" t="str">
        <f t="shared" si="647"/>
        <v/>
      </c>
      <c r="N13497" s="11" t="str">
        <f t="shared" si="648"/>
        <v/>
      </c>
    </row>
    <row r="13498" spans="9:14" x14ac:dyDescent="0.25">
      <c r="I13498" s="11" t="b">
        <f t="shared" si="649"/>
        <v>0</v>
      </c>
      <c r="M13498" s="17" t="str">
        <f t="shared" si="647"/>
        <v/>
      </c>
      <c r="N13498" s="11" t="str">
        <f t="shared" si="648"/>
        <v/>
      </c>
    </row>
    <row r="13499" spans="9:14" x14ac:dyDescent="0.25">
      <c r="I13499" s="11" t="b">
        <f t="shared" si="649"/>
        <v>0</v>
      </c>
      <c r="M13499" s="17" t="str">
        <f t="shared" si="647"/>
        <v/>
      </c>
      <c r="N13499" s="11" t="str">
        <f t="shared" si="648"/>
        <v/>
      </c>
    </row>
    <row r="13500" spans="9:14" x14ac:dyDescent="0.25">
      <c r="I13500" s="11" t="b">
        <f t="shared" si="649"/>
        <v>0</v>
      </c>
      <c r="M13500" s="17" t="str">
        <f t="shared" si="647"/>
        <v/>
      </c>
      <c r="N13500" s="11" t="str">
        <f t="shared" si="648"/>
        <v/>
      </c>
    </row>
    <row r="13501" spans="9:14" x14ac:dyDescent="0.25">
      <c r="I13501" s="11" t="b">
        <f t="shared" si="649"/>
        <v>0</v>
      </c>
      <c r="M13501" s="17" t="str">
        <f t="shared" si="647"/>
        <v/>
      </c>
      <c r="N13501" s="11" t="str">
        <f t="shared" si="648"/>
        <v/>
      </c>
    </row>
    <row r="13502" spans="9:14" x14ac:dyDescent="0.25">
      <c r="I13502" s="11" t="b">
        <f t="shared" si="649"/>
        <v>0</v>
      </c>
      <c r="M13502" s="17" t="str">
        <f t="shared" si="647"/>
        <v/>
      </c>
      <c r="N13502" s="11" t="str">
        <f t="shared" si="648"/>
        <v/>
      </c>
    </row>
    <row r="13503" spans="9:14" x14ac:dyDescent="0.25">
      <c r="I13503" s="11" t="b">
        <f t="shared" si="649"/>
        <v>0</v>
      </c>
      <c r="M13503" s="17" t="str">
        <f t="shared" si="647"/>
        <v/>
      </c>
      <c r="N13503" s="11" t="str">
        <f t="shared" si="648"/>
        <v/>
      </c>
    </row>
    <row r="13504" spans="9:14" x14ac:dyDescent="0.25">
      <c r="I13504" s="11" t="b">
        <f t="shared" si="649"/>
        <v>0</v>
      </c>
      <c r="M13504" s="17" t="str">
        <f t="shared" si="647"/>
        <v/>
      </c>
      <c r="N13504" s="11" t="str">
        <f t="shared" si="648"/>
        <v/>
      </c>
    </row>
    <row r="13505" spans="9:14" x14ac:dyDescent="0.25">
      <c r="I13505" s="11" t="b">
        <f t="shared" si="649"/>
        <v>0</v>
      </c>
      <c r="M13505" s="17" t="str">
        <f t="shared" ref="M13505:M13568" si="650">IF(B13505=0, "",M13504+ J13505-K13505)</f>
        <v/>
      </c>
      <c r="N13505" s="11" t="str">
        <f t="shared" ref="N13505:N13568" si="651">IF(B13505=0, "", MONTH(B13505))</f>
        <v/>
      </c>
    </row>
    <row r="13506" spans="9:14" x14ac:dyDescent="0.25">
      <c r="I13506" s="11" t="b">
        <f t="shared" si="649"/>
        <v>0</v>
      </c>
      <c r="M13506" s="17" t="str">
        <f t="shared" si="650"/>
        <v/>
      </c>
      <c r="N13506" s="11" t="str">
        <f t="shared" si="651"/>
        <v/>
      </c>
    </row>
    <row r="13507" spans="9:14" x14ac:dyDescent="0.25">
      <c r="I13507" s="11" t="b">
        <f t="shared" si="649"/>
        <v>0</v>
      </c>
      <c r="M13507" s="17" t="str">
        <f t="shared" si="650"/>
        <v/>
      </c>
      <c r="N13507" s="11" t="str">
        <f t="shared" si="651"/>
        <v/>
      </c>
    </row>
    <row r="13508" spans="9:14" x14ac:dyDescent="0.25">
      <c r="I13508" s="11" t="b">
        <f t="shared" si="649"/>
        <v>0</v>
      </c>
      <c r="M13508" s="17" t="str">
        <f t="shared" si="650"/>
        <v/>
      </c>
      <c r="N13508" s="11" t="str">
        <f t="shared" si="651"/>
        <v/>
      </c>
    </row>
    <row r="13509" spans="9:14" x14ac:dyDescent="0.25">
      <c r="I13509" s="11" t="b">
        <f t="shared" si="649"/>
        <v>0</v>
      </c>
      <c r="M13509" s="17" t="str">
        <f t="shared" si="650"/>
        <v/>
      </c>
      <c r="N13509" s="11" t="str">
        <f t="shared" si="651"/>
        <v/>
      </c>
    </row>
    <row r="13510" spans="9:14" x14ac:dyDescent="0.25">
      <c r="I13510" s="11" t="b">
        <f t="shared" si="649"/>
        <v>0</v>
      </c>
      <c r="M13510" s="17" t="str">
        <f t="shared" si="650"/>
        <v/>
      </c>
      <c r="N13510" s="11" t="str">
        <f t="shared" si="651"/>
        <v/>
      </c>
    </row>
    <row r="13511" spans="9:14" x14ac:dyDescent="0.25">
      <c r="I13511" s="11" t="b">
        <f t="shared" si="649"/>
        <v>0</v>
      </c>
      <c r="M13511" s="17" t="str">
        <f t="shared" si="650"/>
        <v/>
      </c>
      <c r="N13511" s="11" t="str">
        <f t="shared" si="651"/>
        <v/>
      </c>
    </row>
    <row r="13512" spans="9:14" x14ac:dyDescent="0.25">
      <c r="I13512" s="11" t="b">
        <f t="shared" si="649"/>
        <v>0</v>
      </c>
      <c r="M13512" s="17" t="str">
        <f t="shared" si="650"/>
        <v/>
      </c>
      <c r="N13512" s="11" t="str">
        <f t="shared" si="651"/>
        <v/>
      </c>
    </row>
    <row r="13513" spans="9:14" x14ac:dyDescent="0.25">
      <c r="I13513" s="11" t="b">
        <f t="shared" si="649"/>
        <v>0</v>
      </c>
      <c r="M13513" s="17" t="str">
        <f t="shared" si="650"/>
        <v/>
      </c>
      <c r="N13513" s="11" t="str">
        <f t="shared" si="651"/>
        <v/>
      </c>
    </row>
    <row r="13514" spans="9:14" x14ac:dyDescent="0.25">
      <c r="I13514" s="11" t="b">
        <f t="shared" si="649"/>
        <v>0</v>
      </c>
      <c r="M13514" s="17" t="str">
        <f t="shared" si="650"/>
        <v/>
      </c>
      <c r="N13514" s="11" t="str">
        <f t="shared" si="651"/>
        <v/>
      </c>
    </row>
    <row r="13515" spans="9:14" x14ac:dyDescent="0.25">
      <c r="I13515" s="11" t="b">
        <f t="shared" si="649"/>
        <v>0</v>
      </c>
      <c r="M13515" s="17" t="str">
        <f t="shared" si="650"/>
        <v/>
      </c>
      <c r="N13515" s="11" t="str">
        <f t="shared" si="651"/>
        <v/>
      </c>
    </row>
    <row r="13516" spans="9:14" x14ac:dyDescent="0.25">
      <c r="I13516" s="11" t="b">
        <f t="shared" si="649"/>
        <v>0</v>
      </c>
      <c r="M13516" s="17" t="str">
        <f t="shared" si="650"/>
        <v/>
      </c>
      <c r="N13516" s="11" t="str">
        <f t="shared" si="651"/>
        <v/>
      </c>
    </row>
    <row r="13517" spans="9:14" x14ac:dyDescent="0.25">
      <c r="I13517" s="11" t="b">
        <f t="shared" si="649"/>
        <v>0</v>
      </c>
      <c r="M13517" s="17" t="str">
        <f t="shared" si="650"/>
        <v/>
      </c>
      <c r="N13517" s="11" t="str">
        <f t="shared" si="651"/>
        <v/>
      </c>
    </row>
    <row r="13518" spans="9:14" x14ac:dyDescent="0.25">
      <c r="I13518" s="11" t="b">
        <f t="shared" si="649"/>
        <v>0</v>
      </c>
      <c r="M13518" s="17" t="str">
        <f t="shared" si="650"/>
        <v/>
      </c>
      <c r="N13518" s="11" t="str">
        <f t="shared" si="651"/>
        <v/>
      </c>
    </row>
    <row r="13519" spans="9:14" x14ac:dyDescent="0.25">
      <c r="I13519" s="11" t="b">
        <f t="shared" si="649"/>
        <v>0</v>
      </c>
      <c r="M13519" s="17" t="str">
        <f t="shared" si="650"/>
        <v/>
      </c>
      <c r="N13519" s="11" t="str">
        <f t="shared" si="651"/>
        <v/>
      </c>
    </row>
    <row r="13520" spans="9:14" x14ac:dyDescent="0.25">
      <c r="I13520" s="11" t="b">
        <f t="shared" si="649"/>
        <v>0</v>
      </c>
      <c r="M13520" s="17" t="str">
        <f t="shared" si="650"/>
        <v/>
      </c>
      <c r="N13520" s="11" t="str">
        <f t="shared" si="651"/>
        <v/>
      </c>
    </row>
    <row r="13521" spans="9:14" x14ac:dyDescent="0.25">
      <c r="I13521" s="11" t="b">
        <f t="shared" si="649"/>
        <v>0</v>
      </c>
      <c r="M13521" s="17" t="str">
        <f t="shared" si="650"/>
        <v/>
      </c>
      <c r="N13521" s="11" t="str">
        <f t="shared" si="651"/>
        <v/>
      </c>
    </row>
    <row r="13522" spans="9:14" x14ac:dyDescent="0.25">
      <c r="I13522" s="11" t="b">
        <f t="shared" si="649"/>
        <v>0</v>
      </c>
      <c r="M13522" s="17" t="str">
        <f t="shared" si="650"/>
        <v/>
      </c>
      <c r="N13522" s="11" t="str">
        <f t="shared" si="651"/>
        <v/>
      </c>
    </row>
    <row r="13523" spans="9:14" x14ac:dyDescent="0.25">
      <c r="I13523" s="11" t="b">
        <f t="shared" si="649"/>
        <v>0</v>
      </c>
      <c r="M13523" s="17" t="str">
        <f t="shared" si="650"/>
        <v/>
      </c>
      <c r="N13523" s="11" t="str">
        <f t="shared" si="651"/>
        <v/>
      </c>
    </row>
    <row r="13524" spans="9:14" x14ac:dyDescent="0.25">
      <c r="I13524" s="11" t="b">
        <f t="shared" si="649"/>
        <v>0</v>
      </c>
      <c r="M13524" s="17" t="str">
        <f t="shared" si="650"/>
        <v/>
      </c>
      <c r="N13524" s="11" t="str">
        <f t="shared" si="651"/>
        <v/>
      </c>
    </row>
    <row r="13525" spans="9:14" x14ac:dyDescent="0.25">
      <c r="I13525" s="11" t="b">
        <f t="shared" si="649"/>
        <v>0</v>
      </c>
      <c r="M13525" s="17" t="str">
        <f t="shared" si="650"/>
        <v/>
      </c>
      <c r="N13525" s="11" t="str">
        <f t="shared" si="651"/>
        <v/>
      </c>
    </row>
    <row r="13526" spans="9:14" x14ac:dyDescent="0.25">
      <c r="I13526" s="11" t="b">
        <f t="shared" si="649"/>
        <v>0</v>
      </c>
      <c r="M13526" s="17" t="str">
        <f t="shared" si="650"/>
        <v/>
      </c>
      <c r="N13526" s="11" t="str">
        <f t="shared" si="651"/>
        <v/>
      </c>
    </row>
    <row r="13527" spans="9:14" x14ac:dyDescent="0.25">
      <c r="I13527" s="11" t="b">
        <f t="shared" si="649"/>
        <v>0</v>
      </c>
      <c r="M13527" s="17" t="str">
        <f t="shared" si="650"/>
        <v/>
      </c>
      <c r="N13527" s="11" t="str">
        <f t="shared" si="651"/>
        <v/>
      </c>
    </row>
    <row r="13528" spans="9:14" x14ac:dyDescent="0.25">
      <c r="I13528" s="11" t="b">
        <f t="shared" si="649"/>
        <v>0</v>
      </c>
      <c r="M13528" s="17" t="str">
        <f t="shared" si="650"/>
        <v/>
      </c>
      <c r="N13528" s="11" t="str">
        <f t="shared" si="651"/>
        <v/>
      </c>
    </row>
    <row r="13529" spans="9:14" x14ac:dyDescent="0.25">
      <c r="I13529" s="11" t="b">
        <f t="shared" si="649"/>
        <v>0</v>
      </c>
      <c r="M13529" s="17" t="str">
        <f t="shared" si="650"/>
        <v/>
      </c>
      <c r="N13529" s="11" t="str">
        <f t="shared" si="651"/>
        <v/>
      </c>
    </row>
    <row r="13530" spans="9:14" x14ac:dyDescent="0.25">
      <c r="I13530" s="11" t="b">
        <f t="shared" si="649"/>
        <v>0</v>
      </c>
      <c r="M13530" s="17" t="str">
        <f t="shared" si="650"/>
        <v/>
      </c>
      <c r="N13530" s="11" t="str">
        <f t="shared" si="651"/>
        <v/>
      </c>
    </row>
    <row r="13531" spans="9:14" x14ac:dyDescent="0.25">
      <c r="I13531" s="11" t="b">
        <f t="shared" si="649"/>
        <v>0</v>
      </c>
      <c r="M13531" s="17" t="str">
        <f t="shared" si="650"/>
        <v/>
      </c>
      <c r="N13531" s="11" t="str">
        <f t="shared" si="651"/>
        <v/>
      </c>
    </row>
    <row r="13532" spans="9:14" x14ac:dyDescent="0.25">
      <c r="I13532" s="11" t="b">
        <f t="shared" si="649"/>
        <v>0</v>
      </c>
      <c r="M13532" s="17" t="str">
        <f t="shared" si="650"/>
        <v/>
      </c>
      <c r="N13532" s="11" t="str">
        <f t="shared" si="651"/>
        <v/>
      </c>
    </row>
    <row r="13533" spans="9:14" x14ac:dyDescent="0.25">
      <c r="I13533" s="11" t="b">
        <f t="shared" ref="I13533:I13596" si="652">IF(AND(G13533="MERCADO PAGO",A13533="FATURAMENTO"),1,IF(AND(OR(G13533="MERCADO PAGO",G13533="pix mercado pago",G13533= "débito automático mercado pago", G13533= "boleto mercado pago"),A13533="DESPESAS"),4,IF(AND(G13533="SAFRA",A13533="FATURAMENTO"),2,IF(AND(OR(G13533="SAFRA",G13533="PIX SAFRA", G13533="DÉBITO AUTOMÁTICO SAFRA", G13533= "BOLETO SAFRA", G13533= "transferência safra"), A13533="DESPESAS"),5,IF(AND(G13533="espécie",A13533="FATURAMENTO"),3,IF(AND(G13533="espécie",A13533="DESPESAS"),6))))))</f>
        <v>0</v>
      </c>
      <c r="M13533" s="17" t="str">
        <f t="shared" si="650"/>
        <v/>
      </c>
      <c r="N13533" s="11" t="str">
        <f t="shared" si="651"/>
        <v/>
      </c>
    </row>
    <row r="13534" spans="9:14" x14ac:dyDescent="0.25">
      <c r="I13534" s="11" t="b">
        <f t="shared" si="652"/>
        <v>0</v>
      </c>
      <c r="M13534" s="17" t="str">
        <f t="shared" si="650"/>
        <v/>
      </c>
      <c r="N13534" s="11" t="str">
        <f t="shared" si="651"/>
        <v/>
      </c>
    </row>
    <row r="13535" spans="9:14" x14ac:dyDescent="0.25">
      <c r="I13535" s="11" t="b">
        <f t="shared" si="652"/>
        <v>0</v>
      </c>
      <c r="M13535" s="17" t="str">
        <f t="shared" si="650"/>
        <v/>
      </c>
      <c r="N13535" s="11" t="str">
        <f t="shared" si="651"/>
        <v/>
      </c>
    </row>
    <row r="13536" spans="9:14" x14ac:dyDescent="0.25">
      <c r="I13536" s="11" t="b">
        <f t="shared" si="652"/>
        <v>0</v>
      </c>
      <c r="M13536" s="17" t="str">
        <f t="shared" si="650"/>
        <v/>
      </c>
      <c r="N13536" s="11" t="str">
        <f t="shared" si="651"/>
        <v/>
      </c>
    </row>
    <row r="13537" spans="9:14" x14ac:dyDescent="0.25">
      <c r="I13537" s="11" t="b">
        <f t="shared" si="652"/>
        <v>0</v>
      </c>
      <c r="M13537" s="17" t="str">
        <f t="shared" si="650"/>
        <v/>
      </c>
      <c r="N13537" s="11" t="str">
        <f t="shared" si="651"/>
        <v/>
      </c>
    </row>
    <row r="13538" spans="9:14" x14ac:dyDescent="0.25">
      <c r="I13538" s="11" t="b">
        <f t="shared" si="652"/>
        <v>0</v>
      </c>
      <c r="M13538" s="17" t="str">
        <f t="shared" si="650"/>
        <v/>
      </c>
      <c r="N13538" s="11" t="str">
        <f t="shared" si="651"/>
        <v/>
      </c>
    </row>
    <row r="13539" spans="9:14" x14ac:dyDescent="0.25">
      <c r="I13539" s="11" t="b">
        <f t="shared" si="652"/>
        <v>0</v>
      </c>
      <c r="M13539" s="17" t="str">
        <f t="shared" si="650"/>
        <v/>
      </c>
      <c r="N13539" s="11" t="str">
        <f t="shared" si="651"/>
        <v/>
      </c>
    </row>
    <row r="13540" spans="9:14" x14ac:dyDescent="0.25">
      <c r="I13540" s="11" t="b">
        <f t="shared" si="652"/>
        <v>0</v>
      </c>
      <c r="M13540" s="17" t="str">
        <f t="shared" si="650"/>
        <v/>
      </c>
      <c r="N13540" s="11" t="str">
        <f t="shared" si="651"/>
        <v/>
      </c>
    </row>
    <row r="13541" spans="9:14" x14ac:dyDescent="0.25">
      <c r="I13541" s="11" t="b">
        <f t="shared" si="652"/>
        <v>0</v>
      </c>
      <c r="M13541" s="17" t="str">
        <f t="shared" si="650"/>
        <v/>
      </c>
      <c r="N13541" s="11" t="str">
        <f t="shared" si="651"/>
        <v/>
      </c>
    </row>
    <row r="13542" spans="9:14" x14ac:dyDescent="0.25">
      <c r="I13542" s="11" t="b">
        <f t="shared" si="652"/>
        <v>0</v>
      </c>
      <c r="M13542" s="17" t="str">
        <f t="shared" si="650"/>
        <v/>
      </c>
      <c r="N13542" s="11" t="str">
        <f t="shared" si="651"/>
        <v/>
      </c>
    </row>
    <row r="13543" spans="9:14" x14ac:dyDescent="0.25">
      <c r="I13543" s="11" t="b">
        <f t="shared" si="652"/>
        <v>0</v>
      </c>
      <c r="M13543" s="17" t="str">
        <f t="shared" si="650"/>
        <v/>
      </c>
      <c r="N13543" s="11" t="str">
        <f t="shared" si="651"/>
        <v/>
      </c>
    </row>
    <row r="13544" spans="9:14" x14ac:dyDescent="0.25">
      <c r="I13544" s="11" t="b">
        <f t="shared" si="652"/>
        <v>0</v>
      </c>
      <c r="M13544" s="17" t="str">
        <f t="shared" si="650"/>
        <v/>
      </c>
      <c r="N13544" s="11" t="str">
        <f t="shared" si="651"/>
        <v/>
      </c>
    </row>
    <row r="13545" spans="9:14" x14ac:dyDescent="0.25">
      <c r="I13545" s="11" t="b">
        <f t="shared" si="652"/>
        <v>0</v>
      </c>
      <c r="M13545" s="17" t="str">
        <f t="shared" si="650"/>
        <v/>
      </c>
      <c r="N13545" s="11" t="str">
        <f t="shared" si="651"/>
        <v/>
      </c>
    </row>
    <row r="13546" spans="9:14" x14ac:dyDescent="0.25">
      <c r="I13546" s="11" t="b">
        <f t="shared" si="652"/>
        <v>0</v>
      </c>
      <c r="M13546" s="17" t="str">
        <f t="shared" si="650"/>
        <v/>
      </c>
      <c r="N13546" s="11" t="str">
        <f t="shared" si="651"/>
        <v/>
      </c>
    </row>
    <row r="13547" spans="9:14" x14ac:dyDescent="0.25">
      <c r="I13547" s="11" t="b">
        <f t="shared" si="652"/>
        <v>0</v>
      </c>
      <c r="M13547" s="17" t="str">
        <f t="shared" si="650"/>
        <v/>
      </c>
      <c r="N13547" s="11" t="str">
        <f t="shared" si="651"/>
        <v/>
      </c>
    </row>
    <row r="13548" spans="9:14" x14ac:dyDescent="0.25">
      <c r="I13548" s="11" t="b">
        <f t="shared" si="652"/>
        <v>0</v>
      </c>
      <c r="M13548" s="17" t="str">
        <f t="shared" si="650"/>
        <v/>
      </c>
      <c r="N13548" s="11" t="str">
        <f t="shared" si="651"/>
        <v/>
      </c>
    </row>
    <row r="13549" spans="9:14" x14ac:dyDescent="0.25">
      <c r="I13549" s="11" t="b">
        <f t="shared" si="652"/>
        <v>0</v>
      </c>
      <c r="M13549" s="17" t="str">
        <f t="shared" si="650"/>
        <v/>
      </c>
      <c r="N13549" s="11" t="str">
        <f t="shared" si="651"/>
        <v/>
      </c>
    </row>
    <row r="13550" spans="9:14" x14ac:dyDescent="0.25">
      <c r="I13550" s="11" t="b">
        <f t="shared" si="652"/>
        <v>0</v>
      </c>
      <c r="M13550" s="17" t="str">
        <f t="shared" si="650"/>
        <v/>
      </c>
      <c r="N13550" s="11" t="str">
        <f t="shared" si="651"/>
        <v/>
      </c>
    </row>
    <row r="13551" spans="9:14" x14ac:dyDescent="0.25">
      <c r="I13551" s="11" t="b">
        <f t="shared" si="652"/>
        <v>0</v>
      </c>
      <c r="M13551" s="17" t="str">
        <f t="shared" si="650"/>
        <v/>
      </c>
      <c r="N13551" s="11" t="str">
        <f t="shared" si="651"/>
        <v/>
      </c>
    </row>
    <row r="13552" spans="9:14" x14ac:dyDescent="0.25">
      <c r="I13552" s="11" t="b">
        <f t="shared" si="652"/>
        <v>0</v>
      </c>
      <c r="M13552" s="17" t="str">
        <f t="shared" si="650"/>
        <v/>
      </c>
      <c r="N13552" s="11" t="str">
        <f t="shared" si="651"/>
        <v/>
      </c>
    </row>
    <row r="13553" spans="9:14" x14ac:dyDescent="0.25">
      <c r="I13553" s="11" t="b">
        <f t="shared" si="652"/>
        <v>0</v>
      </c>
      <c r="M13553" s="17" t="str">
        <f t="shared" si="650"/>
        <v/>
      </c>
      <c r="N13553" s="11" t="str">
        <f t="shared" si="651"/>
        <v/>
      </c>
    </row>
    <row r="13554" spans="9:14" x14ac:dyDescent="0.25">
      <c r="I13554" s="11" t="b">
        <f t="shared" si="652"/>
        <v>0</v>
      </c>
      <c r="M13554" s="17" t="str">
        <f t="shared" si="650"/>
        <v/>
      </c>
      <c r="N13554" s="11" t="str">
        <f t="shared" si="651"/>
        <v/>
      </c>
    </row>
    <row r="13555" spans="9:14" x14ac:dyDescent="0.25">
      <c r="I13555" s="11" t="b">
        <f t="shared" si="652"/>
        <v>0</v>
      </c>
      <c r="M13555" s="17" t="str">
        <f t="shared" si="650"/>
        <v/>
      </c>
      <c r="N13555" s="11" t="str">
        <f t="shared" si="651"/>
        <v/>
      </c>
    </row>
    <row r="13556" spans="9:14" x14ac:dyDescent="0.25">
      <c r="I13556" s="11" t="b">
        <f t="shared" si="652"/>
        <v>0</v>
      </c>
      <c r="M13556" s="17" t="str">
        <f t="shared" si="650"/>
        <v/>
      </c>
      <c r="N13556" s="11" t="str">
        <f t="shared" si="651"/>
        <v/>
      </c>
    </row>
    <row r="13557" spans="9:14" x14ac:dyDescent="0.25">
      <c r="I13557" s="11" t="b">
        <f t="shared" si="652"/>
        <v>0</v>
      </c>
      <c r="M13557" s="17" t="str">
        <f t="shared" si="650"/>
        <v/>
      </c>
      <c r="N13557" s="11" t="str">
        <f t="shared" si="651"/>
        <v/>
      </c>
    </row>
    <row r="13558" spans="9:14" x14ac:dyDescent="0.25">
      <c r="I13558" s="11" t="b">
        <f t="shared" si="652"/>
        <v>0</v>
      </c>
      <c r="M13558" s="17" t="str">
        <f t="shared" si="650"/>
        <v/>
      </c>
      <c r="N13558" s="11" t="str">
        <f t="shared" si="651"/>
        <v/>
      </c>
    </row>
    <row r="13559" spans="9:14" x14ac:dyDescent="0.25">
      <c r="I13559" s="11" t="b">
        <f t="shared" si="652"/>
        <v>0</v>
      </c>
      <c r="M13559" s="17" t="str">
        <f t="shared" si="650"/>
        <v/>
      </c>
      <c r="N13559" s="11" t="str">
        <f t="shared" si="651"/>
        <v/>
      </c>
    </row>
    <row r="13560" spans="9:14" x14ac:dyDescent="0.25">
      <c r="I13560" s="11" t="b">
        <f t="shared" si="652"/>
        <v>0</v>
      </c>
      <c r="M13560" s="17" t="str">
        <f t="shared" si="650"/>
        <v/>
      </c>
      <c r="N13560" s="11" t="str">
        <f t="shared" si="651"/>
        <v/>
      </c>
    </row>
    <row r="13561" spans="9:14" x14ac:dyDescent="0.25">
      <c r="I13561" s="11" t="b">
        <f t="shared" si="652"/>
        <v>0</v>
      </c>
      <c r="M13561" s="17" t="str">
        <f t="shared" si="650"/>
        <v/>
      </c>
      <c r="N13561" s="11" t="str">
        <f t="shared" si="651"/>
        <v/>
      </c>
    </row>
    <row r="13562" spans="9:14" x14ac:dyDescent="0.25">
      <c r="I13562" s="11" t="b">
        <f t="shared" si="652"/>
        <v>0</v>
      </c>
      <c r="M13562" s="17" t="str">
        <f t="shared" si="650"/>
        <v/>
      </c>
      <c r="N13562" s="11" t="str">
        <f t="shared" si="651"/>
        <v/>
      </c>
    </row>
    <row r="13563" spans="9:14" x14ac:dyDescent="0.25">
      <c r="I13563" s="11" t="b">
        <f t="shared" si="652"/>
        <v>0</v>
      </c>
      <c r="M13563" s="17" t="str">
        <f t="shared" si="650"/>
        <v/>
      </c>
      <c r="N13563" s="11" t="str">
        <f t="shared" si="651"/>
        <v/>
      </c>
    </row>
    <row r="13564" spans="9:14" x14ac:dyDescent="0.25">
      <c r="I13564" s="11" t="b">
        <f t="shared" si="652"/>
        <v>0</v>
      </c>
      <c r="M13564" s="17" t="str">
        <f t="shared" si="650"/>
        <v/>
      </c>
      <c r="N13564" s="11" t="str">
        <f t="shared" si="651"/>
        <v/>
      </c>
    </row>
    <row r="13565" spans="9:14" x14ac:dyDescent="0.25">
      <c r="I13565" s="11" t="b">
        <f t="shared" si="652"/>
        <v>0</v>
      </c>
      <c r="M13565" s="17" t="str">
        <f t="shared" si="650"/>
        <v/>
      </c>
      <c r="N13565" s="11" t="str">
        <f t="shared" si="651"/>
        <v/>
      </c>
    </row>
    <row r="13566" spans="9:14" x14ac:dyDescent="0.25">
      <c r="I13566" s="11" t="b">
        <f t="shared" si="652"/>
        <v>0</v>
      </c>
      <c r="M13566" s="17" t="str">
        <f t="shared" si="650"/>
        <v/>
      </c>
      <c r="N13566" s="11" t="str">
        <f t="shared" si="651"/>
        <v/>
      </c>
    </row>
    <row r="13567" spans="9:14" x14ac:dyDescent="0.25">
      <c r="I13567" s="11" t="b">
        <f t="shared" si="652"/>
        <v>0</v>
      </c>
      <c r="M13567" s="17" t="str">
        <f t="shared" si="650"/>
        <v/>
      </c>
      <c r="N13567" s="11" t="str">
        <f t="shared" si="651"/>
        <v/>
      </c>
    </row>
    <row r="13568" spans="9:14" x14ac:dyDescent="0.25">
      <c r="I13568" s="11" t="b">
        <f t="shared" si="652"/>
        <v>0</v>
      </c>
      <c r="M13568" s="17" t="str">
        <f t="shared" si="650"/>
        <v/>
      </c>
      <c r="N13568" s="11" t="str">
        <f t="shared" si="651"/>
        <v/>
      </c>
    </row>
    <row r="13569" spans="9:14" x14ac:dyDescent="0.25">
      <c r="I13569" s="11" t="b">
        <f t="shared" si="652"/>
        <v>0</v>
      </c>
      <c r="M13569" s="17" t="str">
        <f t="shared" ref="M13569:M13632" si="653">IF(B13569=0, "",M13568+ J13569-K13569)</f>
        <v/>
      </c>
      <c r="N13569" s="11" t="str">
        <f t="shared" ref="N13569:N13632" si="654">IF(B13569=0, "", MONTH(B13569))</f>
        <v/>
      </c>
    </row>
    <row r="13570" spans="9:14" x14ac:dyDescent="0.25">
      <c r="I13570" s="11" t="b">
        <f t="shared" si="652"/>
        <v>0</v>
      </c>
      <c r="M13570" s="17" t="str">
        <f t="shared" si="653"/>
        <v/>
      </c>
      <c r="N13570" s="11" t="str">
        <f t="shared" si="654"/>
        <v/>
      </c>
    </row>
    <row r="13571" spans="9:14" x14ac:dyDescent="0.25">
      <c r="I13571" s="11" t="b">
        <f t="shared" si="652"/>
        <v>0</v>
      </c>
      <c r="M13571" s="17" t="str">
        <f t="shared" si="653"/>
        <v/>
      </c>
      <c r="N13571" s="11" t="str">
        <f t="shared" si="654"/>
        <v/>
      </c>
    </row>
    <row r="13572" spans="9:14" x14ac:dyDescent="0.25">
      <c r="I13572" s="11" t="b">
        <f t="shared" si="652"/>
        <v>0</v>
      </c>
      <c r="M13572" s="17" t="str">
        <f t="shared" si="653"/>
        <v/>
      </c>
      <c r="N13572" s="11" t="str">
        <f t="shared" si="654"/>
        <v/>
      </c>
    </row>
    <row r="13573" spans="9:14" x14ac:dyDescent="0.25">
      <c r="I13573" s="11" t="b">
        <f t="shared" si="652"/>
        <v>0</v>
      </c>
      <c r="M13573" s="17" t="str">
        <f t="shared" si="653"/>
        <v/>
      </c>
      <c r="N13573" s="11" t="str">
        <f t="shared" si="654"/>
        <v/>
      </c>
    </row>
    <row r="13574" spans="9:14" x14ac:dyDescent="0.25">
      <c r="I13574" s="11" t="b">
        <f t="shared" si="652"/>
        <v>0</v>
      </c>
      <c r="M13574" s="17" t="str">
        <f t="shared" si="653"/>
        <v/>
      </c>
      <c r="N13574" s="11" t="str">
        <f t="shared" si="654"/>
        <v/>
      </c>
    </row>
    <row r="13575" spans="9:14" x14ac:dyDescent="0.25">
      <c r="I13575" s="11" t="b">
        <f t="shared" si="652"/>
        <v>0</v>
      </c>
      <c r="M13575" s="17" t="str">
        <f t="shared" si="653"/>
        <v/>
      </c>
      <c r="N13575" s="11" t="str">
        <f t="shared" si="654"/>
        <v/>
      </c>
    </row>
    <row r="13576" spans="9:14" x14ac:dyDescent="0.25">
      <c r="I13576" s="11" t="b">
        <f t="shared" si="652"/>
        <v>0</v>
      </c>
      <c r="M13576" s="17" t="str">
        <f t="shared" si="653"/>
        <v/>
      </c>
      <c r="N13576" s="11" t="str">
        <f t="shared" si="654"/>
        <v/>
      </c>
    </row>
    <row r="13577" spans="9:14" x14ac:dyDescent="0.25">
      <c r="I13577" s="11" t="b">
        <f t="shared" si="652"/>
        <v>0</v>
      </c>
      <c r="M13577" s="17" t="str">
        <f t="shared" si="653"/>
        <v/>
      </c>
      <c r="N13577" s="11" t="str">
        <f t="shared" si="654"/>
        <v/>
      </c>
    </row>
    <row r="13578" spans="9:14" x14ac:dyDescent="0.25">
      <c r="I13578" s="11" t="b">
        <f t="shared" si="652"/>
        <v>0</v>
      </c>
      <c r="M13578" s="17" t="str">
        <f t="shared" si="653"/>
        <v/>
      </c>
      <c r="N13578" s="11" t="str">
        <f t="shared" si="654"/>
        <v/>
      </c>
    </row>
    <row r="13579" spans="9:14" x14ac:dyDescent="0.25">
      <c r="I13579" s="11" t="b">
        <f t="shared" si="652"/>
        <v>0</v>
      </c>
      <c r="M13579" s="17" t="str">
        <f t="shared" si="653"/>
        <v/>
      </c>
      <c r="N13579" s="11" t="str">
        <f t="shared" si="654"/>
        <v/>
      </c>
    </row>
    <row r="13580" spans="9:14" x14ac:dyDescent="0.25">
      <c r="I13580" s="11" t="b">
        <f t="shared" si="652"/>
        <v>0</v>
      </c>
      <c r="M13580" s="17" t="str">
        <f t="shared" si="653"/>
        <v/>
      </c>
      <c r="N13580" s="11" t="str">
        <f t="shared" si="654"/>
        <v/>
      </c>
    </row>
    <row r="13581" spans="9:14" x14ac:dyDescent="0.25">
      <c r="I13581" s="11" t="b">
        <f t="shared" si="652"/>
        <v>0</v>
      </c>
      <c r="M13581" s="17" t="str">
        <f t="shared" si="653"/>
        <v/>
      </c>
      <c r="N13581" s="11" t="str">
        <f t="shared" si="654"/>
        <v/>
      </c>
    </row>
    <row r="13582" spans="9:14" x14ac:dyDescent="0.25">
      <c r="I13582" s="11" t="b">
        <f t="shared" si="652"/>
        <v>0</v>
      </c>
      <c r="M13582" s="17" t="str">
        <f t="shared" si="653"/>
        <v/>
      </c>
      <c r="N13582" s="11" t="str">
        <f t="shared" si="654"/>
        <v/>
      </c>
    </row>
    <row r="13583" spans="9:14" x14ac:dyDescent="0.25">
      <c r="I13583" s="11" t="b">
        <f t="shared" si="652"/>
        <v>0</v>
      </c>
      <c r="M13583" s="17" t="str">
        <f t="shared" si="653"/>
        <v/>
      </c>
      <c r="N13583" s="11" t="str">
        <f t="shared" si="654"/>
        <v/>
      </c>
    </row>
    <row r="13584" spans="9:14" x14ac:dyDescent="0.25">
      <c r="I13584" s="11" t="b">
        <f t="shared" si="652"/>
        <v>0</v>
      </c>
      <c r="M13584" s="17" t="str">
        <f t="shared" si="653"/>
        <v/>
      </c>
      <c r="N13584" s="11" t="str">
        <f t="shared" si="654"/>
        <v/>
      </c>
    </row>
    <row r="13585" spans="9:14" x14ac:dyDescent="0.25">
      <c r="I13585" s="11" t="b">
        <f t="shared" si="652"/>
        <v>0</v>
      </c>
      <c r="M13585" s="17" t="str">
        <f t="shared" si="653"/>
        <v/>
      </c>
      <c r="N13585" s="11" t="str">
        <f t="shared" si="654"/>
        <v/>
      </c>
    </row>
    <row r="13586" spans="9:14" x14ac:dyDescent="0.25">
      <c r="I13586" s="11" t="b">
        <f t="shared" si="652"/>
        <v>0</v>
      </c>
      <c r="M13586" s="17" t="str">
        <f t="shared" si="653"/>
        <v/>
      </c>
      <c r="N13586" s="11" t="str">
        <f t="shared" si="654"/>
        <v/>
      </c>
    </row>
    <row r="13587" spans="9:14" x14ac:dyDescent="0.25">
      <c r="I13587" s="11" t="b">
        <f t="shared" si="652"/>
        <v>0</v>
      </c>
      <c r="M13587" s="17" t="str">
        <f t="shared" si="653"/>
        <v/>
      </c>
      <c r="N13587" s="11" t="str">
        <f t="shared" si="654"/>
        <v/>
      </c>
    </row>
    <row r="13588" spans="9:14" x14ac:dyDescent="0.25">
      <c r="I13588" s="11" t="b">
        <f t="shared" si="652"/>
        <v>0</v>
      </c>
      <c r="M13588" s="17" t="str">
        <f t="shared" si="653"/>
        <v/>
      </c>
      <c r="N13588" s="11" t="str">
        <f t="shared" si="654"/>
        <v/>
      </c>
    </row>
    <row r="13589" spans="9:14" x14ac:dyDescent="0.25">
      <c r="I13589" s="11" t="b">
        <f t="shared" si="652"/>
        <v>0</v>
      </c>
      <c r="M13589" s="17" t="str">
        <f t="shared" si="653"/>
        <v/>
      </c>
      <c r="N13589" s="11" t="str">
        <f t="shared" si="654"/>
        <v/>
      </c>
    </row>
    <row r="13590" spans="9:14" x14ac:dyDescent="0.25">
      <c r="I13590" s="11" t="b">
        <f t="shared" si="652"/>
        <v>0</v>
      </c>
      <c r="M13590" s="17" t="str">
        <f t="shared" si="653"/>
        <v/>
      </c>
      <c r="N13590" s="11" t="str">
        <f t="shared" si="654"/>
        <v/>
      </c>
    </row>
    <row r="13591" spans="9:14" x14ac:dyDescent="0.25">
      <c r="I13591" s="11" t="b">
        <f t="shared" si="652"/>
        <v>0</v>
      </c>
      <c r="M13591" s="17" t="str">
        <f t="shared" si="653"/>
        <v/>
      </c>
      <c r="N13591" s="11" t="str">
        <f t="shared" si="654"/>
        <v/>
      </c>
    </row>
    <row r="13592" spans="9:14" x14ac:dyDescent="0.25">
      <c r="I13592" s="11" t="b">
        <f t="shared" si="652"/>
        <v>0</v>
      </c>
      <c r="M13592" s="17" t="str">
        <f t="shared" si="653"/>
        <v/>
      </c>
      <c r="N13592" s="11" t="str">
        <f t="shared" si="654"/>
        <v/>
      </c>
    </row>
    <row r="13593" spans="9:14" x14ac:dyDescent="0.25">
      <c r="I13593" s="11" t="b">
        <f t="shared" si="652"/>
        <v>0</v>
      </c>
      <c r="M13593" s="17" t="str">
        <f t="shared" si="653"/>
        <v/>
      </c>
      <c r="N13593" s="11" t="str">
        <f t="shared" si="654"/>
        <v/>
      </c>
    </row>
    <row r="13594" spans="9:14" x14ac:dyDescent="0.25">
      <c r="I13594" s="11" t="b">
        <f t="shared" si="652"/>
        <v>0</v>
      </c>
      <c r="M13594" s="17" t="str">
        <f t="shared" si="653"/>
        <v/>
      </c>
      <c r="N13594" s="11" t="str">
        <f t="shared" si="654"/>
        <v/>
      </c>
    </row>
    <row r="13595" spans="9:14" x14ac:dyDescent="0.25">
      <c r="I13595" s="11" t="b">
        <f t="shared" si="652"/>
        <v>0</v>
      </c>
      <c r="M13595" s="17" t="str">
        <f t="shared" si="653"/>
        <v/>
      </c>
      <c r="N13595" s="11" t="str">
        <f t="shared" si="654"/>
        <v/>
      </c>
    </row>
    <row r="13596" spans="9:14" x14ac:dyDescent="0.25">
      <c r="I13596" s="11" t="b">
        <f t="shared" si="652"/>
        <v>0</v>
      </c>
      <c r="M13596" s="17" t="str">
        <f t="shared" si="653"/>
        <v/>
      </c>
      <c r="N13596" s="11" t="str">
        <f t="shared" si="654"/>
        <v/>
      </c>
    </row>
    <row r="13597" spans="9:14" x14ac:dyDescent="0.25">
      <c r="I13597" s="11" t="b">
        <f t="shared" ref="I13597:I13660" si="655">IF(AND(G13597="MERCADO PAGO",A13597="FATURAMENTO"),1,IF(AND(OR(G13597="MERCADO PAGO",G13597="pix mercado pago",G13597= "débito automático mercado pago", G13597= "boleto mercado pago"),A13597="DESPESAS"),4,IF(AND(G13597="SAFRA",A13597="FATURAMENTO"),2,IF(AND(OR(G13597="SAFRA",G13597="PIX SAFRA", G13597="DÉBITO AUTOMÁTICO SAFRA", G13597= "BOLETO SAFRA", G13597= "transferência safra"), A13597="DESPESAS"),5,IF(AND(G13597="espécie",A13597="FATURAMENTO"),3,IF(AND(G13597="espécie",A13597="DESPESAS"),6))))))</f>
        <v>0</v>
      </c>
      <c r="M13597" s="17" t="str">
        <f t="shared" si="653"/>
        <v/>
      </c>
      <c r="N13597" s="11" t="str">
        <f t="shared" si="654"/>
        <v/>
      </c>
    </row>
    <row r="13598" spans="9:14" x14ac:dyDescent="0.25">
      <c r="I13598" s="11" t="b">
        <f t="shared" si="655"/>
        <v>0</v>
      </c>
      <c r="M13598" s="17" t="str">
        <f t="shared" si="653"/>
        <v/>
      </c>
      <c r="N13598" s="11" t="str">
        <f t="shared" si="654"/>
        <v/>
      </c>
    </row>
    <row r="13599" spans="9:14" x14ac:dyDescent="0.25">
      <c r="I13599" s="11" t="b">
        <f t="shared" si="655"/>
        <v>0</v>
      </c>
      <c r="M13599" s="17" t="str">
        <f t="shared" si="653"/>
        <v/>
      </c>
      <c r="N13599" s="11" t="str">
        <f t="shared" si="654"/>
        <v/>
      </c>
    </row>
    <row r="13600" spans="9:14" x14ac:dyDescent="0.25">
      <c r="I13600" s="11" t="b">
        <f t="shared" si="655"/>
        <v>0</v>
      </c>
      <c r="M13600" s="17" t="str">
        <f t="shared" si="653"/>
        <v/>
      </c>
      <c r="N13600" s="11" t="str">
        <f t="shared" si="654"/>
        <v/>
      </c>
    </row>
    <row r="13601" spans="9:14" x14ac:dyDescent="0.25">
      <c r="I13601" s="11" t="b">
        <f t="shared" si="655"/>
        <v>0</v>
      </c>
      <c r="M13601" s="17" t="str">
        <f t="shared" si="653"/>
        <v/>
      </c>
      <c r="N13601" s="11" t="str">
        <f t="shared" si="654"/>
        <v/>
      </c>
    </row>
    <row r="13602" spans="9:14" x14ac:dyDescent="0.25">
      <c r="I13602" s="11" t="b">
        <f t="shared" si="655"/>
        <v>0</v>
      </c>
      <c r="M13602" s="17" t="str">
        <f t="shared" si="653"/>
        <v/>
      </c>
      <c r="N13602" s="11" t="str">
        <f t="shared" si="654"/>
        <v/>
      </c>
    </row>
    <row r="13603" spans="9:14" x14ac:dyDescent="0.25">
      <c r="I13603" s="11" t="b">
        <f t="shared" si="655"/>
        <v>0</v>
      </c>
      <c r="M13603" s="17" t="str">
        <f t="shared" si="653"/>
        <v/>
      </c>
      <c r="N13603" s="11" t="str">
        <f t="shared" si="654"/>
        <v/>
      </c>
    </row>
    <row r="13604" spans="9:14" x14ac:dyDescent="0.25">
      <c r="I13604" s="11" t="b">
        <f t="shared" si="655"/>
        <v>0</v>
      </c>
      <c r="M13604" s="17" t="str">
        <f t="shared" si="653"/>
        <v/>
      </c>
      <c r="N13604" s="11" t="str">
        <f t="shared" si="654"/>
        <v/>
      </c>
    </row>
    <row r="13605" spans="9:14" x14ac:dyDescent="0.25">
      <c r="I13605" s="11" t="b">
        <f t="shared" si="655"/>
        <v>0</v>
      </c>
      <c r="M13605" s="17" t="str">
        <f t="shared" si="653"/>
        <v/>
      </c>
      <c r="N13605" s="11" t="str">
        <f t="shared" si="654"/>
        <v/>
      </c>
    </row>
    <row r="13606" spans="9:14" x14ac:dyDescent="0.25">
      <c r="I13606" s="11" t="b">
        <f t="shared" si="655"/>
        <v>0</v>
      </c>
      <c r="M13606" s="17" t="str">
        <f t="shared" si="653"/>
        <v/>
      </c>
      <c r="N13606" s="11" t="str">
        <f t="shared" si="654"/>
        <v/>
      </c>
    </row>
    <row r="13607" spans="9:14" x14ac:dyDescent="0.25">
      <c r="I13607" s="11" t="b">
        <f t="shared" si="655"/>
        <v>0</v>
      </c>
      <c r="M13607" s="17" t="str">
        <f t="shared" si="653"/>
        <v/>
      </c>
      <c r="N13607" s="11" t="str">
        <f t="shared" si="654"/>
        <v/>
      </c>
    </row>
    <row r="13608" spans="9:14" x14ac:dyDescent="0.25">
      <c r="I13608" s="11" t="b">
        <f t="shared" si="655"/>
        <v>0</v>
      </c>
      <c r="M13608" s="17" t="str">
        <f t="shared" si="653"/>
        <v/>
      </c>
      <c r="N13608" s="11" t="str">
        <f t="shared" si="654"/>
        <v/>
      </c>
    </row>
    <row r="13609" spans="9:14" x14ac:dyDescent="0.25">
      <c r="I13609" s="11" t="b">
        <f t="shared" si="655"/>
        <v>0</v>
      </c>
      <c r="M13609" s="17" t="str">
        <f t="shared" si="653"/>
        <v/>
      </c>
      <c r="N13609" s="11" t="str">
        <f t="shared" si="654"/>
        <v/>
      </c>
    </row>
    <row r="13610" spans="9:14" x14ac:dyDescent="0.25">
      <c r="I13610" s="11" t="b">
        <f t="shared" si="655"/>
        <v>0</v>
      </c>
      <c r="M13610" s="17" t="str">
        <f t="shared" si="653"/>
        <v/>
      </c>
      <c r="N13610" s="11" t="str">
        <f t="shared" si="654"/>
        <v/>
      </c>
    </row>
    <row r="13611" spans="9:14" x14ac:dyDescent="0.25">
      <c r="I13611" s="11" t="b">
        <f t="shared" si="655"/>
        <v>0</v>
      </c>
      <c r="M13611" s="17" t="str">
        <f t="shared" si="653"/>
        <v/>
      </c>
      <c r="N13611" s="11" t="str">
        <f t="shared" si="654"/>
        <v/>
      </c>
    </row>
    <row r="13612" spans="9:14" x14ac:dyDescent="0.25">
      <c r="I13612" s="11" t="b">
        <f t="shared" si="655"/>
        <v>0</v>
      </c>
      <c r="M13612" s="17" t="str">
        <f t="shared" si="653"/>
        <v/>
      </c>
      <c r="N13612" s="11" t="str">
        <f t="shared" si="654"/>
        <v/>
      </c>
    </row>
    <row r="13613" spans="9:14" x14ac:dyDescent="0.25">
      <c r="I13613" s="11" t="b">
        <f t="shared" si="655"/>
        <v>0</v>
      </c>
      <c r="M13613" s="17" t="str">
        <f t="shared" si="653"/>
        <v/>
      </c>
      <c r="N13613" s="11" t="str">
        <f t="shared" si="654"/>
        <v/>
      </c>
    </row>
    <row r="13614" spans="9:14" x14ac:dyDescent="0.25">
      <c r="I13614" s="11" t="b">
        <f t="shared" si="655"/>
        <v>0</v>
      </c>
      <c r="M13614" s="17" t="str">
        <f t="shared" si="653"/>
        <v/>
      </c>
      <c r="N13614" s="11" t="str">
        <f t="shared" si="654"/>
        <v/>
      </c>
    </row>
    <row r="13615" spans="9:14" x14ac:dyDescent="0.25">
      <c r="I13615" s="11" t="b">
        <f t="shared" si="655"/>
        <v>0</v>
      </c>
      <c r="M13615" s="17" t="str">
        <f t="shared" si="653"/>
        <v/>
      </c>
      <c r="N13615" s="11" t="str">
        <f t="shared" si="654"/>
        <v/>
      </c>
    </row>
    <row r="13616" spans="9:14" x14ac:dyDescent="0.25">
      <c r="I13616" s="11" t="b">
        <f t="shared" si="655"/>
        <v>0</v>
      </c>
      <c r="M13616" s="17" t="str">
        <f t="shared" si="653"/>
        <v/>
      </c>
      <c r="N13616" s="11" t="str">
        <f t="shared" si="654"/>
        <v/>
      </c>
    </row>
    <row r="13617" spans="9:14" x14ac:dyDescent="0.25">
      <c r="I13617" s="11" t="b">
        <f t="shared" si="655"/>
        <v>0</v>
      </c>
      <c r="M13617" s="17" t="str">
        <f t="shared" si="653"/>
        <v/>
      </c>
      <c r="N13617" s="11" t="str">
        <f t="shared" si="654"/>
        <v/>
      </c>
    </row>
    <row r="13618" spans="9:14" x14ac:dyDescent="0.25">
      <c r="I13618" s="11" t="b">
        <f t="shared" si="655"/>
        <v>0</v>
      </c>
      <c r="M13618" s="17" t="str">
        <f t="shared" si="653"/>
        <v/>
      </c>
      <c r="N13618" s="11" t="str">
        <f t="shared" si="654"/>
        <v/>
      </c>
    </row>
    <row r="13619" spans="9:14" x14ac:dyDescent="0.25">
      <c r="I13619" s="11" t="b">
        <f t="shared" si="655"/>
        <v>0</v>
      </c>
      <c r="M13619" s="17" t="str">
        <f t="shared" si="653"/>
        <v/>
      </c>
      <c r="N13619" s="11" t="str">
        <f t="shared" si="654"/>
        <v/>
      </c>
    </row>
    <row r="13620" spans="9:14" x14ac:dyDescent="0.25">
      <c r="I13620" s="11" t="b">
        <f t="shared" si="655"/>
        <v>0</v>
      </c>
      <c r="M13620" s="17" t="str">
        <f t="shared" si="653"/>
        <v/>
      </c>
      <c r="N13620" s="11" t="str">
        <f t="shared" si="654"/>
        <v/>
      </c>
    </row>
    <row r="13621" spans="9:14" x14ac:dyDescent="0.25">
      <c r="I13621" s="11" t="b">
        <f t="shared" si="655"/>
        <v>0</v>
      </c>
      <c r="M13621" s="17" t="str">
        <f t="shared" si="653"/>
        <v/>
      </c>
      <c r="N13621" s="11" t="str">
        <f t="shared" si="654"/>
        <v/>
      </c>
    </row>
    <row r="13622" spans="9:14" x14ac:dyDescent="0.25">
      <c r="I13622" s="11" t="b">
        <f t="shared" si="655"/>
        <v>0</v>
      </c>
      <c r="M13622" s="17" t="str">
        <f t="shared" si="653"/>
        <v/>
      </c>
      <c r="N13622" s="11" t="str">
        <f t="shared" si="654"/>
        <v/>
      </c>
    </row>
    <row r="13623" spans="9:14" x14ac:dyDescent="0.25">
      <c r="I13623" s="11" t="b">
        <f t="shared" si="655"/>
        <v>0</v>
      </c>
      <c r="M13623" s="17" t="str">
        <f t="shared" si="653"/>
        <v/>
      </c>
      <c r="N13623" s="11" t="str">
        <f t="shared" si="654"/>
        <v/>
      </c>
    </row>
    <row r="13624" spans="9:14" x14ac:dyDescent="0.25">
      <c r="I13624" s="11" t="b">
        <f t="shared" si="655"/>
        <v>0</v>
      </c>
      <c r="M13624" s="17" t="str">
        <f t="shared" si="653"/>
        <v/>
      </c>
      <c r="N13624" s="11" t="str">
        <f t="shared" si="654"/>
        <v/>
      </c>
    </row>
    <row r="13625" spans="9:14" x14ac:dyDescent="0.25">
      <c r="I13625" s="11" t="b">
        <f t="shared" si="655"/>
        <v>0</v>
      </c>
      <c r="M13625" s="17" t="str">
        <f t="shared" si="653"/>
        <v/>
      </c>
      <c r="N13625" s="11" t="str">
        <f t="shared" si="654"/>
        <v/>
      </c>
    </row>
    <row r="13626" spans="9:14" x14ac:dyDescent="0.25">
      <c r="I13626" s="11" t="b">
        <f t="shared" si="655"/>
        <v>0</v>
      </c>
      <c r="M13626" s="17" t="str">
        <f t="shared" si="653"/>
        <v/>
      </c>
      <c r="N13626" s="11" t="str">
        <f t="shared" si="654"/>
        <v/>
      </c>
    </row>
    <row r="13627" spans="9:14" x14ac:dyDescent="0.25">
      <c r="I13627" s="11" t="b">
        <f t="shared" si="655"/>
        <v>0</v>
      </c>
      <c r="M13627" s="17" t="str">
        <f t="shared" si="653"/>
        <v/>
      </c>
      <c r="N13627" s="11" t="str">
        <f t="shared" si="654"/>
        <v/>
      </c>
    </row>
    <row r="13628" spans="9:14" x14ac:dyDescent="0.25">
      <c r="I13628" s="11" t="b">
        <f t="shared" si="655"/>
        <v>0</v>
      </c>
      <c r="M13628" s="17" t="str">
        <f t="shared" si="653"/>
        <v/>
      </c>
      <c r="N13628" s="11" t="str">
        <f t="shared" si="654"/>
        <v/>
      </c>
    </row>
    <row r="13629" spans="9:14" x14ac:dyDescent="0.25">
      <c r="I13629" s="11" t="b">
        <f t="shared" si="655"/>
        <v>0</v>
      </c>
      <c r="M13629" s="17" t="str">
        <f t="shared" si="653"/>
        <v/>
      </c>
      <c r="N13629" s="11" t="str">
        <f t="shared" si="654"/>
        <v/>
      </c>
    </row>
    <row r="13630" spans="9:14" x14ac:dyDescent="0.25">
      <c r="I13630" s="11" t="b">
        <f t="shared" si="655"/>
        <v>0</v>
      </c>
      <c r="M13630" s="17" t="str">
        <f t="shared" si="653"/>
        <v/>
      </c>
      <c r="N13630" s="11" t="str">
        <f t="shared" si="654"/>
        <v/>
      </c>
    </row>
    <row r="13631" spans="9:14" x14ac:dyDescent="0.25">
      <c r="I13631" s="11" t="b">
        <f t="shared" si="655"/>
        <v>0</v>
      </c>
      <c r="M13631" s="17" t="str">
        <f t="shared" si="653"/>
        <v/>
      </c>
      <c r="N13631" s="11" t="str">
        <f t="shared" si="654"/>
        <v/>
      </c>
    </row>
    <row r="13632" spans="9:14" x14ac:dyDescent="0.25">
      <c r="I13632" s="11" t="b">
        <f t="shared" si="655"/>
        <v>0</v>
      </c>
      <c r="M13632" s="17" t="str">
        <f t="shared" si="653"/>
        <v/>
      </c>
      <c r="N13632" s="11" t="str">
        <f t="shared" si="654"/>
        <v/>
      </c>
    </row>
    <row r="13633" spans="9:14" x14ac:dyDescent="0.25">
      <c r="I13633" s="11" t="b">
        <f t="shared" si="655"/>
        <v>0</v>
      </c>
      <c r="M13633" s="17" t="str">
        <f t="shared" ref="M13633:M13696" si="656">IF(B13633=0, "",M13632+ J13633-K13633)</f>
        <v/>
      </c>
      <c r="N13633" s="11" t="str">
        <f t="shared" ref="N13633:N13696" si="657">IF(B13633=0, "", MONTH(B13633))</f>
        <v/>
      </c>
    </row>
    <row r="13634" spans="9:14" x14ac:dyDescent="0.25">
      <c r="I13634" s="11" t="b">
        <f t="shared" si="655"/>
        <v>0</v>
      </c>
      <c r="M13634" s="17" t="str">
        <f t="shared" si="656"/>
        <v/>
      </c>
      <c r="N13634" s="11" t="str">
        <f t="shared" si="657"/>
        <v/>
      </c>
    </row>
    <row r="13635" spans="9:14" x14ac:dyDescent="0.25">
      <c r="I13635" s="11" t="b">
        <f t="shared" si="655"/>
        <v>0</v>
      </c>
      <c r="M13635" s="17" t="str">
        <f t="shared" si="656"/>
        <v/>
      </c>
      <c r="N13635" s="11" t="str">
        <f t="shared" si="657"/>
        <v/>
      </c>
    </row>
    <row r="13636" spans="9:14" x14ac:dyDescent="0.25">
      <c r="I13636" s="11" t="b">
        <f t="shared" si="655"/>
        <v>0</v>
      </c>
      <c r="M13636" s="17" t="str">
        <f t="shared" si="656"/>
        <v/>
      </c>
      <c r="N13636" s="11" t="str">
        <f t="shared" si="657"/>
        <v/>
      </c>
    </row>
    <row r="13637" spans="9:14" x14ac:dyDescent="0.25">
      <c r="I13637" s="11" t="b">
        <f t="shared" si="655"/>
        <v>0</v>
      </c>
      <c r="M13637" s="17" t="str">
        <f t="shared" si="656"/>
        <v/>
      </c>
      <c r="N13637" s="11" t="str">
        <f t="shared" si="657"/>
        <v/>
      </c>
    </row>
    <row r="13638" spans="9:14" x14ac:dyDescent="0.25">
      <c r="I13638" s="11" t="b">
        <f t="shared" si="655"/>
        <v>0</v>
      </c>
      <c r="M13638" s="17" t="str">
        <f t="shared" si="656"/>
        <v/>
      </c>
      <c r="N13638" s="11" t="str">
        <f t="shared" si="657"/>
        <v/>
      </c>
    </row>
    <row r="13639" spans="9:14" x14ac:dyDescent="0.25">
      <c r="I13639" s="11" t="b">
        <f t="shared" si="655"/>
        <v>0</v>
      </c>
      <c r="M13639" s="17" t="str">
        <f t="shared" si="656"/>
        <v/>
      </c>
      <c r="N13639" s="11" t="str">
        <f t="shared" si="657"/>
        <v/>
      </c>
    </row>
    <row r="13640" spans="9:14" x14ac:dyDescent="0.25">
      <c r="I13640" s="11" t="b">
        <f t="shared" si="655"/>
        <v>0</v>
      </c>
      <c r="M13640" s="17" t="str">
        <f t="shared" si="656"/>
        <v/>
      </c>
      <c r="N13640" s="11" t="str">
        <f t="shared" si="657"/>
        <v/>
      </c>
    </row>
    <row r="13641" spans="9:14" x14ac:dyDescent="0.25">
      <c r="I13641" s="11" t="b">
        <f t="shared" si="655"/>
        <v>0</v>
      </c>
      <c r="M13641" s="17" t="str">
        <f t="shared" si="656"/>
        <v/>
      </c>
      <c r="N13641" s="11" t="str">
        <f t="shared" si="657"/>
        <v/>
      </c>
    </row>
    <row r="13642" spans="9:14" x14ac:dyDescent="0.25">
      <c r="I13642" s="11" t="b">
        <f t="shared" si="655"/>
        <v>0</v>
      </c>
      <c r="M13642" s="17" t="str">
        <f t="shared" si="656"/>
        <v/>
      </c>
      <c r="N13642" s="11" t="str">
        <f t="shared" si="657"/>
        <v/>
      </c>
    </row>
    <row r="13643" spans="9:14" x14ac:dyDescent="0.25">
      <c r="I13643" s="11" t="b">
        <f t="shared" si="655"/>
        <v>0</v>
      </c>
      <c r="M13643" s="17" t="str">
        <f t="shared" si="656"/>
        <v/>
      </c>
      <c r="N13643" s="11" t="str">
        <f t="shared" si="657"/>
        <v/>
      </c>
    </row>
    <row r="13644" spans="9:14" x14ac:dyDescent="0.25">
      <c r="I13644" s="11" t="b">
        <f t="shared" si="655"/>
        <v>0</v>
      </c>
      <c r="M13644" s="17" t="str">
        <f t="shared" si="656"/>
        <v/>
      </c>
      <c r="N13644" s="11" t="str">
        <f t="shared" si="657"/>
        <v/>
      </c>
    </row>
    <row r="13645" spans="9:14" x14ac:dyDescent="0.25">
      <c r="I13645" s="11" t="b">
        <f t="shared" si="655"/>
        <v>0</v>
      </c>
      <c r="M13645" s="17" t="str">
        <f t="shared" si="656"/>
        <v/>
      </c>
      <c r="N13645" s="11" t="str">
        <f t="shared" si="657"/>
        <v/>
      </c>
    </row>
    <row r="13646" spans="9:14" x14ac:dyDescent="0.25">
      <c r="I13646" s="11" t="b">
        <f t="shared" si="655"/>
        <v>0</v>
      </c>
      <c r="M13646" s="17" t="str">
        <f t="shared" si="656"/>
        <v/>
      </c>
      <c r="N13646" s="11" t="str">
        <f t="shared" si="657"/>
        <v/>
      </c>
    </row>
    <row r="13647" spans="9:14" x14ac:dyDescent="0.25">
      <c r="I13647" s="11" t="b">
        <f t="shared" si="655"/>
        <v>0</v>
      </c>
      <c r="M13647" s="17" t="str">
        <f t="shared" si="656"/>
        <v/>
      </c>
      <c r="N13647" s="11" t="str">
        <f t="shared" si="657"/>
        <v/>
      </c>
    </row>
    <row r="13648" spans="9:14" x14ac:dyDescent="0.25">
      <c r="I13648" s="11" t="b">
        <f t="shared" si="655"/>
        <v>0</v>
      </c>
      <c r="M13648" s="17" t="str">
        <f t="shared" si="656"/>
        <v/>
      </c>
      <c r="N13648" s="11" t="str">
        <f t="shared" si="657"/>
        <v/>
      </c>
    </row>
    <row r="13649" spans="9:14" x14ac:dyDescent="0.25">
      <c r="I13649" s="11" t="b">
        <f t="shared" si="655"/>
        <v>0</v>
      </c>
      <c r="M13649" s="17" t="str">
        <f t="shared" si="656"/>
        <v/>
      </c>
      <c r="N13649" s="11" t="str">
        <f t="shared" si="657"/>
        <v/>
      </c>
    </row>
    <row r="13650" spans="9:14" x14ac:dyDescent="0.25">
      <c r="I13650" s="11" t="b">
        <f t="shared" si="655"/>
        <v>0</v>
      </c>
      <c r="M13650" s="17" t="str">
        <f t="shared" si="656"/>
        <v/>
      </c>
      <c r="N13650" s="11" t="str">
        <f t="shared" si="657"/>
        <v/>
      </c>
    </row>
    <row r="13651" spans="9:14" x14ac:dyDescent="0.25">
      <c r="I13651" s="11" t="b">
        <f t="shared" si="655"/>
        <v>0</v>
      </c>
      <c r="M13651" s="17" t="str">
        <f t="shared" si="656"/>
        <v/>
      </c>
      <c r="N13651" s="11" t="str">
        <f t="shared" si="657"/>
        <v/>
      </c>
    </row>
    <row r="13652" spans="9:14" x14ac:dyDescent="0.25">
      <c r="I13652" s="11" t="b">
        <f t="shared" si="655"/>
        <v>0</v>
      </c>
      <c r="M13652" s="17" t="str">
        <f t="shared" si="656"/>
        <v/>
      </c>
      <c r="N13652" s="11" t="str">
        <f t="shared" si="657"/>
        <v/>
      </c>
    </row>
    <row r="13653" spans="9:14" x14ac:dyDescent="0.25">
      <c r="I13653" s="11" t="b">
        <f t="shared" si="655"/>
        <v>0</v>
      </c>
      <c r="M13653" s="17" t="str">
        <f t="shared" si="656"/>
        <v/>
      </c>
      <c r="N13653" s="11" t="str">
        <f t="shared" si="657"/>
        <v/>
      </c>
    </row>
    <row r="13654" spans="9:14" x14ac:dyDescent="0.25">
      <c r="I13654" s="11" t="b">
        <f t="shared" si="655"/>
        <v>0</v>
      </c>
      <c r="M13654" s="17" t="str">
        <f t="shared" si="656"/>
        <v/>
      </c>
      <c r="N13654" s="11" t="str">
        <f t="shared" si="657"/>
        <v/>
      </c>
    </row>
    <row r="13655" spans="9:14" x14ac:dyDescent="0.25">
      <c r="I13655" s="11" t="b">
        <f t="shared" si="655"/>
        <v>0</v>
      </c>
      <c r="M13655" s="17" t="str">
        <f t="shared" si="656"/>
        <v/>
      </c>
      <c r="N13655" s="11" t="str">
        <f t="shared" si="657"/>
        <v/>
      </c>
    </row>
    <row r="13656" spans="9:14" x14ac:dyDescent="0.25">
      <c r="I13656" s="11" t="b">
        <f t="shared" si="655"/>
        <v>0</v>
      </c>
      <c r="M13656" s="17" t="str">
        <f t="shared" si="656"/>
        <v/>
      </c>
      <c r="N13656" s="11" t="str">
        <f t="shared" si="657"/>
        <v/>
      </c>
    </row>
    <row r="13657" spans="9:14" x14ac:dyDescent="0.25">
      <c r="I13657" s="11" t="b">
        <f t="shared" si="655"/>
        <v>0</v>
      </c>
      <c r="M13657" s="17" t="str">
        <f t="shared" si="656"/>
        <v/>
      </c>
      <c r="N13657" s="11" t="str">
        <f t="shared" si="657"/>
        <v/>
      </c>
    </row>
    <row r="13658" spans="9:14" x14ac:dyDescent="0.25">
      <c r="I13658" s="11" t="b">
        <f t="shared" si="655"/>
        <v>0</v>
      </c>
      <c r="M13658" s="17" t="str">
        <f t="shared" si="656"/>
        <v/>
      </c>
      <c r="N13658" s="11" t="str">
        <f t="shared" si="657"/>
        <v/>
      </c>
    </row>
    <row r="13659" spans="9:14" x14ac:dyDescent="0.25">
      <c r="I13659" s="11" t="b">
        <f t="shared" si="655"/>
        <v>0</v>
      </c>
      <c r="M13659" s="17" t="str">
        <f t="shared" si="656"/>
        <v/>
      </c>
      <c r="N13659" s="11" t="str">
        <f t="shared" si="657"/>
        <v/>
      </c>
    </row>
    <row r="13660" spans="9:14" x14ac:dyDescent="0.25">
      <c r="I13660" s="11" t="b">
        <f t="shared" si="655"/>
        <v>0</v>
      </c>
      <c r="M13660" s="17" t="str">
        <f t="shared" si="656"/>
        <v/>
      </c>
      <c r="N13660" s="11" t="str">
        <f t="shared" si="657"/>
        <v/>
      </c>
    </row>
    <row r="13661" spans="9:14" x14ac:dyDescent="0.25">
      <c r="I13661" s="11" t="b">
        <f t="shared" ref="I13661:I13724" si="658">IF(AND(G13661="MERCADO PAGO",A13661="FATURAMENTO"),1,IF(AND(OR(G13661="MERCADO PAGO",G13661="pix mercado pago",G13661= "débito automático mercado pago", G13661= "boleto mercado pago"),A13661="DESPESAS"),4,IF(AND(G13661="SAFRA",A13661="FATURAMENTO"),2,IF(AND(OR(G13661="SAFRA",G13661="PIX SAFRA", G13661="DÉBITO AUTOMÁTICO SAFRA", G13661= "BOLETO SAFRA", G13661= "transferência safra"), A13661="DESPESAS"),5,IF(AND(G13661="espécie",A13661="FATURAMENTO"),3,IF(AND(G13661="espécie",A13661="DESPESAS"),6))))))</f>
        <v>0</v>
      </c>
      <c r="M13661" s="17" t="str">
        <f t="shared" si="656"/>
        <v/>
      </c>
      <c r="N13661" s="11" t="str">
        <f t="shared" si="657"/>
        <v/>
      </c>
    </row>
    <row r="13662" spans="9:14" x14ac:dyDescent="0.25">
      <c r="I13662" s="11" t="b">
        <f t="shared" si="658"/>
        <v>0</v>
      </c>
      <c r="M13662" s="17" t="str">
        <f t="shared" si="656"/>
        <v/>
      </c>
      <c r="N13662" s="11" t="str">
        <f t="shared" si="657"/>
        <v/>
      </c>
    </row>
    <row r="13663" spans="9:14" x14ac:dyDescent="0.25">
      <c r="I13663" s="11" t="b">
        <f t="shared" si="658"/>
        <v>0</v>
      </c>
      <c r="M13663" s="17" t="str">
        <f t="shared" si="656"/>
        <v/>
      </c>
      <c r="N13663" s="11" t="str">
        <f t="shared" si="657"/>
        <v/>
      </c>
    </row>
    <row r="13664" spans="9:14" x14ac:dyDescent="0.25">
      <c r="I13664" s="11" t="b">
        <f t="shared" si="658"/>
        <v>0</v>
      </c>
      <c r="M13664" s="17" t="str">
        <f t="shared" si="656"/>
        <v/>
      </c>
      <c r="N13664" s="11" t="str">
        <f t="shared" si="657"/>
        <v/>
      </c>
    </row>
    <row r="13665" spans="9:14" x14ac:dyDescent="0.25">
      <c r="I13665" s="11" t="b">
        <f t="shared" si="658"/>
        <v>0</v>
      </c>
      <c r="M13665" s="17" t="str">
        <f t="shared" si="656"/>
        <v/>
      </c>
      <c r="N13665" s="11" t="str">
        <f t="shared" si="657"/>
        <v/>
      </c>
    </row>
    <row r="13666" spans="9:14" x14ac:dyDescent="0.25">
      <c r="I13666" s="11" t="b">
        <f t="shared" si="658"/>
        <v>0</v>
      </c>
      <c r="M13666" s="17" t="str">
        <f t="shared" si="656"/>
        <v/>
      </c>
      <c r="N13666" s="11" t="str">
        <f t="shared" si="657"/>
        <v/>
      </c>
    </row>
    <row r="13667" spans="9:14" x14ac:dyDescent="0.25">
      <c r="I13667" s="11" t="b">
        <f t="shared" si="658"/>
        <v>0</v>
      </c>
      <c r="M13667" s="17" t="str">
        <f t="shared" si="656"/>
        <v/>
      </c>
      <c r="N13667" s="11" t="str">
        <f t="shared" si="657"/>
        <v/>
      </c>
    </row>
    <row r="13668" spans="9:14" x14ac:dyDescent="0.25">
      <c r="I13668" s="11" t="b">
        <f t="shared" si="658"/>
        <v>0</v>
      </c>
      <c r="M13668" s="17" t="str">
        <f t="shared" si="656"/>
        <v/>
      </c>
      <c r="N13668" s="11" t="str">
        <f t="shared" si="657"/>
        <v/>
      </c>
    </row>
    <row r="13669" spans="9:14" x14ac:dyDescent="0.25">
      <c r="I13669" s="11" t="b">
        <f t="shared" si="658"/>
        <v>0</v>
      </c>
      <c r="M13669" s="17" t="str">
        <f t="shared" si="656"/>
        <v/>
      </c>
      <c r="N13669" s="11" t="str">
        <f t="shared" si="657"/>
        <v/>
      </c>
    </row>
    <row r="13670" spans="9:14" x14ac:dyDescent="0.25">
      <c r="I13670" s="11" t="b">
        <f t="shared" si="658"/>
        <v>0</v>
      </c>
      <c r="M13670" s="17" t="str">
        <f t="shared" si="656"/>
        <v/>
      </c>
      <c r="N13670" s="11" t="str">
        <f t="shared" si="657"/>
        <v/>
      </c>
    </row>
    <row r="13671" spans="9:14" x14ac:dyDescent="0.25">
      <c r="I13671" s="11" t="b">
        <f t="shared" si="658"/>
        <v>0</v>
      </c>
      <c r="M13671" s="17" t="str">
        <f t="shared" si="656"/>
        <v/>
      </c>
      <c r="N13671" s="11" t="str">
        <f t="shared" si="657"/>
        <v/>
      </c>
    </row>
    <row r="13672" spans="9:14" x14ac:dyDescent="0.25">
      <c r="I13672" s="11" t="b">
        <f t="shared" si="658"/>
        <v>0</v>
      </c>
      <c r="M13672" s="17" t="str">
        <f t="shared" si="656"/>
        <v/>
      </c>
      <c r="N13672" s="11" t="str">
        <f t="shared" si="657"/>
        <v/>
      </c>
    </row>
    <row r="13673" spans="9:14" x14ac:dyDescent="0.25">
      <c r="I13673" s="11" t="b">
        <f t="shared" si="658"/>
        <v>0</v>
      </c>
      <c r="M13673" s="17" t="str">
        <f t="shared" si="656"/>
        <v/>
      </c>
      <c r="N13673" s="11" t="str">
        <f t="shared" si="657"/>
        <v/>
      </c>
    </row>
    <row r="13674" spans="9:14" x14ac:dyDescent="0.25">
      <c r="I13674" s="11" t="b">
        <f t="shared" si="658"/>
        <v>0</v>
      </c>
      <c r="M13674" s="17" t="str">
        <f t="shared" si="656"/>
        <v/>
      </c>
      <c r="N13674" s="11" t="str">
        <f t="shared" si="657"/>
        <v/>
      </c>
    </row>
    <row r="13675" spans="9:14" x14ac:dyDescent="0.25">
      <c r="I13675" s="11" t="b">
        <f t="shared" si="658"/>
        <v>0</v>
      </c>
      <c r="M13675" s="17" t="str">
        <f t="shared" si="656"/>
        <v/>
      </c>
      <c r="N13675" s="11" t="str">
        <f t="shared" si="657"/>
        <v/>
      </c>
    </row>
    <row r="13676" spans="9:14" x14ac:dyDescent="0.25">
      <c r="I13676" s="11" t="b">
        <f t="shared" si="658"/>
        <v>0</v>
      </c>
      <c r="M13676" s="17" t="str">
        <f t="shared" si="656"/>
        <v/>
      </c>
      <c r="N13676" s="11" t="str">
        <f t="shared" si="657"/>
        <v/>
      </c>
    </row>
    <row r="13677" spans="9:14" x14ac:dyDescent="0.25">
      <c r="I13677" s="11" t="b">
        <f t="shared" si="658"/>
        <v>0</v>
      </c>
      <c r="M13677" s="17" t="str">
        <f t="shared" si="656"/>
        <v/>
      </c>
      <c r="N13677" s="11" t="str">
        <f t="shared" si="657"/>
        <v/>
      </c>
    </row>
    <row r="13678" spans="9:14" x14ac:dyDescent="0.25">
      <c r="I13678" s="11" t="b">
        <f t="shared" si="658"/>
        <v>0</v>
      </c>
      <c r="M13678" s="17" t="str">
        <f t="shared" si="656"/>
        <v/>
      </c>
      <c r="N13678" s="11" t="str">
        <f t="shared" si="657"/>
        <v/>
      </c>
    </row>
    <row r="13679" spans="9:14" x14ac:dyDescent="0.25">
      <c r="I13679" s="11" t="b">
        <f t="shared" si="658"/>
        <v>0</v>
      </c>
      <c r="M13679" s="17" t="str">
        <f t="shared" si="656"/>
        <v/>
      </c>
      <c r="N13679" s="11" t="str">
        <f t="shared" si="657"/>
        <v/>
      </c>
    </row>
    <row r="13680" spans="9:14" x14ac:dyDescent="0.25">
      <c r="I13680" s="11" t="b">
        <f t="shared" si="658"/>
        <v>0</v>
      </c>
      <c r="M13680" s="17" t="str">
        <f t="shared" si="656"/>
        <v/>
      </c>
      <c r="N13680" s="11" t="str">
        <f t="shared" si="657"/>
        <v/>
      </c>
    </row>
    <row r="13681" spans="9:14" x14ac:dyDescent="0.25">
      <c r="I13681" s="11" t="b">
        <f t="shared" si="658"/>
        <v>0</v>
      </c>
      <c r="M13681" s="17" t="str">
        <f t="shared" si="656"/>
        <v/>
      </c>
      <c r="N13681" s="11" t="str">
        <f t="shared" si="657"/>
        <v/>
      </c>
    </row>
    <row r="13682" spans="9:14" x14ac:dyDescent="0.25">
      <c r="I13682" s="11" t="b">
        <f t="shared" si="658"/>
        <v>0</v>
      </c>
      <c r="M13682" s="17" t="str">
        <f t="shared" si="656"/>
        <v/>
      </c>
      <c r="N13682" s="11" t="str">
        <f t="shared" si="657"/>
        <v/>
      </c>
    </row>
    <row r="13683" spans="9:14" x14ac:dyDescent="0.25">
      <c r="I13683" s="11" t="b">
        <f t="shared" si="658"/>
        <v>0</v>
      </c>
      <c r="M13683" s="17" t="str">
        <f t="shared" si="656"/>
        <v/>
      </c>
      <c r="N13683" s="11" t="str">
        <f t="shared" si="657"/>
        <v/>
      </c>
    </row>
    <row r="13684" spans="9:14" x14ac:dyDescent="0.25">
      <c r="I13684" s="11" t="b">
        <f t="shared" si="658"/>
        <v>0</v>
      </c>
      <c r="M13684" s="17" t="str">
        <f t="shared" si="656"/>
        <v/>
      </c>
      <c r="N13684" s="11" t="str">
        <f t="shared" si="657"/>
        <v/>
      </c>
    </row>
    <row r="13685" spans="9:14" x14ac:dyDescent="0.25">
      <c r="I13685" s="11" t="b">
        <f t="shared" si="658"/>
        <v>0</v>
      </c>
      <c r="M13685" s="17" t="str">
        <f t="shared" si="656"/>
        <v/>
      </c>
      <c r="N13685" s="11" t="str">
        <f t="shared" si="657"/>
        <v/>
      </c>
    </row>
    <row r="13686" spans="9:14" x14ac:dyDescent="0.25">
      <c r="I13686" s="11" t="b">
        <f t="shared" si="658"/>
        <v>0</v>
      </c>
      <c r="M13686" s="17" t="str">
        <f t="shared" si="656"/>
        <v/>
      </c>
      <c r="N13686" s="11" t="str">
        <f t="shared" si="657"/>
        <v/>
      </c>
    </row>
    <row r="13687" spans="9:14" x14ac:dyDescent="0.25">
      <c r="I13687" s="11" t="b">
        <f t="shared" si="658"/>
        <v>0</v>
      </c>
      <c r="M13687" s="17" t="str">
        <f t="shared" si="656"/>
        <v/>
      </c>
      <c r="N13687" s="11" t="str">
        <f t="shared" si="657"/>
        <v/>
      </c>
    </row>
    <row r="13688" spans="9:14" x14ac:dyDescent="0.25">
      <c r="I13688" s="11" t="b">
        <f t="shared" si="658"/>
        <v>0</v>
      </c>
      <c r="M13688" s="17" t="str">
        <f t="shared" si="656"/>
        <v/>
      </c>
      <c r="N13688" s="11" t="str">
        <f t="shared" si="657"/>
        <v/>
      </c>
    </row>
    <row r="13689" spans="9:14" x14ac:dyDescent="0.25">
      <c r="I13689" s="11" t="b">
        <f t="shared" si="658"/>
        <v>0</v>
      </c>
      <c r="M13689" s="17" t="str">
        <f t="shared" si="656"/>
        <v/>
      </c>
      <c r="N13689" s="11" t="str">
        <f t="shared" si="657"/>
        <v/>
      </c>
    </row>
    <row r="13690" spans="9:14" x14ac:dyDescent="0.25">
      <c r="I13690" s="11" t="b">
        <f t="shared" si="658"/>
        <v>0</v>
      </c>
      <c r="M13690" s="17" t="str">
        <f t="shared" si="656"/>
        <v/>
      </c>
      <c r="N13690" s="11" t="str">
        <f t="shared" si="657"/>
        <v/>
      </c>
    </row>
    <row r="13691" spans="9:14" x14ac:dyDescent="0.25">
      <c r="I13691" s="11" t="b">
        <f t="shared" si="658"/>
        <v>0</v>
      </c>
      <c r="M13691" s="17" t="str">
        <f t="shared" si="656"/>
        <v/>
      </c>
      <c r="N13691" s="11" t="str">
        <f t="shared" si="657"/>
        <v/>
      </c>
    </row>
    <row r="13692" spans="9:14" x14ac:dyDescent="0.25">
      <c r="I13692" s="11" t="b">
        <f t="shared" si="658"/>
        <v>0</v>
      </c>
      <c r="M13692" s="17" t="str">
        <f t="shared" si="656"/>
        <v/>
      </c>
      <c r="N13692" s="11" t="str">
        <f t="shared" si="657"/>
        <v/>
      </c>
    </row>
    <row r="13693" spans="9:14" x14ac:dyDescent="0.25">
      <c r="I13693" s="11" t="b">
        <f t="shared" si="658"/>
        <v>0</v>
      </c>
      <c r="M13693" s="17" t="str">
        <f t="shared" si="656"/>
        <v/>
      </c>
      <c r="N13693" s="11" t="str">
        <f t="shared" si="657"/>
        <v/>
      </c>
    </row>
    <row r="13694" spans="9:14" x14ac:dyDescent="0.25">
      <c r="I13694" s="11" t="b">
        <f t="shared" si="658"/>
        <v>0</v>
      </c>
      <c r="M13694" s="17" t="str">
        <f t="shared" si="656"/>
        <v/>
      </c>
      <c r="N13694" s="11" t="str">
        <f t="shared" si="657"/>
        <v/>
      </c>
    </row>
    <row r="13695" spans="9:14" x14ac:dyDescent="0.25">
      <c r="I13695" s="11" t="b">
        <f t="shared" si="658"/>
        <v>0</v>
      </c>
      <c r="M13695" s="17" t="str">
        <f t="shared" si="656"/>
        <v/>
      </c>
      <c r="N13695" s="11" t="str">
        <f t="shared" si="657"/>
        <v/>
      </c>
    </row>
    <row r="13696" spans="9:14" x14ac:dyDescent="0.25">
      <c r="I13696" s="11" t="b">
        <f t="shared" si="658"/>
        <v>0</v>
      </c>
      <c r="M13696" s="17" t="str">
        <f t="shared" si="656"/>
        <v/>
      </c>
      <c r="N13696" s="11" t="str">
        <f t="shared" si="657"/>
        <v/>
      </c>
    </row>
    <row r="13697" spans="9:14" x14ac:dyDescent="0.25">
      <c r="I13697" s="11" t="b">
        <f t="shared" si="658"/>
        <v>0</v>
      </c>
      <c r="M13697" s="17" t="str">
        <f t="shared" ref="M13697:M13760" si="659">IF(B13697=0, "",M13696+ J13697-K13697)</f>
        <v/>
      </c>
      <c r="N13697" s="11" t="str">
        <f t="shared" ref="N13697:N13760" si="660">IF(B13697=0, "", MONTH(B13697))</f>
        <v/>
      </c>
    </row>
    <row r="13698" spans="9:14" x14ac:dyDescent="0.25">
      <c r="I13698" s="11" t="b">
        <f t="shared" si="658"/>
        <v>0</v>
      </c>
      <c r="M13698" s="17" t="str">
        <f t="shared" si="659"/>
        <v/>
      </c>
      <c r="N13698" s="11" t="str">
        <f t="shared" si="660"/>
        <v/>
      </c>
    </row>
    <row r="13699" spans="9:14" x14ac:dyDescent="0.25">
      <c r="I13699" s="11" t="b">
        <f t="shared" si="658"/>
        <v>0</v>
      </c>
      <c r="M13699" s="17" t="str">
        <f t="shared" si="659"/>
        <v/>
      </c>
      <c r="N13699" s="11" t="str">
        <f t="shared" si="660"/>
        <v/>
      </c>
    </row>
    <row r="13700" spans="9:14" x14ac:dyDescent="0.25">
      <c r="I13700" s="11" t="b">
        <f t="shared" si="658"/>
        <v>0</v>
      </c>
      <c r="M13700" s="17" t="str">
        <f t="shared" si="659"/>
        <v/>
      </c>
      <c r="N13700" s="11" t="str">
        <f t="shared" si="660"/>
        <v/>
      </c>
    </row>
    <row r="13701" spans="9:14" x14ac:dyDescent="0.25">
      <c r="I13701" s="11" t="b">
        <f t="shared" si="658"/>
        <v>0</v>
      </c>
      <c r="M13701" s="17" t="str">
        <f t="shared" si="659"/>
        <v/>
      </c>
      <c r="N13701" s="11" t="str">
        <f t="shared" si="660"/>
        <v/>
      </c>
    </row>
    <row r="13702" spans="9:14" x14ac:dyDescent="0.25">
      <c r="I13702" s="11" t="b">
        <f t="shared" si="658"/>
        <v>0</v>
      </c>
      <c r="M13702" s="17" t="str">
        <f t="shared" si="659"/>
        <v/>
      </c>
      <c r="N13702" s="11" t="str">
        <f t="shared" si="660"/>
        <v/>
      </c>
    </row>
    <row r="13703" spans="9:14" x14ac:dyDescent="0.25">
      <c r="I13703" s="11" t="b">
        <f t="shared" si="658"/>
        <v>0</v>
      </c>
      <c r="M13703" s="17" t="str">
        <f t="shared" si="659"/>
        <v/>
      </c>
      <c r="N13703" s="11" t="str">
        <f t="shared" si="660"/>
        <v/>
      </c>
    </row>
    <row r="13704" spans="9:14" x14ac:dyDescent="0.25">
      <c r="I13704" s="11" t="b">
        <f t="shared" si="658"/>
        <v>0</v>
      </c>
      <c r="M13704" s="17" t="str">
        <f t="shared" si="659"/>
        <v/>
      </c>
      <c r="N13704" s="11" t="str">
        <f t="shared" si="660"/>
        <v/>
      </c>
    </row>
    <row r="13705" spans="9:14" x14ac:dyDescent="0.25">
      <c r="I13705" s="11" t="b">
        <f t="shared" si="658"/>
        <v>0</v>
      </c>
      <c r="M13705" s="17" t="str">
        <f t="shared" si="659"/>
        <v/>
      </c>
      <c r="N13705" s="11" t="str">
        <f t="shared" si="660"/>
        <v/>
      </c>
    </row>
    <row r="13706" spans="9:14" x14ac:dyDescent="0.25">
      <c r="I13706" s="11" t="b">
        <f t="shared" si="658"/>
        <v>0</v>
      </c>
      <c r="M13706" s="17" t="str">
        <f t="shared" si="659"/>
        <v/>
      </c>
      <c r="N13706" s="11" t="str">
        <f t="shared" si="660"/>
        <v/>
      </c>
    </row>
    <row r="13707" spans="9:14" x14ac:dyDescent="0.25">
      <c r="I13707" s="11" t="b">
        <f t="shared" si="658"/>
        <v>0</v>
      </c>
      <c r="M13707" s="17" t="str">
        <f t="shared" si="659"/>
        <v/>
      </c>
      <c r="N13707" s="11" t="str">
        <f t="shared" si="660"/>
        <v/>
      </c>
    </row>
    <row r="13708" spans="9:14" x14ac:dyDescent="0.25">
      <c r="I13708" s="11" t="b">
        <f t="shared" si="658"/>
        <v>0</v>
      </c>
      <c r="M13708" s="17" t="str">
        <f t="shared" si="659"/>
        <v/>
      </c>
      <c r="N13708" s="11" t="str">
        <f t="shared" si="660"/>
        <v/>
      </c>
    </row>
    <row r="13709" spans="9:14" x14ac:dyDescent="0.25">
      <c r="I13709" s="11" t="b">
        <f t="shared" si="658"/>
        <v>0</v>
      </c>
      <c r="M13709" s="17" t="str">
        <f t="shared" si="659"/>
        <v/>
      </c>
      <c r="N13709" s="11" t="str">
        <f t="shared" si="660"/>
        <v/>
      </c>
    </row>
    <row r="13710" spans="9:14" x14ac:dyDescent="0.25">
      <c r="I13710" s="11" t="b">
        <f t="shared" si="658"/>
        <v>0</v>
      </c>
      <c r="M13710" s="17" t="str">
        <f t="shared" si="659"/>
        <v/>
      </c>
      <c r="N13710" s="11" t="str">
        <f t="shared" si="660"/>
        <v/>
      </c>
    </row>
    <row r="13711" spans="9:14" x14ac:dyDescent="0.25">
      <c r="I13711" s="11" t="b">
        <f t="shared" si="658"/>
        <v>0</v>
      </c>
      <c r="M13711" s="17" t="str">
        <f t="shared" si="659"/>
        <v/>
      </c>
      <c r="N13711" s="11" t="str">
        <f t="shared" si="660"/>
        <v/>
      </c>
    </row>
    <row r="13712" spans="9:14" x14ac:dyDescent="0.25">
      <c r="I13712" s="11" t="b">
        <f t="shared" si="658"/>
        <v>0</v>
      </c>
      <c r="M13712" s="17" t="str">
        <f t="shared" si="659"/>
        <v/>
      </c>
      <c r="N13712" s="11" t="str">
        <f t="shared" si="660"/>
        <v/>
      </c>
    </row>
    <row r="13713" spans="9:14" x14ac:dyDescent="0.25">
      <c r="I13713" s="11" t="b">
        <f t="shared" si="658"/>
        <v>0</v>
      </c>
      <c r="M13713" s="17" t="str">
        <f t="shared" si="659"/>
        <v/>
      </c>
      <c r="N13713" s="11" t="str">
        <f t="shared" si="660"/>
        <v/>
      </c>
    </row>
    <row r="13714" spans="9:14" x14ac:dyDescent="0.25">
      <c r="I13714" s="11" t="b">
        <f t="shared" si="658"/>
        <v>0</v>
      </c>
      <c r="M13714" s="17" t="str">
        <f t="shared" si="659"/>
        <v/>
      </c>
      <c r="N13714" s="11" t="str">
        <f t="shared" si="660"/>
        <v/>
      </c>
    </row>
    <row r="13715" spans="9:14" x14ac:dyDescent="0.25">
      <c r="I13715" s="11" t="b">
        <f t="shared" si="658"/>
        <v>0</v>
      </c>
      <c r="M13715" s="17" t="str">
        <f t="shared" si="659"/>
        <v/>
      </c>
      <c r="N13715" s="11" t="str">
        <f t="shared" si="660"/>
        <v/>
      </c>
    </row>
    <row r="13716" spans="9:14" x14ac:dyDescent="0.25">
      <c r="I13716" s="11" t="b">
        <f t="shared" si="658"/>
        <v>0</v>
      </c>
      <c r="M13716" s="17" t="str">
        <f t="shared" si="659"/>
        <v/>
      </c>
      <c r="N13716" s="11" t="str">
        <f t="shared" si="660"/>
        <v/>
      </c>
    </row>
    <row r="13717" spans="9:14" x14ac:dyDescent="0.25">
      <c r="I13717" s="11" t="b">
        <f t="shared" si="658"/>
        <v>0</v>
      </c>
      <c r="M13717" s="17" t="str">
        <f t="shared" si="659"/>
        <v/>
      </c>
      <c r="N13717" s="11" t="str">
        <f t="shared" si="660"/>
        <v/>
      </c>
    </row>
    <row r="13718" spans="9:14" x14ac:dyDescent="0.25">
      <c r="I13718" s="11" t="b">
        <f t="shared" si="658"/>
        <v>0</v>
      </c>
      <c r="M13718" s="17" t="str">
        <f t="shared" si="659"/>
        <v/>
      </c>
      <c r="N13718" s="11" t="str">
        <f t="shared" si="660"/>
        <v/>
      </c>
    </row>
    <row r="13719" spans="9:14" x14ac:dyDescent="0.25">
      <c r="I13719" s="11" t="b">
        <f t="shared" si="658"/>
        <v>0</v>
      </c>
      <c r="M13719" s="17" t="str">
        <f t="shared" si="659"/>
        <v/>
      </c>
      <c r="N13719" s="11" t="str">
        <f t="shared" si="660"/>
        <v/>
      </c>
    </row>
    <row r="13720" spans="9:14" x14ac:dyDescent="0.25">
      <c r="I13720" s="11" t="b">
        <f t="shared" si="658"/>
        <v>0</v>
      </c>
      <c r="M13720" s="17" t="str">
        <f t="shared" si="659"/>
        <v/>
      </c>
      <c r="N13720" s="11" t="str">
        <f t="shared" si="660"/>
        <v/>
      </c>
    </row>
    <row r="13721" spans="9:14" x14ac:dyDescent="0.25">
      <c r="I13721" s="11" t="b">
        <f t="shared" si="658"/>
        <v>0</v>
      </c>
      <c r="M13721" s="17" t="str">
        <f t="shared" si="659"/>
        <v/>
      </c>
      <c r="N13721" s="11" t="str">
        <f t="shared" si="660"/>
        <v/>
      </c>
    </row>
    <row r="13722" spans="9:14" x14ac:dyDescent="0.25">
      <c r="I13722" s="11" t="b">
        <f t="shared" si="658"/>
        <v>0</v>
      </c>
      <c r="M13722" s="17" t="str">
        <f t="shared" si="659"/>
        <v/>
      </c>
      <c r="N13722" s="11" t="str">
        <f t="shared" si="660"/>
        <v/>
      </c>
    </row>
    <row r="13723" spans="9:14" x14ac:dyDescent="0.25">
      <c r="I13723" s="11" t="b">
        <f t="shared" si="658"/>
        <v>0</v>
      </c>
      <c r="M13723" s="17" t="str">
        <f t="shared" si="659"/>
        <v/>
      </c>
      <c r="N13723" s="11" t="str">
        <f t="shared" si="660"/>
        <v/>
      </c>
    </row>
    <row r="13724" spans="9:14" x14ac:dyDescent="0.25">
      <c r="I13724" s="11" t="b">
        <f t="shared" si="658"/>
        <v>0</v>
      </c>
      <c r="M13724" s="17" t="str">
        <f t="shared" si="659"/>
        <v/>
      </c>
      <c r="N13724" s="11" t="str">
        <f t="shared" si="660"/>
        <v/>
      </c>
    </row>
    <row r="13725" spans="9:14" x14ac:dyDescent="0.25">
      <c r="I13725" s="11" t="b">
        <f t="shared" ref="I13725:I13788" si="661">IF(AND(G13725="MERCADO PAGO",A13725="FATURAMENTO"),1,IF(AND(OR(G13725="MERCADO PAGO",G13725="pix mercado pago",G13725= "débito automático mercado pago", G13725= "boleto mercado pago"),A13725="DESPESAS"),4,IF(AND(G13725="SAFRA",A13725="FATURAMENTO"),2,IF(AND(OR(G13725="SAFRA",G13725="PIX SAFRA", G13725="DÉBITO AUTOMÁTICO SAFRA", G13725= "BOLETO SAFRA", G13725= "transferência safra"), A13725="DESPESAS"),5,IF(AND(G13725="espécie",A13725="FATURAMENTO"),3,IF(AND(G13725="espécie",A13725="DESPESAS"),6))))))</f>
        <v>0</v>
      </c>
      <c r="M13725" s="17" t="str">
        <f t="shared" si="659"/>
        <v/>
      </c>
      <c r="N13725" s="11" t="str">
        <f t="shared" si="660"/>
        <v/>
      </c>
    </row>
    <row r="13726" spans="9:14" x14ac:dyDescent="0.25">
      <c r="I13726" s="11" t="b">
        <f t="shared" si="661"/>
        <v>0</v>
      </c>
      <c r="M13726" s="17" t="str">
        <f t="shared" si="659"/>
        <v/>
      </c>
      <c r="N13726" s="11" t="str">
        <f t="shared" si="660"/>
        <v/>
      </c>
    </row>
    <row r="13727" spans="9:14" x14ac:dyDescent="0.25">
      <c r="I13727" s="11" t="b">
        <f t="shared" si="661"/>
        <v>0</v>
      </c>
      <c r="M13727" s="17" t="str">
        <f t="shared" si="659"/>
        <v/>
      </c>
      <c r="N13727" s="11" t="str">
        <f t="shared" si="660"/>
        <v/>
      </c>
    </row>
    <row r="13728" spans="9:14" x14ac:dyDescent="0.25">
      <c r="I13728" s="11" t="b">
        <f t="shared" si="661"/>
        <v>0</v>
      </c>
      <c r="M13728" s="17" t="str">
        <f t="shared" si="659"/>
        <v/>
      </c>
      <c r="N13728" s="11" t="str">
        <f t="shared" si="660"/>
        <v/>
      </c>
    </row>
    <row r="13729" spans="9:14" x14ac:dyDescent="0.25">
      <c r="I13729" s="11" t="b">
        <f t="shared" si="661"/>
        <v>0</v>
      </c>
      <c r="M13729" s="17" t="str">
        <f t="shared" si="659"/>
        <v/>
      </c>
      <c r="N13729" s="11" t="str">
        <f t="shared" si="660"/>
        <v/>
      </c>
    </row>
    <row r="13730" spans="9:14" x14ac:dyDescent="0.25">
      <c r="I13730" s="11" t="b">
        <f t="shared" si="661"/>
        <v>0</v>
      </c>
      <c r="M13730" s="17" t="str">
        <f t="shared" si="659"/>
        <v/>
      </c>
      <c r="N13730" s="11" t="str">
        <f t="shared" si="660"/>
        <v/>
      </c>
    </row>
    <row r="13731" spans="9:14" x14ac:dyDescent="0.25">
      <c r="I13731" s="11" t="b">
        <f t="shared" si="661"/>
        <v>0</v>
      </c>
      <c r="M13731" s="17" t="str">
        <f t="shared" si="659"/>
        <v/>
      </c>
      <c r="N13731" s="11" t="str">
        <f t="shared" si="660"/>
        <v/>
      </c>
    </row>
    <row r="13732" spans="9:14" x14ac:dyDescent="0.25">
      <c r="I13732" s="11" t="b">
        <f t="shared" si="661"/>
        <v>0</v>
      </c>
      <c r="M13732" s="17" t="str">
        <f t="shared" si="659"/>
        <v/>
      </c>
      <c r="N13732" s="11" t="str">
        <f t="shared" si="660"/>
        <v/>
      </c>
    </row>
    <row r="13733" spans="9:14" x14ac:dyDescent="0.25">
      <c r="I13733" s="11" t="b">
        <f t="shared" si="661"/>
        <v>0</v>
      </c>
      <c r="M13733" s="17" t="str">
        <f t="shared" si="659"/>
        <v/>
      </c>
      <c r="N13733" s="11" t="str">
        <f t="shared" si="660"/>
        <v/>
      </c>
    </row>
    <row r="13734" spans="9:14" x14ac:dyDescent="0.25">
      <c r="I13734" s="11" t="b">
        <f t="shared" si="661"/>
        <v>0</v>
      </c>
      <c r="M13734" s="17" t="str">
        <f t="shared" si="659"/>
        <v/>
      </c>
      <c r="N13734" s="11" t="str">
        <f t="shared" si="660"/>
        <v/>
      </c>
    </row>
    <row r="13735" spans="9:14" x14ac:dyDescent="0.25">
      <c r="I13735" s="11" t="b">
        <f t="shared" si="661"/>
        <v>0</v>
      </c>
      <c r="M13735" s="17" t="str">
        <f t="shared" si="659"/>
        <v/>
      </c>
      <c r="N13735" s="11" t="str">
        <f t="shared" si="660"/>
        <v/>
      </c>
    </row>
    <row r="13736" spans="9:14" x14ac:dyDescent="0.25">
      <c r="I13736" s="11" t="b">
        <f t="shared" si="661"/>
        <v>0</v>
      </c>
      <c r="M13736" s="17" t="str">
        <f t="shared" si="659"/>
        <v/>
      </c>
      <c r="N13736" s="11" t="str">
        <f t="shared" si="660"/>
        <v/>
      </c>
    </row>
    <row r="13737" spans="9:14" x14ac:dyDescent="0.25">
      <c r="I13737" s="11" t="b">
        <f t="shared" si="661"/>
        <v>0</v>
      </c>
      <c r="M13737" s="17" t="str">
        <f t="shared" si="659"/>
        <v/>
      </c>
      <c r="N13737" s="11" t="str">
        <f t="shared" si="660"/>
        <v/>
      </c>
    </row>
    <row r="13738" spans="9:14" x14ac:dyDescent="0.25">
      <c r="I13738" s="11" t="b">
        <f t="shared" si="661"/>
        <v>0</v>
      </c>
      <c r="M13738" s="17" t="str">
        <f t="shared" si="659"/>
        <v/>
      </c>
      <c r="N13738" s="11" t="str">
        <f t="shared" si="660"/>
        <v/>
      </c>
    </row>
    <row r="13739" spans="9:14" x14ac:dyDescent="0.25">
      <c r="I13739" s="11" t="b">
        <f t="shared" si="661"/>
        <v>0</v>
      </c>
      <c r="M13739" s="17" t="str">
        <f t="shared" si="659"/>
        <v/>
      </c>
      <c r="N13739" s="11" t="str">
        <f t="shared" si="660"/>
        <v/>
      </c>
    </row>
    <row r="13740" spans="9:14" x14ac:dyDescent="0.25">
      <c r="I13740" s="11" t="b">
        <f t="shared" si="661"/>
        <v>0</v>
      </c>
      <c r="M13740" s="17" t="str">
        <f t="shared" si="659"/>
        <v/>
      </c>
      <c r="N13740" s="11" t="str">
        <f t="shared" si="660"/>
        <v/>
      </c>
    </row>
    <row r="13741" spans="9:14" x14ac:dyDescent="0.25">
      <c r="I13741" s="11" t="b">
        <f t="shared" si="661"/>
        <v>0</v>
      </c>
      <c r="M13741" s="17" t="str">
        <f t="shared" si="659"/>
        <v/>
      </c>
      <c r="N13741" s="11" t="str">
        <f t="shared" si="660"/>
        <v/>
      </c>
    </row>
    <row r="13742" spans="9:14" x14ac:dyDescent="0.25">
      <c r="I13742" s="11" t="b">
        <f t="shared" si="661"/>
        <v>0</v>
      </c>
      <c r="M13742" s="17" t="str">
        <f t="shared" si="659"/>
        <v/>
      </c>
      <c r="N13742" s="11" t="str">
        <f t="shared" si="660"/>
        <v/>
      </c>
    </row>
    <row r="13743" spans="9:14" x14ac:dyDescent="0.25">
      <c r="I13743" s="11" t="b">
        <f t="shared" si="661"/>
        <v>0</v>
      </c>
      <c r="M13743" s="17" t="str">
        <f t="shared" si="659"/>
        <v/>
      </c>
      <c r="N13743" s="11" t="str">
        <f t="shared" si="660"/>
        <v/>
      </c>
    </row>
    <row r="13744" spans="9:14" x14ac:dyDescent="0.25">
      <c r="I13744" s="11" t="b">
        <f t="shared" si="661"/>
        <v>0</v>
      </c>
      <c r="M13744" s="17" t="str">
        <f t="shared" si="659"/>
        <v/>
      </c>
      <c r="N13744" s="11" t="str">
        <f t="shared" si="660"/>
        <v/>
      </c>
    </row>
    <row r="13745" spans="9:14" x14ac:dyDescent="0.25">
      <c r="I13745" s="11" t="b">
        <f t="shared" si="661"/>
        <v>0</v>
      </c>
      <c r="M13745" s="17" t="str">
        <f t="shared" si="659"/>
        <v/>
      </c>
      <c r="N13745" s="11" t="str">
        <f t="shared" si="660"/>
        <v/>
      </c>
    </row>
    <row r="13746" spans="9:14" x14ac:dyDescent="0.25">
      <c r="I13746" s="11" t="b">
        <f t="shared" si="661"/>
        <v>0</v>
      </c>
      <c r="M13746" s="17" t="str">
        <f t="shared" si="659"/>
        <v/>
      </c>
      <c r="N13746" s="11" t="str">
        <f t="shared" si="660"/>
        <v/>
      </c>
    </row>
    <row r="13747" spans="9:14" x14ac:dyDescent="0.25">
      <c r="I13747" s="11" t="b">
        <f t="shared" si="661"/>
        <v>0</v>
      </c>
      <c r="M13747" s="17" t="str">
        <f t="shared" si="659"/>
        <v/>
      </c>
      <c r="N13747" s="11" t="str">
        <f t="shared" si="660"/>
        <v/>
      </c>
    </row>
    <row r="13748" spans="9:14" x14ac:dyDescent="0.25">
      <c r="I13748" s="11" t="b">
        <f t="shared" si="661"/>
        <v>0</v>
      </c>
      <c r="M13748" s="17" t="str">
        <f t="shared" si="659"/>
        <v/>
      </c>
      <c r="N13748" s="11" t="str">
        <f t="shared" si="660"/>
        <v/>
      </c>
    </row>
    <row r="13749" spans="9:14" x14ac:dyDescent="0.25">
      <c r="I13749" s="11" t="b">
        <f t="shared" si="661"/>
        <v>0</v>
      </c>
      <c r="M13749" s="17" t="str">
        <f t="shared" si="659"/>
        <v/>
      </c>
      <c r="N13749" s="11" t="str">
        <f t="shared" si="660"/>
        <v/>
      </c>
    </row>
    <row r="13750" spans="9:14" x14ac:dyDescent="0.25">
      <c r="I13750" s="11" t="b">
        <f t="shared" si="661"/>
        <v>0</v>
      </c>
      <c r="M13750" s="17" t="str">
        <f t="shared" si="659"/>
        <v/>
      </c>
      <c r="N13750" s="11" t="str">
        <f t="shared" si="660"/>
        <v/>
      </c>
    </row>
    <row r="13751" spans="9:14" x14ac:dyDescent="0.25">
      <c r="I13751" s="11" t="b">
        <f t="shared" si="661"/>
        <v>0</v>
      </c>
      <c r="M13751" s="17" t="str">
        <f t="shared" si="659"/>
        <v/>
      </c>
      <c r="N13751" s="11" t="str">
        <f t="shared" si="660"/>
        <v/>
      </c>
    </row>
    <row r="13752" spans="9:14" x14ac:dyDescent="0.25">
      <c r="I13752" s="11" t="b">
        <f t="shared" si="661"/>
        <v>0</v>
      </c>
      <c r="M13752" s="17" t="str">
        <f t="shared" si="659"/>
        <v/>
      </c>
      <c r="N13752" s="11" t="str">
        <f t="shared" si="660"/>
        <v/>
      </c>
    </row>
    <row r="13753" spans="9:14" x14ac:dyDescent="0.25">
      <c r="I13753" s="11" t="b">
        <f t="shared" si="661"/>
        <v>0</v>
      </c>
      <c r="M13753" s="17" t="str">
        <f t="shared" si="659"/>
        <v/>
      </c>
      <c r="N13753" s="11" t="str">
        <f t="shared" si="660"/>
        <v/>
      </c>
    </row>
    <row r="13754" spans="9:14" x14ac:dyDescent="0.25">
      <c r="I13754" s="11" t="b">
        <f t="shared" si="661"/>
        <v>0</v>
      </c>
      <c r="M13754" s="17" t="str">
        <f t="shared" si="659"/>
        <v/>
      </c>
      <c r="N13754" s="11" t="str">
        <f t="shared" si="660"/>
        <v/>
      </c>
    </row>
    <row r="13755" spans="9:14" x14ac:dyDescent="0.25">
      <c r="I13755" s="11" t="b">
        <f t="shared" si="661"/>
        <v>0</v>
      </c>
      <c r="M13755" s="17" t="str">
        <f t="shared" si="659"/>
        <v/>
      </c>
      <c r="N13755" s="11" t="str">
        <f t="shared" si="660"/>
        <v/>
      </c>
    </row>
    <row r="13756" spans="9:14" x14ac:dyDescent="0.25">
      <c r="I13756" s="11" t="b">
        <f t="shared" si="661"/>
        <v>0</v>
      </c>
      <c r="M13756" s="17" t="str">
        <f t="shared" si="659"/>
        <v/>
      </c>
      <c r="N13756" s="11" t="str">
        <f t="shared" si="660"/>
        <v/>
      </c>
    </row>
    <row r="13757" spans="9:14" x14ac:dyDescent="0.25">
      <c r="I13757" s="11" t="b">
        <f t="shared" si="661"/>
        <v>0</v>
      </c>
      <c r="M13757" s="17" t="str">
        <f t="shared" si="659"/>
        <v/>
      </c>
      <c r="N13757" s="11" t="str">
        <f t="shared" si="660"/>
        <v/>
      </c>
    </row>
    <row r="13758" spans="9:14" x14ac:dyDescent="0.25">
      <c r="I13758" s="11" t="b">
        <f t="shared" si="661"/>
        <v>0</v>
      </c>
      <c r="M13758" s="17" t="str">
        <f t="shared" si="659"/>
        <v/>
      </c>
      <c r="N13758" s="11" t="str">
        <f t="shared" si="660"/>
        <v/>
      </c>
    </row>
    <row r="13759" spans="9:14" x14ac:dyDescent="0.25">
      <c r="I13759" s="11" t="b">
        <f t="shared" si="661"/>
        <v>0</v>
      </c>
      <c r="M13759" s="17" t="str">
        <f t="shared" si="659"/>
        <v/>
      </c>
      <c r="N13759" s="11" t="str">
        <f t="shared" si="660"/>
        <v/>
      </c>
    </row>
    <row r="13760" spans="9:14" x14ac:dyDescent="0.25">
      <c r="I13760" s="11" t="b">
        <f t="shared" si="661"/>
        <v>0</v>
      </c>
      <c r="M13760" s="17" t="str">
        <f t="shared" si="659"/>
        <v/>
      </c>
      <c r="N13760" s="11" t="str">
        <f t="shared" si="660"/>
        <v/>
      </c>
    </row>
    <row r="13761" spans="9:14" x14ac:dyDescent="0.25">
      <c r="I13761" s="11" t="b">
        <f t="shared" si="661"/>
        <v>0</v>
      </c>
      <c r="M13761" s="17" t="str">
        <f t="shared" ref="M13761:M13824" si="662">IF(B13761=0, "",M13760+ J13761-K13761)</f>
        <v/>
      </c>
      <c r="N13761" s="11" t="str">
        <f t="shared" ref="N13761:N13824" si="663">IF(B13761=0, "", MONTH(B13761))</f>
        <v/>
      </c>
    </row>
    <row r="13762" spans="9:14" x14ac:dyDescent="0.25">
      <c r="I13762" s="11" t="b">
        <f t="shared" si="661"/>
        <v>0</v>
      </c>
      <c r="M13762" s="17" t="str">
        <f t="shared" si="662"/>
        <v/>
      </c>
      <c r="N13762" s="11" t="str">
        <f t="shared" si="663"/>
        <v/>
      </c>
    </row>
    <row r="13763" spans="9:14" x14ac:dyDescent="0.25">
      <c r="I13763" s="11" t="b">
        <f t="shared" si="661"/>
        <v>0</v>
      </c>
      <c r="M13763" s="17" t="str">
        <f t="shared" si="662"/>
        <v/>
      </c>
      <c r="N13763" s="11" t="str">
        <f t="shared" si="663"/>
        <v/>
      </c>
    </row>
    <row r="13764" spans="9:14" x14ac:dyDescent="0.25">
      <c r="I13764" s="11" t="b">
        <f t="shared" si="661"/>
        <v>0</v>
      </c>
      <c r="M13764" s="17" t="str">
        <f t="shared" si="662"/>
        <v/>
      </c>
      <c r="N13764" s="11" t="str">
        <f t="shared" si="663"/>
        <v/>
      </c>
    </row>
    <row r="13765" spans="9:14" x14ac:dyDescent="0.25">
      <c r="I13765" s="11" t="b">
        <f t="shared" si="661"/>
        <v>0</v>
      </c>
      <c r="M13765" s="17" t="str">
        <f t="shared" si="662"/>
        <v/>
      </c>
      <c r="N13765" s="11" t="str">
        <f t="shared" si="663"/>
        <v/>
      </c>
    </row>
    <row r="13766" spans="9:14" x14ac:dyDescent="0.25">
      <c r="I13766" s="11" t="b">
        <f t="shared" si="661"/>
        <v>0</v>
      </c>
      <c r="M13766" s="17" t="str">
        <f t="shared" si="662"/>
        <v/>
      </c>
      <c r="N13766" s="11" t="str">
        <f t="shared" si="663"/>
        <v/>
      </c>
    </row>
    <row r="13767" spans="9:14" x14ac:dyDescent="0.25">
      <c r="I13767" s="11" t="b">
        <f t="shared" si="661"/>
        <v>0</v>
      </c>
      <c r="M13767" s="17" t="str">
        <f t="shared" si="662"/>
        <v/>
      </c>
      <c r="N13767" s="11" t="str">
        <f t="shared" si="663"/>
        <v/>
      </c>
    </row>
    <row r="13768" spans="9:14" x14ac:dyDescent="0.25">
      <c r="I13768" s="11" t="b">
        <f t="shared" si="661"/>
        <v>0</v>
      </c>
      <c r="M13768" s="17" t="str">
        <f t="shared" si="662"/>
        <v/>
      </c>
      <c r="N13768" s="11" t="str">
        <f t="shared" si="663"/>
        <v/>
      </c>
    </row>
    <row r="13769" spans="9:14" x14ac:dyDescent="0.25">
      <c r="I13769" s="11" t="b">
        <f t="shared" si="661"/>
        <v>0</v>
      </c>
      <c r="M13769" s="17" t="str">
        <f t="shared" si="662"/>
        <v/>
      </c>
      <c r="N13769" s="11" t="str">
        <f t="shared" si="663"/>
        <v/>
      </c>
    </row>
    <row r="13770" spans="9:14" x14ac:dyDescent="0.25">
      <c r="I13770" s="11" t="b">
        <f t="shared" si="661"/>
        <v>0</v>
      </c>
      <c r="M13770" s="17" t="str">
        <f t="shared" si="662"/>
        <v/>
      </c>
      <c r="N13770" s="11" t="str">
        <f t="shared" si="663"/>
        <v/>
      </c>
    </row>
    <row r="13771" spans="9:14" x14ac:dyDescent="0.25">
      <c r="I13771" s="11" t="b">
        <f t="shared" si="661"/>
        <v>0</v>
      </c>
      <c r="M13771" s="17" t="str">
        <f t="shared" si="662"/>
        <v/>
      </c>
      <c r="N13771" s="11" t="str">
        <f t="shared" si="663"/>
        <v/>
      </c>
    </row>
    <row r="13772" spans="9:14" x14ac:dyDescent="0.25">
      <c r="I13772" s="11" t="b">
        <f t="shared" si="661"/>
        <v>0</v>
      </c>
      <c r="M13772" s="17" t="str">
        <f t="shared" si="662"/>
        <v/>
      </c>
      <c r="N13772" s="11" t="str">
        <f t="shared" si="663"/>
        <v/>
      </c>
    </row>
    <row r="13773" spans="9:14" x14ac:dyDescent="0.25">
      <c r="I13773" s="11" t="b">
        <f t="shared" si="661"/>
        <v>0</v>
      </c>
      <c r="M13773" s="17" t="str">
        <f t="shared" si="662"/>
        <v/>
      </c>
      <c r="N13773" s="11" t="str">
        <f t="shared" si="663"/>
        <v/>
      </c>
    </row>
    <row r="13774" spans="9:14" x14ac:dyDescent="0.25">
      <c r="I13774" s="11" t="b">
        <f t="shared" si="661"/>
        <v>0</v>
      </c>
      <c r="M13774" s="17" t="str">
        <f t="shared" si="662"/>
        <v/>
      </c>
      <c r="N13774" s="11" t="str">
        <f t="shared" si="663"/>
        <v/>
      </c>
    </row>
    <row r="13775" spans="9:14" x14ac:dyDescent="0.25">
      <c r="I13775" s="11" t="b">
        <f t="shared" si="661"/>
        <v>0</v>
      </c>
      <c r="M13775" s="17" t="str">
        <f t="shared" si="662"/>
        <v/>
      </c>
      <c r="N13775" s="11" t="str">
        <f t="shared" si="663"/>
        <v/>
      </c>
    </row>
    <row r="13776" spans="9:14" x14ac:dyDescent="0.25">
      <c r="I13776" s="11" t="b">
        <f t="shared" si="661"/>
        <v>0</v>
      </c>
      <c r="M13776" s="17" t="str">
        <f t="shared" si="662"/>
        <v/>
      </c>
      <c r="N13776" s="11" t="str">
        <f t="shared" si="663"/>
        <v/>
      </c>
    </row>
    <row r="13777" spans="9:14" x14ac:dyDescent="0.25">
      <c r="I13777" s="11" t="b">
        <f t="shared" si="661"/>
        <v>0</v>
      </c>
      <c r="M13777" s="17" t="str">
        <f t="shared" si="662"/>
        <v/>
      </c>
      <c r="N13777" s="11" t="str">
        <f t="shared" si="663"/>
        <v/>
      </c>
    </row>
    <row r="13778" spans="9:14" x14ac:dyDescent="0.25">
      <c r="I13778" s="11" t="b">
        <f t="shared" si="661"/>
        <v>0</v>
      </c>
      <c r="M13778" s="17" t="str">
        <f t="shared" si="662"/>
        <v/>
      </c>
      <c r="N13778" s="11" t="str">
        <f t="shared" si="663"/>
        <v/>
      </c>
    </row>
    <row r="13779" spans="9:14" x14ac:dyDescent="0.25">
      <c r="I13779" s="11" t="b">
        <f t="shared" si="661"/>
        <v>0</v>
      </c>
      <c r="M13779" s="17" t="str">
        <f t="shared" si="662"/>
        <v/>
      </c>
      <c r="N13779" s="11" t="str">
        <f t="shared" si="663"/>
        <v/>
      </c>
    </row>
    <row r="13780" spans="9:14" x14ac:dyDescent="0.25">
      <c r="I13780" s="11" t="b">
        <f t="shared" si="661"/>
        <v>0</v>
      </c>
      <c r="M13780" s="17" t="str">
        <f t="shared" si="662"/>
        <v/>
      </c>
      <c r="N13780" s="11" t="str">
        <f t="shared" si="663"/>
        <v/>
      </c>
    </row>
    <row r="13781" spans="9:14" x14ac:dyDescent="0.25">
      <c r="I13781" s="11" t="b">
        <f t="shared" si="661"/>
        <v>0</v>
      </c>
      <c r="M13781" s="17" t="str">
        <f t="shared" si="662"/>
        <v/>
      </c>
      <c r="N13781" s="11" t="str">
        <f t="shared" si="663"/>
        <v/>
      </c>
    </row>
    <row r="13782" spans="9:14" x14ac:dyDescent="0.25">
      <c r="I13782" s="11" t="b">
        <f t="shared" si="661"/>
        <v>0</v>
      </c>
      <c r="M13782" s="17" t="str">
        <f t="shared" si="662"/>
        <v/>
      </c>
      <c r="N13782" s="11" t="str">
        <f t="shared" si="663"/>
        <v/>
      </c>
    </row>
    <row r="13783" spans="9:14" x14ac:dyDescent="0.25">
      <c r="I13783" s="11" t="b">
        <f t="shared" si="661"/>
        <v>0</v>
      </c>
      <c r="M13783" s="17" t="str">
        <f t="shared" si="662"/>
        <v/>
      </c>
      <c r="N13783" s="11" t="str">
        <f t="shared" si="663"/>
        <v/>
      </c>
    </row>
    <row r="13784" spans="9:14" x14ac:dyDescent="0.25">
      <c r="I13784" s="11" t="b">
        <f t="shared" si="661"/>
        <v>0</v>
      </c>
      <c r="M13784" s="17" t="str">
        <f t="shared" si="662"/>
        <v/>
      </c>
      <c r="N13784" s="11" t="str">
        <f t="shared" si="663"/>
        <v/>
      </c>
    </row>
    <row r="13785" spans="9:14" x14ac:dyDescent="0.25">
      <c r="I13785" s="11" t="b">
        <f t="shared" si="661"/>
        <v>0</v>
      </c>
      <c r="M13785" s="17" t="str">
        <f t="shared" si="662"/>
        <v/>
      </c>
      <c r="N13785" s="11" t="str">
        <f t="shared" si="663"/>
        <v/>
      </c>
    </row>
    <row r="13786" spans="9:14" x14ac:dyDescent="0.25">
      <c r="I13786" s="11" t="b">
        <f t="shared" si="661"/>
        <v>0</v>
      </c>
      <c r="M13786" s="17" t="str">
        <f t="shared" si="662"/>
        <v/>
      </c>
      <c r="N13786" s="11" t="str">
        <f t="shared" si="663"/>
        <v/>
      </c>
    </row>
    <row r="13787" spans="9:14" x14ac:dyDescent="0.25">
      <c r="I13787" s="11" t="b">
        <f t="shared" si="661"/>
        <v>0</v>
      </c>
      <c r="M13787" s="17" t="str">
        <f t="shared" si="662"/>
        <v/>
      </c>
      <c r="N13787" s="11" t="str">
        <f t="shared" si="663"/>
        <v/>
      </c>
    </row>
    <row r="13788" spans="9:14" x14ac:dyDescent="0.25">
      <c r="I13788" s="11" t="b">
        <f t="shared" si="661"/>
        <v>0</v>
      </c>
      <c r="M13788" s="17" t="str">
        <f t="shared" si="662"/>
        <v/>
      </c>
      <c r="N13788" s="11" t="str">
        <f t="shared" si="663"/>
        <v/>
      </c>
    </row>
    <row r="13789" spans="9:14" x14ac:dyDescent="0.25">
      <c r="I13789" s="11" t="b">
        <f t="shared" ref="I13789:I13852" si="664">IF(AND(G13789="MERCADO PAGO",A13789="FATURAMENTO"),1,IF(AND(OR(G13789="MERCADO PAGO",G13789="pix mercado pago",G13789= "débito automático mercado pago", G13789= "boleto mercado pago"),A13789="DESPESAS"),4,IF(AND(G13789="SAFRA",A13789="FATURAMENTO"),2,IF(AND(OR(G13789="SAFRA",G13789="PIX SAFRA", G13789="DÉBITO AUTOMÁTICO SAFRA", G13789= "BOLETO SAFRA", G13789= "transferência safra"), A13789="DESPESAS"),5,IF(AND(G13789="espécie",A13789="FATURAMENTO"),3,IF(AND(G13789="espécie",A13789="DESPESAS"),6))))))</f>
        <v>0</v>
      </c>
      <c r="M13789" s="17" t="str">
        <f t="shared" si="662"/>
        <v/>
      </c>
      <c r="N13789" s="11" t="str">
        <f t="shared" si="663"/>
        <v/>
      </c>
    </row>
    <row r="13790" spans="9:14" x14ac:dyDescent="0.25">
      <c r="I13790" s="11" t="b">
        <f t="shared" si="664"/>
        <v>0</v>
      </c>
      <c r="M13790" s="17" t="str">
        <f t="shared" si="662"/>
        <v/>
      </c>
      <c r="N13790" s="11" t="str">
        <f t="shared" si="663"/>
        <v/>
      </c>
    </row>
    <row r="13791" spans="9:14" x14ac:dyDescent="0.25">
      <c r="I13791" s="11" t="b">
        <f t="shared" si="664"/>
        <v>0</v>
      </c>
      <c r="M13791" s="17" t="str">
        <f t="shared" si="662"/>
        <v/>
      </c>
      <c r="N13791" s="11" t="str">
        <f t="shared" si="663"/>
        <v/>
      </c>
    </row>
    <row r="13792" spans="9:14" x14ac:dyDescent="0.25">
      <c r="I13792" s="11" t="b">
        <f t="shared" si="664"/>
        <v>0</v>
      </c>
      <c r="M13792" s="17" t="str">
        <f t="shared" si="662"/>
        <v/>
      </c>
      <c r="N13792" s="11" t="str">
        <f t="shared" si="663"/>
        <v/>
      </c>
    </row>
    <row r="13793" spans="9:14" x14ac:dyDescent="0.25">
      <c r="I13793" s="11" t="b">
        <f t="shared" si="664"/>
        <v>0</v>
      </c>
      <c r="M13793" s="17" t="str">
        <f t="shared" si="662"/>
        <v/>
      </c>
      <c r="N13793" s="11" t="str">
        <f t="shared" si="663"/>
        <v/>
      </c>
    </row>
    <row r="13794" spans="9:14" x14ac:dyDescent="0.25">
      <c r="I13794" s="11" t="b">
        <f t="shared" si="664"/>
        <v>0</v>
      </c>
      <c r="M13794" s="17" t="str">
        <f t="shared" si="662"/>
        <v/>
      </c>
      <c r="N13794" s="11" t="str">
        <f t="shared" si="663"/>
        <v/>
      </c>
    </row>
    <row r="13795" spans="9:14" x14ac:dyDescent="0.25">
      <c r="I13795" s="11" t="b">
        <f t="shared" si="664"/>
        <v>0</v>
      </c>
      <c r="M13795" s="17" t="str">
        <f t="shared" si="662"/>
        <v/>
      </c>
      <c r="N13795" s="11" t="str">
        <f t="shared" si="663"/>
        <v/>
      </c>
    </row>
    <row r="13796" spans="9:14" x14ac:dyDescent="0.25">
      <c r="I13796" s="11" t="b">
        <f t="shared" si="664"/>
        <v>0</v>
      </c>
      <c r="M13796" s="17" t="str">
        <f t="shared" si="662"/>
        <v/>
      </c>
      <c r="N13796" s="11" t="str">
        <f t="shared" si="663"/>
        <v/>
      </c>
    </row>
    <row r="13797" spans="9:14" x14ac:dyDescent="0.25">
      <c r="I13797" s="11" t="b">
        <f t="shared" si="664"/>
        <v>0</v>
      </c>
      <c r="M13797" s="17" t="str">
        <f t="shared" si="662"/>
        <v/>
      </c>
      <c r="N13797" s="11" t="str">
        <f t="shared" si="663"/>
        <v/>
      </c>
    </row>
    <row r="13798" spans="9:14" x14ac:dyDescent="0.25">
      <c r="I13798" s="11" t="b">
        <f t="shared" si="664"/>
        <v>0</v>
      </c>
      <c r="M13798" s="17" t="str">
        <f t="shared" si="662"/>
        <v/>
      </c>
      <c r="N13798" s="11" t="str">
        <f t="shared" si="663"/>
        <v/>
      </c>
    </row>
    <row r="13799" spans="9:14" x14ac:dyDescent="0.25">
      <c r="I13799" s="11" t="b">
        <f t="shared" si="664"/>
        <v>0</v>
      </c>
      <c r="M13799" s="17" t="str">
        <f t="shared" si="662"/>
        <v/>
      </c>
      <c r="N13799" s="11" t="str">
        <f t="shared" si="663"/>
        <v/>
      </c>
    </row>
    <row r="13800" spans="9:14" x14ac:dyDescent="0.25">
      <c r="I13800" s="11" t="b">
        <f t="shared" si="664"/>
        <v>0</v>
      </c>
      <c r="M13800" s="17" t="str">
        <f t="shared" si="662"/>
        <v/>
      </c>
      <c r="N13800" s="11" t="str">
        <f t="shared" si="663"/>
        <v/>
      </c>
    </row>
    <row r="13801" spans="9:14" x14ac:dyDescent="0.25">
      <c r="I13801" s="11" t="b">
        <f t="shared" si="664"/>
        <v>0</v>
      </c>
      <c r="M13801" s="17" t="str">
        <f t="shared" si="662"/>
        <v/>
      </c>
      <c r="N13801" s="11" t="str">
        <f t="shared" si="663"/>
        <v/>
      </c>
    </row>
    <row r="13802" spans="9:14" x14ac:dyDescent="0.25">
      <c r="I13802" s="11" t="b">
        <f t="shared" si="664"/>
        <v>0</v>
      </c>
      <c r="M13802" s="17" t="str">
        <f t="shared" si="662"/>
        <v/>
      </c>
      <c r="N13802" s="11" t="str">
        <f t="shared" si="663"/>
        <v/>
      </c>
    </row>
    <row r="13803" spans="9:14" x14ac:dyDescent="0.25">
      <c r="I13803" s="11" t="b">
        <f t="shared" si="664"/>
        <v>0</v>
      </c>
      <c r="M13803" s="17" t="str">
        <f t="shared" si="662"/>
        <v/>
      </c>
      <c r="N13803" s="11" t="str">
        <f t="shared" si="663"/>
        <v/>
      </c>
    </row>
    <row r="13804" spans="9:14" x14ac:dyDescent="0.25">
      <c r="I13804" s="11" t="b">
        <f t="shared" si="664"/>
        <v>0</v>
      </c>
      <c r="M13804" s="17" t="str">
        <f t="shared" si="662"/>
        <v/>
      </c>
      <c r="N13804" s="11" t="str">
        <f t="shared" si="663"/>
        <v/>
      </c>
    </row>
    <row r="13805" spans="9:14" x14ac:dyDescent="0.25">
      <c r="I13805" s="11" t="b">
        <f t="shared" si="664"/>
        <v>0</v>
      </c>
      <c r="M13805" s="17" t="str">
        <f t="shared" si="662"/>
        <v/>
      </c>
      <c r="N13805" s="11" t="str">
        <f t="shared" si="663"/>
        <v/>
      </c>
    </row>
    <row r="13806" spans="9:14" x14ac:dyDescent="0.25">
      <c r="I13806" s="11" t="b">
        <f t="shared" si="664"/>
        <v>0</v>
      </c>
      <c r="M13806" s="17" t="str">
        <f t="shared" si="662"/>
        <v/>
      </c>
      <c r="N13806" s="11" t="str">
        <f t="shared" si="663"/>
        <v/>
      </c>
    </row>
    <row r="13807" spans="9:14" x14ac:dyDescent="0.25">
      <c r="I13807" s="11" t="b">
        <f t="shared" si="664"/>
        <v>0</v>
      </c>
      <c r="M13807" s="17" t="str">
        <f t="shared" si="662"/>
        <v/>
      </c>
      <c r="N13807" s="11" t="str">
        <f t="shared" si="663"/>
        <v/>
      </c>
    </row>
    <row r="13808" spans="9:14" x14ac:dyDescent="0.25">
      <c r="I13808" s="11" t="b">
        <f t="shared" si="664"/>
        <v>0</v>
      </c>
      <c r="M13808" s="17" t="str">
        <f t="shared" si="662"/>
        <v/>
      </c>
      <c r="N13808" s="11" t="str">
        <f t="shared" si="663"/>
        <v/>
      </c>
    </row>
    <row r="13809" spans="9:14" x14ac:dyDescent="0.25">
      <c r="I13809" s="11" t="b">
        <f t="shared" si="664"/>
        <v>0</v>
      </c>
      <c r="M13809" s="17" t="str">
        <f t="shared" si="662"/>
        <v/>
      </c>
      <c r="N13809" s="11" t="str">
        <f t="shared" si="663"/>
        <v/>
      </c>
    </row>
    <row r="13810" spans="9:14" x14ac:dyDescent="0.25">
      <c r="I13810" s="11" t="b">
        <f t="shared" si="664"/>
        <v>0</v>
      </c>
      <c r="M13810" s="17" t="str">
        <f t="shared" si="662"/>
        <v/>
      </c>
      <c r="N13810" s="11" t="str">
        <f t="shared" si="663"/>
        <v/>
      </c>
    </row>
    <row r="13811" spans="9:14" x14ac:dyDescent="0.25">
      <c r="I13811" s="11" t="b">
        <f t="shared" si="664"/>
        <v>0</v>
      </c>
      <c r="M13811" s="17" t="str">
        <f t="shared" si="662"/>
        <v/>
      </c>
      <c r="N13811" s="11" t="str">
        <f t="shared" si="663"/>
        <v/>
      </c>
    </row>
    <row r="13812" spans="9:14" x14ac:dyDescent="0.25">
      <c r="I13812" s="11" t="b">
        <f t="shared" si="664"/>
        <v>0</v>
      </c>
      <c r="M13812" s="17" t="str">
        <f t="shared" si="662"/>
        <v/>
      </c>
      <c r="N13812" s="11" t="str">
        <f t="shared" si="663"/>
        <v/>
      </c>
    </row>
    <row r="13813" spans="9:14" x14ac:dyDescent="0.25">
      <c r="I13813" s="11" t="b">
        <f t="shared" si="664"/>
        <v>0</v>
      </c>
      <c r="M13813" s="17" t="str">
        <f t="shared" si="662"/>
        <v/>
      </c>
      <c r="N13813" s="11" t="str">
        <f t="shared" si="663"/>
        <v/>
      </c>
    </row>
    <row r="13814" spans="9:14" x14ac:dyDescent="0.25">
      <c r="I13814" s="11" t="b">
        <f t="shared" si="664"/>
        <v>0</v>
      </c>
      <c r="M13814" s="17" t="str">
        <f t="shared" si="662"/>
        <v/>
      </c>
      <c r="N13814" s="11" t="str">
        <f t="shared" si="663"/>
        <v/>
      </c>
    </row>
    <row r="13815" spans="9:14" x14ac:dyDescent="0.25">
      <c r="I13815" s="11" t="b">
        <f t="shared" si="664"/>
        <v>0</v>
      </c>
      <c r="M13815" s="17" t="str">
        <f t="shared" si="662"/>
        <v/>
      </c>
      <c r="N13815" s="11" t="str">
        <f t="shared" si="663"/>
        <v/>
      </c>
    </row>
    <row r="13816" spans="9:14" x14ac:dyDescent="0.25">
      <c r="I13816" s="11" t="b">
        <f t="shared" si="664"/>
        <v>0</v>
      </c>
      <c r="M13816" s="17" t="str">
        <f t="shared" si="662"/>
        <v/>
      </c>
      <c r="N13816" s="11" t="str">
        <f t="shared" si="663"/>
        <v/>
      </c>
    </row>
    <row r="13817" spans="9:14" x14ac:dyDescent="0.25">
      <c r="I13817" s="11" t="b">
        <f t="shared" si="664"/>
        <v>0</v>
      </c>
      <c r="M13817" s="17" t="str">
        <f t="shared" si="662"/>
        <v/>
      </c>
      <c r="N13817" s="11" t="str">
        <f t="shared" si="663"/>
        <v/>
      </c>
    </row>
    <row r="13818" spans="9:14" x14ac:dyDescent="0.25">
      <c r="I13818" s="11" t="b">
        <f t="shared" si="664"/>
        <v>0</v>
      </c>
      <c r="M13818" s="17" t="str">
        <f t="shared" si="662"/>
        <v/>
      </c>
      <c r="N13818" s="11" t="str">
        <f t="shared" si="663"/>
        <v/>
      </c>
    </row>
    <row r="13819" spans="9:14" x14ac:dyDescent="0.25">
      <c r="I13819" s="11" t="b">
        <f t="shared" si="664"/>
        <v>0</v>
      </c>
      <c r="M13819" s="17" t="str">
        <f t="shared" si="662"/>
        <v/>
      </c>
      <c r="N13819" s="11" t="str">
        <f t="shared" si="663"/>
        <v/>
      </c>
    </row>
    <row r="13820" spans="9:14" x14ac:dyDescent="0.25">
      <c r="I13820" s="11" t="b">
        <f t="shared" si="664"/>
        <v>0</v>
      </c>
      <c r="M13820" s="17" t="str">
        <f t="shared" si="662"/>
        <v/>
      </c>
      <c r="N13820" s="11" t="str">
        <f t="shared" si="663"/>
        <v/>
      </c>
    </row>
    <row r="13821" spans="9:14" x14ac:dyDescent="0.25">
      <c r="I13821" s="11" t="b">
        <f t="shared" si="664"/>
        <v>0</v>
      </c>
      <c r="M13821" s="17" t="str">
        <f t="shared" si="662"/>
        <v/>
      </c>
      <c r="N13821" s="11" t="str">
        <f t="shared" si="663"/>
        <v/>
      </c>
    </row>
    <row r="13822" spans="9:14" x14ac:dyDescent="0.25">
      <c r="I13822" s="11" t="b">
        <f t="shared" si="664"/>
        <v>0</v>
      </c>
      <c r="M13822" s="17" t="str">
        <f t="shared" si="662"/>
        <v/>
      </c>
      <c r="N13822" s="11" t="str">
        <f t="shared" si="663"/>
        <v/>
      </c>
    </row>
    <row r="13823" spans="9:14" x14ac:dyDescent="0.25">
      <c r="I13823" s="11" t="b">
        <f t="shared" si="664"/>
        <v>0</v>
      </c>
      <c r="M13823" s="17" t="str">
        <f t="shared" si="662"/>
        <v/>
      </c>
      <c r="N13823" s="11" t="str">
        <f t="shared" si="663"/>
        <v/>
      </c>
    </row>
    <row r="13824" spans="9:14" x14ac:dyDescent="0.25">
      <c r="I13824" s="11" t="b">
        <f t="shared" si="664"/>
        <v>0</v>
      </c>
      <c r="M13824" s="17" t="str">
        <f t="shared" si="662"/>
        <v/>
      </c>
      <c r="N13824" s="11" t="str">
        <f t="shared" si="663"/>
        <v/>
      </c>
    </row>
    <row r="13825" spans="9:14" x14ac:dyDescent="0.25">
      <c r="I13825" s="11" t="b">
        <f t="shared" si="664"/>
        <v>0</v>
      </c>
      <c r="M13825" s="17" t="str">
        <f t="shared" ref="M13825:M13888" si="665">IF(B13825=0, "",M13824+ J13825-K13825)</f>
        <v/>
      </c>
      <c r="N13825" s="11" t="str">
        <f t="shared" ref="N13825:N13888" si="666">IF(B13825=0, "", MONTH(B13825))</f>
        <v/>
      </c>
    </row>
    <row r="13826" spans="9:14" x14ac:dyDescent="0.25">
      <c r="I13826" s="11" t="b">
        <f t="shared" si="664"/>
        <v>0</v>
      </c>
      <c r="M13826" s="17" t="str">
        <f t="shared" si="665"/>
        <v/>
      </c>
      <c r="N13826" s="11" t="str">
        <f t="shared" si="666"/>
        <v/>
      </c>
    </row>
    <row r="13827" spans="9:14" x14ac:dyDescent="0.25">
      <c r="I13827" s="11" t="b">
        <f t="shared" si="664"/>
        <v>0</v>
      </c>
      <c r="M13827" s="17" t="str">
        <f t="shared" si="665"/>
        <v/>
      </c>
      <c r="N13827" s="11" t="str">
        <f t="shared" si="666"/>
        <v/>
      </c>
    </row>
    <row r="13828" spans="9:14" x14ac:dyDescent="0.25">
      <c r="I13828" s="11" t="b">
        <f t="shared" si="664"/>
        <v>0</v>
      </c>
      <c r="M13828" s="17" t="str">
        <f t="shared" si="665"/>
        <v/>
      </c>
      <c r="N13828" s="11" t="str">
        <f t="shared" si="666"/>
        <v/>
      </c>
    </row>
    <row r="13829" spans="9:14" x14ac:dyDescent="0.25">
      <c r="I13829" s="11" t="b">
        <f t="shared" si="664"/>
        <v>0</v>
      </c>
      <c r="M13829" s="17" t="str">
        <f t="shared" si="665"/>
        <v/>
      </c>
      <c r="N13829" s="11" t="str">
        <f t="shared" si="666"/>
        <v/>
      </c>
    </row>
    <row r="13830" spans="9:14" x14ac:dyDescent="0.25">
      <c r="I13830" s="11" t="b">
        <f t="shared" si="664"/>
        <v>0</v>
      </c>
      <c r="M13830" s="17" t="str">
        <f t="shared" si="665"/>
        <v/>
      </c>
      <c r="N13830" s="11" t="str">
        <f t="shared" si="666"/>
        <v/>
      </c>
    </row>
    <row r="13831" spans="9:14" x14ac:dyDescent="0.25">
      <c r="I13831" s="11" t="b">
        <f t="shared" si="664"/>
        <v>0</v>
      </c>
      <c r="M13831" s="17" t="str">
        <f t="shared" si="665"/>
        <v/>
      </c>
      <c r="N13831" s="11" t="str">
        <f t="shared" si="666"/>
        <v/>
      </c>
    </row>
    <row r="13832" spans="9:14" x14ac:dyDescent="0.25">
      <c r="I13832" s="11" t="b">
        <f t="shared" si="664"/>
        <v>0</v>
      </c>
      <c r="M13832" s="17" t="str">
        <f t="shared" si="665"/>
        <v/>
      </c>
      <c r="N13832" s="11" t="str">
        <f t="shared" si="666"/>
        <v/>
      </c>
    </row>
    <row r="13833" spans="9:14" x14ac:dyDescent="0.25">
      <c r="I13833" s="11" t="b">
        <f t="shared" si="664"/>
        <v>0</v>
      </c>
      <c r="M13833" s="17" t="str">
        <f t="shared" si="665"/>
        <v/>
      </c>
      <c r="N13833" s="11" t="str">
        <f t="shared" si="666"/>
        <v/>
      </c>
    </row>
    <row r="13834" spans="9:14" x14ac:dyDescent="0.25">
      <c r="I13834" s="11" t="b">
        <f t="shared" si="664"/>
        <v>0</v>
      </c>
      <c r="M13834" s="17" t="str">
        <f t="shared" si="665"/>
        <v/>
      </c>
      <c r="N13834" s="11" t="str">
        <f t="shared" si="666"/>
        <v/>
      </c>
    </row>
    <row r="13835" spans="9:14" x14ac:dyDescent="0.25">
      <c r="I13835" s="11" t="b">
        <f t="shared" si="664"/>
        <v>0</v>
      </c>
      <c r="M13835" s="17" t="str">
        <f t="shared" si="665"/>
        <v/>
      </c>
      <c r="N13835" s="11" t="str">
        <f t="shared" si="666"/>
        <v/>
      </c>
    </row>
    <row r="13836" spans="9:14" x14ac:dyDescent="0.25">
      <c r="I13836" s="11" t="b">
        <f t="shared" si="664"/>
        <v>0</v>
      </c>
      <c r="M13836" s="17" t="str">
        <f t="shared" si="665"/>
        <v/>
      </c>
      <c r="N13836" s="11" t="str">
        <f t="shared" si="666"/>
        <v/>
      </c>
    </row>
    <row r="13837" spans="9:14" x14ac:dyDescent="0.25">
      <c r="I13837" s="11" t="b">
        <f t="shared" si="664"/>
        <v>0</v>
      </c>
      <c r="M13837" s="17" t="str">
        <f t="shared" si="665"/>
        <v/>
      </c>
      <c r="N13837" s="11" t="str">
        <f t="shared" si="666"/>
        <v/>
      </c>
    </row>
    <row r="13838" spans="9:14" x14ac:dyDescent="0.25">
      <c r="I13838" s="11" t="b">
        <f t="shared" si="664"/>
        <v>0</v>
      </c>
      <c r="M13838" s="17" t="str">
        <f t="shared" si="665"/>
        <v/>
      </c>
      <c r="N13838" s="11" t="str">
        <f t="shared" si="666"/>
        <v/>
      </c>
    </row>
    <row r="13839" spans="9:14" x14ac:dyDescent="0.25">
      <c r="I13839" s="11" t="b">
        <f t="shared" si="664"/>
        <v>0</v>
      </c>
      <c r="M13839" s="17" t="str">
        <f t="shared" si="665"/>
        <v/>
      </c>
      <c r="N13839" s="11" t="str">
        <f t="shared" si="666"/>
        <v/>
      </c>
    </row>
    <row r="13840" spans="9:14" x14ac:dyDescent="0.25">
      <c r="I13840" s="11" t="b">
        <f t="shared" si="664"/>
        <v>0</v>
      </c>
      <c r="M13840" s="17" t="str">
        <f t="shared" si="665"/>
        <v/>
      </c>
      <c r="N13840" s="11" t="str">
        <f t="shared" si="666"/>
        <v/>
      </c>
    </row>
    <row r="13841" spans="9:14" x14ac:dyDescent="0.25">
      <c r="I13841" s="11" t="b">
        <f t="shared" si="664"/>
        <v>0</v>
      </c>
      <c r="M13841" s="17" t="str">
        <f t="shared" si="665"/>
        <v/>
      </c>
      <c r="N13841" s="11" t="str">
        <f t="shared" si="666"/>
        <v/>
      </c>
    </row>
    <row r="13842" spans="9:14" x14ac:dyDescent="0.25">
      <c r="I13842" s="11" t="b">
        <f t="shared" si="664"/>
        <v>0</v>
      </c>
      <c r="M13842" s="17" t="str">
        <f t="shared" si="665"/>
        <v/>
      </c>
      <c r="N13842" s="11" t="str">
        <f t="shared" si="666"/>
        <v/>
      </c>
    </row>
    <row r="13843" spans="9:14" x14ac:dyDescent="0.25">
      <c r="I13843" s="11" t="b">
        <f t="shared" si="664"/>
        <v>0</v>
      </c>
      <c r="M13843" s="17" t="str">
        <f t="shared" si="665"/>
        <v/>
      </c>
      <c r="N13843" s="11" t="str">
        <f t="shared" si="666"/>
        <v/>
      </c>
    </row>
    <row r="13844" spans="9:14" x14ac:dyDescent="0.25">
      <c r="I13844" s="11" t="b">
        <f t="shared" si="664"/>
        <v>0</v>
      </c>
      <c r="M13844" s="17" t="str">
        <f t="shared" si="665"/>
        <v/>
      </c>
      <c r="N13844" s="11" t="str">
        <f t="shared" si="666"/>
        <v/>
      </c>
    </row>
    <row r="13845" spans="9:14" x14ac:dyDescent="0.25">
      <c r="I13845" s="11" t="b">
        <f t="shared" si="664"/>
        <v>0</v>
      </c>
      <c r="M13845" s="17" t="str">
        <f t="shared" si="665"/>
        <v/>
      </c>
      <c r="N13845" s="11" t="str">
        <f t="shared" si="666"/>
        <v/>
      </c>
    </row>
    <row r="13846" spans="9:14" x14ac:dyDescent="0.25">
      <c r="I13846" s="11" t="b">
        <f t="shared" si="664"/>
        <v>0</v>
      </c>
      <c r="M13846" s="17" t="str">
        <f t="shared" si="665"/>
        <v/>
      </c>
      <c r="N13846" s="11" t="str">
        <f t="shared" si="666"/>
        <v/>
      </c>
    </row>
    <row r="13847" spans="9:14" x14ac:dyDescent="0.25">
      <c r="I13847" s="11" t="b">
        <f t="shared" si="664"/>
        <v>0</v>
      </c>
      <c r="M13847" s="17" t="str">
        <f t="shared" si="665"/>
        <v/>
      </c>
      <c r="N13847" s="11" t="str">
        <f t="shared" si="666"/>
        <v/>
      </c>
    </row>
    <row r="13848" spans="9:14" x14ac:dyDescent="0.25">
      <c r="I13848" s="11" t="b">
        <f t="shared" si="664"/>
        <v>0</v>
      </c>
      <c r="M13848" s="17" t="str">
        <f t="shared" si="665"/>
        <v/>
      </c>
      <c r="N13848" s="11" t="str">
        <f t="shared" si="666"/>
        <v/>
      </c>
    </row>
    <row r="13849" spans="9:14" x14ac:dyDescent="0.25">
      <c r="I13849" s="11" t="b">
        <f t="shared" si="664"/>
        <v>0</v>
      </c>
      <c r="M13849" s="17" t="str">
        <f t="shared" si="665"/>
        <v/>
      </c>
      <c r="N13849" s="11" t="str">
        <f t="shared" si="666"/>
        <v/>
      </c>
    </row>
    <row r="13850" spans="9:14" x14ac:dyDescent="0.25">
      <c r="I13850" s="11" t="b">
        <f t="shared" si="664"/>
        <v>0</v>
      </c>
      <c r="M13850" s="17" t="str">
        <f t="shared" si="665"/>
        <v/>
      </c>
      <c r="N13850" s="11" t="str">
        <f t="shared" si="666"/>
        <v/>
      </c>
    </row>
    <row r="13851" spans="9:14" x14ac:dyDescent="0.25">
      <c r="I13851" s="11" t="b">
        <f t="shared" si="664"/>
        <v>0</v>
      </c>
      <c r="M13851" s="17" t="str">
        <f t="shared" si="665"/>
        <v/>
      </c>
      <c r="N13851" s="11" t="str">
        <f t="shared" si="666"/>
        <v/>
      </c>
    </row>
    <row r="13852" spans="9:14" x14ac:dyDescent="0.25">
      <c r="I13852" s="11" t="b">
        <f t="shared" si="664"/>
        <v>0</v>
      </c>
      <c r="M13852" s="17" t="str">
        <f t="shared" si="665"/>
        <v/>
      </c>
      <c r="N13852" s="11" t="str">
        <f t="shared" si="666"/>
        <v/>
      </c>
    </row>
    <row r="13853" spans="9:14" x14ac:dyDescent="0.25">
      <c r="I13853" s="11" t="b">
        <f t="shared" ref="I13853:I13916" si="667">IF(AND(G13853="MERCADO PAGO",A13853="FATURAMENTO"),1,IF(AND(OR(G13853="MERCADO PAGO",G13853="pix mercado pago",G13853= "débito automático mercado pago", G13853= "boleto mercado pago"),A13853="DESPESAS"),4,IF(AND(G13853="SAFRA",A13853="FATURAMENTO"),2,IF(AND(OR(G13853="SAFRA",G13853="PIX SAFRA", G13853="DÉBITO AUTOMÁTICO SAFRA", G13853= "BOLETO SAFRA", G13853= "transferência safra"), A13853="DESPESAS"),5,IF(AND(G13853="espécie",A13853="FATURAMENTO"),3,IF(AND(G13853="espécie",A13853="DESPESAS"),6))))))</f>
        <v>0</v>
      </c>
      <c r="M13853" s="17" t="str">
        <f t="shared" si="665"/>
        <v/>
      </c>
      <c r="N13853" s="11" t="str">
        <f t="shared" si="666"/>
        <v/>
      </c>
    </row>
    <row r="13854" spans="9:14" x14ac:dyDescent="0.25">
      <c r="I13854" s="11" t="b">
        <f t="shared" si="667"/>
        <v>0</v>
      </c>
      <c r="M13854" s="17" t="str">
        <f t="shared" si="665"/>
        <v/>
      </c>
      <c r="N13854" s="11" t="str">
        <f t="shared" si="666"/>
        <v/>
      </c>
    </row>
    <row r="13855" spans="9:14" x14ac:dyDescent="0.25">
      <c r="I13855" s="11" t="b">
        <f t="shared" si="667"/>
        <v>0</v>
      </c>
      <c r="M13855" s="17" t="str">
        <f t="shared" si="665"/>
        <v/>
      </c>
      <c r="N13855" s="11" t="str">
        <f t="shared" si="666"/>
        <v/>
      </c>
    </row>
    <row r="13856" spans="9:14" x14ac:dyDescent="0.25">
      <c r="I13856" s="11" t="b">
        <f t="shared" si="667"/>
        <v>0</v>
      </c>
      <c r="M13856" s="17" t="str">
        <f t="shared" si="665"/>
        <v/>
      </c>
      <c r="N13856" s="11" t="str">
        <f t="shared" si="666"/>
        <v/>
      </c>
    </row>
    <row r="13857" spans="9:14" x14ac:dyDescent="0.25">
      <c r="I13857" s="11" t="b">
        <f t="shared" si="667"/>
        <v>0</v>
      </c>
      <c r="M13857" s="17" t="str">
        <f t="shared" si="665"/>
        <v/>
      </c>
      <c r="N13857" s="11" t="str">
        <f t="shared" si="666"/>
        <v/>
      </c>
    </row>
    <row r="13858" spans="9:14" x14ac:dyDescent="0.25">
      <c r="I13858" s="11" t="b">
        <f t="shared" si="667"/>
        <v>0</v>
      </c>
      <c r="M13858" s="17" t="str">
        <f t="shared" si="665"/>
        <v/>
      </c>
      <c r="N13858" s="11" t="str">
        <f t="shared" si="666"/>
        <v/>
      </c>
    </row>
    <row r="13859" spans="9:14" x14ac:dyDescent="0.25">
      <c r="I13859" s="11" t="b">
        <f t="shared" si="667"/>
        <v>0</v>
      </c>
      <c r="M13859" s="17" t="str">
        <f t="shared" si="665"/>
        <v/>
      </c>
      <c r="N13859" s="11" t="str">
        <f t="shared" si="666"/>
        <v/>
      </c>
    </row>
    <row r="13860" spans="9:14" x14ac:dyDescent="0.25">
      <c r="I13860" s="11" t="b">
        <f t="shared" si="667"/>
        <v>0</v>
      </c>
      <c r="M13860" s="17" t="str">
        <f t="shared" si="665"/>
        <v/>
      </c>
      <c r="N13860" s="11" t="str">
        <f t="shared" si="666"/>
        <v/>
      </c>
    </row>
    <row r="13861" spans="9:14" x14ac:dyDescent="0.25">
      <c r="I13861" s="11" t="b">
        <f t="shared" si="667"/>
        <v>0</v>
      </c>
      <c r="M13861" s="17" t="str">
        <f t="shared" si="665"/>
        <v/>
      </c>
      <c r="N13861" s="11" t="str">
        <f t="shared" si="666"/>
        <v/>
      </c>
    </row>
    <row r="13862" spans="9:14" x14ac:dyDescent="0.25">
      <c r="I13862" s="11" t="b">
        <f t="shared" si="667"/>
        <v>0</v>
      </c>
      <c r="M13862" s="17" t="str">
        <f t="shared" si="665"/>
        <v/>
      </c>
      <c r="N13862" s="11" t="str">
        <f t="shared" si="666"/>
        <v/>
      </c>
    </row>
    <row r="13863" spans="9:14" x14ac:dyDescent="0.25">
      <c r="I13863" s="11" t="b">
        <f t="shared" si="667"/>
        <v>0</v>
      </c>
      <c r="M13863" s="17" t="str">
        <f t="shared" si="665"/>
        <v/>
      </c>
      <c r="N13863" s="11" t="str">
        <f t="shared" si="666"/>
        <v/>
      </c>
    </row>
    <row r="13864" spans="9:14" x14ac:dyDescent="0.25">
      <c r="I13864" s="11" t="b">
        <f t="shared" si="667"/>
        <v>0</v>
      </c>
      <c r="M13864" s="17" t="str">
        <f t="shared" si="665"/>
        <v/>
      </c>
      <c r="N13864" s="11" t="str">
        <f t="shared" si="666"/>
        <v/>
      </c>
    </row>
    <row r="13865" spans="9:14" x14ac:dyDescent="0.25">
      <c r="I13865" s="11" t="b">
        <f t="shared" si="667"/>
        <v>0</v>
      </c>
      <c r="M13865" s="17" t="str">
        <f t="shared" si="665"/>
        <v/>
      </c>
      <c r="N13865" s="11" t="str">
        <f t="shared" si="666"/>
        <v/>
      </c>
    </row>
    <row r="13866" spans="9:14" x14ac:dyDescent="0.25">
      <c r="I13866" s="11" t="b">
        <f t="shared" si="667"/>
        <v>0</v>
      </c>
      <c r="M13866" s="17" t="str">
        <f t="shared" si="665"/>
        <v/>
      </c>
      <c r="N13866" s="11" t="str">
        <f t="shared" si="666"/>
        <v/>
      </c>
    </row>
    <row r="13867" spans="9:14" x14ac:dyDescent="0.25">
      <c r="I13867" s="11" t="b">
        <f t="shared" si="667"/>
        <v>0</v>
      </c>
      <c r="M13867" s="17" t="str">
        <f t="shared" si="665"/>
        <v/>
      </c>
      <c r="N13867" s="11" t="str">
        <f t="shared" si="666"/>
        <v/>
      </c>
    </row>
    <row r="13868" spans="9:14" x14ac:dyDescent="0.25">
      <c r="I13868" s="11" t="b">
        <f t="shared" si="667"/>
        <v>0</v>
      </c>
      <c r="M13868" s="17" t="str">
        <f t="shared" si="665"/>
        <v/>
      </c>
      <c r="N13868" s="11" t="str">
        <f t="shared" si="666"/>
        <v/>
      </c>
    </row>
    <row r="13869" spans="9:14" x14ac:dyDescent="0.25">
      <c r="I13869" s="11" t="b">
        <f t="shared" si="667"/>
        <v>0</v>
      </c>
      <c r="M13869" s="17" t="str">
        <f t="shared" si="665"/>
        <v/>
      </c>
      <c r="N13869" s="11" t="str">
        <f t="shared" si="666"/>
        <v/>
      </c>
    </row>
    <row r="13870" spans="9:14" x14ac:dyDescent="0.25">
      <c r="I13870" s="11" t="b">
        <f t="shared" si="667"/>
        <v>0</v>
      </c>
      <c r="M13870" s="17" t="str">
        <f t="shared" si="665"/>
        <v/>
      </c>
      <c r="N13870" s="11" t="str">
        <f t="shared" si="666"/>
        <v/>
      </c>
    </row>
    <row r="13871" spans="9:14" x14ac:dyDescent="0.25">
      <c r="I13871" s="11" t="b">
        <f t="shared" si="667"/>
        <v>0</v>
      </c>
      <c r="M13871" s="17" t="str">
        <f t="shared" si="665"/>
        <v/>
      </c>
      <c r="N13871" s="11" t="str">
        <f t="shared" si="666"/>
        <v/>
      </c>
    </row>
    <row r="13872" spans="9:14" x14ac:dyDescent="0.25">
      <c r="I13872" s="11" t="b">
        <f t="shared" si="667"/>
        <v>0</v>
      </c>
      <c r="M13872" s="17" t="str">
        <f t="shared" si="665"/>
        <v/>
      </c>
      <c r="N13872" s="11" t="str">
        <f t="shared" si="666"/>
        <v/>
      </c>
    </row>
    <row r="13873" spans="9:14" x14ac:dyDescent="0.25">
      <c r="I13873" s="11" t="b">
        <f t="shared" si="667"/>
        <v>0</v>
      </c>
      <c r="M13873" s="17" t="str">
        <f t="shared" si="665"/>
        <v/>
      </c>
      <c r="N13873" s="11" t="str">
        <f t="shared" si="666"/>
        <v/>
      </c>
    </row>
    <row r="13874" spans="9:14" x14ac:dyDescent="0.25">
      <c r="I13874" s="11" t="b">
        <f t="shared" si="667"/>
        <v>0</v>
      </c>
      <c r="M13874" s="17" t="str">
        <f t="shared" si="665"/>
        <v/>
      </c>
      <c r="N13874" s="11" t="str">
        <f t="shared" si="666"/>
        <v/>
      </c>
    </row>
    <row r="13875" spans="9:14" x14ac:dyDescent="0.25">
      <c r="I13875" s="11" t="b">
        <f t="shared" si="667"/>
        <v>0</v>
      </c>
      <c r="M13875" s="17" t="str">
        <f t="shared" si="665"/>
        <v/>
      </c>
      <c r="N13875" s="11" t="str">
        <f t="shared" si="666"/>
        <v/>
      </c>
    </row>
    <row r="13876" spans="9:14" x14ac:dyDescent="0.25">
      <c r="I13876" s="11" t="b">
        <f t="shared" si="667"/>
        <v>0</v>
      </c>
      <c r="M13876" s="17" t="str">
        <f t="shared" si="665"/>
        <v/>
      </c>
      <c r="N13876" s="11" t="str">
        <f t="shared" si="666"/>
        <v/>
      </c>
    </row>
    <row r="13877" spans="9:14" x14ac:dyDescent="0.25">
      <c r="I13877" s="11" t="b">
        <f t="shared" si="667"/>
        <v>0</v>
      </c>
      <c r="M13877" s="17" t="str">
        <f t="shared" si="665"/>
        <v/>
      </c>
      <c r="N13877" s="11" t="str">
        <f t="shared" si="666"/>
        <v/>
      </c>
    </row>
    <row r="13878" spans="9:14" x14ac:dyDescent="0.25">
      <c r="I13878" s="11" t="b">
        <f t="shared" si="667"/>
        <v>0</v>
      </c>
      <c r="M13878" s="17" t="str">
        <f t="shared" si="665"/>
        <v/>
      </c>
      <c r="N13878" s="11" t="str">
        <f t="shared" si="666"/>
        <v/>
      </c>
    </row>
    <row r="13879" spans="9:14" x14ac:dyDescent="0.25">
      <c r="I13879" s="11" t="b">
        <f t="shared" si="667"/>
        <v>0</v>
      </c>
      <c r="M13879" s="17" t="str">
        <f t="shared" si="665"/>
        <v/>
      </c>
      <c r="N13879" s="11" t="str">
        <f t="shared" si="666"/>
        <v/>
      </c>
    </row>
    <row r="13880" spans="9:14" x14ac:dyDescent="0.25">
      <c r="I13880" s="11" t="b">
        <f t="shared" si="667"/>
        <v>0</v>
      </c>
      <c r="M13880" s="17" t="str">
        <f t="shared" si="665"/>
        <v/>
      </c>
      <c r="N13880" s="11" t="str">
        <f t="shared" si="666"/>
        <v/>
      </c>
    </row>
    <row r="13881" spans="9:14" x14ac:dyDescent="0.25">
      <c r="I13881" s="11" t="b">
        <f t="shared" si="667"/>
        <v>0</v>
      </c>
      <c r="M13881" s="17" t="str">
        <f t="shared" si="665"/>
        <v/>
      </c>
      <c r="N13881" s="11" t="str">
        <f t="shared" si="666"/>
        <v/>
      </c>
    </row>
    <row r="13882" spans="9:14" x14ac:dyDescent="0.25">
      <c r="I13882" s="11" t="b">
        <f t="shared" si="667"/>
        <v>0</v>
      </c>
      <c r="M13882" s="17" t="str">
        <f t="shared" si="665"/>
        <v/>
      </c>
      <c r="N13882" s="11" t="str">
        <f t="shared" si="666"/>
        <v/>
      </c>
    </row>
    <row r="13883" spans="9:14" x14ac:dyDescent="0.25">
      <c r="I13883" s="11" t="b">
        <f t="shared" si="667"/>
        <v>0</v>
      </c>
      <c r="M13883" s="17" t="str">
        <f t="shared" si="665"/>
        <v/>
      </c>
      <c r="N13883" s="11" t="str">
        <f t="shared" si="666"/>
        <v/>
      </c>
    </row>
    <row r="13884" spans="9:14" x14ac:dyDescent="0.25">
      <c r="I13884" s="11" t="b">
        <f t="shared" si="667"/>
        <v>0</v>
      </c>
      <c r="M13884" s="17" t="str">
        <f t="shared" si="665"/>
        <v/>
      </c>
      <c r="N13884" s="11" t="str">
        <f t="shared" si="666"/>
        <v/>
      </c>
    </row>
    <row r="13885" spans="9:14" x14ac:dyDescent="0.25">
      <c r="I13885" s="11" t="b">
        <f t="shared" si="667"/>
        <v>0</v>
      </c>
      <c r="M13885" s="17" t="str">
        <f t="shared" si="665"/>
        <v/>
      </c>
      <c r="N13885" s="11" t="str">
        <f t="shared" si="666"/>
        <v/>
      </c>
    </row>
    <row r="13886" spans="9:14" x14ac:dyDescent="0.25">
      <c r="I13886" s="11" t="b">
        <f t="shared" si="667"/>
        <v>0</v>
      </c>
      <c r="M13886" s="17" t="str">
        <f t="shared" si="665"/>
        <v/>
      </c>
      <c r="N13886" s="11" t="str">
        <f t="shared" si="666"/>
        <v/>
      </c>
    </row>
    <row r="13887" spans="9:14" x14ac:dyDescent="0.25">
      <c r="I13887" s="11" t="b">
        <f t="shared" si="667"/>
        <v>0</v>
      </c>
      <c r="M13887" s="17" t="str">
        <f t="shared" si="665"/>
        <v/>
      </c>
      <c r="N13887" s="11" t="str">
        <f t="shared" si="666"/>
        <v/>
      </c>
    </row>
    <row r="13888" spans="9:14" x14ac:dyDescent="0.25">
      <c r="I13888" s="11" t="b">
        <f t="shared" si="667"/>
        <v>0</v>
      </c>
      <c r="M13888" s="17" t="str">
        <f t="shared" si="665"/>
        <v/>
      </c>
      <c r="N13888" s="11" t="str">
        <f t="shared" si="666"/>
        <v/>
      </c>
    </row>
    <row r="13889" spans="9:14" x14ac:dyDescent="0.25">
      <c r="I13889" s="11" t="b">
        <f t="shared" si="667"/>
        <v>0</v>
      </c>
      <c r="M13889" s="17" t="str">
        <f t="shared" ref="M13889:M13952" si="668">IF(B13889=0, "",M13888+ J13889-K13889)</f>
        <v/>
      </c>
      <c r="N13889" s="11" t="str">
        <f t="shared" ref="N13889:N13952" si="669">IF(B13889=0, "", MONTH(B13889))</f>
        <v/>
      </c>
    </row>
    <row r="13890" spans="9:14" x14ac:dyDescent="0.25">
      <c r="I13890" s="11" t="b">
        <f t="shared" si="667"/>
        <v>0</v>
      </c>
      <c r="M13890" s="17" t="str">
        <f t="shared" si="668"/>
        <v/>
      </c>
      <c r="N13890" s="11" t="str">
        <f t="shared" si="669"/>
        <v/>
      </c>
    </row>
    <row r="13891" spans="9:14" x14ac:dyDescent="0.25">
      <c r="I13891" s="11" t="b">
        <f t="shared" si="667"/>
        <v>0</v>
      </c>
      <c r="M13891" s="17" t="str">
        <f t="shared" si="668"/>
        <v/>
      </c>
      <c r="N13891" s="11" t="str">
        <f t="shared" si="669"/>
        <v/>
      </c>
    </row>
    <row r="13892" spans="9:14" x14ac:dyDescent="0.25">
      <c r="I13892" s="11" t="b">
        <f t="shared" si="667"/>
        <v>0</v>
      </c>
      <c r="M13892" s="17" t="str">
        <f t="shared" si="668"/>
        <v/>
      </c>
      <c r="N13892" s="11" t="str">
        <f t="shared" si="669"/>
        <v/>
      </c>
    </row>
    <row r="13893" spans="9:14" x14ac:dyDescent="0.25">
      <c r="I13893" s="11" t="b">
        <f t="shared" si="667"/>
        <v>0</v>
      </c>
      <c r="M13893" s="17" t="str">
        <f t="shared" si="668"/>
        <v/>
      </c>
      <c r="N13893" s="11" t="str">
        <f t="shared" si="669"/>
        <v/>
      </c>
    </row>
    <row r="13894" spans="9:14" x14ac:dyDescent="0.25">
      <c r="I13894" s="11" t="b">
        <f t="shared" si="667"/>
        <v>0</v>
      </c>
      <c r="M13894" s="17" t="str">
        <f t="shared" si="668"/>
        <v/>
      </c>
      <c r="N13894" s="11" t="str">
        <f t="shared" si="669"/>
        <v/>
      </c>
    </row>
    <row r="13895" spans="9:14" x14ac:dyDescent="0.25">
      <c r="I13895" s="11" t="b">
        <f t="shared" si="667"/>
        <v>0</v>
      </c>
      <c r="M13895" s="17" t="str">
        <f t="shared" si="668"/>
        <v/>
      </c>
      <c r="N13895" s="11" t="str">
        <f t="shared" si="669"/>
        <v/>
      </c>
    </row>
    <row r="13896" spans="9:14" x14ac:dyDescent="0.25">
      <c r="I13896" s="11" t="b">
        <f t="shared" si="667"/>
        <v>0</v>
      </c>
      <c r="M13896" s="17" t="str">
        <f t="shared" si="668"/>
        <v/>
      </c>
      <c r="N13896" s="11" t="str">
        <f t="shared" si="669"/>
        <v/>
      </c>
    </row>
    <row r="13897" spans="9:14" x14ac:dyDescent="0.25">
      <c r="I13897" s="11" t="b">
        <f t="shared" si="667"/>
        <v>0</v>
      </c>
      <c r="M13897" s="17" t="str">
        <f t="shared" si="668"/>
        <v/>
      </c>
      <c r="N13897" s="11" t="str">
        <f t="shared" si="669"/>
        <v/>
      </c>
    </row>
    <row r="13898" spans="9:14" x14ac:dyDescent="0.25">
      <c r="I13898" s="11" t="b">
        <f t="shared" si="667"/>
        <v>0</v>
      </c>
      <c r="M13898" s="17" t="str">
        <f t="shared" si="668"/>
        <v/>
      </c>
      <c r="N13898" s="11" t="str">
        <f t="shared" si="669"/>
        <v/>
      </c>
    </row>
    <row r="13899" spans="9:14" x14ac:dyDescent="0.25">
      <c r="I13899" s="11" t="b">
        <f t="shared" si="667"/>
        <v>0</v>
      </c>
      <c r="M13899" s="17" t="str">
        <f t="shared" si="668"/>
        <v/>
      </c>
      <c r="N13899" s="11" t="str">
        <f t="shared" si="669"/>
        <v/>
      </c>
    </row>
    <row r="13900" spans="9:14" x14ac:dyDescent="0.25">
      <c r="I13900" s="11" t="b">
        <f t="shared" si="667"/>
        <v>0</v>
      </c>
      <c r="M13900" s="17" t="str">
        <f t="shared" si="668"/>
        <v/>
      </c>
      <c r="N13900" s="11" t="str">
        <f t="shared" si="669"/>
        <v/>
      </c>
    </row>
    <row r="13901" spans="9:14" x14ac:dyDescent="0.25">
      <c r="I13901" s="11" t="b">
        <f t="shared" si="667"/>
        <v>0</v>
      </c>
      <c r="M13901" s="17" t="str">
        <f t="shared" si="668"/>
        <v/>
      </c>
      <c r="N13901" s="11" t="str">
        <f t="shared" si="669"/>
        <v/>
      </c>
    </row>
    <row r="13902" spans="9:14" x14ac:dyDescent="0.25">
      <c r="I13902" s="11" t="b">
        <f t="shared" si="667"/>
        <v>0</v>
      </c>
      <c r="M13902" s="17" t="str">
        <f t="shared" si="668"/>
        <v/>
      </c>
      <c r="N13902" s="11" t="str">
        <f t="shared" si="669"/>
        <v/>
      </c>
    </row>
    <row r="13903" spans="9:14" x14ac:dyDescent="0.25">
      <c r="I13903" s="11" t="b">
        <f t="shared" si="667"/>
        <v>0</v>
      </c>
      <c r="M13903" s="17" t="str">
        <f t="shared" si="668"/>
        <v/>
      </c>
      <c r="N13903" s="11" t="str">
        <f t="shared" si="669"/>
        <v/>
      </c>
    </row>
    <row r="13904" spans="9:14" x14ac:dyDescent="0.25">
      <c r="I13904" s="11" t="b">
        <f t="shared" si="667"/>
        <v>0</v>
      </c>
      <c r="M13904" s="17" t="str">
        <f t="shared" si="668"/>
        <v/>
      </c>
      <c r="N13904" s="11" t="str">
        <f t="shared" si="669"/>
        <v/>
      </c>
    </row>
    <row r="13905" spans="9:14" x14ac:dyDescent="0.25">
      <c r="I13905" s="11" t="b">
        <f t="shared" si="667"/>
        <v>0</v>
      </c>
      <c r="M13905" s="17" t="str">
        <f t="shared" si="668"/>
        <v/>
      </c>
      <c r="N13905" s="11" t="str">
        <f t="shared" si="669"/>
        <v/>
      </c>
    </row>
    <row r="13906" spans="9:14" x14ac:dyDescent="0.25">
      <c r="I13906" s="11" t="b">
        <f t="shared" si="667"/>
        <v>0</v>
      </c>
      <c r="M13906" s="17" t="str">
        <f t="shared" si="668"/>
        <v/>
      </c>
      <c r="N13906" s="11" t="str">
        <f t="shared" si="669"/>
        <v/>
      </c>
    </row>
    <row r="13907" spans="9:14" x14ac:dyDescent="0.25">
      <c r="I13907" s="11" t="b">
        <f t="shared" si="667"/>
        <v>0</v>
      </c>
      <c r="M13907" s="17" t="str">
        <f t="shared" si="668"/>
        <v/>
      </c>
      <c r="N13907" s="11" t="str">
        <f t="shared" si="669"/>
        <v/>
      </c>
    </row>
    <row r="13908" spans="9:14" x14ac:dyDescent="0.25">
      <c r="I13908" s="11" t="b">
        <f t="shared" si="667"/>
        <v>0</v>
      </c>
      <c r="M13908" s="17" t="str">
        <f t="shared" si="668"/>
        <v/>
      </c>
      <c r="N13908" s="11" t="str">
        <f t="shared" si="669"/>
        <v/>
      </c>
    </row>
    <row r="13909" spans="9:14" x14ac:dyDescent="0.25">
      <c r="I13909" s="11" t="b">
        <f t="shared" si="667"/>
        <v>0</v>
      </c>
      <c r="M13909" s="17" t="str">
        <f t="shared" si="668"/>
        <v/>
      </c>
      <c r="N13909" s="11" t="str">
        <f t="shared" si="669"/>
        <v/>
      </c>
    </row>
    <row r="13910" spans="9:14" x14ac:dyDescent="0.25">
      <c r="I13910" s="11" t="b">
        <f t="shared" si="667"/>
        <v>0</v>
      </c>
      <c r="M13910" s="17" t="str">
        <f t="shared" si="668"/>
        <v/>
      </c>
      <c r="N13910" s="11" t="str">
        <f t="shared" si="669"/>
        <v/>
      </c>
    </row>
    <row r="13911" spans="9:14" x14ac:dyDescent="0.25">
      <c r="I13911" s="11" t="b">
        <f t="shared" si="667"/>
        <v>0</v>
      </c>
      <c r="M13911" s="17" t="str">
        <f t="shared" si="668"/>
        <v/>
      </c>
      <c r="N13911" s="11" t="str">
        <f t="shared" si="669"/>
        <v/>
      </c>
    </row>
    <row r="13912" spans="9:14" x14ac:dyDescent="0.25">
      <c r="I13912" s="11" t="b">
        <f t="shared" si="667"/>
        <v>0</v>
      </c>
      <c r="M13912" s="17" t="str">
        <f t="shared" si="668"/>
        <v/>
      </c>
      <c r="N13912" s="11" t="str">
        <f t="shared" si="669"/>
        <v/>
      </c>
    </row>
    <row r="13913" spans="9:14" x14ac:dyDescent="0.25">
      <c r="I13913" s="11" t="b">
        <f t="shared" si="667"/>
        <v>0</v>
      </c>
      <c r="M13913" s="17" t="str">
        <f t="shared" si="668"/>
        <v/>
      </c>
      <c r="N13913" s="11" t="str">
        <f t="shared" si="669"/>
        <v/>
      </c>
    </row>
    <row r="13914" spans="9:14" x14ac:dyDescent="0.25">
      <c r="I13914" s="11" t="b">
        <f t="shared" si="667"/>
        <v>0</v>
      </c>
      <c r="M13914" s="17" t="str">
        <f t="shared" si="668"/>
        <v/>
      </c>
      <c r="N13914" s="11" t="str">
        <f t="shared" si="669"/>
        <v/>
      </c>
    </row>
    <row r="13915" spans="9:14" x14ac:dyDescent="0.25">
      <c r="I13915" s="11" t="b">
        <f t="shared" si="667"/>
        <v>0</v>
      </c>
      <c r="M13915" s="17" t="str">
        <f t="shared" si="668"/>
        <v/>
      </c>
      <c r="N13915" s="11" t="str">
        <f t="shared" si="669"/>
        <v/>
      </c>
    </row>
    <row r="13916" spans="9:14" x14ac:dyDescent="0.25">
      <c r="I13916" s="11" t="b">
        <f t="shared" si="667"/>
        <v>0</v>
      </c>
      <c r="M13916" s="17" t="str">
        <f t="shared" si="668"/>
        <v/>
      </c>
      <c r="N13916" s="11" t="str">
        <f t="shared" si="669"/>
        <v/>
      </c>
    </row>
    <row r="13917" spans="9:14" x14ac:dyDescent="0.25">
      <c r="I13917" s="11" t="b">
        <f t="shared" ref="I13917:I13980" si="670">IF(AND(G13917="MERCADO PAGO",A13917="FATURAMENTO"),1,IF(AND(OR(G13917="MERCADO PAGO",G13917="pix mercado pago",G13917= "débito automático mercado pago", G13917= "boleto mercado pago"),A13917="DESPESAS"),4,IF(AND(G13917="SAFRA",A13917="FATURAMENTO"),2,IF(AND(OR(G13917="SAFRA",G13917="PIX SAFRA", G13917="DÉBITO AUTOMÁTICO SAFRA", G13917= "BOLETO SAFRA", G13917= "transferência safra"), A13917="DESPESAS"),5,IF(AND(G13917="espécie",A13917="FATURAMENTO"),3,IF(AND(G13917="espécie",A13917="DESPESAS"),6))))))</f>
        <v>0</v>
      </c>
      <c r="M13917" s="17" t="str">
        <f t="shared" si="668"/>
        <v/>
      </c>
      <c r="N13917" s="11" t="str">
        <f t="shared" si="669"/>
        <v/>
      </c>
    </row>
    <row r="13918" spans="9:14" x14ac:dyDescent="0.25">
      <c r="I13918" s="11" t="b">
        <f t="shared" si="670"/>
        <v>0</v>
      </c>
      <c r="M13918" s="17" t="str">
        <f t="shared" si="668"/>
        <v/>
      </c>
      <c r="N13918" s="11" t="str">
        <f t="shared" si="669"/>
        <v/>
      </c>
    </row>
    <row r="13919" spans="9:14" x14ac:dyDescent="0.25">
      <c r="I13919" s="11" t="b">
        <f t="shared" si="670"/>
        <v>0</v>
      </c>
      <c r="M13919" s="17" t="str">
        <f t="shared" si="668"/>
        <v/>
      </c>
      <c r="N13919" s="11" t="str">
        <f t="shared" si="669"/>
        <v/>
      </c>
    </row>
    <row r="13920" spans="9:14" x14ac:dyDescent="0.25">
      <c r="I13920" s="11" t="b">
        <f t="shared" si="670"/>
        <v>0</v>
      </c>
      <c r="M13920" s="17" t="str">
        <f t="shared" si="668"/>
        <v/>
      </c>
      <c r="N13920" s="11" t="str">
        <f t="shared" si="669"/>
        <v/>
      </c>
    </row>
    <row r="13921" spans="9:14" x14ac:dyDescent="0.25">
      <c r="I13921" s="11" t="b">
        <f t="shared" si="670"/>
        <v>0</v>
      </c>
      <c r="M13921" s="17" t="str">
        <f t="shared" si="668"/>
        <v/>
      </c>
      <c r="N13921" s="11" t="str">
        <f t="shared" si="669"/>
        <v/>
      </c>
    </row>
    <row r="13922" spans="9:14" x14ac:dyDescent="0.25">
      <c r="I13922" s="11" t="b">
        <f t="shared" si="670"/>
        <v>0</v>
      </c>
      <c r="M13922" s="17" t="str">
        <f t="shared" si="668"/>
        <v/>
      </c>
      <c r="N13922" s="11" t="str">
        <f t="shared" si="669"/>
        <v/>
      </c>
    </row>
    <row r="13923" spans="9:14" x14ac:dyDescent="0.25">
      <c r="I13923" s="11" t="b">
        <f t="shared" si="670"/>
        <v>0</v>
      </c>
      <c r="M13923" s="17" t="str">
        <f t="shared" si="668"/>
        <v/>
      </c>
      <c r="N13923" s="11" t="str">
        <f t="shared" si="669"/>
        <v/>
      </c>
    </row>
    <row r="13924" spans="9:14" x14ac:dyDescent="0.25">
      <c r="I13924" s="11" t="b">
        <f t="shared" si="670"/>
        <v>0</v>
      </c>
      <c r="M13924" s="17" t="str">
        <f t="shared" si="668"/>
        <v/>
      </c>
      <c r="N13924" s="11" t="str">
        <f t="shared" si="669"/>
        <v/>
      </c>
    </row>
    <row r="13925" spans="9:14" x14ac:dyDescent="0.25">
      <c r="I13925" s="11" t="b">
        <f t="shared" si="670"/>
        <v>0</v>
      </c>
      <c r="M13925" s="17" t="str">
        <f t="shared" si="668"/>
        <v/>
      </c>
      <c r="N13925" s="11" t="str">
        <f t="shared" si="669"/>
        <v/>
      </c>
    </row>
    <row r="13926" spans="9:14" x14ac:dyDescent="0.25">
      <c r="I13926" s="11" t="b">
        <f t="shared" si="670"/>
        <v>0</v>
      </c>
      <c r="M13926" s="17" t="str">
        <f t="shared" si="668"/>
        <v/>
      </c>
      <c r="N13926" s="11" t="str">
        <f t="shared" si="669"/>
        <v/>
      </c>
    </row>
    <row r="13927" spans="9:14" x14ac:dyDescent="0.25">
      <c r="I13927" s="11" t="b">
        <f t="shared" si="670"/>
        <v>0</v>
      </c>
      <c r="M13927" s="17" t="str">
        <f t="shared" si="668"/>
        <v/>
      </c>
      <c r="N13927" s="11" t="str">
        <f t="shared" si="669"/>
        <v/>
      </c>
    </row>
    <row r="13928" spans="9:14" x14ac:dyDescent="0.25">
      <c r="I13928" s="11" t="b">
        <f t="shared" si="670"/>
        <v>0</v>
      </c>
      <c r="M13928" s="17" t="str">
        <f t="shared" si="668"/>
        <v/>
      </c>
      <c r="N13928" s="11" t="str">
        <f t="shared" si="669"/>
        <v/>
      </c>
    </row>
    <row r="13929" spans="9:14" x14ac:dyDescent="0.25">
      <c r="I13929" s="11" t="b">
        <f t="shared" si="670"/>
        <v>0</v>
      </c>
      <c r="M13929" s="17" t="str">
        <f t="shared" si="668"/>
        <v/>
      </c>
      <c r="N13929" s="11" t="str">
        <f t="shared" si="669"/>
        <v/>
      </c>
    </row>
    <row r="13930" spans="9:14" x14ac:dyDescent="0.25">
      <c r="I13930" s="11" t="b">
        <f t="shared" si="670"/>
        <v>0</v>
      </c>
      <c r="M13930" s="17" t="str">
        <f t="shared" si="668"/>
        <v/>
      </c>
      <c r="N13930" s="11" t="str">
        <f t="shared" si="669"/>
        <v/>
      </c>
    </row>
    <row r="13931" spans="9:14" x14ac:dyDescent="0.25">
      <c r="I13931" s="11" t="b">
        <f t="shared" si="670"/>
        <v>0</v>
      </c>
      <c r="M13931" s="17" t="str">
        <f t="shared" si="668"/>
        <v/>
      </c>
      <c r="N13931" s="11" t="str">
        <f t="shared" si="669"/>
        <v/>
      </c>
    </row>
    <row r="13932" spans="9:14" x14ac:dyDescent="0.25">
      <c r="I13932" s="11" t="b">
        <f t="shared" si="670"/>
        <v>0</v>
      </c>
      <c r="M13932" s="17" t="str">
        <f t="shared" si="668"/>
        <v/>
      </c>
      <c r="N13932" s="11" t="str">
        <f t="shared" si="669"/>
        <v/>
      </c>
    </row>
    <row r="13933" spans="9:14" x14ac:dyDescent="0.25">
      <c r="I13933" s="11" t="b">
        <f t="shared" si="670"/>
        <v>0</v>
      </c>
      <c r="M13933" s="17" t="str">
        <f t="shared" si="668"/>
        <v/>
      </c>
      <c r="N13933" s="11" t="str">
        <f t="shared" si="669"/>
        <v/>
      </c>
    </row>
    <row r="13934" spans="9:14" x14ac:dyDescent="0.25">
      <c r="I13934" s="11" t="b">
        <f t="shared" si="670"/>
        <v>0</v>
      </c>
      <c r="M13934" s="17" t="str">
        <f t="shared" si="668"/>
        <v/>
      </c>
      <c r="N13934" s="11" t="str">
        <f t="shared" si="669"/>
        <v/>
      </c>
    </row>
    <row r="13935" spans="9:14" x14ac:dyDescent="0.25">
      <c r="I13935" s="11" t="b">
        <f t="shared" si="670"/>
        <v>0</v>
      </c>
      <c r="M13935" s="17" t="str">
        <f t="shared" si="668"/>
        <v/>
      </c>
      <c r="N13935" s="11" t="str">
        <f t="shared" si="669"/>
        <v/>
      </c>
    </row>
    <row r="13936" spans="9:14" x14ac:dyDescent="0.25">
      <c r="I13936" s="11" t="b">
        <f t="shared" si="670"/>
        <v>0</v>
      </c>
      <c r="M13936" s="17" t="str">
        <f t="shared" si="668"/>
        <v/>
      </c>
      <c r="N13936" s="11" t="str">
        <f t="shared" si="669"/>
        <v/>
      </c>
    </row>
    <row r="13937" spans="9:14" x14ac:dyDescent="0.25">
      <c r="I13937" s="11" t="b">
        <f t="shared" si="670"/>
        <v>0</v>
      </c>
      <c r="M13937" s="17" t="str">
        <f t="shared" si="668"/>
        <v/>
      </c>
      <c r="N13937" s="11" t="str">
        <f t="shared" si="669"/>
        <v/>
      </c>
    </row>
    <row r="13938" spans="9:14" x14ac:dyDescent="0.25">
      <c r="I13938" s="11" t="b">
        <f t="shared" si="670"/>
        <v>0</v>
      </c>
      <c r="M13938" s="17" t="str">
        <f t="shared" si="668"/>
        <v/>
      </c>
      <c r="N13938" s="11" t="str">
        <f t="shared" si="669"/>
        <v/>
      </c>
    </row>
    <row r="13939" spans="9:14" x14ac:dyDescent="0.25">
      <c r="I13939" s="11" t="b">
        <f t="shared" si="670"/>
        <v>0</v>
      </c>
      <c r="M13939" s="17" t="str">
        <f t="shared" si="668"/>
        <v/>
      </c>
      <c r="N13939" s="11" t="str">
        <f t="shared" si="669"/>
        <v/>
      </c>
    </row>
    <row r="13940" spans="9:14" x14ac:dyDescent="0.25">
      <c r="I13940" s="11" t="b">
        <f t="shared" si="670"/>
        <v>0</v>
      </c>
      <c r="M13940" s="17" t="str">
        <f t="shared" si="668"/>
        <v/>
      </c>
      <c r="N13940" s="11" t="str">
        <f t="shared" si="669"/>
        <v/>
      </c>
    </row>
    <row r="13941" spans="9:14" x14ac:dyDescent="0.25">
      <c r="I13941" s="11" t="b">
        <f t="shared" si="670"/>
        <v>0</v>
      </c>
      <c r="M13941" s="17" t="str">
        <f t="shared" si="668"/>
        <v/>
      </c>
      <c r="N13941" s="11" t="str">
        <f t="shared" si="669"/>
        <v/>
      </c>
    </row>
    <row r="13942" spans="9:14" x14ac:dyDescent="0.25">
      <c r="I13942" s="11" t="b">
        <f t="shared" si="670"/>
        <v>0</v>
      </c>
      <c r="M13942" s="17" t="str">
        <f t="shared" si="668"/>
        <v/>
      </c>
      <c r="N13942" s="11" t="str">
        <f t="shared" si="669"/>
        <v/>
      </c>
    </row>
    <row r="13943" spans="9:14" x14ac:dyDescent="0.25">
      <c r="I13943" s="11" t="b">
        <f t="shared" si="670"/>
        <v>0</v>
      </c>
      <c r="M13943" s="17" t="str">
        <f t="shared" si="668"/>
        <v/>
      </c>
      <c r="N13943" s="11" t="str">
        <f t="shared" si="669"/>
        <v/>
      </c>
    </row>
    <row r="13944" spans="9:14" x14ac:dyDescent="0.25">
      <c r="I13944" s="11" t="b">
        <f t="shared" si="670"/>
        <v>0</v>
      </c>
      <c r="M13944" s="17" t="str">
        <f t="shared" si="668"/>
        <v/>
      </c>
      <c r="N13944" s="11" t="str">
        <f t="shared" si="669"/>
        <v/>
      </c>
    </row>
    <row r="13945" spans="9:14" x14ac:dyDescent="0.25">
      <c r="I13945" s="11" t="b">
        <f t="shared" si="670"/>
        <v>0</v>
      </c>
      <c r="M13945" s="17" t="str">
        <f t="shared" si="668"/>
        <v/>
      </c>
      <c r="N13945" s="11" t="str">
        <f t="shared" si="669"/>
        <v/>
      </c>
    </row>
    <row r="13946" spans="9:14" x14ac:dyDescent="0.25">
      <c r="I13946" s="11" t="b">
        <f t="shared" si="670"/>
        <v>0</v>
      </c>
      <c r="M13946" s="17" t="str">
        <f t="shared" si="668"/>
        <v/>
      </c>
      <c r="N13946" s="11" t="str">
        <f t="shared" si="669"/>
        <v/>
      </c>
    </row>
    <row r="13947" spans="9:14" x14ac:dyDescent="0.25">
      <c r="I13947" s="11" t="b">
        <f t="shared" si="670"/>
        <v>0</v>
      </c>
      <c r="M13947" s="17" t="str">
        <f t="shared" si="668"/>
        <v/>
      </c>
      <c r="N13947" s="11" t="str">
        <f t="shared" si="669"/>
        <v/>
      </c>
    </row>
    <row r="13948" spans="9:14" x14ac:dyDescent="0.25">
      <c r="I13948" s="11" t="b">
        <f t="shared" si="670"/>
        <v>0</v>
      </c>
      <c r="M13948" s="17" t="str">
        <f t="shared" si="668"/>
        <v/>
      </c>
      <c r="N13948" s="11" t="str">
        <f t="shared" si="669"/>
        <v/>
      </c>
    </row>
    <row r="13949" spans="9:14" x14ac:dyDescent="0.25">
      <c r="I13949" s="11" t="b">
        <f t="shared" si="670"/>
        <v>0</v>
      </c>
      <c r="M13949" s="17" t="str">
        <f t="shared" si="668"/>
        <v/>
      </c>
      <c r="N13949" s="11" t="str">
        <f t="shared" si="669"/>
        <v/>
      </c>
    </row>
    <row r="13950" spans="9:14" x14ac:dyDescent="0.25">
      <c r="I13950" s="11" t="b">
        <f t="shared" si="670"/>
        <v>0</v>
      </c>
      <c r="M13950" s="17" t="str">
        <f t="shared" si="668"/>
        <v/>
      </c>
      <c r="N13950" s="11" t="str">
        <f t="shared" si="669"/>
        <v/>
      </c>
    </row>
    <row r="13951" spans="9:14" x14ac:dyDescent="0.25">
      <c r="I13951" s="11" t="b">
        <f t="shared" si="670"/>
        <v>0</v>
      </c>
      <c r="M13951" s="17" t="str">
        <f t="shared" si="668"/>
        <v/>
      </c>
      <c r="N13951" s="11" t="str">
        <f t="shared" si="669"/>
        <v/>
      </c>
    </row>
    <row r="13952" spans="9:14" x14ac:dyDescent="0.25">
      <c r="I13952" s="11" t="b">
        <f t="shared" si="670"/>
        <v>0</v>
      </c>
      <c r="M13952" s="17" t="str">
        <f t="shared" si="668"/>
        <v/>
      </c>
      <c r="N13952" s="11" t="str">
        <f t="shared" si="669"/>
        <v/>
      </c>
    </row>
    <row r="13953" spans="9:14" x14ac:dyDescent="0.25">
      <c r="I13953" s="11" t="b">
        <f t="shared" si="670"/>
        <v>0</v>
      </c>
      <c r="M13953" s="17" t="str">
        <f t="shared" ref="M13953:M14016" si="671">IF(B13953=0, "",M13952+ J13953-K13953)</f>
        <v/>
      </c>
      <c r="N13953" s="11" t="str">
        <f t="shared" ref="N13953:N14016" si="672">IF(B13953=0, "", MONTH(B13953))</f>
        <v/>
      </c>
    </row>
    <row r="13954" spans="9:14" x14ac:dyDescent="0.25">
      <c r="I13954" s="11" t="b">
        <f t="shared" si="670"/>
        <v>0</v>
      </c>
      <c r="M13954" s="17" t="str">
        <f t="shared" si="671"/>
        <v/>
      </c>
      <c r="N13954" s="11" t="str">
        <f t="shared" si="672"/>
        <v/>
      </c>
    </row>
    <row r="13955" spans="9:14" x14ac:dyDescent="0.25">
      <c r="I13955" s="11" t="b">
        <f t="shared" si="670"/>
        <v>0</v>
      </c>
      <c r="M13955" s="17" t="str">
        <f t="shared" si="671"/>
        <v/>
      </c>
      <c r="N13955" s="11" t="str">
        <f t="shared" si="672"/>
        <v/>
      </c>
    </row>
    <row r="13956" spans="9:14" x14ac:dyDescent="0.25">
      <c r="I13956" s="11" t="b">
        <f t="shared" si="670"/>
        <v>0</v>
      </c>
      <c r="M13956" s="17" t="str">
        <f t="shared" si="671"/>
        <v/>
      </c>
      <c r="N13956" s="11" t="str">
        <f t="shared" si="672"/>
        <v/>
      </c>
    </row>
    <row r="13957" spans="9:14" x14ac:dyDescent="0.25">
      <c r="I13957" s="11" t="b">
        <f t="shared" si="670"/>
        <v>0</v>
      </c>
      <c r="M13957" s="17" t="str">
        <f t="shared" si="671"/>
        <v/>
      </c>
      <c r="N13957" s="11" t="str">
        <f t="shared" si="672"/>
        <v/>
      </c>
    </row>
    <row r="13958" spans="9:14" x14ac:dyDescent="0.25">
      <c r="I13958" s="11" t="b">
        <f t="shared" si="670"/>
        <v>0</v>
      </c>
      <c r="M13958" s="17" t="str">
        <f t="shared" si="671"/>
        <v/>
      </c>
      <c r="N13958" s="11" t="str">
        <f t="shared" si="672"/>
        <v/>
      </c>
    </row>
    <row r="13959" spans="9:14" x14ac:dyDescent="0.25">
      <c r="I13959" s="11" t="b">
        <f t="shared" si="670"/>
        <v>0</v>
      </c>
      <c r="M13959" s="17" t="str">
        <f t="shared" si="671"/>
        <v/>
      </c>
      <c r="N13959" s="11" t="str">
        <f t="shared" si="672"/>
        <v/>
      </c>
    </row>
    <row r="13960" spans="9:14" x14ac:dyDescent="0.25">
      <c r="I13960" s="11" t="b">
        <f t="shared" si="670"/>
        <v>0</v>
      </c>
      <c r="M13960" s="17" t="str">
        <f t="shared" si="671"/>
        <v/>
      </c>
      <c r="N13960" s="11" t="str">
        <f t="shared" si="672"/>
        <v/>
      </c>
    </row>
    <row r="13961" spans="9:14" x14ac:dyDescent="0.25">
      <c r="I13961" s="11" t="b">
        <f t="shared" si="670"/>
        <v>0</v>
      </c>
      <c r="M13961" s="17" t="str">
        <f t="shared" si="671"/>
        <v/>
      </c>
      <c r="N13961" s="11" t="str">
        <f t="shared" si="672"/>
        <v/>
      </c>
    </row>
    <row r="13962" spans="9:14" x14ac:dyDescent="0.25">
      <c r="I13962" s="11" t="b">
        <f t="shared" si="670"/>
        <v>0</v>
      </c>
      <c r="M13962" s="17" t="str">
        <f t="shared" si="671"/>
        <v/>
      </c>
      <c r="N13962" s="11" t="str">
        <f t="shared" si="672"/>
        <v/>
      </c>
    </row>
    <row r="13963" spans="9:14" x14ac:dyDescent="0.25">
      <c r="I13963" s="11" t="b">
        <f t="shared" si="670"/>
        <v>0</v>
      </c>
      <c r="M13963" s="17" t="str">
        <f t="shared" si="671"/>
        <v/>
      </c>
      <c r="N13963" s="11" t="str">
        <f t="shared" si="672"/>
        <v/>
      </c>
    </row>
    <row r="13964" spans="9:14" x14ac:dyDescent="0.25">
      <c r="I13964" s="11" t="b">
        <f t="shared" si="670"/>
        <v>0</v>
      </c>
      <c r="M13964" s="17" t="str">
        <f t="shared" si="671"/>
        <v/>
      </c>
      <c r="N13964" s="11" t="str">
        <f t="shared" si="672"/>
        <v/>
      </c>
    </row>
    <row r="13965" spans="9:14" x14ac:dyDescent="0.25">
      <c r="I13965" s="11" t="b">
        <f t="shared" si="670"/>
        <v>0</v>
      </c>
      <c r="M13965" s="17" t="str">
        <f t="shared" si="671"/>
        <v/>
      </c>
      <c r="N13965" s="11" t="str">
        <f t="shared" si="672"/>
        <v/>
      </c>
    </row>
    <row r="13966" spans="9:14" x14ac:dyDescent="0.25">
      <c r="I13966" s="11" t="b">
        <f t="shared" si="670"/>
        <v>0</v>
      </c>
      <c r="M13966" s="17" t="str">
        <f t="shared" si="671"/>
        <v/>
      </c>
      <c r="N13966" s="11" t="str">
        <f t="shared" si="672"/>
        <v/>
      </c>
    </row>
    <row r="13967" spans="9:14" x14ac:dyDescent="0.25">
      <c r="I13967" s="11" t="b">
        <f t="shared" si="670"/>
        <v>0</v>
      </c>
      <c r="M13967" s="17" t="str">
        <f t="shared" si="671"/>
        <v/>
      </c>
      <c r="N13967" s="11" t="str">
        <f t="shared" si="672"/>
        <v/>
      </c>
    </row>
    <row r="13968" spans="9:14" x14ac:dyDescent="0.25">
      <c r="I13968" s="11" t="b">
        <f t="shared" si="670"/>
        <v>0</v>
      </c>
      <c r="M13968" s="17" t="str">
        <f t="shared" si="671"/>
        <v/>
      </c>
      <c r="N13968" s="11" t="str">
        <f t="shared" si="672"/>
        <v/>
      </c>
    </row>
    <row r="13969" spans="9:14" x14ac:dyDescent="0.25">
      <c r="I13969" s="11" t="b">
        <f t="shared" si="670"/>
        <v>0</v>
      </c>
      <c r="M13969" s="17" t="str">
        <f t="shared" si="671"/>
        <v/>
      </c>
      <c r="N13969" s="11" t="str">
        <f t="shared" si="672"/>
        <v/>
      </c>
    </row>
    <row r="13970" spans="9:14" x14ac:dyDescent="0.25">
      <c r="I13970" s="11" t="b">
        <f t="shared" si="670"/>
        <v>0</v>
      </c>
      <c r="M13970" s="17" t="str">
        <f t="shared" si="671"/>
        <v/>
      </c>
      <c r="N13970" s="11" t="str">
        <f t="shared" si="672"/>
        <v/>
      </c>
    </row>
    <row r="13971" spans="9:14" x14ac:dyDescent="0.25">
      <c r="I13971" s="11" t="b">
        <f t="shared" si="670"/>
        <v>0</v>
      </c>
      <c r="M13971" s="17" t="str">
        <f t="shared" si="671"/>
        <v/>
      </c>
      <c r="N13971" s="11" t="str">
        <f t="shared" si="672"/>
        <v/>
      </c>
    </row>
    <row r="13972" spans="9:14" x14ac:dyDescent="0.25">
      <c r="I13972" s="11" t="b">
        <f t="shared" si="670"/>
        <v>0</v>
      </c>
      <c r="M13972" s="17" t="str">
        <f t="shared" si="671"/>
        <v/>
      </c>
      <c r="N13972" s="11" t="str">
        <f t="shared" si="672"/>
        <v/>
      </c>
    </row>
    <row r="13973" spans="9:14" x14ac:dyDescent="0.25">
      <c r="I13973" s="11" t="b">
        <f t="shared" si="670"/>
        <v>0</v>
      </c>
      <c r="M13973" s="17" t="str">
        <f t="shared" si="671"/>
        <v/>
      </c>
      <c r="N13973" s="11" t="str">
        <f t="shared" si="672"/>
        <v/>
      </c>
    </row>
    <row r="13974" spans="9:14" x14ac:dyDescent="0.25">
      <c r="I13974" s="11" t="b">
        <f t="shared" si="670"/>
        <v>0</v>
      </c>
      <c r="M13974" s="17" t="str">
        <f t="shared" si="671"/>
        <v/>
      </c>
      <c r="N13974" s="11" t="str">
        <f t="shared" si="672"/>
        <v/>
      </c>
    </row>
    <row r="13975" spans="9:14" x14ac:dyDescent="0.25">
      <c r="I13975" s="11" t="b">
        <f t="shared" si="670"/>
        <v>0</v>
      </c>
      <c r="M13975" s="17" t="str">
        <f t="shared" si="671"/>
        <v/>
      </c>
      <c r="N13975" s="11" t="str">
        <f t="shared" si="672"/>
        <v/>
      </c>
    </row>
    <row r="13976" spans="9:14" x14ac:dyDescent="0.25">
      <c r="I13976" s="11" t="b">
        <f t="shared" si="670"/>
        <v>0</v>
      </c>
      <c r="M13976" s="17" t="str">
        <f t="shared" si="671"/>
        <v/>
      </c>
      <c r="N13976" s="11" t="str">
        <f t="shared" si="672"/>
        <v/>
      </c>
    </row>
    <row r="13977" spans="9:14" x14ac:dyDescent="0.25">
      <c r="I13977" s="11" t="b">
        <f t="shared" si="670"/>
        <v>0</v>
      </c>
      <c r="M13977" s="17" t="str">
        <f t="shared" si="671"/>
        <v/>
      </c>
      <c r="N13977" s="11" t="str">
        <f t="shared" si="672"/>
        <v/>
      </c>
    </row>
    <row r="13978" spans="9:14" x14ac:dyDescent="0.25">
      <c r="I13978" s="11" t="b">
        <f t="shared" si="670"/>
        <v>0</v>
      </c>
      <c r="M13978" s="17" t="str">
        <f t="shared" si="671"/>
        <v/>
      </c>
      <c r="N13978" s="11" t="str">
        <f t="shared" si="672"/>
        <v/>
      </c>
    </row>
    <row r="13979" spans="9:14" x14ac:dyDescent="0.25">
      <c r="I13979" s="11" t="b">
        <f t="shared" si="670"/>
        <v>0</v>
      </c>
      <c r="M13979" s="17" t="str">
        <f t="shared" si="671"/>
        <v/>
      </c>
      <c r="N13979" s="11" t="str">
        <f t="shared" si="672"/>
        <v/>
      </c>
    </row>
    <row r="13980" spans="9:14" x14ac:dyDescent="0.25">
      <c r="I13980" s="11" t="b">
        <f t="shared" si="670"/>
        <v>0</v>
      </c>
      <c r="M13980" s="17" t="str">
        <f t="shared" si="671"/>
        <v/>
      </c>
      <c r="N13980" s="11" t="str">
        <f t="shared" si="672"/>
        <v/>
      </c>
    </row>
    <row r="13981" spans="9:14" x14ac:dyDescent="0.25">
      <c r="I13981" s="11" t="b">
        <f t="shared" ref="I13981:I14044" si="673">IF(AND(G13981="MERCADO PAGO",A13981="FATURAMENTO"),1,IF(AND(OR(G13981="MERCADO PAGO",G13981="pix mercado pago",G13981= "débito automático mercado pago", G13981= "boleto mercado pago"),A13981="DESPESAS"),4,IF(AND(G13981="SAFRA",A13981="FATURAMENTO"),2,IF(AND(OR(G13981="SAFRA",G13981="PIX SAFRA", G13981="DÉBITO AUTOMÁTICO SAFRA", G13981= "BOLETO SAFRA", G13981= "transferência safra"), A13981="DESPESAS"),5,IF(AND(G13981="espécie",A13981="FATURAMENTO"),3,IF(AND(G13981="espécie",A13981="DESPESAS"),6))))))</f>
        <v>0</v>
      </c>
      <c r="M13981" s="17" t="str">
        <f t="shared" si="671"/>
        <v/>
      </c>
      <c r="N13981" s="11" t="str">
        <f t="shared" si="672"/>
        <v/>
      </c>
    </row>
    <row r="13982" spans="9:14" x14ac:dyDescent="0.25">
      <c r="I13982" s="11" t="b">
        <f t="shared" si="673"/>
        <v>0</v>
      </c>
      <c r="M13982" s="17" t="str">
        <f t="shared" si="671"/>
        <v/>
      </c>
      <c r="N13982" s="11" t="str">
        <f t="shared" si="672"/>
        <v/>
      </c>
    </row>
    <row r="13983" spans="9:14" x14ac:dyDescent="0.25">
      <c r="I13983" s="11" t="b">
        <f t="shared" si="673"/>
        <v>0</v>
      </c>
      <c r="M13983" s="17" t="str">
        <f t="shared" si="671"/>
        <v/>
      </c>
      <c r="N13983" s="11" t="str">
        <f t="shared" si="672"/>
        <v/>
      </c>
    </row>
    <row r="13984" spans="9:14" x14ac:dyDescent="0.25">
      <c r="I13984" s="11" t="b">
        <f t="shared" si="673"/>
        <v>0</v>
      </c>
      <c r="M13984" s="17" t="str">
        <f t="shared" si="671"/>
        <v/>
      </c>
      <c r="N13984" s="11" t="str">
        <f t="shared" si="672"/>
        <v/>
      </c>
    </row>
    <row r="13985" spans="9:14" x14ac:dyDescent="0.25">
      <c r="I13985" s="11" t="b">
        <f t="shared" si="673"/>
        <v>0</v>
      </c>
      <c r="M13985" s="17" t="str">
        <f t="shared" si="671"/>
        <v/>
      </c>
      <c r="N13985" s="11" t="str">
        <f t="shared" si="672"/>
        <v/>
      </c>
    </row>
    <row r="13986" spans="9:14" x14ac:dyDescent="0.25">
      <c r="I13986" s="11" t="b">
        <f t="shared" si="673"/>
        <v>0</v>
      </c>
      <c r="M13986" s="17" t="str">
        <f t="shared" si="671"/>
        <v/>
      </c>
      <c r="N13986" s="11" t="str">
        <f t="shared" si="672"/>
        <v/>
      </c>
    </row>
    <row r="13987" spans="9:14" x14ac:dyDescent="0.25">
      <c r="I13987" s="11" t="b">
        <f t="shared" si="673"/>
        <v>0</v>
      </c>
      <c r="M13987" s="17" t="str">
        <f t="shared" si="671"/>
        <v/>
      </c>
      <c r="N13987" s="11" t="str">
        <f t="shared" si="672"/>
        <v/>
      </c>
    </row>
    <row r="13988" spans="9:14" x14ac:dyDescent="0.25">
      <c r="I13988" s="11" t="b">
        <f t="shared" si="673"/>
        <v>0</v>
      </c>
      <c r="M13988" s="17" t="str">
        <f t="shared" si="671"/>
        <v/>
      </c>
      <c r="N13988" s="11" t="str">
        <f t="shared" si="672"/>
        <v/>
      </c>
    </row>
    <row r="13989" spans="9:14" x14ac:dyDescent="0.25">
      <c r="I13989" s="11" t="b">
        <f t="shared" si="673"/>
        <v>0</v>
      </c>
      <c r="M13989" s="17" t="str">
        <f t="shared" si="671"/>
        <v/>
      </c>
      <c r="N13989" s="11" t="str">
        <f t="shared" si="672"/>
        <v/>
      </c>
    </row>
    <row r="13990" spans="9:14" x14ac:dyDescent="0.25">
      <c r="I13990" s="11" t="b">
        <f t="shared" si="673"/>
        <v>0</v>
      </c>
      <c r="M13990" s="17" t="str">
        <f t="shared" si="671"/>
        <v/>
      </c>
      <c r="N13990" s="11" t="str">
        <f t="shared" si="672"/>
        <v/>
      </c>
    </row>
    <row r="13991" spans="9:14" x14ac:dyDescent="0.25">
      <c r="I13991" s="11" t="b">
        <f t="shared" si="673"/>
        <v>0</v>
      </c>
      <c r="M13991" s="17" t="str">
        <f t="shared" si="671"/>
        <v/>
      </c>
      <c r="N13991" s="11" t="str">
        <f t="shared" si="672"/>
        <v/>
      </c>
    </row>
    <row r="13992" spans="9:14" x14ac:dyDescent="0.25">
      <c r="I13992" s="11" t="b">
        <f t="shared" si="673"/>
        <v>0</v>
      </c>
      <c r="M13992" s="17" t="str">
        <f t="shared" si="671"/>
        <v/>
      </c>
      <c r="N13992" s="11" t="str">
        <f t="shared" si="672"/>
        <v/>
      </c>
    </row>
    <row r="13993" spans="9:14" x14ac:dyDescent="0.25">
      <c r="I13993" s="11" t="b">
        <f t="shared" si="673"/>
        <v>0</v>
      </c>
      <c r="M13993" s="17" t="str">
        <f t="shared" si="671"/>
        <v/>
      </c>
      <c r="N13993" s="11" t="str">
        <f t="shared" si="672"/>
        <v/>
      </c>
    </row>
    <row r="13994" spans="9:14" x14ac:dyDescent="0.25">
      <c r="I13994" s="11" t="b">
        <f t="shared" si="673"/>
        <v>0</v>
      </c>
      <c r="M13994" s="17" t="str">
        <f t="shared" si="671"/>
        <v/>
      </c>
      <c r="N13994" s="11" t="str">
        <f t="shared" si="672"/>
        <v/>
      </c>
    </row>
    <row r="13995" spans="9:14" x14ac:dyDescent="0.25">
      <c r="I13995" s="11" t="b">
        <f t="shared" si="673"/>
        <v>0</v>
      </c>
      <c r="M13995" s="17" t="str">
        <f t="shared" si="671"/>
        <v/>
      </c>
      <c r="N13995" s="11" t="str">
        <f t="shared" si="672"/>
        <v/>
      </c>
    </row>
    <row r="13996" spans="9:14" x14ac:dyDescent="0.25">
      <c r="I13996" s="11" t="b">
        <f t="shared" si="673"/>
        <v>0</v>
      </c>
      <c r="M13996" s="17" t="str">
        <f t="shared" si="671"/>
        <v/>
      </c>
      <c r="N13996" s="11" t="str">
        <f t="shared" si="672"/>
        <v/>
      </c>
    </row>
    <row r="13997" spans="9:14" x14ac:dyDescent="0.25">
      <c r="I13997" s="11" t="b">
        <f t="shared" si="673"/>
        <v>0</v>
      </c>
      <c r="M13997" s="17" t="str">
        <f t="shared" si="671"/>
        <v/>
      </c>
      <c r="N13997" s="11" t="str">
        <f t="shared" si="672"/>
        <v/>
      </c>
    </row>
    <row r="13998" spans="9:14" x14ac:dyDescent="0.25">
      <c r="I13998" s="11" t="b">
        <f t="shared" si="673"/>
        <v>0</v>
      </c>
      <c r="M13998" s="17" t="str">
        <f t="shared" si="671"/>
        <v/>
      </c>
      <c r="N13998" s="11" t="str">
        <f t="shared" si="672"/>
        <v/>
      </c>
    </row>
    <row r="13999" spans="9:14" x14ac:dyDescent="0.25">
      <c r="I13999" s="11" t="b">
        <f t="shared" si="673"/>
        <v>0</v>
      </c>
      <c r="M13999" s="17" t="str">
        <f t="shared" si="671"/>
        <v/>
      </c>
      <c r="N13999" s="11" t="str">
        <f t="shared" si="672"/>
        <v/>
      </c>
    </row>
    <row r="14000" spans="9:14" x14ac:dyDescent="0.25">
      <c r="I14000" s="11" t="b">
        <f t="shared" si="673"/>
        <v>0</v>
      </c>
      <c r="M14000" s="17" t="str">
        <f t="shared" si="671"/>
        <v/>
      </c>
      <c r="N14000" s="11" t="str">
        <f t="shared" si="672"/>
        <v/>
      </c>
    </row>
    <row r="14001" spans="9:14" x14ac:dyDescent="0.25">
      <c r="I14001" s="11" t="b">
        <f t="shared" si="673"/>
        <v>0</v>
      </c>
      <c r="M14001" s="17" t="str">
        <f t="shared" si="671"/>
        <v/>
      </c>
      <c r="N14001" s="11" t="str">
        <f t="shared" si="672"/>
        <v/>
      </c>
    </row>
    <row r="14002" spans="9:14" x14ac:dyDescent="0.25">
      <c r="I14002" s="11" t="b">
        <f t="shared" si="673"/>
        <v>0</v>
      </c>
      <c r="M14002" s="17" t="str">
        <f t="shared" si="671"/>
        <v/>
      </c>
      <c r="N14002" s="11" t="str">
        <f t="shared" si="672"/>
        <v/>
      </c>
    </row>
    <row r="14003" spans="9:14" x14ac:dyDescent="0.25">
      <c r="I14003" s="11" t="b">
        <f t="shared" si="673"/>
        <v>0</v>
      </c>
      <c r="M14003" s="17" t="str">
        <f t="shared" si="671"/>
        <v/>
      </c>
      <c r="N14003" s="11" t="str">
        <f t="shared" si="672"/>
        <v/>
      </c>
    </row>
    <row r="14004" spans="9:14" x14ac:dyDescent="0.25">
      <c r="I14004" s="11" t="b">
        <f t="shared" si="673"/>
        <v>0</v>
      </c>
      <c r="M14004" s="17" t="str">
        <f t="shared" si="671"/>
        <v/>
      </c>
      <c r="N14004" s="11" t="str">
        <f t="shared" si="672"/>
        <v/>
      </c>
    </row>
    <row r="14005" spans="9:14" x14ac:dyDescent="0.25">
      <c r="I14005" s="11" t="b">
        <f t="shared" si="673"/>
        <v>0</v>
      </c>
      <c r="M14005" s="17" t="str">
        <f t="shared" si="671"/>
        <v/>
      </c>
      <c r="N14005" s="11" t="str">
        <f t="shared" si="672"/>
        <v/>
      </c>
    </row>
    <row r="14006" spans="9:14" x14ac:dyDescent="0.25">
      <c r="I14006" s="11" t="b">
        <f t="shared" si="673"/>
        <v>0</v>
      </c>
      <c r="M14006" s="17" t="str">
        <f t="shared" si="671"/>
        <v/>
      </c>
      <c r="N14006" s="11" t="str">
        <f t="shared" si="672"/>
        <v/>
      </c>
    </row>
    <row r="14007" spans="9:14" x14ac:dyDescent="0.25">
      <c r="I14007" s="11" t="b">
        <f t="shared" si="673"/>
        <v>0</v>
      </c>
      <c r="M14007" s="17" t="str">
        <f t="shared" si="671"/>
        <v/>
      </c>
      <c r="N14007" s="11" t="str">
        <f t="shared" si="672"/>
        <v/>
      </c>
    </row>
    <row r="14008" spans="9:14" x14ac:dyDescent="0.25">
      <c r="I14008" s="11" t="b">
        <f t="shared" si="673"/>
        <v>0</v>
      </c>
      <c r="M14008" s="17" t="str">
        <f t="shared" si="671"/>
        <v/>
      </c>
      <c r="N14008" s="11" t="str">
        <f t="shared" si="672"/>
        <v/>
      </c>
    </row>
    <row r="14009" spans="9:14" x14ac:dyDescent="0.25">
      <c r="I14009" s="11" t="b">
        <f t="shared" si="673"/>
        <v>0</v>
      </c>
      <c r="M14009" s="17" t="str">
        <f t="shared" si="671"/>
        <v/>
      </c>
      <c r="N14009" s="11" t="str">
        <f t="shared" si="672"/>
        <v/>
      </c>
    </row>
    <row r="14010" spans="9:14" x14ac:dyDescent="0.25">
      <c r="I14010" s="11" t="b">
        <f t="shared" si="673"/>
        <v>0</v>
      </c>
      <c r="M14010" s="17" t="str">
        <f t="shared" si="671"/>
        <v/>
      </c>
      <c r="N14010" s="11" t="str">
        <f t="shared" si="672"/>
        <v/>
      </c>
    </row>
    <row r="14011" spans="9:14" x14ac:dyDescent="0.25">
      <c r="I14011" s="11" t="b">
        <f t="shared" si="673"/>
        <v>0</v>
      </c>
      <c r="M14011" s="17" t="str">
        <f t="shared" si="671"/>
        <v/>
      </c>
      <c r="N14011" s="11" t="str">
        <f t="shared" si="672"/>
        <v/>
      </c>
    </row>
    <row r="14012" spans="9:14" x14ac:dyDescent="0.25">
      <c r="I14012" s="11" t="b">
        <f t="shared" si="673"/>
        <v>0</v>
      </c>
      <c r="M14012" s="17" t="str">
        <f t="shared" si="671"/>
        <v/>
      </c>
      <c r="N14012" s="11" t="str">
        <f t="shared" si="672"/>
        <v/>
      </c>
    </row>
    <row r="14013" spans="9:14" x14ac:dyDescent="0.25">
      <c r="I14013" s="11" t="b">
        <f t="shared" si="673"/>
        <v>0</v>
      </c>
      <c r="M14013" s="17" t="str">
        <f t="shared" si="671"/>
        <v/>
      </c>
      <c r="N14013" s="11" t="str">
        <f t="shared" si="672"/>
        <v/>
      </c>
    </row>
    <row r="14014" spans="9:14" x14ac:dyDescent="0.25">
      <c r="I14014" s="11" t="b">
        <f t="shared" si="673"/>
        <v>0</v>
      </c>
      <c r="M14014" s="17" t="str">
        <f t="shared" si="671"/>
        <v/>
      </c>
      <c r="N14014" s="11" t="str">
        <f t="shared" si="672"/>
        <v/>
      </c>
    </row>
    <row r="14015" spans="9:14" x14ac:dyDescent="0.25">
      <c r="I14015" s="11" t="b">
        <f t="shared" si="673"/>
        <v>0</v>
      </c>
      <c r="M14015" s="17" t="str">
        <f t="shared" si="671"/>
        <v/>
      </c>
      <c r="N14015" s="11" t="str">
        <f t="shared" si="672"/>
        <v/>
      </c>
    </row>
    <row r="14016" spans="9:14" x14ac:dyDescent="0.25">
      <c r="I14016" s="11" t="b">
        <f t="shared" si="673"/>
        <v>0</v>
      </c>
      <c r="M14016" s="17" t="str">
        <f t="shared" si="671"/>
        <v/>
      </c>
      <c r="N14016" s="11" t="str">
        <f t="shared" si="672"/>
        <v/>
      </c>
    </row>
    <row r="14017" spans="9:14" x14ac:dyDescent="0.25">
      <c r="I14017" s="11" t="b">
        <f t="shared" si="673"/>
        <v>0</v>
      </c>
      <c r="M14017" s="17" t="str">
        <f t="shared" ref="M14017:M14080" si="674">IF(B14017=0, "",M14016+ J14017-K14017)</f>
        <v/>
      </c>
      <c r="N14017" s="11" t="str">
        <f t="shared" ref="N14017:N14080" si="675">IF(B14017=0, "", MONTH(B14017))</f>
        <v/>
      </c>
    </row>
    <row r="14018" spans="9:14" x14ac:dyDescent="0.25">
      <c r="I14018" s="11" t="b">
        <f t="shared" si="673"/>
        <v>0</v>
      </c>
      <c r="M14018" s="17" t="str">
        <f t="shared" si="674"/>
        <v/>
      </c>
      <c r="N14018" s="11" t="str">
        <f t="shared" si="675"/>
        <v/>
      </c>
    </row>
    <row r="14019" spans="9:14" x14ac:dyDescent="0.25">
      <c r="I14019" s="11" t="b">
        <f t="shared" si="673"/>
        <v>0</v>
      </c>
      <c r="M14019" s="17" t="str">
        <f t="shared" si="674"/>
        <v/>
      </c>
      <c r="N14019" s="11" t="str">
        <f t="shared" si="675"/>
        <v/>
      </c>
    </row>
    <row r="14020" spans="9:14" x14ac:dyDescent="0.25">
      <c r="I14020" s="11" t="b">
        <f t="shared" si="673"/>
        <v>0</v>
      </c>
      <c r="M14020" s="17" t="str">
        <f t="shared" si="674"/>
        <v/>
      </c>
      <c r="N14020" s="11" t="str">
        <f t="shared" si="675"/>
        <v/>
      </c>
    </row>
    <row r="14021" spans="9:14" x14ac:dyDescent="0.25">
      <c r="I14021" s="11" t="b">
        <f t="shared" si="673"/>
        <v>0</v>
      </c>
      <c r="M14021" s="17" t="str">
        <f t="shared" si="674"/>
        <v/>
      </c>
      <c r="N14021" s="11" t="str">
        <f t="shared" si="675"/>
        <v/>
      </c>
    </row>
    <row r="14022" spans="9:14" x14ac:dyDescent="0.25">
      <c r="I14022" s="11" t="b">
        <f t="shared" si="673"/>
        <v>0</v>
      </c>
      <c r="M14022" s="17" t="str">
        <f t="shared" si="674"/>
        <v/>
      </c>
      <c r="N14022" s="11" t="str">
        <f t="shared" si="675"/>
        <v/>
      </c>
    </row>
    <row r="14023" spans="9:14" x14ac:dyDescent="0.25">
      <c r="I14023" s="11" t="b">
        <f t="shared" si="673"/>
        <v>0</v>
      </c>
      <c r="M14023" s="17" t="str">
        <f t="shared" si="674"/>
        <v/>
      </c>
      <c r="N14023" s="11" t="str">
        <f t="shared" si="675"/>
        <v/>
      </c>
    </row>
    <row r="14024" spans="9:14" x14ac:dyDescent="0.25">
      <c r="I14024" s="11" t="b">
        <f t="shared" si="673"/>
        <v>0</v>
      </c>
      <c r="M14024" s="17" t="str">
        <f t="shared" si="674"/>
        <v/>
      </c>
      <c r="N14024" s="11" t="str">
        <f t="shared" si="675"/>
        <v/>
      </c>
    </row>
    <row r="14025" spans="9:14" x14ac:dyDescent="0.25">
      <c r="I14025" s="11" t="b">
        <f t="shared" si="673"/>
        <v>0</v>
      </c>
      <c r="M14025" s="17" t="str">
        <f t="shared" si="674"/>
        <v/>
      </c>
      <c r="N14025" s="11" t="str">
        <f t="shared" si="675"/>
        <v/>
      </c>
    </row>
    <row r="14026" spans="9:14" x14ac:dyDescent="0.25">
      <c r="I14026" s="11" t="b">
        <f t="shared" si="673"/>
        <v>0</v>
      </c>
      <c r="M14026" s="17" t="str">
        <f t="shared" si="674"/>
        <v/>
      </c>
      <c r="N14026" s="11" t="str">
        <f t="shared" si="675"/>
        <v/>
      </c>
    </row>
    <row r="14027" spans="9:14" x14ac:dyDescent="0.25">
      <c r="I14027" s="11" t="b">
        <f t="shared" si="673"/>
        <v>0</v>
      </c>
      <c r="M14027" s="17" t="str">
        <f t="shared" si="674"/>
        <v/>
      </c>
      <c r="N14027" s="11" t="str">
        <f t="shared" si="675"/>
        <v/>
      </c>
    </row>
    <row r="14028" spans="9:14" x14ac:dyDescent="0.25">
      <c r="I14028" s="11" t="b">
        <f t="shared" si="673"/>
        <v>0</v>
      </c>
      <c r="M14028" s="17" t="str">
        <f t="shared" si="674"/>
        <v/>
      </c>
      <c r="N14028" s="11" t="str">
        <f t="shared" si="675"/>
        <v/>
      </c>
    </row>
    <row r="14029" spans="9:14" x14ac:dyDescent="0.25">
      <c r="I14029" s="11" t="b">
        <f t="shared" si="673"/>
        <v>0</v>
      </c>
      <c r="M14029" s="17" t="str">
        <f t="shared" si="674"/>
        <v/>
      </c>
      <c r="N14029" s="11" t="str">
        <f t="shared" si="675"/>
        <v/>
      </c>
    </row>
    <row r="14030" spans="9:14" x14ac:dyDescent="0.25">
      <c r="I14030" s="11" t="b">
        <f t="shared" si="673"/>
        <v>0</v>
      </c>
      <c r="M14030" s="17" t="str">
        <f t="shared" si="674"/>
        <v/>
      </c>
      <c r="N14030" s="11" t="str">
        <f t="shared" si="675"/>
        <v/>
      </c>
    </row>
    <row r="14031" spans="9:14" x14ac:dyDescent="0.25">
      <c r="I14031" s="11" t="b">
        <f t="shared" si="673"/>
        <v>0</v>
      </c>
      <c r="M14031" s="17" t="str">
        <f t="shared" si="674"/>
        <v/>
      </c>
      <c r="N14031" s="11" t="str">
        <f t="shared" si="675"/>
        <v/>
      </c>
    </row>
    <row r="14032" spans="9:14" x14ac:dyDescent="0.25">
      <c r="I14032" s="11" t="b">
        <f t="shared" si="673"/>
        <v>0</v>
      </c>
      <c r="M14032" s="17" t="str">
        <f t="shared" si="674"/>
        <v/>
      </c>
      <c r="N14032" s="11" t="str">
        <f t="shared" si="675"/>
        <v/>
      </c>
    </row>
    <row r="14033" spans="9:14" x14ac:dyDescent="0.25">
      <c r="I14033" s="11" t="b">
        <f t="shared" si="673"/>
        <v>0</v>
      </c>
      <c r="M14033" s="17" t="str">
        <f t="shared" si="674"/>
        <v/>
      </c>
      <c r="N14033" s="11" t="str">
        <f t="shared" si="675"/>
        <v/>
      </c>
    </row>
    <row r="14034" spans="9:14" x14ac:dyDescent="0.25">
      <c r="I14034" s="11" t="b">
        <f t="shared" si="673"/>
        <v>0</v>
      </c>
      <c r="M14034" s="17" t="str">
        <f t="shared" si="674"/>
        <v/>
      </c>
      <c r="N14034" s="11" t="str">
        <f t="shared" si="675"/>
        <v/>
      </c>
    </row>
    <row r="14035" spans="9:14" x14ac:dyDescent="0.25">
      <c r="I14035" s="11" t="b">
        <f t="shared" si="673"/>
        <v>0</v>
      </c>
      <c r="M14035" s="17" t="str">
        <f t="shared" si="674"/>
        <v/>
      </c>
      <c r="N14035" s="11" t="str">
        <f t="shared" si="675"/>
        <v/>
      </c>
    </row>
    <row r="14036" spans="9:14" x14ac:dyDescent="0.25">
      <c r="I14036" s="11" t="b">
        <f t="shared" si="673"/>
        <v>0</v>
      </c>
      <c r="M14036" s="17" t="str">
        <f t="shared" si="674"/>
        <v/>
      </c>
      <c r="N14036" s="11" t="str">
        <f t="shared" si="675"/>
        <v/>
      </c>
    </row>
    <row r="14037" spans="9:14" x14ac:dyDescent="0.25">
      <c r="I14037" s="11" t="b">
        <f t="shared" si="673"/>
        <v>0</v>
      </c>
      <c r="M14037" s="17" t="str">
        <f t="shared" si="674"/>
        <v/>
      </c>
      <c r="N14037" s="11" t="str">
        <f t="shared" si="675"/>
        <v/>
      </c>
    </row>
    <row r="14038" spans="9:14" x14ac:dyDescent="0.25">
      <c r="I14038" s="11" t="b">
        <f t="shared" si="673"/>
        <v>0</v>
      </c>
      <c r="M14038" s="17" t="str">
        <f t="shared" si="674"/>
        <v/>
      </c>
      <c r="N14038" s="11" t="str">
        <f t="shared" si="675"/>
        <v/>
      </c>
    </row>
    <row r="14039" spans="9:14" x14ac:dyDescent="0.25">
      <c r="I14039" s="11" t="b">
        <f t="shared" si="673"/>
        <v>0</v>
      </c>
      <c r="M14039" s="17" t="str">
        <f t="shared" si="674"/>
        <v/>
      </c>
      <c r="N14039" s="11" t="str">
        <f t="shared" si="675"/>
        <v/>
      </c>
    </row>
    <row r="14040" spans="9:14" x14ac:dyDescent="0.25">
      <c r="I14040" s="11" t="b">
        <f t="shared" si="673"/>
        <v>0</v>
      </c>
      <c r="M14040" s="17" t="str">
        <f t="shared" si="674"/>
        <v/>
      </c>
      <c r="N14040" s="11" t="str">
        <f t="shared" si="675"/>
        <v/>
      </c>
    </row>
    <row r="14041" spans="9:14" x14ac:dyDescent="0.25">
      <c r="I14041" s="11" t="b">
        <f t="shared" si="673"/>
        <v>0</v>
      </c>
      <c r="M14041" s="17" t="str">
        <f t="shared" si="674"/>
        <v/>
      </c>
      <c r="N14041" s="11" t="str">
        <f t="shared" si="675"/>
        <v/>
      </c>
    </row>
    <row r="14042" spans="9:14" x14ac:dyDescent="0.25">
      <c r="I14042" s="11" t="b">
        <f t="shared" si="673"/>
        <v>0</v>
      </c>
      <c r="M14042" s="17" t="str">
        <f t="shared" si="674"/>
        <v/>
      </c>
      <c r="N14042" s="11" t="str">
        <f t="shared" si="675"/>
        <v/>
      </c>
    </row>
    <row r="14043" spans="9:14" x14ac:dyDescent="0.25">
      <c r="I14043" s="11" t="b">
        <f t="shared" si="673"/>
        <v>0</v>
      </c>
      <c r="M14043" s="17" t="str">
        <f t="shared" si="674"/>
        <v/>
      </c>
      <c r="N14043" s="11" t="str">
        <f t="shared" si="675"/>
        <v/>
      </c>
    </row>
    <row r="14044" spans="9:14" x14ac:dyDescent="0.25">
      <c r="I14044" s="11" t="b">
        <f t="shared" si="673"/>
        <v>0</v>
      </c>
      <c r="M14044" s="17" t="str">
        <f t="shared" si="674"/>
        <v/>
      </c>
      <c r="N14044" s="11" t="str">
        <f t="shared" si="675"/>
        <v/>
      </c>
    </row>
    <row r="14045" spans="9:14" x14ac:dyDescent="0.25">
      <c r="I14045" s="11" t="b">
        <f t="shared" ref="I14045:I14108" si="676">IF(AND(G14045="MERCADO PAGO",A14045="FATURAMENTO"),1,IF(AND(OR(G14045="MERCADO PAGO",G14045="pix mercado pago",G14045= "débito automático mercado pago", G14045= "boleto mercado pago"),A14045="DESPESAS"),4,IF(AND(G14045="SAFRA",A14045="FATURAMENTO"),2,IF(AND(OR(G14045="SAFRA",G14045="PIX SAFRA", G14045="DÉBITO AUTOMÁTICO SAFRA", G14045= "BOLETO SAFRA", G14045= "transferência safra"), A14045="DESPESAS"),5,IF(AND(G14045="espécie",A14045="FATURAMENTO"),3,IF(AND(G14045="espécie",A14045="DESPESAS"),6))))))</f>
        <v>0</v>
      </c>
      <c r="M14045" s="17" t="str">
        <f t="shared" si="674"/>
        <v/>
      </c>
      <c r="N14045" s="11" t="str">
        <f t="shared" si="675"/>
        <v/>
      </c>
    </row>
    <row r="14046" spans="9:14" x14ac:dyDescent="0.25">
      <c r="I14046" s="11" t="b">
        <f t="shared" si="676"/>
        <v>0</v>
      </c>
      <c r="M14046" s="17" t="str">
        <f t="shared" si="674"/>
        <v/>
      </c>
      <c r="N14046" s="11" t="str">
        <f t="shared" si="675"/>
        <v/>
      </c>
    </row>
    <row r="14047" spans="9:14" x14ac:dyDescent="0.25">
      <c r="I14047" s="11" t="b">
        <f t="shared" si="676"/>
        <v>0</v>
      </c>
      <c r="M14047" s="17" t="str">
        <f t="shared" si="674"/>
        <v/>
      </c>
      <c r="N14047" s="11" t="str">
        <f t="shared" si="675"/>
        <v/>
      </c>
    </row>
    <row r="14048" spans="9:14" x14ac:dyDescent="0.25">
      <c r="I14048" s="11" t="b">
        <f t="shared" si="676"/>
        <v>0</v>
      </c>
      <c r="M14048" s="17" t="str">
        <f t="shared" si="674"/>
        <v/>
      </c>
      <c r="N14048" s="11" t="str">
        <f t="shared" si="675"/>
        <v/>
      </c>
    </row>
    <row r="14049" spans="9:14" x14ac:dyDescent="0.25">
      <c r="I14049" s="11" t="b">
        <f t="shared" si="676"/>
        <v>0</v>
      </c>
      <c r="M14049" s="17" t="str">
        <f t="shared" si="674"/>
        <v/>
      </c>
      <c r="N14049" s="11" t="str">
        <f t="shared" si="675"/>
        <v/>
      </c>
    </row>
    <row r="14050" spans="9:14" x14ac:dyDescent="0.25">
      <c r="I14050" s="11" t="b">
        <f t="shared" si="676"/>
        <v>0</v>
      </c>
      <c r="M14050" s="17" t="str">
        <f t="shared" si="674"/>
        <v/>
      </c>
      <c r="N14050" s="11" t="str">
        <f t="shared" si="675"/>
        <v/>
      </c>
    </row>
    <row r="14051" spans="9:14" x14ac:dyDescent="0.25">
      <c r="I14051" s="11" t="b">
        <f t="shared" si="676"/>
        <v>0</v>
      </c>
      <c r="M14051" s="17" t="str">
        <f t="shared" si="674"/>
        <v/>
      </c>
      <c r="N14051" s="11" t="str">
        <f t="shared" si="675"/>
        <v/>
      </c>
    </row>
    <row r="14052" spans="9:14" x14ac:dyDescent="0.25">
      <c r="I14052" s="11" t="b">
        <f t="shared" si="676"/>
        <v>0</v>
      </c>
      <c r="M14052" s="17" t="str">
        <f t="shared" si="674"/>
        <v/>
      </c>
      <c r="N14052" s="11" t="str">
        <f t="shared" si="675"/>
        <v/>
      </c>
    </row>
    <row r="14053" spans="9:14" x14ac:dyDescent="0.25">
      <c r="I14053" s="11" t="b">
        <f t="shared" si="676"/>
        <v>0</v>
      </c>
      <c r="M14053" s="17" t="str">
        <f t="shared" si="674"/>
        <v/>
      </c>
      <c r="N14053" s="11" t="str">
        <f t="shared" si="675"/>
        <v/>
      </c>
    </row>
    <row r="14054" spans="9:14" x14ac:dyDescent="0.25">
      <c r="I14054" s="11" t="b">
        <f t="shared" si="676"/>
        <v>0</v>
      </c>
      <c r="M14054" s="17" t="str">
        <f t="shared" si="674"/>
        <v/>
      </c>
      <c r="N14054" s="11" t="str">
        <f t="shared" si="675"/>
        <v/>
      </c>
    </row>
    <row r="14055" spans="9:14" x14ac:dyDescent="0.25">
      <c r="I14055" s="11" t="b">
        <f t="shared" si="676"/>
        <v>0</v>
      </c>
      <c r="M14055" s="17" t="str">
        <f t="shared" si="674"/>
        <v/>
      </c>
      <c r="N14055" s="11" t="str">
        <f t="shared" si="675"/>
        <v/>
      </c>
    </row>
    <row r="14056" spans="9:14" x14ac:dyDescent="0.25">
      <c r="I14056" s="11" t="b">
        <f t="shared" si="676"/>
        <v>0</v>
      </c>
      <c r="M14056" s="17" t="str">
        <f t="shared" si="674"/>
        <v/>
      </c>
      <c r="N14056" s="11" t="str">
        <f t="shared" si="675"/>
        <v/>
      </c>
    </row>
    <row r="14057" spans="9:14" x14ac:dyDescent="0.25">
      <c r="I14057" s="11" t="b">
        <f t="shared" si="676"/>
        <v>0</v>
      </c>
      <c r="M14057" s="17" t="str">
        <f t="shared" si="674"/>
        <v/>
      </c>
      <c r="N14057" s="11" t="str">
        <f t="shared" si="675"/>
        <v/>
      </c>
    </row>
    <row r="14058" spans="9:14" x14ac:dyDescent="0.25">
      <c r="I14058" s="11" t="b">
        <f t="shared" si="676"/>
        <v>0</v>
      </c>
      <c r="M14058" s="17" t="str">
        <f t="shared" si="674"/>
        <v/>
      </c>
      <c r="N14058" s="11" t="str">
        <f t="shared" si="675"/>
        <v/>
      </c>
    </row>
    <row r="14059" spans="9:14" x14ac:dyDescent="0.25">
      <c r="I14059" s="11" t="b">
        <f t="shared" si="676"/>
        <v>0</v>
      </c>
      <c r="M14059" s="17" t="str">
        <f t="shared" si="674"/>
        <v/>
      </c>
      <c r="N14059" s="11" t="str">
        <f t="shared" si="675"/>
        <v/>
      </c>
    </row>
    <row r="14060" spans="9:14" x14ac:dyDescent="0.25">
      <c r="I14060" s="11" t="b">
        <f t="shared" si="676"/>
        <v>0</v>
      </c>
      <c r="M14060" s="17" t="str">
        <f t="shared" si="674"/>
        <v/>
      </c>
      <c r="N14060" s="11" t="str">
        <f t="shared" si="675"/>
        <v/>
      </c>
    </row>
    <row r="14061" spans="9:14" x14ac:dyDescent="0.25">
      <c r="I14061" s="11" t="b">
        <f t="shared" si="676"/>
        <v>0</v>
      </c>
      <c r="M14061" s="17" t="str">
        <f t="shared" si="674"/>
        <v/>
      </c>
      <c r="N14061" s="11" t="str">
        <f t="shared" si="675"/>
        <v/>
      </c>
    </row>
    <row r="14062" spans="9:14" x14ac:dyDescent="0.25">
      <c r="I14062" s="11" t="b">
        <f t="shared" si="676"/>
        <v>0</v>
      </c>
      <c r="M14062" s="17" t="str">
        <f t="shared" si="674"/>
        <v/>
      </c>
      <c r="N14062" s="11" t="str">
        <f t="shared" si="675"/>
        <v/>
      </c>
    </row>
    <row r="14063" spans="9:14" x14ac:dyDescent="0.25">
      <c r="I14063" s="11" t="b">
        <f t="shared" si="676"/>
        <v>0</v>
      </c>
      <c r="M14063" s="17" t="str">
        <f t="shared" si="674"/>
        <v/>
      </c>
      <c r="N14063" s="11" t="str">
        <f t="shared" si="675"/>
        <v/>
      </c>
    </row>
    <row r="14064" spans="9:14" x14ac:dyDescent="0.25">
      <c r="I14064" s="11" t="b">
        <f t="shared" si="676"/>
        <v>0</v>
      </c>
      <c r="M14064" s="17" t="str">
        <f t="shared" si="674"/>
        <v/>
      </c>
      <c r="N14064" s="11" t="str">
        <f t="shared" si="675"/>
        <v/>
      </c>
    </row>
    <row r="14065" spans="9:14" x14ac:dyDescent="0.25">
      <c r="I14065" s="11" t="b">
        <f t="shared" si="676"/>
        <v>0</v>
      </c>
      <c r="M14065" s="17" t="str">
        <f t="shared" si="674"/>
        <v/>
      </c>
      <c r="N14065" s="11" t="str">
        <f t="shared" si="675"/>
        <v/>
      </c>
    </row>
    <row r="14066" spans="9:14" x14ac:dyDescent="0.25">
      <c r="I14066" s="11" t="b">
        <f t="shared" si="676"/>
        <v>0</v>
      </c>
      <c r="M14066" s="17" t="str">
        <f t="shared" si="674"/>
        <v/>
      </c>
      <c r="N14066" s="11" t="str">
        <f t="shared" si="675"/>
        <v/>
      </c>
    </row>
    <row r="14067" spans="9:14" x14ac:dyDescent="0.25">
      <c r="I14067" s="11" t="b">
        <f t="shared" si="676"/>
        <v>0</v>
      </c>
      <c r="M14067" s="17" t="str">
        <f t="shared" si="674"/>
        <v/>
      </c>
      <c r="N14067" s="11" t="str">
        <f t="shared" si="675"/>
        <v/>
      </c>
    </row>
    <row r="14068" spans="9:14" x14ac:dyDescent="0.25">
      <c r="I14068" s="11" t="b">
        <f t="shared" si="676"/>
        <v>0</v>
      </c>
      <c r="M14068" s="17" t="str">
        <f t="shared" si="674"/>
        <v/>
      </c>
      <c r="N14068" s="11" t="str">
        <f t="shared" si="675"/>
        <v/>
      </c>
    </row>
    <row r="14069" spans="9:14" x14ac:dyDescent="0.25">
      <c r="I14069" s="11" t="b">
        <f t="shared" si="676"/>
        <v>0</v>
      </c>
      <c r="M14069" s="17" t="str">
        <f t="shared" si="674"/>
        <v/>
      </c>
      <c r="N14069" s="11" t="str">
        <f t="shared" si="675"/>
        <v/>
      </c>
    </row>
    <row r="14070" spans="9:14" x14ac:dyDescent="0.25">
      <c r="I14070" s="11" t="b">
        <f t="shared" si="676"/>
        <v>0</v>
      </c>
      <c r="M14070" s="17" t="str">
        <f t="shared" si="674"/>
        <v/>
      </c>
      <c r="N14070" s="11" t="str">
        <f t="shared" si="675"/>
        <v/>
      </c>
    </row>
    <row r="14071" spans="9:14" x14ac:dyDescent="0.25">
      <c r="I14071" s="11" t="b">
        <f t="shared" si="676"/>
        <v>0</v>
      </c>
      <c r="M14071" s="17" t="str">
        <f t="shared" si="674"/>
        <v/>
      </c>
      <c r="N14071" s="11" t="str">
        <f t="shared" si="675"/>
        <v/>
      </c>
    </row>
    <row r="14072" spans="9:14" x14ac:dyDescent="0.25">
      <c r="I14072" s="11" t="b">
        <f t="shared" si="676"/>
        <v>0</v>
      </c>
      <c r="M14072" s="17" t="str">
        <f t="shared" si="674"/>
        <v/>
      </c>
      <c r="N14072" s="11" t="str">
        <f t="shared" si="675"/>
        <v/>
      </c>
    </row>
    <row r="14073" spans="9:14" x14ac:dyDescent="0.25">
      <c r="I14073" s="11" t="b">
        <f t="shared" si="676"/>
        <v>0</v>
      </c>
      <c r="M14073" s="17" t="str">
        <f t="shared" si="674"/>
        <v/>
      </c>
      <c r="N14073" s="11" t="str">
        <f t="shared" si="675"/>
        <v/>
      </c>
    </row>
    <row r="14074" spans="9:14" x14ac:dyDescent="0.25">
      <c r="I14074" s="11" t="b">
        <f t="shared" si="676"/>
        <v>0</v>
      </c>
      <c r="M14074" s="17" t="str">
        <f t="shared" si="674"/>
        <v/>
      </c>
      <c r="N14074" s="11" t="str">
        <f t="shared" si="675"/>
        <v/>
      </c>
    </row>
    <row r="14075" spans="9:14" x14ac:dyDescent="0.25">
      <c r="I14075" s="11" t="b">
        <f t="shared" si="676"/>
        <v>0</v>
      </c>
      <c r="M14075" s="17" t="str">
        <f t="shared" si="674"/>
        <v/>
      </c>
      <c r="N14075" s="11" t="str">
        <f t="shared" si="675"/>
        <v/>
      </c>
    </row>
    <row r="14076" spans="9:14" x14ac:dyDescent="0.25">
      <c r="I14076" s="11" t="b">
        <f t="shared" si="676"/>
        <v>0</v>
      </c>
      <c r="M14076" s="17" t="str">
        <f t="shared" si="674"/>
        <v/>
      </c>
      <c r="N14076" s="11" t="str">
        <f t="shared" si="675"/>
        <v/>
      </c>
    </row>
    <row r="14077" spans="9:14" x14ac:dyDescent="0.25">
      <c r="I14077" s="11" t="b">
        <f t="shared" si="676"/>
        <v>0</v>
      </c>
      <c r="M14077" s="17" t="str">
        <f t="shared" si="674"/>
        <v/>
      </c>
      <c r="N14077" s="11" t="str">
        <f t="shared" si="675"/>
        <v/>
      </c>
    </row>
    <row r="14078" spans="9:14" x14ac:dyDescent="0.25">
      <c r="I14078" s="11" t="b">
        <f t="shared" si="676"/>
        <v>0</v>
      </c>
      <c r="M14078" s="17" t="str">
        <f t="shared" si="674"/>
        <v/>
      </c>
      <c r="N14078" s="11" t="str">
        <f t="shared" si="675"/>
        <v/>
      </c>
    </row>
    <row r="14079" spans="9:14" x14ac:dyDescent="0.25">
      <c r="I14079" s="11" t="b">
        <f t="shared" si="676"/>
        <v>0</v>
      </c>
      <c r="M14079" s="17" t="str">
        <f t="shared" si="674"/>
        <v/>
      </c>
      <c r="N14079" s="11" t="str">
        <f t="shared" si="675"/>
        <v/>
      </c>
    </row>
    <row r="14080" spans="9:14" x14ac:dyDescent="0.25">
      <c r="I14080" s="11" t="b">
        <f t="shared" si="676"/>
        <v>0</v>
      </c>
      <c r="M14080" s="17" t="str">
        <f t="shared" si="674"/>
        <v/>
      </c>
      <c r="N14080" s="11" t="str">
        <f t="shared" si="675"/>
        <v/>
      </c>
    </row>
    <row r="14081" spans="9:14" x14ac:dyDescent="0.25">
      <c r="I14081" s="11" t="b">
        <f t="shared" si="676"/>
        <v>0</v>
      </c>
      <c r="M14081" s="17" t="str">
        <f t="shared" ref="M14081:M14144" si="677">IF(B14081=0, "",M14080+ J14081-K14081)</f>
        <v/>
      </c>
      <c r="N14081" s="11" t="str">
        <f t="shared" ref="N14081:N14144" si="678">IF(B14081=0, "", MONTH(B14081))</f>
        <v/>
      </c>
    </row>
    <row r="14082" spans="9:14" x14ac:dyDescent="0.25">
      <c r="I14082" s="11" t="b">
        <f t="shared" si="676"/>
        <v>0</v>
      </c>
      <c r="M14082" s="17" t="str">
        <f t="shared" si="677"/>
        <v/>
      </c>
      <c r="N14082" s="11" t="str">
        <f t="shared" si="678"/>
        <v/>
      </c>
    </row>
    <row r="14083" spans="9:14" x14ac:dyDescent="0.25">
      <c r="I14083" s="11" t="b">
        <f t="shared" si="676"/>
        <v>0</v>
      </c>
      <c r="M14083" s="17" t="str">
        <f t="shared" si="677"/>
        <v/>
      </c>
      <c r="N14083" s="11" t="str">
        <f t="shared" si="678"/>
        <v/>
      </c>
    </row>
    <row r="14084" spans="9:14" x14ac:dyDescent="0.25">
      <c r="I14084" s="11" t="b">
        <f t="shared" si="676"/>
        <v>0</v>
      </c>
      <c r="M14084" s="17" t="str">
        <f t="shared" si="677"/>
        <v/>
      </c>
      <c r="N14084" s="11" t="str">
        <f t="shared" si="678"/>
        <v/>
      </c>
    </row>
    <row r="14085" spans="9:14" x14ac:dyDescent="0.25">
      <c r="I14085" s="11" t="b">
        <f t="shared" si="676"/>
        <v>0</v>
      </c>
      <c r="M14085" s="17" t="str">
        <f t="shared" si="677"/>
        <v/>
      </c>
      <c r="N14085" s="11" t="str">
        <f t="shared" si="678"/>
        <v/>
      </c>
    </row>
    <row r="14086" spans="9:14" x14ac:dyDescent="0.25">
      <c r="I14086" s="11" t="b">
        <f t="shared" si="676"/>
        <v>0</v>
      </c>
      <c r="M14086" s="17" t="str">
        <f t="shared" si="677"/>
        <v/>
      </c>
      <c r="N14086" s="11" t="str">
        <f t="shared" si="678"/>
        <v/>
      </c>
    </row>
    <row r="14087" spans="9:14" x14ac:dyDescent="0.25">
      <c r="I14087" s="11" t="b">
        <f t="shared" si="676"/>
        <v>0</v>
      </c>
      <c r="M14087" s="17" t="str">
        <f t="shared" si="677"/>
        <v/>
      </c>
      <c r="N14087" s="11" t="str">
        <f t="shared" si="678"/>
        <v/>
      </c>
    </row>
    <row r="14088" spans="9:14" x14ac:dyDescent="0.25">
      <c r="I14088" s="11" t="b">
        <f t="shared" si="676"/>
        <v>0</v>
      </c>
      <c r="M14088" s="17" t="str">
        <f t="shared" si="677"/>
        <v/>
      </c>
      <c r="N14088" s="11" t="str">
        <f t="shared" si="678"/>
        <v/>
      </c>
    </row>
    <row r="14089" spans="9:14" x14ac:dyDescent="0.25">
      <c r="I14089" s="11" t="b">
        <f t="shared" si="676"/>
        <v>0</v>
      </c>
      <c r="M14089" s="17" t="str">
        <f t="shared" si="677"/>
        <v/>
      </c>
      <c r="N14089" s="11" t="str">
        <f t="shared" si="678"/>
        <v/>
      </c>
    </row>
    <row r="14090" spans="9:14" x14ac:dyDescent="0.25">
      <c r="I14090" s="11" t="b">
        <f t="shared" si="676"/>
        <v>0</v>
      </c>
      <c r="M14090" s="17" t="str">
        <f t="shared" si="677"/>
        <v/>
      </c>
      <c r="N14090" s="11" t="str">
        <f t="shared" si="678"/>
        <v/>
      </c>
    </row>
    <row r="14091" spans="9:14" x14ac:dyDescent="0.25">
      <c r="I14091" s="11" t="b">
        <f t="shared" si="676"/>
        <v>0</v>
      </c>
      <c r="M14091" s="17" t="str">
        <f t="shared" si="677"/>
        <v/>
      </c>
      <c r="N14091" s="11" t="str">
        <f t="shared" si="678"/>
        <v/>
      </c>
    </row>
    <row r="14092" spans="9:14" x14ac:dyDescent="0.25">
      <c r="I14092" s="11" t="b">
        <f t="shared" si="676"/>
        <v>0</v>
      </c>
      <c r="M14092" s="17" t="str">
        <f t="shared" si="677"/>
        <v/>
      </c>
      <c r="N14092" s="11" t="str">
        <f t="shared" si="678"/>
        <v/>
      </c>
    </row>
    <row r="14093" spans="9:14" x14ac:dyDescent="0.25">
      <c r="I14093" s="11" t="b">
        <f t="shared" si="676"/>
        <v>0</v>
      </c>
      <c r="M14093" s="17" t="str">
        <f t="shared" si="677"/>
        <v/>
      </c>
      <c r="N14093" s="11" t="str">
        <f t="shared" si="678"/>
        <v/>
      </c>
    </row>
    <row r="14094" spans="9:14" x14ac:dyDescent="0.25">
      <c r="I14094" s="11" t="b">
        <f t="shared" si="676"/>
        <v>0</v>
      </c>
      <c r="M14094" s="17" t="str">
        <f t="shared" si="677"/>
        <v/>
      </c>
      <c r="N14094" s="11" t="str">
        <f t="shared" si="678"/>
        <v/>
      </c>
    </row>
    <row r="14095" spans="9:14" x14ac:dyDescent="0.25">
      <c r="I14095" s="11" t="b">
        <f t="shared" si="676"/>
        <v>0</v>
      </c>
      <c r="M14095" s="17" t="str">
        <f t="shared" si="677"/>
        <v/>
      </c>
      <c r="N14095" s="11" t="str">
        <f t="shared" si="678"/>
        <v/>
      </c>
    </row>
    <row r="14096" spans="9:14" x14ac:dyDescent="0.25">
      <c r="I14096" s="11" t="b">
        <f t="shared" si="676"/>
        <v>0</v>
      </c>
      <c r="M14096" s="17" t="str">
        <f t="shared" si="677"/>
        <v/>
      </c>
      <c r="N14096" s="11" t="str">
        <f t="shared" si="678"/>
        <v/>
      </c>
    </row>
    <row r="14097" spans="9:14" x14ac:dyDescent="0.25">
      <c r="I14097" s="11" t="b">
        <f t="shared" si="676"/>
        <v>0</v>
      </c>
      <c r="M14097" s="17" t="str">
        <f t="shared" si="677"/>
        <v/>
      </c>
      <c r="N14097" s="11" t="str">
        <f t="shared" si="678"/>
        <v/>
      </c>
    </row>
    <row r="14098" spans="9:14" x14ac:dyDescent="0.25">
      <c r="I14098" s="11" t="b">
        <f t="shared" si="676"/>
        <v>0</v>
      </c>
      <c r="M14098" s="17" t="str">
        <f t="shared" si="677"/>
        <v/>
      </c>
      <c r="N14098" s="11" t="str">
        <f t="shared" si="678"/>
        <v/>
      </c>
    </row>
    <row r="14099" spans="9:14" x14ac:dyDescent="0.25">
      <c r="I14099" s="11" t="b">
        <f t="shared" si="676"/>
        <v>0</v>
      </c>
      <c r="M14099" s="17" t="str">
        <f t="shared" si="677"/>
        <v/>
      </c>
      <c r="N14099" s="11" t="str">
        <f t="shared" si="678"/>
        <v/>
      </c>
    </row>
    <row r="14100" spans="9:14" x14ac:dyDescent="0.25">
      <c r="I14100" s="11" t="b">
        <f t="shared" si="676"/>
        <v>0</v>
      </c>
      <c r="M14100" s="17" t="str">
        <f t="shared" si="677"/>
        <v/>
      </c>
      <c r="N14100" s="11" t="str">
        <f t="shared" si="678"/>
        <v/>
      </c>
    </row>
    <row r="14101" spans="9:14" x14ac:dyDescent="0.25">
      <c r="I14101" s="11" t="b">
        <f t="shared" si="676"/>
        <v>0</v>
      </c>
      <c r="M14101" s="17" t="str">
        <f t="shared" si="677"/>
        <v/>
      </c>
      <c r="N14101" s="11" t="str">
        <f t="shared" si="678"/>
        <v/>
      </c>
    </row>
    <row r="14102" spans="9:14" x14ac:dyDescent="0.25">
      <c r="I14102" s="11" t="b">
        <f t="shared" si="676"/>
        <v>0</v>
      </c>
      <c r="M14102" s="17" t="str">
        <f t="shared" si="677"/>
        <v/>
      </c>
      <c r="N14102" s="11" t="str">
        <f t="shared" si="678"/>
        <v/>
      </c>
    </row>
    <row r="14103" spans="9:14" x14ac:dyDescent="0.25">
      <c r="I14103" s="11" t="b">
        <f t="shared" si="676"/>
        <v>0</v>
      </c>
      <c r="M14103" s="17" t="str">
        <f t="shared" si="677"/>
        <v/>
      </c>
      <c r="N14103" s="11" t="str">
        <f t="shared" si="678"/>
        <v/>
      </c>
    </row>
    <row r="14104" spans="9:14" x14ac:dyDescent="0.25">
      <c r="I14104" s="11" t="b">
        <f t="shared" si="676"/>
        <v>0</v>
      </c>
      <c r="M14104" s="17" t="str">
        <f t="shared" si="677"/>
        <v/>
      </c>
      <c r="N14104" s="11" t="str">
        <f t="shared" si="678"/>
        <v/>
      </c>
    </row>
    <row r="14105" spans="9:14" x14ac:dyDescent="0.25">
      <c r="I14105" s="11" t="b">
        <f t="shared" si="676"/>
        <v>0</v>
      </c>
      <c r="M14105" s="17" t="str">
        <f t="shared" si="677"/>
        <v/>
      </c>
      <c r="N14105" s="11" t="str">
        <f t="shared" si="678"/>
        <v/>
      </c>
    </row>
    <row r="14106" spans="9:14" x14ac:dyDescent="0.25">
      <c r="I14106" s="11" t="b">
        <f t="shared" si="676"/>
        <v>0</v>
      </c>
      <c r="M14106" s="17" t="str">
        <f t="shared" si="677"/>
        <v/>
      </c>
      <c r="N14106" s="11" t="str">
        <f t="shared" si="678"/>
        <v/>
      </c>
    </row>
    <row r="14107" spans="9:14" x14ac:dyDescent="0.25">
      <c r="I14107" s="11" t="b">
        <f t="shared" si="676"/>
        <v>0</v>
      </c>
      <c r="M14107" s="17" t="str">
        <f t="shared" si="677"/>
        <v/>
      </c>
      <c r="N14107" s="11" t="str">
        <f t="shared" si="678"/>
        <v/>
      </c>
    </row>
    <row r="14108" spans="9:14" x14ac:dyDescent="0.25">
      <c r="I14108" s="11" t="b">
        <f t="shared" si="676"/>
        <v>0</v>
      </c>
      <c r="M14108" s="17" t="str">
        <f t="shared" si="677"/>
        <v/>
      </c>
      <c r="N14108" s="11" t="str">
        <f t="shared" si="678"/>
        <v/>
      </c>
    </row>
    <row r="14109" spans="9:14" x14ac:dyDescent="0.25">
      <c r="I14109" s="11" t="b">
        <f t="shared" ref="I14109:I14172" si="679">IF(AND(G14109="MERCADO PAGO",A14109="FATURAMENTO"),1,IF(AND(OR(G14109="MERCADO PAGO",G14109="pix mercado pago",G14109= "débito automático mercado pago", G14109= "boleto mercado pago"),A14109="DESPESAS"),4,IF(AND(G14109="SAFRA",A14109="FATURAMENTO"),2,IF(AND(OR(G14109="SAFRA",G14109="PIX SAFRA", G14109="DÉBITO AUTOMÁTICO SAFRA", G14109= "BOLETO SAFRA", G14109= "transferência safra"), A14109="DESPESAS"),5,IF(AND(G14109="espécie",A14109="FATURAMENTO"),3,IF(AND(G14109="espécie",A14109="DESPESAS"),6))))))</f>
        <v>0</v>
      </c>
      <c r="M14109" s="17" t="str">
        <f t="shared" si="677"/>
        <v/>
      </c>
      <c r="N14109" s="11" t="str">
        <f t="shared" si="678"/>
        <v/>
      </c>
    </row>
    <row r="14110" spans="9:14" x14ac:dyDescent="0.25">
      <c r="I14110" s="11" t="b">
        <f t="shared" si="679"/>
        <v>0</v>
      </c>
      <c r="M14110" s="17" t="str">
        <f t="shared" si="677"/>
        <v/>
      </c>
      <c r="N14110" s="11" t="str">
        <f t="shared" si="678"/>
        <v/>
      </c>
    </row>
    <row r="14111" spans="9:14" x14ac:dyDescent="0.25">
      <c r="I14111" s="11" t="b">
        <f t="shared" si="679"/>
        <v>0</v>
      </c>
      <c r="M14111" s="17" t="str">
        <f t="shared" si="677"/>
        <v/>
      </c>
      <c r="N14111" s="11" t="str">
        <f t="shared" si="678"/>
        <v/>
      </c>
    </row>
    <row r="14112" spans="9:14" x14ac:dyDescent="0.25">
      <c r="I14112" s="11" t="b">
        <f t="shared" si="679"/>
        <v>0</v>
      </c>
      <c r="M14112" s="17" t="str">
        <f t="shared" si="677"/>
        <v/>
      </c>
      <c r="N14112" s="11" t="str">
        <f t="shared" si="678"/>
        <v/>
      </c>
    </row>
    <row r="14113" spans="9:14" x14ac:dyDescent="0.25">
      <c r="I14113" s="11" t="b">
        <f t="shared" si="679"/>
        <v>0</v>
      </c>
      <c r="M14113" s="17" t="str">
        <f t="shared" si="677"/>
        <v/>
      </c>
      <c r="N14113" s="11" t="str">
        <f t="shared" si="678"/>
        <v/>
      </c>
    </row>
    <row r="14114" spans="9:14" x14ac:dyDescent="0.25">
      <c r="I14114" s="11" t="b">
        <f t="shared" si="679"/>
        <v>0</v>
      </c>
      <c r="M14114" s="17" t="str">
        <f t="shared" si="677"/>
        <v/>
      </c>
      <c r="N14114" s="11" t="str">
        <f t="shared" si="678"/>
        <v/>
      </c>
    </row>
    <row r="14115" spans="9:14" x14ac:dyDescent="0.25">
      <c r="I14115" s="11" t="b">
        <f t="shared" si="679"/>
        <v>0</v>
      </c>
      <c r="M14115" s="17" t="str">
        <f t="shared" si="677"/>
        <v/>
      </c>
      <c r="N14115" s="11" t="str">
        <f t="shared" si="678"/>
        <v/>
      </c>
    </row>
    <row r="14116" spans="9:14" x14ac:dyDescent="0.25">
      <c r="I14116" s="11" t="b">
        <f t="shared" si="679"/>
        <v>0</v>
      </c>
      <c r="M14116" s="17" t="str">
        <f t="shared" si="677"/>
        <v/>
      </c>
      <c r="N14116" s="11" t="str">
        <f t="shared" si="678"/>
        <v/>
      </c>
    </row>
    <row r="14117" spans="9:14" x14ac:dyDescent="0.25">
      <c r="I14117" s="11" t="b">
        <f t="shared" si="679"/>
        <v>0</v>
      </c>
      <c r="M14117" s="17" t="str">
        <f t="shared" si="677"/>
        <v/>
      </c>
      <c r="N14117" s="11" t="str">
        <f t="shared" si="678"/>
        <v/>
      </c>
    </row>
    <row r="14118" spans="9:14" x14ac:dyDescent="0.25">
      <c r="I14118" s="11" t="b">
        <f t="shared" si="679"/>
        <v>0</v>
      </c>
      <c r="M14118" s="17" t="str">
        <f t="shared" si="677"/>
        <v/>
      </c>
      <c r="N14118" s="11" t="str">
        <f t="shared" si="678"/>
        <v/>
      </c>
    </row>
    <row r="14119" spans="9:14" x14ac:dyDescent="0.25">
      <c r="I14119" s="11" t="b">
        <f t="shared" si="679"/>
        <v>0</v>
      </c>
      <c r="M14119" s="17" t="str">
        <f t="shared" si="677"/>
        <v/>
      </c>
      <c r="N14119" s="11" t="str">
        <f t="shared" si="678"/>
        <v/>
      </c>
    </row>
    <row r="14120" spans="9:14" x14ac:dyDescent="0.25">
      <c r="I14120" s="11" t="b">
        <f t="shared" si="679"/>
        <v>0</v>
      </c>
      <c r="M14120" s="17" t="str">
        <f t="shared" si="677"/>
        <v/>
      </c>
      <c r="N14120" s="11" t="str">
        <f t="shared" si="678"/>
        <v/>
      </c>
    </row>
    <row r="14121" spans="9:14" x14ac:dyDescent="0.25">
      <c r="I14121" s="11" t="b">
        <f t="shared" si="679"/>
        <v>0</v>
      </c>
      <c r="M14121" s="17" t="str">
        <f t="shared" si="677"/>
        <v/>
      </c>
      <c r="N14121" s="11" t="str">
        <f t="shared" si="678"/>
        <v/>
      </c>
    </row>
    <row r="14122" spans="9:14" x14ac:dyDescent="0.25">
      <c r="I14122" s="11" t="b">
        <f t="shared" si="679"/>
        <v>0</v>
      </c>
      <c r="M14122" s="17" t="str">
        <f t="shared" si="677"/>
        <v/>
      </c>
      <c r="N14122" s="11" t="str">
        <f t="shared" si="678"/>
        <v/>
      </c>
    </row>
    <row r="14123" spans="9:14" x14ac:dyDescent="0.25">
      <c r="I14123" s="11" t="b">
        <f t="shared" si="679"/>
        <v>0</v>
      </c>
      <c r="M14123" s="17" t="str">
        <f t="shared" si="677"/>
        <v/>
      </c>
      <c r="N14123" s="11" t="str">
        <f t="shared" si="678"/>
        <v/>
      </c>
    </row>
    <row r="14124" spans="9:14" x14ac:dyDescent="0.25">
      <c r="I14124" s="11" t="b">
        <f t="shared" si="679"/>
        <v>0</v>
      </c>
      <c r="M14124" s="17" t="str">
        <f t="shared" si="677"/>
        <v/>
      </c>
      <c r="N14124" s="11" t="str">
        <f t="shared" si="678"/>
        <v/>
      </c>
    </row>
    <row r="14125" spans="9:14" x14ac:dyDescent="0.25">
      <c r="I14125" s="11" t="b">
        <f t="shared" si="679"/>
        <v>0</v>
      </c>
      <c r="M14125" s="17" t="str">
        <f t="shared" si="677"/>
        <v/>
      </c>
      <c r="N14125" s="11" t="str">
        <f t="shared" si="678"/>
        <v/>
      </c>
    </row>
    <row r="14126" spans="9:14" x14ac:dyDescent="0.25">
      <c r="I14126" s="11" t="b">
        <f t="shared" si="679"/>
        <v>0</v>
      </c>
      <c r="M14126" s="17" t="str">
        <f t="shared" si="677"/>
        <v/>
      </c>
      <c r="N14126" s="11" t="str">
        <f t="shared" si="678"/>
        <v/>
      </c>
    </row>
    <row r="14127" spans="9:14" x14ac:dyDescent="0.25">
      <c r="I14127" s="11" t="b">
        <f t="shared" si="679"/>
        <v>0</v>
      </c>
      <c r="M14127" s="17" t="str">
        <f t="shared" si="677"/>
        <v/>
      </c>
      <c r="N14127" s="11" t="str">
        <f t="shared" si="678"/>
        <v/>
      </c>
    </row>
    <row r="14128" spans="9:14" x14ac:dyDescent="0.25">
      <c r="I14128" s="11" t="b">
        <f t="shared" si="679"/>
        <v>0</v>
      </c>
      <c r="M14128" s="17" t="str">
        <f t="shared" si="677"/>
        <v/>
      </c>
      <c r="N14128" s="11" t="str">
        <f t="shared" si="678"/>
        <v/>
      </c>
    </row>
    <row r="14129" spans="9:14" x14ac:dyDescent="0.25">
      <c r="I14129" s="11" t="b">
        <f t="shared" si="679"/>
        <v>0</v>
      </c>
      <c r="M14129" s="17" t="str">
        <f t="shared" si="677"/>
        <v/>
      </c>
      <c r="N14129" s="11" t="str">
        <f t="shared" si="678"/>
        <v/>
      </c>
    </row>
    <row r="14130" spans="9:14" x14ac:dyDescent="0.25">
      <c r="I14130" s="11" t="b">
        <f t="shared" si="679"/>
        <v>0</v>
      </c>
      <c r="M14130" s="17" t="str">
        <f t="shared" si="677"/>
        <v/>
      </c>
      <c r="N14130" s="11" t="str">
        <f t="shared" si="678"/>
        <v/>
      </c>
    </row>
    <row r="14131" spans="9:14" x14ac:dyDescent="0.25">
      <c r="I14131" s="11" t="b">
        <f t="shared" si="679"/>
        <v>0</v>
      </c>
      <c r="M14131" s="17" t="str">
        <f t="shared" si="677"/>
        <v/>
      </c>
      <c r="N14131" s="11" t="str">
        <f t="shared" si="678"/>
        <v/>
      </c>
    </row>
    <row r="14132" spans="9:14" x14ac:dyDescent="0.25">
      <c r="I14132" s="11" t="b">
        <f t="shared" si="679"/>
        <v>0</v>
      </c>
      <c r="M14132" s="17" t="str">
        <f t="shared" si="677"/>
        <v/>
      </c>
      <c r="N14132" s="11" t="str">
        <f t="shared" si="678"/>
        <v/>
      </c>
    </row>
    <row r="14133" spans="9:14" x14ac:dyDescent="0.25">
      <c r="I14133" s="11" t="b">
        <f t="shared" si="679"/>
        <v>0</v>
      </c>
      <c r="M14133" s="17" t="str">
        <f t="shared" si="677"/>
        <v/>
      </c>
      <c r="N14133" s="11" t="str">
        <f t="shared" si="678"/>
        <v/>
      </c>
    </row>
    <row r="14134" spans="9:14" x14ac:dyDescent="0.25">
      <c r="I14134" s="11" t="b">
        <f t="shared" si="679"/>
        <v>0</v>
      </c>
      <c r="M14134" s="17" t="str">
        <f t="shared" si="677"/>
        <v/>
      </c>
      <c r="N14134" s="11" t="str">
        <f t="shared" si="678"/>
        <v/>
      </c>
    </row>
    <row r="14135" spans="9:14" x14ac:dyDescent="0.25">
      <c r="I14135" s="11" t="b">
        <f t="shared" si="679"/>
        <v>0</v>
      </c>
      <c r="M14135" s="17" t="str">
        <f t="shared" si="677"/>
        <v/>
      </c>
      <c r="N14135" s="11" t="str">
        <f t="shared" si="678"/>
        <v/>
      </c>
    </row>
    <row r="14136" spans="9:14" x14ac:dyDescent="0.25">
      <c r="I14136" s="11" t="b">
        <f t="shared" si="679"/>
        <v>0</v>
      </c>
      <c r="M14136" s="17" t="str">
        <f t="shared" si="677"/>
        <v/>
      </c>
      <c r="N14136" s="11" t="str">
        <f t="shared" si="678"/>
        <v/>
      </c>
    </row>
    <row r="14137" spans="9:14" x14ac:dyDescent="0.25">
      <c r="I14137" s="11" t="b">
        <f t="shared" si="679"/>
        <v>0</v>
      </c>
      <c r="M14137" s="17" t="str">
        <f t="shared" si="677"/>
        <v/>
      </c>
      <c r="N14137" s="11" t="str">
        <f t="shared" si="678"/>
        <v/>
      </c>
    </row>
    <row r="14138" spans="9:14" x14ac:dyDescent="0.25">
      <c r="I14138" s="11" t="b">
        <f t="shared" si="679"/>
        <v>0</v>
      </c>
      <c r="M14138" s="17" t="str">
        <f t="shared" si="677"/>
        <v/>
      </c>
      <c r="N14138" s="11" t="str">
        <f t="shared" si="678"/>
        <v/>
      </c>
    </row>
    <row r="14139" spans="9:14" x14ac:dyDescent="0.25">
      <c r="I14139" s="11" t="b">
        <f t="shared" si="679"/>
        <v>0</v>
      </c>
      <c r="M14139" s="17" t="str">
        <f t="shared" si="677"/>
        <v/>
      </c>
      <c r="N14139" s="11" t="str">
        <f t="shared" si="678"/>
        <v/>
      </c>
    </row>
    <row r="14140" spans="9:14" x14ac:dyDescent="0.25">
      <c r="I14140" s="11" t="b">
        <f t="shared" si="679"/>
        <v>0</v>
      </c>
      <c r="M14140" s="17" t="str">
        <f t="shared" si="677"/>
        <v/>
      </c>
      <c r="N14140" s="11" t="str">
        <f t="shared" si="678"/>
        <v/>
      </c>
    </row>
    <row r="14141" spans="9:14" x14ac:dyDescent="0.25">
      <c r="I14141" s="11" t="b">
        <f t="shared" si="679"/>
        <v>0</v>
      </c>
      <c r="M14141" s="17" t="str">
        <f t="shared" si="677"/>
        <v/>
      </c>
      <c r="N14141" s="11" t="str">
        <f t="shared" si="678"/>
        <v/>
      </c>
    </row>
    <row r="14142" spans="9:14" x14ac:dyDescent="0.25">
      <c r="I14142" s="11" t="b">
        <f t="shared" si="679"/>
        <v>0</v>
      </c>
      <c r="M14142" s="17" t="str">
        <f t="shared" si="677"/>
        <v/>
      </c>
      <c r="N14142" s="11" t="str">
        <f t="shared" si="678"/>
        <v/>
      </c>
    </row>
    <row r="14143" spans="9:14" x14ac:dyDescent="0.25">
      <c r="I14143" s="11" t="b">
        <f t="shared" si="679"/>
        <v>0</v>
      </c>
      <c r="M14143" s="17" t="str">
        <f t="shared" si="677"/>
        <v/>
      </c>
      <c r="N14143" s="11" t="str">
        <f t="shared" si="678"/>
        <v/>
      </c>
    </row>
    <row r="14144" spans="9:14" x14ac:dyDescent="0.25">
      <c r="I14144" s="11" t="b">
        <f t="shared" si="679"/>
        <v>0</v>
      </c>
      <c r="M14144" s="17" t="str">
        <f t="shared" si="677"/>
        <v/>
      </c>
      <c r="N14144" s="11" t="str">
        <f t="shared" si="678"/>
        <v/>
      </c>
    </row>
    <row r="14145" spans="9:14" x14ac:dyDescent="0.25">
      <c r="I14145" s="11" t="b">
        <f t="shared" si="679"/>
        <v>0</v>
      </c>
      <c r="M14145" s="17" t="str">
        <f t="shared" ref="M14145:M14208" si="680">IF(B14145=0, "",M14144+ J14145-K14145)</f>
        <v/>
      </c>
      <c r="N14145" s="11" t="str">
        <f t="shared" ref="N14145:N14208" si="681">IF(B14145=0, "", MONTH(B14145))</f>
        <v/>
      </c>
    </row>
    <row r="14146" spans="9:14" x14ac:dyDescent="0.25">
      <c r="I14146" s="11" t="b">
        <f t="shared" si="679"/>
        <v>0</v>
      </c>
      <c r="M14146" s="17" t="str">
        <f t="shared" si="680"/>
        <v/>
      </c>
      <c r="N14146" s="11" t="str">
        <f t="shared" si="681"/>
        <v/>
      </c>
    </row>
    <row r="14147" spans="9:14" x14ac:dyDescent="0.25">
      <c r="I14147" s="11" t="b">
        <f t="shared" si="679"/>
        <v>0</v>
      </c>
      <c r="M14147" s="17" t="str">
        <f t="shared" si="680"/>
        <v/>
      </c>
      <c r="N14147" s="11" t="str">
        <f t="shared" si="681"/>
        <v/>
      </c>
    </row>
    <row r="14148" spans="9:14" x14ac:dyDescent="0.25">
      <c r="I14148" s="11" t="b">
        <f t="shared" si="679"/>
        <v>0</v>
      </c>
      <c r="M14148" s="17" t="str">
        <f t="shared" si="680"/>
        <v/>
      </c>
      <c r="N14148" s="11" t="str">
        <f t="shared" si="681"/>
        <v/>
      </c>
    </row>
    <row r="14149" spans="9:14" x14ac:dyDescent="0.25">
      <c r="I14149" s="11" t="b">
        <f t="shared" si="679"/>
        <v>0</v>
      </c>
      <c r="M14149" s="17" t="str">
        <f t="shared" si="680"/>
        <v/>
      </c>
      <c r="N14149" s="11" t="str">
        <f t="shared" si="681"/>
        <v/>
      </c>
    </row>
    <row r="14150" spans="9:14" x14ac:dyDescent="0.25">
      <c r="I14150" s="11" t="b">
        <f t="shared" si="679"/>
        <v>0</v>
      </c>
      <c r="M14150" s="17" t="str">
        <f t="shared" si="680"/>
        <v/>
      </c>
      <c r="N14150" s="11" t="str">
        <f t="shared" si="681"/>
        <v/>
      </c>
    </row>
    <row r="14151" spans="9:14" x14ac:dyDescent="0.25">
      <c r="I14151" s="11" t="b">
        <f t="shared" si="679"/>
        <v>0</v>
      </c>
      <c r="M14151" s="17" t="str">
        <f t="shared" si="680"/>
        <v/>
      </c>
      <c r="N14151" s="11" t="str">
        <f t="shared" si="681"/>
        <v/>
      </c>
    </row>
    <row r="14152" spans="9:14" x14ac:dyDescent="0.25">
      <c r="I14152" s="11" t="b">
        <f t="shared" si="679"/>
        <v>0</v>
      </c>
      <c r="M14152" s="17" t="str">
        <f t="shared" si="680"/>
        <v/>
      </c>
      <c r="N14152" s="11" t="str">
        <f t="shared" si="681"/>
        <v/>
      </c>
    </row>
    <row r="14153" spans="9:14" x14ac:dyDescent="0.25">
      <c r="I14153" s="11" t="b">
        <f t="shared" si="679"/>
        <v>0</v>
      </c>
      <c r="M14153" s="17" t="str">
        <f t="shared" si="680"/>
        <v/>
      </c>
      <c r="N14153" s="11" t="str">
        <f t="shared" si="681"/>
        <v/>
      </c>
    </row>
    <row r="14154" spans="9:14" x14ac:dyDescent="0.25">
      <c r="I14154" s="11" t="b">
        <f t="shared" si="679"/>
        <v>0</v>
      </c>
      <c r="M14154" s="17" t="str">
        <f t="shared" si="680"/>
        <v/>
      </c>
      <c r="N14154" s="11" t="str">
        <f t="shared" si="681"/>
        <v/>
      </c>
    </row>
    <row r="14155" spans="9:14" x14ac:dyDescent="0.25">
      <c r="I14155" s="11" t="b">
        <f t="shared" si="679"/>
        <v>0</v>
      </c>
      <c r="M14155" s="17" t="str">
        <f t="shared" si="680"/>
        <v/>
      </c>
      <c r="N14155" s="11" t="str">
        <f t="shared" si="681"/>
        <v/>
      </c>
    </row>
    <row r="14156" spans="9:14" x14ac:dyDescent="0.25">
      <c r="I14156" s="11" t="b">
        <f t="shared" si="679"/>
        <v>0</v>
      </c>
      <c r="M14156" s="17" t="str">
        <f t="shared" si="680"/>
        <v/>
      </c>
      <c r="N14156" s="11" t="str">
        <f t="shared" si="681"/>
        <v/>
      </c>
    </row>
    <row r="14157" spans="9:14" x14ac:dyDescent="0.25">
      <c r="I14157" s="11" t="b">
        <f t="shared" si="679"/>
        <v>0</v>
      </c>
      <c r="M14157" s="17" t="str">
        <f t="shared" si="680"/>
        <v/>
      </c>
      <c r="N14157" s="11" t="str">
        <f t="shared" si="681"/>
        <v/>
      </c>
    </row>
    <row r="14158" spans="9:14" x14ac:dyDescent="0.25">
      <c r="I14158" s="11" t="b">
        <f t="shared" si="679"/>
        <v>0</v>
      </c>
      <c r="M14158" s="17" t="str">
        <f t="shared" si="680"/>
        <v/>
      </c>
      <c r="N14158" s="11" t="str">
        <f t="shared" si="681"/>
        <v/>
      </c>
    </row>
    <row r="14159" spans="9:14" x14ac:dyDescent="0.25">
      <c r="I14159" s="11" t="b">
        <f t="shared" si="679"/>
        <v>0</v>
      </c>
      <c r="M14159" s="17" t="str">
        <f t="shared" si="680"/>
        <v/>
      </c>
      <c r="N14159" s="11" t="str">
        <f t="shared" si="681"/>
        <v/>
      </c>
    </row>
    <row r="14160" spans="9:14" x14ac:dyDescent="0.25">
      <c r="I14160" s="11" t="b">
        <f t="shared" si="679"/>
        <v>0</v>
      </c>
      <c r="M14160" s="17" t="str">
        <f t="shared" si="680"/>
        <v/>
      </c>
      <c r="N14160" s="11" t="str">
        <f t="shared" si="681"/>
        <v/>
      </c>
    </row>
    <row r="14161" spans="9:14" x14ac:dyDescent="0.25">
      <c r="I14161" s="11" t="b">
        <f t="shared" si="679"/>
        <v>0</v>
      </c>
      <c r="M14161" s="17" t="str">
        <f t="shared" si="680"/>
        <v/>
      </c>
      <c r="N14161" s="11" t="str">
        <f t="shared" si="681"/>
        <v/>
      </c>
    </row>
    <row r="14162" spans="9:14" x14ac:dyDescent="0.25">
      <c r="I14162" s="11" t="b">
        <f t="shared" si="679"/>
        <v>0</v>
      </c>
      <c r="M14162" s="17" t="str">
        <f t="shared" si="680"/>
        <v/>
      </c>
      <c r="N14162" s="11" t="str">
        <f t="shared" si="681"/>
        <v/>
      </c>
    </row>
    <row r="14163" spans="9:14" x14ac:dyDescent="0.25">
      <c r="I14163" s="11" t="b">
        <f t="shared" si="679"/>
        <v>0</v>
      </c>
      <c r="M14163" s="17" t="str">
        <f t="shared" si="680"/>
        <v/>
      </c>
      <c r="N14163" s="11" t="str">
        <f t="shared" si="681"/>
        <v/>
      </c>
    </row>
    <row r="14164" spans="9:14" x14ac:dyDescent="0.25">
      <c r="I14164" s="11" t="b">
        <f t="shared" si="679"/>
        <v>0</v>
      </c>
      <c r="M14164" s="17" t="str">
        <f t="shared" si="680"/>
        <v/>
      </c>
      <c r="N14164" s="11" t="str">
        <f t="shared" si="681"/>
        <v/>
      </c>
    </row>
    <row r="14165" spans="9:14" x14ac:dyDescent="0.25">
      <c r="I14165" s="11" t="b">
        <f t="shared" si="679"/>
        <v>0</v>
      </c>
      <c r="M14165" s="17" t="str">
        <f t="shared" si="680"/>
        <v/>
      </c>
      <c r="N14165" s="11" t="str">
        <f t="shared" si="681"/>
        <v/>
      </c>
    </row>
    <row r="14166" spans="9:14" x14ac:dyDescent="0.25">
      <c r="I14166" s="11" t="b">
        <f t="shared" si="679"/>
        <v>0</v>
      </c>
      <c r="M14166" s="17" t="str">
        <f t="shared" si="680"/>
        <v/>
      </c>
      <c r="N14166" s="11" t="str">
        <f t="shared" si="681"/>
        <v/>
      </c>
    </row>
    <row r="14167" spans="9:14" x14ac:dyDescent="0.25">
      <c r="I14167" s="11" t="b">
        <f t="shared" si="679"/>
        <v>0</v>
      </c>
      <c r="M14167" s="17" t="str">
        <f t="shared" si="680"/>
        <v/>
      </c>
      <c r="N14167" s="11" t="str">
        <f t="shared" si="681"/>
        <v/>
      </c>
    </row>
    <row r="14168" spans="9:14" x14ac:dyDescent="0.25">
      <c r="I14168" s="11" t="b">
        <f t="shared" si="679"/>
        <v>0</v>
      </c>
      <c r="M14168" s="17" t="str">
        <f t="shared" si="680"/>
        <v/>
      </c>
      <c r="N14168" s="11" t="str">
        <f t="shared" si="681"/>
        <v/>
      </c>
    </row>
    <row r="14169" spans="9:14" x14ac:dyDescent="0.25">
      <c r="I14169" s="11" t="b">
        <f t="shared" si="679"/>
        <v>0</v>
      </c>
      <c r="M14169" s="17" t="str">
        <f t="shared" si="680"/>
        <v/>
      </c>
      <c r="N14169" s="11" t="str">
        <f t="shared" si="681"/>
        <v/>
      </c>
    </row>
    <row r="14170" spans="9:14" x14ac:dyDescent="0.25">
      <c r="I14170" s="11" t="b">
        <f t="shared" si="679"/>
        <v>0</v>
      </c>
      <c r="M14170" s="17" t="str">
        <f t="shared" si="680"/>
        <v/>
      </c>
      <c r="N14170" s="11" t="str">
        <f t="shared" si="681"/>
        <v/>
      </c>
    </row>
    <row r="14171" spans="9:14" x14ac:dyDescent="0.25">
      <c r="I14171" s="11" t="b">
        <f t="shared" si="679"/>
        <v>0</v>
      </c>
      <c r="M14171" s="17" t="str">
        <f t="shared" si="680"/>
        <v/>
      </c>
      <c r="N14171" s="11" t="str">
        <f t="shared" si="681"/>
        <v/>
      </c>
    </row>
    <row r="14172" spans="9:14" x14ac:dyDescent="0.25">
      <c r="I14172" s="11" t="b">
        <f t="shared" si="679"/>
        <v>0</v>
      </c>
      <c r="M14172" s="17" t="str">
        <f t="shared" si="680"/>
        <v/>
      </c>
      <c r="N14172" s="11" t="str">
        <f t="shared" si="681"/>
        <v/>
      </c>
    </row>
    <row r="14173" spans="9:14" x14ac:dyDescent="0.25">
      <c r="I14173" s="11" t="b">
        <f t="shared" ref="I14173:I14236" si="682">IF(AND(G14173="MERCADO PAGO",A14173="FATURAMENTO"),1,IF(AND(OR(G14173="MERCADO PAGO",G14173="pix mercado pago",G14173= "débito automático mercado pago", G14173= "boleto mercado pago"),A14173="DESPESAS"),4,IF(AND(G14173="SAFRA",A14173="FATURAMENTO"),2,IF(AND(OR(G14173="SAFRA",G14173="PIX SAFRA", G14173="DÉBITO AUTOMÁTICO SAFRA", G14173= "BOLETO SAFRA", G14173= "transferência safra"), A14173="DESPESAS"),5,IF(AND(G14173="espécie",A14173="FATURAMENTO"),3,IF(AND(G14173="espécie",A14173="DESPESAS"),6))))))</f>
        <v>0</v>
      </c>
      <c r="M14173" s="17" t="str">
        <f t="shared" si="680"/>
        <v/>
      </c>
      <c r="N14173" s="11" t="str">
        <f t="shared" si="681"/>
        <v/>
      </c>
    </row>
    <row r="14174" spans="9:14" x14ac:dyDescent="0.25">
      <c r="I14174" s="11" t="b">
        <f t="shared" si="682"/>
        <v>0</v>
      </c>
      <c r="M14174" s="17" t="str">
        <f t="shared" si="680"/>
        <v/>
      </c>
      <c r="N14174" s="11" t="str">
        <f t="shared" si="681"/>
        <v/>
      </c>
    </row>
    <row r="14175" spans="9:14" x14ac:dyDescent="0.25">
      <c r="I14175" s="11" t="b">
        <f t="shared" si="682"/>
        <v>0</v>
      </c>
      <c r="M14175" s="17" t="str">
        <f t="shared" si="680"/>
        <v/>
      </c>
      <c r="N14175" s="11" t="str">
        <f t="shared" si="681"/>
        <v/>
      </c>
    </row>
    <row r="14176" spans="9:14" x14ac:dyDescent="0.25">
      <c r="I14176" s="11" t="b">
        <f t="shared" si="682"/>
        <v>0</v>
      </c>
      <c r="M14176" s="17" t="str">
        <f t="shared" si="680"/>
        <v/>
      </c>
      <c r="N14176" s="11" t="str">
        <f t="shared" si="681"/>
        <v/>
      </c>
    </row>
    <row r="14177" spans="9:14" x14ac:dyDescent="0.25">
      <c r="I14177" s="11" t="b">
        <f t="shared" si="682"/>
        <v>0</v>
      </c>
      <c r="M14177" s="17" t="str">
        <f t="shared" si="680"/>
        <v/>
      </c>
      <c r="N14177" s="11" t="str">
        <f t="shared" si="681"/>
        <v/>
      </c>
    </row>
    <row r="14178" spans="9:14" x14ac:dyDescent="0.25">
      <c r="I14178" s="11" t="b">
        <f t="shared" si="682"/>
        <v>0</v>
      </c>
      <c r="M14178" s="17" t="str">
        <f t="shared" si="680"/>
        <v/>
      </c>
      <c r="N14178" s="11" t="str">
        <f t="shared" si="681"/>
        <v/>
      </c>
    </row>
    <row r="14179" spans="9:14" x14ac:dyDescent="0.25">
      <c r="I14179" s="11" t="b">
        <f t="shared" si="682"/>
        <v>0</v>
      </c>
      <c r="M14179" s="17" t="str">
        <f t="shared" si="680"/>
        <v/>
      </c>
      <c r="N14179" s="11" t="str">
        <f t="shared" si="681"/>
        <v/>
      </c>
    </row>
    <row r="14180" spans="9:14" x14ac:dyDescent="0.25">
      <c r="I14180" s="11" t="b">
        <f t="shared" si="682"/>
        <v>0</v>
      </c>
      <c r="M14180" s="17" t="str">
        <f t="shared" si="680"/>
        <v/>
      </c>
      <c r="N14180" s="11" t="str">
        <f t="shared" si="681"/>
        <v/>
      </c>
    </row>
    <row r="14181" spans="9:14" x14ac:dyDescent="0.25">
      <c r="I14181" s="11" t="b">
        <f t="shared" si="682"/>
        <v>0</v>
      </c>
      <c r="M14181" s="17" t="str">
        <f t="shared" si="680"/>
        <v/>
      </c>
      <c r="N14181" s="11" t="str">
        <f t="shared" si="681"/>
        <v/>
      </c>
    </row>
    <row r="14182" spans="9:14" x14ac:dyDescent="0.25">
      <c r="I14182" s="11" t="b">
        <f t="shared" si="682"/>
        <v>0</v>
      </c>
      <c r="M14182" s="17" t="str">
        <f t="shared" si="680"/>
        <v/>
      </c>
      <c r="N14182" s="11" t="str">
        <f t="shared" si="681"/>
        <v/>
      </c>
    </row>
    <row r="14183" spans="9:14" x14ac:dyDescent="0.25">
      <c r="I14183" s="11" t="b">
        <f t="shared" si="682"/>
        <v>0</v>
      </c>
      <c r="M14183" s="17" t="str">
        <f t="shared" si="680"/>
        <v/>
      </c>
      <c r="N14183" s="11" t="str">
        <f t="shared" si="681"/>
        <v/>
      </c>
    </row>
    <row r="14184" spans="9:14" x14ac:dyDescent="0.25">
      <c r="I14184" s="11" t="b">
        <f t="shared" si="682"/>
        <v>0</v>
      </c>
      <c r="M14184" s="17" t="str">
        <f t="shared" si="680"/>
        <v/>
      </c>
      <c r="N14184" s="11" t="str">
        <f t="shared" si="681"/>
        <v/>
      </c>
    </row>
    <row r="14185" spans="9:14" x14ac:dyDescent="0.25">
      <c r="I14185" s="11" t="b">
        <f t="shared" si="682"/>
        <v>0</v>
      </c>
      <c r="M14185" s="17" t="str">
        <f t="shared" si="680"/>
        <v/>
      </c>
      <c r="N14185" s="11" t="str">
        <f t="shared" si="681"/>
        <v/>
      </c>
    </row>
    <row r="14186" spans="9:14" x14ac:dyDescent="0.25">
      <c r="I14186" s="11" t="b">
        <f t="shared" si="682"/>
        <v>0</v>
      </c>
      <c r="M14186" s="17" t="str">
        <f t="shared" si="680"/>
        <v/>
      </c>
      <c r="N14186" s="11" t="str">
        <f t="shared" si="681"/>
        <v/>
      </c>
    </row>
    <row r="14187" spans="9:14" x14ac:dyDescent="0.25">
      <c r="I14187" s="11" t="b">
        <f t="shared" si="682"/>
        <v>0</v>
      </c>
      <c r="M14187" s="17" t="str">
        <f t="shared" si="680"/>
        <v/>
      </c>
      <c r="N14187" s="11" t="str">
        <f t="shared" si="681"/>
        <v/>
      </c>
    </row>
    <row r="14188" spans="9:14" x14ac:dyDescent="0.25">
      <c r="I14188" s="11" t="b">
        <f t="shared" si="682"/>
        <v>0</v>
      </c>
      <c r="M14188" s="17" t="str">
        <f t="shared" si="680"/>
        <v/>
      </c>
      <c r="N14188" s="11" t="str">
        <f t="shared" si="681"/>
        <v/>
      </c>
    </row>
    <row r="14189" spans="9:14" x14ac:dyDescent="0.25">
      <c r="I14189" s="11" t="b">
        <f t="shared" si="682"/>
        <v>0</v>
      </c>
      <c r="M14189" s="17" t="str">
        <f t="shared" si="680"/>
        <v/>
      </c>
      <c r="N14189" s="11" t="str">
        <f t="shared" si="681"/>
        <v/>
      </c>
    </row>
    <row r="14190" spans="9:14" x14ac:dyDescent="0.25">
      <c r="I14190" s="11" t="b">
        <f t="shared" si="682"/>
        <v>0</v>
      </c>
      <c r="M14190" s="17" t="str">
        <f t="shared" si="680"/>
        <v/>
      </c>
      <c r="N14190" s="11" t="str">
        <f t="shared" si="681"/>
        <v/>
      </c>
    </row>
    <row r="14191" spans="9:14" x14ac:dyDescent="0.25">
      <c r="I14191" s="11" t="b">
        <f t="shared" si="682"/>
        <v>0</v>
      </c>
      <c r="M14191" s="17" t="str">
        <f t="shared" si="680"/>
        <v/>
      </c>
      <c r="N14191" s="11" t="str">
        <f t="shared" si="681"/>
        <v/>
      </c>
    </row>
    <row r="14192" spans="9:14" x14ac:dyDescent="0.25">
      <c r="I14192" s="11" t="b">
        <f t="shared" si="682"/>
        <v>0</v>
      </c>
      <c r="M14192" s="17" t="str">
        <f t="shared" si="680"/>
        <v/>
      </c>
      <c r="N14192" s="11" t="str">
        <f t="shared" si="681"/>
        <v/>
      </c>
    </row>
    <row r="14193" spans="9:14" x14ac:dyDescent="0.25">
      <c r="I14193" s="11" t="b">
        <f t="shared" si="682"/>
        <v>0</v>
      </c>
      <c r="M14193" s="17" t="str">
        <f t="shared" si="680"/>
        <v/>
      </c>
      <c r="N14193" s="11" t="str">
        <f t="shared" si="681"/>
        <v/>
      </c>
    </row>
    <row r="14194" spans="9:14" x14ac:dyDescent="0.25">
      <c r="I14194" s="11" t="b">
        <f t="shared" si="682"/>
        <v>0</v>
      </c>
      <c r="M14194" s="17" t="str">
        <f t="shared" si="680"/>
        <v/>
      </c>
      <c r="N14194" s="11" t="str">
        <f t="shared" si="681"/>
        <v/>
      </c>
    </row>
    <row r="14195" spans="9:14" x14ac:dyDescent="0.25">
      <c r="I14195" s="11" t="b">
        <f t="shared" si="682"/>
        <v>0</v>
      </c>
      <c r="M14195" s="17" t="str">
        <f t="shared" si="680"/>
        <v/>
      </c>
      <c r="N14195" s="11" t="str">
        <f t="shared" si="681"/>
        <v/>
      </c>
    </row>
    <row r="14196" spans="9:14" x14ac:dyDescent="0.25">
      <c r="I14196" s="11" t="b">
        <f t="shared" si="682"/>
        <v>0</v>
      </c>
      <c r="M14196" s="17" t="str">
        <f t="shared" si="680"/>
        <v/>
      </c>
      <c r="N14196" s="11" t="str">
        <f t="shared" si="681"/>
        <v/>
      </c>
    </row>
    <row r="14197" spans="9:14" x14ac:dyDescent="0.25">
      <c r="I14197" s="11" t="b">
        <f t="shared" si="682"/>
        <v>0</v>
      </c>
      <c r="M14197" s="17" t="str">
        <f t="shared" si="680"/>
        <v/>
      </c>
      <c r="N14197" s="11" t="str">
        <f t="shared" si="681"/>
        <v/>
      </c>
    </row>
    <row r="14198" spans="9:14" x14ac:dyDescent="0.25">
      <c r="I14198" s="11" t="b">
        <f t="shared" si="682"/>
        <v>0</v>
      </c>
      <c r="M14198" s="17" t="str">
        <f t="shared" si="680"/>
        <v/>
      </c>
      <c r="N14198" s="11" t="str">
        <f t="shared" si="681"/>
        <v/>
      </c>
    </row>
    <row r="14199" spans="9:14" x14ac:dyDescent="0.25">
      <c r="I14199" s="11" t="b">
        <f t="shared" si="682"/>
        <v>0</v>
      </c>
      <c r="M14199" s="17" t="str">
        <f t="shared" si="680"/>
        <v/>
      </c>
      <c r="N14199" s="11" t="str">
        <f t="shared" si="681"/>
        <v/>
      </c>
    </row>
    <row r="14200" spans="9:14" x14ac:dyDescent="0.25">
      <c r="I14200" s="11" t="b">
        <f t="shared" si="682"/>
        <v>0</v>
      </c>
      <c r="M14200" s="17" t="str">
        <f t="shared" si="680"/>
        <v/>
      </c>
      <c r="N14200" s="11" t="str">
        <f t="shared" si="681"/>
        <v/>
      </c>
    </row>
    <row r="14201" spans="9:14" x14ac:dyDescent="0.25">
      <c r="I14201" s="11" t="b">
        <f t="shared" si="682"/>
        <v>0</v>
      </c>
      <c r="M14201" s="17" t="str">
        <f t="shared" si="680"/>
        <v/>
      </c>
      <c r="N14201" s="11" t="str">
        <f t="shared" si="681"/>
        <v/>
      </c>
    </row>
    <row r="14202" spans="9:14" x14ac:dyDescent="0.25">
      <c r="I14202" s="11" t="b">
        <f t="shared" si="682"/>
        <v>0</v>
      </c>
      <c r="M14202" s="17" t="str">
        <f t="shared" si="680"/>
        <v/>
      </c>
      <c r="N14202" s="11" t="str">
        <f t="shared" si="681"/>
        <v/>
      </c>
    </row>
    <row r="14203" spans="9:14" x14ac:dyDescent="0.25">
      <c r="I14203" s="11" t="b">
        <f t="shared" si="682"/>
        <v>0</v>
      </c>
      <c r="M14203" s="17" t="str">
        <f t="shared" si="680"/>
        <v/>
      </c>
      <c r="N14203" s="11" t="str">
        <f t="shared" si="681"/>
        <v/>
      </c>
    </row>
    <row r="14204" spans="9:14" x14ac:dyDescent="0.25">
      <c r="I14204" s="11" t="b">
        <f t="shared" si="682"/>
        <v>0</v>
      </c>
      <c r="M14204" s="17" t="str">
        <f t="shared" si="680"/>
        <v/>
      </c>
      <c r="N14204" s="11" t="str">
        <f t="shared" si="681"/>
        <v/>
      </c>
    </row>
    <row r="14205" spans="9:14" x14ac:dyDescent="0.25">
      <c r="I14205" s="11" t="b">
        <f t="shared" si="682"/>
        <v>0</v>
      </c>
      <c r="M14205" s="17" t="str">
        <f t="shared" si="680"/>
        <v/>
      </c>
      <c r="N14205" s="11" t="str">
        <f t="shared" si="681"/>
        <v/>
      </c>
    </row>
    <row r="14206" spans="9:14" x14ac:dyDescent="0.25">
      <c r="I14206" s="11" t="b">
        <f t="shared" si="682"/>
        <v>0</v>
      </c>
      <c r="M14206" s="17" t="str">
        <f t="shared" si="680"/>
        <v/>
      </c>
      <c r="N14206" s="11" t="str">
        <f t="shared" si="681"/>
        <v/>
      </c>
    </row>
    <row r="14207" spans="9:14" x14ac:dyDescent="0.25">
      <c r="I14207" s="11" t="b">
        <f t="shared" si="682"/>
        <v>0</v>
      </c>
      <c r="M14207" s="17" t="str">
        <f t="shared" si="680"/>
        <v/>
      </c>
      <c r="N14207" s="11" t="str">
        <f t="shared" si="681"/>
        <v/>
      </c>
    </row>
    <row r="14208" spans="9:14" x14ac:dyDescent="0.25">
      <c r="I14208" s="11" t="b">
        <f t="shared" si="682"/>
        <v>0</v>
      </c>
      <c r="M14208" s="17" t="str">
        <f t="shared" si="680"/>
        <v/>
      </c>
      <c r="N14208" s="11" t="str">
        <f t="shared" si="681"/>
        <v/>
      </c>
    </row>
    <row r="14209" spans="9:14" x14ac:dyDescent="0.25">
      <c r="I14209" s="11" t="b">
        <f t="shared" si="682"/>
        <v>0</v>
      </c>
      <c r="M14209" s="17" t="str">
        <f t="shared" ref="M14209:M14272" si="683">IF(B14209=0, "",M14208+ J14209-K14209)</f>
        <v/>
      </c>
      <c r="N14209" s="11" t="str">
        <f t="shared" ref="N14209:N14272" si="684">IF(B14209=0, "", MONTH(B14209))</f>
        <v/>
      </c>
    </row>
    <row r="14210" spans="9:14" x14ac:dyDescent="0.25">
      <c r="I14210" s="11" t="b">
        <f t="shared" si="682"/>
        <v>0</v>
      </c>
      <c r="M14210" s="17" t="str">
        <f t="shared" si="683"/>
        <v/>
      </c>
      <c r="N14210" s="11" t="str">
        <f t="shared" si="684"/>
        <v/>
      </c>
    </row>
    <row r="14211" spans="9:14" x14ac:dyDescent="0.25">
      <c r="I14211" s="11" t="b">
        <f t="shared" si="682"/>
        <v>0</v>
      </c>
      <c r="M14211" s="17" t="str">
        <f t="shared" si="683"/>
        <v/>
      </c>
      <c r="N14211" s="11" t="str">
        <f t="shared" si="684"/>
        <v/>
      </c>
    </row>
    <row r="14212" spans="9:14" x14ac:dyDescent="0.25">
      <c r="I14212" s="11" t="b">
        <f t="shared" si="682"/>
        <v>0</v>
      </c>
      <c r="M14212" s="17" t="str">
        <f t="shared" si="683"/>
        <v/>
      </c>
      <c r="N14212" s="11" t="str">
        <f t="shared" si="684"/>
        <v/>
      </c>
    </row>
    <row r="14213" spans="9:14" x14ac:dyDescent="0.25">
      <c r="I14213" s="11" t="b">
        <f t="shared" si="682"/>
        <v>0</v>
      </c>
      <c r="M14213" s="17" t="str">
        <f t="shared" si="683"/>
        <v/>
      </c>
      <c r="N14213" s="11" t="str">
        <f t="shared" si="684"/>
        <v/>
      </c>
    </row>
    <row r="14214" spans="9:14" x14ac:dyDescent="0.25">
      <c r="I14214" s="11" t="b">
        <f t="shared" si="682"/>
        <v>0</v>
      </c>
      <c r="M14214" s="17" t="str">
        <f t="shared" si="683"/>
        <v/>
      </c>
      <c r="N14214" s="11" t="str">
        <f t="shared" si="684"/>
        <v/>
      </c>
    </row>
    <row r="14215" spans="9:14" x14ac:dyDescent="0.25">
      <c r="I14215" s="11" t="b">
        <f t="shared" si="682"/>
        <v>0</v>
      </c>
      <c r="M14215" s="17" t="str">
        <f t="shared" si="683"/>
        <v/>
      </c>
      <c r="N14215" s="11" t="str">
        <f t="shared" si="684"/>
        <v/>
      </c>
    </row>
    <row r="14216" spans="9:14" x14ac:dyDescent="0.25">
      <c r="I14216" s="11" t="b">
        <f t="shared" si="682"/>
        <v>0</v>
      </c>
      <c r="M14216" s="17" t="str">
        <f t="shared" si="683"/>
        <v/>
      </c>
      <c r="N14216" s="11" t="str">
        <f t="shared" si="684"/>
        <v/>
      </c>
    </row>
    <row r="14217" spans="9:14" x14ac:dyDescent="0.25">
      <c r="I14217" s="11" t="b">
        <f t="shared" si="682"/>
        <v>0</v>
      </c>
      <c r="M14217" s="17" t="str">
        <f t="shared" si="683"/>
        <v/>
      </c>
      <c r="N14217" s="11" t="str">
        <f t="shared" si="684"/>
        <v/>
      </c>
    </row>
    <row r="14218" spans="9:14" x14ac:dyDescent="0.25">
      <c r="I14218" s="11" t="b">
        <f t="shared" si="682"/>
        <v>0</v>
      </c>
      <c r="M14218" s="17" t="str">
        <f t="shared" si="683"/>
        <v/>
      </c>
      <c r="N14218" s="11" t="str">
        <f t="shared" si="684"/>
        <v/>
      </c>
    </row>
    <row r="14219" spans="9:14" x14ac:dyDescent="0.25">
      <c r="I14219" s="11" t="b">
        <f t="shared" si="682"/>
        <v>0</v>
      </c>
      <c r="M14219" s="17" t="str">
        <f t="shared" si="683"/>
        <v/>
      </c>
      <c r="N14219" s="11" t="str">
        <f t="shared" si="684"/>
        <v/>
      </c>
    </row>
    <row r="14220" spans="9:14" x14ac:dyDescent="0.25">
      <c r="I14220" s="11" t="b">
        <f t="shared" si="682"/>
        <v>0</v>
      </c>
      <c r="M14220" s="17" t="str">
        <f t="shared" si="683"/>
        <v/>
      </c>
      <c r="N14220" s="11" t="str">
        <f t="shared" si="684"/>
        <v/>
      </c>
    </row>
    <row r="14221" spans="9:14" x14ac:dyDescent="0.25">
      <c r="I14221" s="11" t="b">
        <f t="shared" si="682"/>
        <v>0</v>
      </c>
      <c r="M14221" s="17" t="str">
        <f t="shared" si="683"/>
        <v/>
      </c>
      <c r="N14221" s="11" t="str">
        <f t="shared" si="684"/>
        <v/>
      </c>
    </row>
    <row r="14222" spans="9:14" x14ac:dyDescent="0.25">
      <c r="I14222" s="11" t="b">
        <f t="shared" si="682"/>
        <v>0</v>
      </c>
      <c r="M14222" s="17" t="str">
        <f t="shared" si="683"/>
        <v/>
      </c>
      <c r="N14222" s="11" t="str">
        <f t="shared" si="684"/>
        <v/>
      </c>
    </row>
    <row r="14223" spans="9:14" x14ac:dyDescent="0.25">
      <c r="I14223" s="11" t="b">
        <f t="shared" si="682"/>
        <v>0</v>
      </c>
      <c r="M14223" s="17" t="str">
        <f t="shared" si="683"/>
        <v/>
      </c>
      <c r="N14223" s="11" t="str">
        <f t="shared" si="684"/>
        <v/>
      </c>
    </row>
    <row r="14224" spans="9:14" x14ac:dyDescent="0.25">
      <c r="I14224" s="11" t="b">
        <f t="shared" si="682"/>
        <v>0</v>
      </c>
      <c r="M14224" s="17" t="str">
        <f t="shared" si="683"/>
        <v/>
      </c>
      <c r="N14224" s="11" t="str">
        <f t="shared" si="684"/>
        <v/>
      </c>
    </row>
    <row r="14225" spans="9:14" x14ac:dyDescent="0.25">
      <c r="I14225" s="11" t="b">
        <f t="shared" si="682"/>
        <v>0</v>
      </c>
      <c r="M14225" s="17" t="str">
        <f t="shared" si="683"/>
        <v/>
      </c>
      <c r="N14225" s="11" t="str">
        <f t="shared" si="684"/>
        <v/>
      </c>
    </row>
    <row r="14226" spans="9:14" x14ac:dyDescent="0.25">
      <c r="I14226" s="11" t="b">
        <f t="shared" si="682"/>
        <v>0</v>
      </c>
      <c r="M14226" s="17" t="str">
        <f t="shared" si="683"/>
        <v/>
      </c>
      <c r="N14226" s="11" t="str">
        <f t="shared" si="684"/>
        <v/>
      </c>
    </row>
    <row r="14227" spans="9:14" x14ac:dyDescent="0.25">
      <c r="I14227" s="11" t="b">
        <f t="shared" si="682"/>
        <v>0</v>
      </c>
      <c r="M14227" s="17" t="str">
        <f t="shared" si="683"/>
        <v/>
      </c>
      <c r="N14227" s="11" t="str">
        <f t="shared" si="684"/>
        <v/>
      </c>
    </row>
    <row r="14228" spans="9:14" x14ac:dyDescent="0.25">
      <c r="I14228" s="11" t="b">
        <f t="shared" si="682"/>
        <v>0</v>
      </c>
      <c r="M14228" s="17" t="str">
        <f t="shared" si="683"/>
        <v/>
      </c>
      <c r="N14228" s="11" t="str">
        <f t="shared" si="684"/>
        <v/>
      </c>
    </row>
    <row r="14229" spans="9:14" x14ac:dyDescent="0.25">
      <c r="I14229" s="11" t="b">
        <f t="shared" si="682"/>
        <v>0</v>
      </c>
      <c r="M14229" s="17" t="str">
        <f t="shared" si="683"/>
        <v/>
      </c>
      <c r="N14229" s="11" t="str">
        <f t="shared" si="684"/>
        <v/>
      </c>
    </row>
    <row r="14230" spans="9:14" x14ac:dyDescent="0.25">
      <c r="I14230" s="11" t="b">
        <f t="shared" si="682"/>
        <v>0</v>
      </c>
      <c r="M14230" s="17" t="str">
        <f t="shared" si="683"/>
        <v/>
      </c>
      <c r="N14230" s="11" t="str">
        <f t="shared" si="684"/>
        <v/>
      </c>
    </row>
    <row r="14231" spans="9:14" x14ac:dyDescent="0.25">
      <c r="I14231" s="11" t="b">
        <f t="shared" si="682"/>
        <v>0</v>
      </c>
      <c r="M14231" s="17" t="str">
        <f t="shared" si="683"/>
        <v/>
      </c>
      <c r="N14231" s="11" t="str">
        <f t="shared" si="684"/>
        <v/>
      </c>
    </row>
    <row r="14232" spans="9:14" x14ac:dyDescent="0.25">
      <c r="I14232" s="11" t="b">
        <f t="shared" si="682"/>
        <v>0</v>
      </c>
      <c r="M14232" s="17" t="str">
        <f t="shared" si="683"/>
        <v/>
      </c>
      <c r="N14232" s="11" t="str">
        <f t="shared" si="684"/>
        <v/>
      </c>
    </row>
    <row r="14233" spans="9:14" x14ac:dyDescent="0.25">
      <c r="I14233" s="11" t="b">
        <f t="shared" si="682"/>
        <v>0</v>
      </c>
      <c r="M14233" s="17" t="str">
        <f t="shared" si="683"/>
        <v/>
      </c>
      <c r="N14233" s="11" t="str">
        <f t="shared" si="684"/>
        <v/>
      </c>
    </row>
    <row r="14234" spans="9:14" x14ac:dyDescent="0.25">
      <c r="I14234" s="11" t="b">
        <f t="shared" si="682"/>
        <v>0</v>
      </c>
      <c r="M14234" s="17" t="str">
        <f t="shared" si="683"/>
        <v/>
      </c>
      <c r="N14234" s="11" t="str">
        <f t="shared" si="684"/>
        <v/>
      </c>
    </row>
    <row r="14235" spans="9:14" x14ac:dyDescent="0.25">
      <c r="I14235" s="11" t="b">
        <f t="shared" si="682"/>
        <v>0</v>
      </c>
      <c r="M14235" s="17" t="str">
        <f t="shared" si="683"/>
        <v/>
      </c>
      <c r="N14235" s="11" t="str">
        <f t="shared" si="684"/>
        <v/>
      </c>
    </row>
    <row r="14236" spans="9:14" x14ac:dyDescent="0.25">
      <c r="I14236" s="11" t="b">
        <f t="shared" si="682"/>
        <v>0</v>
      </c>
      <c r="M14236" s="17" t="str">
        <f t="shared" si="683"/>
        <v/>
      </c>
      <c r="N14236" s="11" t="str">
        <f t="shared" si="684"/>
        <v/>
      </c>
    </row>
    <row r="14237" spans="9:14" x14ac:dyDescent="0.25">
      <c r="I14237" s="11" t="b">
        <f t="shared" ref="I14237:I14300" si="685">IF(AND(G14237="MERCADO PAGO",A14237="FATURAMENTO"),1,IF(AND(OR(G14237="MERCADO PAGO",G14237="pix mercado pago",G14237= "débito automático mercado pago", G14237= "boleto mercado pago"),A14237="DESPESAS"),4,IF(AND(G14237="SAFRA",A14237="FATURAMENTO"),2,IF(AND(OR(G14237="SAFRA",G14237="PIX SAFRA", G14237="DÉBITO AUTOMÁTICO SAFRA", G14237= "BOLETO SAFRA", G14237= "transferência safra"), A14237="DESPESAS"),5,IF(AND(G14237="espécie",A14237="FATURAMENTO"),3,IF(AND(G14237="espécie",A14237="DESPESAS"),6))))))</f>
        <v>0</v>
      </c>
      <c r="M14237" s="17" t="str">
        <f t="shared" si="683"/>
        <v/>
      </c>
      <c r="N14237" s="11" t="str">
        <f t="shared" si="684"/>
        <v/>
      </c>
    </row>
    <row r="14238" spans="9:14" x14ac:dyDescent="0.25">
      <c r="I14238" s="11" t="b">
        <f t="shared" si="685"/>
        <v>0</v>
      </c>
      <c r="M14238" s="17" t="str">
        <f t="shared" si="683"/>
        <v/>
      </c>
      <c r="N14238" s="11" t="str">
        <f t="shared" si="684"/>
        <v/>
      </c>
    </row>
    <row r="14239" spans="9:14" x14ac:dyDescent="0.25">
      <c r="I14239" s="11" t="b">
        <f t="shared" si="685"/>
        <v>0</v>
      </c>
      <c r="M14239" s="17" t="str">
        <f t="shared" si="683"/>
        <v/>
      </c>
      <c r="N14239" s="11" t="str">
        <f t="shared" si="684"/>
        <v/>
      </c>
    </row>
    <row r="14240" spans="9:14" x14ac:dyDescent="0.25">
      <c r="I14240" s="11" t="b">
        <f t="shared" si="685"/>
        <v>0</v>
      </c>
      <c r="M14240" s="17" t="str">
        <f t="shared" si="683"/>
        <v/>
      </c>
      <c r="N14240" s="11" t="str">
        <f t="shared" si="684"/>
        <v/>
      </c>
    </row>
    <row r="14241" spans="9:14" x14ac:dyDescent="0.25">
      <c r="I14241" s="11" t="b">
        <f t="shared" si="685"/>
        <v>0</v>
      </c>
      <c r="M14241" s="17" t="str">
        <f t="shared" si="683"/>
        <v/>
      </c>
      <c r="N14241" s="11" t="str">
        <f t="shared" si="684"/>
        <v/>
      </c>
    </row>
    <row r="14242" spans="9:14" x14ac:dyDescent="0.25">
      <c r="I14242" s="11" t="b">
        <f t="shared" si="685"/>
        <v>0</v>
      </c>
      <c r="M14242" s="17" t="str">
        <f t="shared" si="683"/>
        <v/>
      </c>
      <c r="N14242" s="11" t="str">
        <f t="shared" si="684"/>
        <v/>
      </c>
    </row>
    <row r="14243" spans="9:14" x14ac:dyDescent="0.25">
      <c r="I14243" s="11" t="b">
        <f t="shared" si="685"/>
        <v>0</v>
      </c>
      <c r="M14243" s="17" t="str">
        <f t="shared" si="683"/>
        <v/>
      </c>
      <c r="N14243" s="11" t="str">
        <f t="shared" si="684"/>
        <v/>
      </c>
    </row>
    <row r="14244" spans="9:14" x14ac:dyDescent="0.25">
      <c r="I14244" s="11" t="b">
        <f t="shared" si="685"/>
        <v>0</v>
      </c>
      <c r="M14244" s="17" t="str">
        <f t="shared" si="683"/>
        <v/>
      </c>
      <c r="N14244" s="11" t="str">
        <f t="shared" si="684"/>
        <v/>
      </c>
    </row>
    <row r="14245" spans="9:14" x14ac:dyDescent="0.25">
      <c r="I14245" s="11" t="b">
        <f t="shared" si="685"/>
        <v>0</v>
      </c>
      <c r="M14245" s="17" t="str">
        <f t="shared" si="683"/>
        <v/>
      </c>
      <c r="N14245" s="11" t="str">
        <f t="shared" si="684"/>
        <v/>
      </c>
    </row>
    <row r="14246" spans="9:14" x14ac:dyDescent="0.25">
      <c r="I14246" s="11" t="b">
        <f t="shared" si="685"/>
        <v>0</v>
      </c>
      <c r="M14246" s="17" t="str">
        <f t="shared" si="683"/>
        <v/>
      </c>
      <c r="N14246" s="11" t="str">
        <f t="shared" si="684"/>
        <v/>
      </c>
    </row>
    <row r="14247" spans="9:14" x14ac:dyDescent="0.25">
      <c r="I14247" s="11" t="b">
        <f t="shared" si="685"/>
        <v>0</v>
      </c>
      <c r="M14247" s="17" t="str">
        <f t="shared" si="683"/>
        <v/>
      </c>
      <c r="N14247" s="11" t="str">
        <f t="shared" si="684"/>
        <v/>
      </c>
    </row>
    <row r="14248" spans="9:14" x14ac:dyDescent="0.25">
      <c r="I14248" s="11" t="b">
        <f t="shared" si="685"/>
        <v>0</v>
      </c>
      <c r="M14248" s="17" t="str">
        <f t="shared" si="683"/>
        <v/>
      </c>
      <c r="N14248" s="11" t="str">
        <f t="shared" si="684"/>
        <v/>
      </c>
    </row>
    <row r="14249" spans="9:14" x14ac:dyDescent="0.25">
      <c r="I14249" s="11" t="b">
        <f t="shared" si="685"/>
        <v>0</v>
      </c>
      <c r="M14249" s="17" t="str">
        <f t="shared" si="683"/>
        <v/>
      </c>
      <c r="N14249" s="11" t="str">
        <f t="shared" si="684"/>
        <v/>
      </c>
    </row>
    <row r="14250" spans="9:14" x14ac:dyDescent="0.25">
      <c r="I14250" s="11" t="b">
        <f t="shared" si="685"/>
        <v>0</v>
      </c>
      <c r="M14250" s="17" t="str">
        <f t="shared" si="683"/>
        <v/>
      </c>
      <c r="N14250" s="11" t="str">
        <f t="shared" si="684"/>
        <v/>
      </c>
    </row>
    <row r="14251" spans="9:14" x14ac:dyDescent="0.25">
      <c r="I14251" s="11" t="b">
        <f t="shared" si="685"/>
        <v>0</v>
      </c>
      <c r="M14251" s="17" t="str">
        <f t="shared" si="683"/>
        <v/>
      </c>
      <c r="N14251" s="11" t="str">
        <f t="shared" si="684"/>
        <v/>
      </c>
    </row>
    <row r="14252" spans="9:14" x14ac:dyDescent="0.25">
      <c r="I14252" s="11" t="b">
        <f t="shared" si="685"/>
        <v>0</v>
      </c>
      <c r="M14252" s="17" t="str">
        <f t="shared" si="683"/>
        <v/>
      </c>
      <c r="N14252" s="11" t="str">
        <f t="shared" si="684"/>
        <v/>
      </c>
    </row>
    <row r="14253" spans="9:14" x14ac:dyDescent="0.25">
      <c r="I14253" s="11" t="b">
        <f t="shared" si="685"/>
        <v>0</v>
      </c>
      <c r="M14253" s="17" t="str">
        <f t="shared" si="683"/>
        <v/>
      </c>
      <c r="N14253" s="11" t="str">
        <f t="shared" si="684"/>
        <v/>
      </c>
    </row>
    <row r="14254" spans="9:14" x14ac:dyDescent="0.25">
      <c r="I14254" s="11" t="b">
        <f t="shared" si="685"/>
        <v>0</v>
      </c>
      <c r="M14254" s="17" t="str">
        <f t="shared" si="683"/>
        <v/>
      </c>
      <c r="N14254" s="11" t="str">
        <f t="shared" si="684"/>
        <v/>
      </c>
    </row>
    <row r="14255" spans="9:14" x14ac:dyDescent="0.25">
      <c r="I14255" s="11" t="b">
        <f t="shared" si="685"/>
        <v>0</v>
      </c>
      <c r="M14255" s="17" t="str">
        <f t="shared" si="683"/>
        <v/>
      </c>
      <c r="N14255" s="11" t="str">
        <f t="shared" si="684"/>
        <v/>
      </c>
    </row>
    <row r="14256" spans="9:14" x14ac:dyDescent="0.25">
      <c r="I14256" s="11" t="b">
        <f t="shared" si="685"/>
        <v>0</v>
      </c>
      <c r="M14256" s="17" t="str">
        <f t="shared" si="683"/>
        <v/>
      </c>
      <c r="N14256" s="11" t="str">
        <f t="shared" si="684"/>
        <v/>
      </c>
    </row>
    <row r="14257" spans="9:14" x14ac:dyDescent="0.25">
      <c r="I14257" s="11" t="b">
        <f t="shared" si="685"/>
        <v>0</v>
      </c>
      <c r="M14257" s="17" t="str">
        <f t="shared" si="683"/>
        <v/>
      </c>
      <c r="N14257" s="11" t="str">
        <f t="shared" si="684"/>
        <v/>
      </c>
    </row>
    <row r="14258" spans="9:14" x14ac:dyDescent="0.25">
      <c r="I14258" s="11" t="b">
        <f t="shared" si="685"/>
        <v>0</v>
      </c>
      <c r="M14258" s="17" t="str">
        <f t="shared" si="683"/>
        <v/>
      </c>
      <c r="N14258" s="11" t="str">
        <f t="shared" si="684"/>
        <v/>
      </c>
    </row>
    <row r="14259" spans="9:14" x14ac:dyDescent="0.25">
      <c r="I14259" s="11" t="b">
        <f t="shared" si="685"/>
        <v>0</v>
      </c>
      <c r="M14259" s="17" t="str">
        <f t="shared" si="683"/>
        <v/>
      </c>
      <c r="N14259" s="11" t="str">
        <f t="shared" si="684"/>
        <v/>
      </c>
    </row>
    <row r="14260" spans="9:14" x14ac:dyDescent="0.25">
      <c r="I14260" s="11" t="b">
        <f t="shared" si="685"/>
        <v>0</v>
      </c>
      <c r="M14260" s="17" t="str">
        <f t="shared" si="683"/>
        <v/>
      </c>
      <c r="N14260" s="11" t="str">
        <f t="shared" si="684"/>
        <v/>
      </c>
    </row>
    <row r="14261" spans="9:14" x14ac:dyDescent="0.25">
      <c r="I14261" s="11" t="b">
        <f t="shared" si="685"/>
        <v>0</v>
      </c>
      <c r="M14261" s="17" t="str">
        <f t="shared" si="683"/>
        <v/>
      </c>
      <c r="N14261" s="11" t="str">
        <f t="shared" si="684"/>
        <v/>
      </c>
    </row>
    <row r="14262" spans="9:14" x14ac:dyDescent="0.25">
      <c r="I14262" s="11" t="b">
        <f t="shared" si="685"/>
        <v>0</v>
      </c>
      <c r="M14262" s="17" t="str">
        <f t="shared" si="683"/>
        <v/>
      </c>
      <c r="N14262" s="11" t="str">
        <f t="shared" si="684"/>
        <v/>
      </c>
    </row>
    <row r="14263" spans="9:14" x14ac:dyDescent="0.25">
      <c r="I14263" s="11" t="b">
        <f t="shared" si="685"/>
        <v>0</v>
      </c>
      <c r="M14263" s="17" t="str">
        <f t="shared" si="683"/>
        <v/>
      </c>
      <c r="N14263" s="11" t="str">
        <f t="shared" si="684"/>
        <v/>
      </c>
    </row>
    <row r="14264" spans="9:14" x14ac:dyDescent="0.25">
      <c r="I14264" s="11" t="b">
        <f t="shared" si="685"/>
        <v>0</v>
      </c>
      <c r="M14264" s="17" t="str">
        <f t="shared" si="683"/>
        <v/>
      </c>
      <c r="N14264" s="11" t="str">
        <f t="shared" si="684"/>
        <v/>
      </c>
    </row>
    <row r="14265" spans="9:14" x14ac:dyDescent="0.25">
      <c r="I14265" s="11" t="b">
        <f t="shared" si="685"/>
        <v>0</v>
      </c>
      <c r="M14265" s="17" t="str">
        <f t="shared" si="683"/>
        <v/>
      </c>
      <c r="N14265" s="11" t="str">
        <f t="shared" si="684"/>
        <v/>
      </c>
    </row>
    <row r="14266" spans="9:14" x14ac:dyDescent="0.25">
      <c r="I14266" s="11" t="b">
        <f t="shared" si="685"/>
        <v>0</v>
      </c>
      <c r="M14266" s="17" t="str">
        <f t="shared" si="683"/>
        <v/>
      </c>
      <c r="N14266" s="11" t="str">
        <f t="shared" si="684"/>
        <v/>
      </c>
    </row>
    <row r="14267" spans="9:14" x14ac:dyDescent="0.25">
      <c r="I14267" s="11" t="b">
        <f t="shared" si="685"/>
        <v>0</v>
      </c>
      <c r="M14267" s="17" t="str">
        <f t="shared" si="683"/>
        <v/>
      </c>
      <c r="N14267" s="11" t="str">
        <f t="shared" si="684"/>
        <v/>
      </c>
    </row>
    <row r="14268" spans="9:14" x14ac:dyDescent="0.25">
      <c r="I14268" s="11" t="b">
        <f t="shared" si="685"/>
        <v>0</v>
      </c>
      <c r="M14268" s="17" t="str">
        <f t="shared" si="683"/>
        <v/>
      </c>
      <c r="N14268" s="11" t="str">
        <f t="shared" si="684"/>
        <v/>
      </c>
    </row>
    <row r="14269" spans="9:14" x14ac:dyDescent="0.25">
      <c r="I14269" s="11" t="b">
        <f t="shared" si="685"/>
        <v>0</v>
      </c>
      <c r="M14269" s="17" t="str">
        <f t="shared" si="683"/>
        <v/>
      </c>
      <c r="N14269" s="11" t="str">
        <f t="shared" si="684"/>
        <v/>
      </c>
    </row>
    <row r="14270" spans="9:14" x14ac:dyDescent="0.25">
      <c r="I14270" s="11" t="b">
        <f t="shared" si="685"/>
        <v>0</v>
      </c>
      <c r="M14270" s="17" t="str">
        <f t="shared" si="683"/>
        <v/>
      </c>
      <c r="N14270" s="11" t="str">
        <f t="shared" si="684"/>
        <v/>
      </c>
    </row>
    <row r="14271" spans="9:14" x14ac:dyDescent="0.25">
      <c r="I14271" s="11" t="b">
        <f t="shared" si="685"/>
        <v>0</v>
      </c>
      <c r="M14271" s="17" t="str">
        <f t="shared" si="683"/>
        <v/>
      </c>
      <c r="N14271" s="11" t="str">
        <f t="shared" si="684"/>
        <v/>
      </c>
    </row>
    <row r="14272" spans="9:14" x14ac:dyDescent="0.25">
      <c r="I14272" s="11" t="b">
        <f t="shared" si="685"/>
        <v>0</v>
      </c>
      <c r="M14272" s="17" t="str">
        <f t="shared" si="683"/>
        <v/>
      </c>
      <c r="N14272" s="11" t="str">
        <f t="shared" si="684"/>
        <v/>
      </c>
    </row>
    <row r="14273" spans="9:14" x14ac:dyDescent="0.25">
      <c r="I14273" s="11" t="b">
        <f t="shared" si="685"/>
        <v>0</v>
      </c>
      <c r="M14273" s="17" t="str">
        <f t="shared" ref="M14273:M14336" si="686">IF(B14273=0, "",M14272+ J14273-K14273)</f>
        <v/>
      </c>
      <c r="N14273" s="11" t="str">
        <f t="shared" ref="N14273:N14336" si="687">IF(B14273=0, "", MONTH(B14273))</f>
        <v/>
      </c>
    </row>
    <row r="14274" spans="9:14" x14ac:dyDescent="0.25">
      <c r="I14274" s="11" t="b">
        <f t="shared" si="685"/>
        <v>0</v>
      </c>
      <c r="M14274" s="17" t="str">
        <f t="shared" si="686"/>
        <v/>
      </c>
      <c r="N14274" s="11" t="str">
        <f t="shared" si="687"/>
        <v/>
      </c>
    </row>
    <row r="14275" spans="9:14" x14ac:dyDescent="0.25">
      <c r="I14275" s="11" t="b">
        <f t="shared" si="685"/>
        <v>0</v>
      </c>
      <c r="M14275" s="17" t="str">
        <f t="shared" si="686"/>
        <v/>
      </c>
      <c r="N14275" s="11" t="str">
        <f t="shared" si="687"/>
        <v/>
      </c>
    </row>
    <row r="14276" spans="9:14" x14ac:dyDescent="0.25">
      <c r="I14276" s="11" t="b">
        <f t="shared" si="685"/>
        <v>0</v>
      </c>
      <c r="M14276" s="17" t="str">
        <f t="shared" si="686"/>
        <v/>
      </c>
      <c r="N14276" s="11" t="str">
        <f t="shared" si="687"/>
        <v/>
      </c>
    </row>
    <row r="14277" spans="9:14" x14ac:dyDescent="0.25">
      <c r="I14277" s="11" t="b">
        <f t="shared" si="685"/>
        <v>0</v>
      </c>
      <c r="M14277" s="17" t="str">
        <f t="shared" si="686"/>
        <v/>
      </c>
      <c r="N14277" s="11" t="str">
        <f t="shared" si="687"/>
        <v/>
      </c>
    </row>
    <row r="14278" spans="9:14" x14ac:dyDescent="0.25">
      <c r="I14278" s="11" t="b">
        <f t="shared" si="685"/>
        <v>0</v>
      </c>
      <c r="M14278" s="17" t="str">
        <f t="shared" si="686"/>
        <v/>
      </c>
      <c r="N14278" s="11" t="str">
        <f t="shared" si="687"/>
        <v/>
      </c>
    </row>
    <row r="14279" spans="9:14" x14ac:dyDescent="0.25">
      <c r="I14279" s="11" t="b">
        <f t="shared" si="685"/>
        <v>0</v>
      </c>
      <c r="M14279" s="17" t="str">
        <f t="shared" si="686"/>
        <v/>
      </c>
      <c r="N14279" s="11" t="str">
        <f t="shared" si="687"/>
        <v/>
      </c>
    </row>
    <row r="14280" spans="9:14" x14ac:dyDescent="0.25">
      <c r="I14280" s="11" t="b">
        <f t="shared" si="685"/>
        <v>0</v>
      </c>
      <c r="M14280" s="17" t="str">
        <f t="shared" si="686"/>
        <v/>
      </c>
      <c r="N14280" s="11" t="str">
        <f t="shared" si="687"/>
        <v/>
      </c>
    </row>
    <row r="14281" spans="9:14" x14ac:dyDescent="0.25">
      <c r="I14281" s="11" t="b">
        <f t="shared" si="685"/>
        <v>0</v>
      </c>
      <c r="M14281" s="17" t="str">
        <f t="shared" si="686"/>
        <v/>
      </c>
      <c r="N14281" s="11" t="str">
        <f t="shared" si="687"/>
        <v/>
      </c>
    </row>
    <row r="14282" spans="9:14" x14ac:dyDescent="0.25">
      <c r="I14282" s="11" t="b">
        <f t="shared" si="685"/>
        <v>0</v>
      </c>
      <c r="M14282" s="17" t="str">
        <f t="shared" si="686"/>
        <v/>
      </c>
      <c r="N14282" s="11" t="str">
        <f t="shared" si="687"/>
        <v/>
      </c>
    </row>
    <row r="14283" spans="9:14" x14ac:dyDescent="0.25">
      <c r="I14283" s="11" t="b">
        <f t="shared" si="685"/>
        <v>0</v>
      </c>
      <c r="M14283" s="17" t="str">
        <f t="shared" si="686"/>
        <v/>
      </c>
      <c r="N14283" s="11" t="str">
        <f t="shared" si="687"/>
        <v/>
      </c>
    </row>
    <row r="14284" spans="9:14" x14ac:dyDescent="0.25">
      <c r="I14284" s="11" t="b">
        <f t="shared" si="685"/>
        <v>0</v>
      </c>
      <c r="M14284" s="17" t="str">
        <f t="shared" si="686"/>
        <v/>
      </c>
      <c r="N14284" s="11" t="str">
        <f t="shared" si="687"/>
        <v/>
      </c>
    </row>
    <row r="14285" spans="9:14" x14ac:dyDescent="0.25">
      <c r="I14285" s="11" t="b">
        <f t="shared" si="685"/>
        <v>0</v>
      </c>
      <c r="M14285" s="17" t="str">
        <f t="shared" si="686"/>
        <v/>
      </c>
      <c r="N14285" s="11" t="str">
        <f t="shared" si="687"/>
        <v/>
      </c>
    </row>
    <row r="14286" spans="9:14" x14ac:dyDescent="0.25">
      <c r="I14286" s="11" t="b">
        <f t="shared" si="685"/>
        <v>0</v>
      </c>
      <c r="M14286" s="17" t="str">
        <f t="shared" si="686"/>
        <v/>
      </c>
      <c r="N14286" s="11" t="str">
        <f t="shared" si="687"/>
        <v/>
      </c>
    </row>
    <row r="14287" spans="9:14" x14ac:dyDescent="0.25">
      <c r="I14287" s="11" t="b">
        <f t="shared" si="685"/>
        <v>0</v>
      </c>
      <c r="M14287" s="17" t="str">
        <f t="shared" si="686"/>
        <v/>
      </c>
      <c r="N14287" s="11" t="str">
        <f t="shared" si="687"/>
        <v/>
      </c>
    </row>
    <row r="14288" spans="9:14" x14ac:dyDescent="0.25">
      <c r="I14288" s="11" t="b">
        <f t="shared" si="685"/>
        <v>0</v>
      </c>
      <c r="M14288" s="17" t="str">
        <f t="shared" si="686"/>
        <v/>
      </c>
      <c r="N14288" s="11" t="str">
        <f t="shared" si="687"/>
        <v/>
      </c>
    </row>
    <row r="14289" spans="9:14" x14ac:dyDescent="0.25">
      <c r="I14289" s="11" t="b">
        <f t="shared" si="685"/>
        <v>0</v>
      </c>
      <c r="M14289" s="17" t="str">
        <f t="shared" si="686"/>
        <v/>
      </c>
      <c r="N14289" s="11" t="str">
        <f t="shared" si="687"/>
        <v/>
      </c>
    </row>
    <row r="14290" spans="9:14" x14ac:dyDescent="0.25">
      <c r="I14290" s="11" t="b">
        <f t="shared" si="685"/>
        <v>0</v>
      </c>
      <c r="M14290" s="17" t="str">
        <f t="shared" si="686"/>
        <v/>
      </c>
      <c r="N14290" s="11" t="str">
        <f t="shared" si="687"/>
        <v/>
      </c>
    </row>
    <row r="14291" spans="9:14" x14ac:dyDescent="0.25">
      <c r="I14291" s="11" t="b">
        <f t="shared" si="685"/>
        <v>0</v>
      </c>
      <c r="M14291" s="17" t="str">
        <f t="shared" si="686"/>
        <v/>
      </c>
      <c r="N14291" s="11" t="str">
        <f t="shared" si="687"/>
        <v/>
      </c>
    </row>
    <row r="14292" spans="9:14" x14ac:dyDescent="0.25">
      <c r="I14292" s="11" t="b">
        <f t="shared" si="685"/>
        <v>0</v>
      </c>
      <c r="M14292" s="17" t="str">
        <f t="shared" si="686"/>
        <v/>
      </c>
      <c r="N14292" s="11" t="str">
        <f t="shared" si="687"/>
        <v/>
      </c>
    </row>
    <row r="14293" spans="9:14" x14ac:dyDescent="0.25">
      <c r="I14293" s="11" t="b">
        <f t="shared" si="685"/>
        <v>0</v>
      </c>
      <c r="M14293" s="17" t="str">
        <f t="shared" si="686"/>
        <v/>
      </c>
      <c r="N14293" s="11" t="str">
        <f t="shared" si="687"/>
        <v/>
      </c>
    </row>
    <row r="14294" spans="9:14" x14ac:dyDescent="0.25">
      <c r="I14294" s="11" t="b">
        <f t="shared" si="685"/>
        <v>0</v>
      </c>
      <c r="M14294" s="17" t="str">
        <f t="shared" si="686"/>
        <v/>
      </c>
      <c r="N14294" s="11" t="str">
        <f t="shared" si="687"/>
        <v/>
      </c>
    </row>
    <row r="14295" spans="9:14" x14ac:dyDescent="0.25">
      <c r="I14295" s="11" t="b">
        <f t="shared" si="685"/>
        <v>0</v>
      </c>
      <c r="M14295" s="17" t="str">
        <f t="shared" si="686"/>
        <v/>
      </c>
      <c r="N14295" s="11" t="str">
        <f t="shared" si="687"/>
        <v/>
      </c>
    </row>
    <row r="14296" spans="9:14" x14ac:dyDescent="0.25">
      <c r="I14296" s="11" t="b">
        <f t="shared" si="685"/>
        <v>0</v>
      </c>
      <c r="M14296" s="17" t="str">
        <f t="shared" si="686"/>
        <v/>
      </c>
      <c r="N14296" s="11" t="str">
        <f t="shared" si="687"/>
        <v/>
      </c>
    </row>
    <row r="14297" spans="9:14" x14ac:dyDescent="0.25">
      <c r="I14297" s="11" t="b">
        <f t="shared" si="685"/>
        <v>0</v>
      </c>
      <c r="M14297" s="17" t="str">
        <f t="shared" si="686"/>
        <v/>
      </c>
      <c r="N14297" s="11" t="str">
        <f t="shared" si="687"/>
        <v/>
      </c>
    </row>
    <row r="14298" spans="9:14" x14ac:dyDescent="0.25">
      <c r="I14298" s="11" t="b">
        <f t="shared" si="685"/>
        <v>0</v>
      </c>
      <c r="M14298" s="17" t="str">
        <f t="shared" si="686"/>
        <v/>
      </c>
      <c r="N14298" s="11" t="str">
        <f t="shared" si="687"/>
        <v/>
      </c>
    </row>
    <row r="14299" spans="9:14" x14ac:dyDescent="0.25">
      <c r="I14299" s="11" t="b">
        <f t="shared" si="685"/>
        <v>0</v>
      </c>
      <c r="M14299" s="17" t="str">
        <f t="shared" si="686"/>
        <v/>
      </c>
      <c r="N14299" s="11" t="str">
        <f t="shared" si="687"/>
        <v/>
      </c>
    </row>
    <row r="14300" spans="9:14" x14ac:dyDescent="0.25">
      <c r="I14300" s="11" t="b">
        <f t="shared" si="685"/>
        <v>0</v>
      </c>
      <c r="M14300" s="17" t="str">
        <f t="shared" si="686"/>
        <v/>
      </c>
      <c r="N14300" s="11" t="str">
        <f t="shared" si="687"/>
        <v/>
      </c>
    </row>
    <row r="14301" spans="9:14" x14ac:dyDescent="0.25">
      <c r="I14301" s="11" t="b">
        <f t="shared" ref="I14301:I14364" si="688">IF(AND(G14301="MERCADO PAGO",A14301="FATURAMENTO"),1,IF(AND(OR(G14301="MERCADO PAGO",G14301="pix mercado pago",G14301= "débito automático mercado pago", G14301= "boleto mercado pago"),A14301="DESPESAS"),4,IF(AND(G14301="SAFRA",A14301="FATURAMENTO"),2,IF(AND(OR(G14301="SAFRA",G14301="PIX SAFRA", G14301="DÉBITO AUTOMÁTICO SAFRA", G14301= "BOLETO SAFRA", G14301= "transferência safra"), A14301="DESPESAS"),5,IF(AND(G14301="espécie",A14301="FATURAMENTO"),3,IF(AND(G14301="espécie",A14301="DESPESAS"),6))))))</f>
        <v>0</v>
      </c>
      <c r="M14301" s="17" t="str">
        <f t="shared" si="686"/>
        <v/>
      </c>
      <c r="N14301" s="11" t="str">
        <f t="shared" si="687"/>
        <v/>
      </c>
    </row>
    <row r="14302" spans="9:14" x14ac:dyDescent="0.25">
      <c r="I14302" s="11" t="b">
        <f t="shared" si="688"/>
        <v>0</v>
      </c>
      <c r="M14302" s="17" t="str">
        <f t="shared" si="686"/>
        <v/>
      </c>
      <c r="N14302" s="11" t="str">
        <f t="shared" si="687"/>
        <v/>
      </c>
    </row>
    <row r="14303" spans="9:14" x14ac:dyDescent="0.25">
      <c r="I14303" s="11" t="b">
        <f t="shared" si="688"/>
        <v>0</v>
      </c>
      <c r="M14303" s="17" t="str">
        <f t="shared" si="686"/>
        <v/>
      </c>
      <c r="N14303" s="11" t="str">
        <f t="shared" si="687"/>
        <v/>
      </c>
    </row>
    <row r="14304" spans="9:14" x14ac:dyDescent="0.25">
      <c r="I14304" s="11" t="b">
        <f t="shared" si="688"/>
        <v>0</v>
      </c>
      <c r="M14304" s="17" t="str">
        <f t="shared" si="686"/>
        <v/>
      </c>
      <c r="N14304" s="11" t="str">
        <f t="shared" si="687"/>
        <v/>
      </c>
    </row>
    <row r="14305" spans="9:14" x14ac:dyDescent="0.25">
      <c r="I14305" s="11" t="b">
        <f t="shared" si="688"/>
        <v>0</v>
      </c>
      <c r="M14305" s="17" t="str">
        <f t="shared" si="686"/>
        <v/>
      </c>
      <c r="N14305" s="11" t="str">
        <f t="shared" si="687"/>
        <v/>
      </c>
    </row>
    <row r="14306" spans="9:14" x14ac:dyDescent="0.25">
      <c r="I14306" s="11" t="b">
        <f t="shared" si="688"/>
        <v>0</v>
      </c>
      <c r="M14306" s="17" t="str">
        <f t="shared" si="686"/>
        <v/>
      </c>
      <c r="N14306" s="11" t="str">
        <f t="shared" si="687"/>
        <v/>
      </c>
    </row>
    <row r="14307" spans="9:14" x14ac:dyDescent="0.25">
      <c r="I14307" s="11" t="b">
        <f t="shared" si="688"/>
        <v>0</v>
      </c>
      <c r="M14307" s="17" t="str">
        <f t="shared" si="686"/>
        <v/>
      </c>
      <c r="N14307" s="11" t="str">
        <f t="shared" si="687"/>
        <v/>
      </c>
    </row>
    <row r="14308" spans="9:14" x14ac:dyDescent="0.25">
      <c r="I14308" s="11" t="b">
        <f t="shared" si="688"/>
        <v>0</v>
      </c>
      <c r="M14308" s="17" t="str">
        <f t="shared" si="686"/>
        <v/>
      </c>
      <c r="N14308" s="11" t="str">
        <f t="shared" si="687"/>
        <v/>
      </c>
    </row>
    <row r="14309" spans="9:14" x14ac:dyDescent="0.25">
      <c r="I14309" s="11" t="b">
        <f t="shared" si="688"/>
        <v>0</v>
      </c>
      <c r="M14309" s="17" t="str">
        <f t="shared" si="686"/>
        <v/>
      </c>
      <c r="N14309" s="11" t="str">
        <f t="shared" si="687"/>
        <v/>
      </c>
    </row>
    <row r="14310" spans="9:14" x14ac:dyDescent="0.25">
      <c r="I14310" s="11" t="b">
        <f t="shared" si="688"/>
        <v>0</v>
      </c>
      <c r="M14310" s="17" t="str">
        <f t="shared" si="686"/>
        <v/>
      </c>
      <c r="N14310" s="11" t="str">
        <f t="shared" si="687"/>
        <v/>
      </c>
    </row>
    <row r="14311" spans="9:14" x14ac:dyDescent="0.25">
      <c r="I14311" s="11" t="b">
        <f t="shared" si="688"/>
        <v>0</v>
      </c>
      <c r="M14311" s="17" t="str">
        <f t="shared" si="686"/>
        <v/>
      </c>
      <c r="N14311" s="11" t="str">
        <f t="shared" si="687"/>
        <v/>
      </c>
    </row>
    <row r="14312" spans="9:14" x14ac:dyDescent="0.25">
      <c r="I14312" s="11" t="b">
        <f t="shared" si="688"/>
        <v>0</v>
      </c>
      <c r="M14312" s="17" t="str">
        <f t="shared" si="686"/>
        <v/>
      </c>
      <c r="N14312" s="11" t="str">
        <f t="shared" si="687"/>
        <v/>
      </c>
    </row>
    <row r="14313" spans="9:14" x14ac:dyDescent="0.25">
      <c r="I14313" s="11" t="b">
        <f t="shared" si="688"/>
        <v>0</v>
      </c>
      <c r="M14313" s="17" t="str">
        <f t="shared" si="686"/>
        <v/>
      </c>
      <c r="N14313" s="11" t="str">
        <f t="shared" si="687"/>
        <v/>
      </c>
    </row>
    <row r="14314" spans="9:14" x14ac:dyDescent="0.25">
      <c r="I14314" s="11" t="b">
        <f t="shared" si="688"/>
        <v>0</v>
      </c>
      <c r="M14314" s="17" t="str">
        <f t="shared" si="686"/>
        <v/>
      </c>
      <c r="N14314" s="11" t="str">
        <f t="shared" si="687"/>
        <v/>
      </c>
    </row>
    <row r="14315" spans="9:14" x14ac:dyDescent="0.25">
      <c r="I14315" s="11" t="b">
        <f t="shared" si="688"/>
        <v>0</v>
      </c>
      <c r="M14315" s="17" t="str">
        <f t="shared" si="686"/>
        <v/>
      </c>
      <c r="N14315" s="11" t="str">
        <f t="shared" si="687"/>
        <v/>
      </c>
    </row>
    <row r="14316" spans="9:14" x14ac:dyDescent="0.25">
      <c r="I14316" s="11" t="b">
        <f t="shared" si="688"/>
        <v>0</v>
      </c>
      <c r="M14316" s="17" t="str">
        <f t="shared" si="686"/>
        <v/>
      </c>
      <c r="N14316" s="11" t="str">
        <f t="shared" si="687"/>
        <v/>
      </c>
    </row>
    <row r="14317" spans="9:14" x14ac:dyDescent="0.25">
      <c r="I14317" s="11" t="b">
        <f t="shared" si="688"/>
        <v>0</v>
      </c>
      <c r="M14317" s="17" t="str">
        <f t="shared" si="686"/>
        <v/>
      </c>
      <c r="N14317" s="11" t="str">
        <f t="shared" si="687"/>
        <v/>
      </c>
    </row>
    <row r="14318" spans="9:14" x14ac:dyDescent="0.25">
      <c r="I14318" s="11" t="b">
        <f t="shared" si="688"/>
        <v>0</v>
      </c>
      <c r="M14318" s="17" t="str">
        <f t="shared" si="686"/>
        <v/>
      </c>
      <c r="N14318" s="11" t="str">
        <f t="shared" si="687"/>
        <v/>
      </c>
    </row>
    <row r="14319" spans="9:14" x14ac:dyDescent="0.25">
      <c r="I14319" s="11" t="b">
        <f t="shared" si="688"/>
        <v>0</v>
      </c>
      <c r="M14319" s="17" t="str">
        <f t="shared" si="686"/>
        <v/>
      </c>
      <c r="N14319" s="11" t="str">
        <f t="shared" si="687"/>
        <v/>
      </c>
    </row>
    <row r="14320" spans="9:14" x14ac:dyDescent="0.25">
      <c r="I14320" s="11" t="b">
        <f t="shared" si="688"/>
        <v>0</v>
      </c>
      <c r="M14320" s="17" t="str">
        <f t="shared" si="686"/>
        <v/>
      </c>
      <c r="N14320" s="11" t="str">
        <f t="shared" si="687"/>
        <v/>
      </c>
    </row>
    <row r="14321" spans="9:14" x14ac:dyDescent="0.25">
      <c r="I14321" s="11" t="b">
        <f t="shared" si="688"/>
        <v>0</v>
      </c>
      <c r="M14321" s="17" t="str">
        <f t="shared" si="686"/>
        <v/>
      </c>
      <c r="N14321" s="11" t="str">
        <f t="shared" si="687"/>
        <v/>
      </c>
    </row>
    <row r="14322" spans="9:14" x14ac:dyDescent="0.25">
      <c r="I14322" s="11" t="b">
        <f t="shared" si="688"/>
        <v>0</v>
      </c>
      <c r="M14322" s="17" t="str">
        <f t="shared" si="686"/>
        <v/>
      </c>
      <c r="N14322" s="11" t="str">
        <f t="shared" si="687"/>
        <v/>
      </c>
    </row>
    <row r="14323" spans="9:14" x14ac:dyDescent="0.25">
      <c r="I14323" s="11" t="b">
        <f t="shared" si="688"/>
        <v>0</v>
      </c>
      <c r="M14323" s="17" t="str">
        <f t="shared" si="686"/>
        <v/>
      </c>
      <c r="N14323" s="11" t="str">
        <f t="shared" si="687"/>
        <v/>
      </c>
    </row>
    <row r="14324" spans="9:14" x14ac:dyDescent="0.25">
      <c r="I14324" s="11" t="b">
        <f t="shared" si="688"/>
        <v>0</v>
      </c>
      <c r="M14324" s="17" t="str">
        <f t="shared" si="686"/>
        <v/>
      </c>
      <c r="N14324" s="11" t="str">
        <f t="shared" si="687"/>
        <v/>
      </c>
    </row>
    <row r="14325" spans="9:14" x14ac:dyDescent="0.25">
      <c r="I14325" s="11" t="b">
        <f t="shared" si="688"/>
        <v>0</v>
      </c>
      <c r="M14325" s="17" t="str">
        <f t="shared" si="686"/>
        <v/>
      </c>
      <c r="N14325" s="11" t="str">
        <f t="shared" si="687"/>
        <v/>
      </c>
    </row>
    <row r="14326" spans="9:14" x14ac:dyDescent="0.25">
      <c r="I14326" s="11" t="b">
        <f t="shared" si="688"/>
        <v>0</v>
      </c>
      <c r="M14326" s="17" t="str">
        <f t="shared" si="686"/>
        <v/>
      </c>
      <c r="N14326" s="11" t="str">
        <f t="shared" si="687"/>
        <v/>
      </c>
    </row>
    <row r="14327" spans="9:14" x14ac:dyDescent="0.25">
      <c r="I14327" s="11" t="b">
        <f t="shared" si="688"/>
        <v>0</v>
      </c>
      <c r="M14327" s="17" t="str">
        <f t="shared" si="686"/>
        <v/>
      </c>
      <c r="N14327" s="11" t="str">
        <f t="shared" si="687"/>
        <v/>
      </c>
    </row>
    <row r="14328" spans="9:14" x14ac:dyDescent="0.25">
      <c r="I14328" s="11" t="b">
        <f t="shared" si="688"/>
        <v>0</v>
      </c>
      <c r="M14328" s="17" t="str">
        <f t="shared" si="686"/>
        <v/>
      </c>
      <c r="N14328" s="11" t="str">
        <f t="shared" si="687"/>
        <v/>
      </c>
    </row>
    <row r="14329" spans="9:14" x14ac:dyDescent="0.25">
      <c r="I14329" s="11" t="b">
        <f t="shared" si="688"/>
        <v>0</v>
      </c>
      <c r="M14329" s="17" t="str">
        <f t="shared" si="686"/>
        <v/>
      </c>
      <c r="N14329" s="11" t="str">
        <f t="shared" si="687"/>
        <v/>
      </c>
    </row>
    <row r="14330" spans="9:14" x14ac:dyDescent="0.25">
      <c r="I14330" s="11" t="b">
        <f t="shared" si="688"/>
        <v>0</v>
      </c>
      <c r="M14330" s="17" t="str">
        <f t="shared" si="686"/>
        <v/>
      </c>
      <c r="N14330" s="11" t="str">
        <f t="shared" si="687"/>
        <v/>
      </c>
    </row>
    <row r="14331" spans="9:14" x14ac:dyDescent="0.25">
      <c r="I14331" s="11" t="b">
        <f t="shared" si="688"/>
        <v>0</v>
      </c>
      <c r="M14331" s="17" t="str">
        <f t="shared" si="686"/>
        <v/>
      </c>
      <c r="N14331" s="11" t="str">
        <f t="shared" si="687"/>
        <v/>
      </c>
    </row>
    <row r="14332" spans="9:14" x14ac:dyDescent="0.25">
      <c r="I14332" s="11" t="b">
        <f t="shared" si="688"/>
        <v>0</v>
      </c>
      <c r="M14332" s="17" t="str">
        <f t="shared" si="686"/>
        <v/>
      </c>
      <c r="N14332" s="11" t="str">
        <f t="shared" si="687"/>
        <v/>
      </c>
    </row>
    <row r="14333" spans="9:14" x14ac:dyDescent="0.25">
      <c r="I14333" s="11" t="b">
        <f t="shared" si="688"/>
        <v>0</v>
      </c>
      <c r="M14333" s="17" t="str">
        <f t="shared" si="686"/>
        <v/>
      </c>
      <c r="N14333" s="11" t="str">
        <f t="shared" si="687"/>
        <v/>
      </c>
    </row>
    <row r="14334" spans="9:14" x14ac:dyDescent="0.25">
      <c r="I14334" s="11" t="b">
        <f t="shared" si="688"/>
        <v>0</v>
      </c>
      <c r="M14334" s="17" t="str">
        <f t="shared" si="686"/>
        <v/>
      </c>
      <c r="N14334" s="11" t="str">
        <f t="shared" si="687"/>
        <v/>
      </c>
    </row>
    <row r="14335" spans="9:14" x14ac:dyDescent="0.25">
      <c r="I14335" s="11" t="b">
        <f t="shared" si="688"/>
        <v>0</v>
      </c>
      <c r="M14335" s="17" t="str">
        <f t="shared" si="686"/>
        <v/>
      </c>
      <c r="N14335" s="11" t="str">
        <f t="shared" si="687"/>
        <v/>
      </c>
    </row>
    <row r="14336" spans="9:14" x14ac:dyDescent="0.25">
      <c r="I14336" s="11" t="b">
        <f t="shared" si="688"/>
        <v>0</v>
      </c>
      <c r="M14336" s="17" t="str">
        <f t="shared" si="686"/>
        <v/>
      </c>
      <c r="N14336" s="11" t="str">
        <f t="shared" si="687"/>
        <v/>
      </c>
    </row>
    <row r="14337" spans="9:14" x14ac:dyDescent="0.25">
      <c r="I14337" s="11" t="b">
        <f t="shared" si="688"/>
        <v>0</v>
      </c>
      <c r="M14337" s="17" t="str">
        <f t="shared" ref="M14337:M14400" si="689">IF(B14337=0, "",M14336+ J14337-K14337)</f>
        <v/>
      </c>
      <c r="N14337" s="11" t="str">
        <f t="shared" ref="N14337:N14400" si="690">IF(B14337=0, "", MONTH(B14337))</f>
        <v/>
      </c>
    </row>
    <row r="14338" spans="9:14" x14ac:dyDescent="0.25">
      <c r="I14338" s="11" t="b">
        <f t="shared" si="688"/>
        <v>0</v>
      </c>
      <c r="M14338" s="17" t="str">
        <f t="shared" si="689"/>
        <v/>
      </c>
      <c r="N14338" s="11" t="str">
        <f t="shared" si="690"/>
        <v/>
      </c>
    </row>
    <row r="14339" spans="9:14" x14ac:dyDescent="0.25">
      <c r="I14339" s="11" t="b">
        <f t="shared" si="688"/>
        <v>0</v>
      </c>
      <c r="M14339" s="17" t="str">
        <f t="shared" si="689"/>
        <v/>
      </c>
      <c r="N14339" s="11" t="str">
        <f t="shared" si="690"/>
        <v/>
      </c>
    </row>
    <row r="14340" spans="9:14" x14ac:dyDescent="0.25">
      <c r="I14340" s="11" t="b">
        <f t="shared" si="688"/>
        <v>0</v>
      </c>
      <c r="M14340" s="17" t="str">
        <f t="shared" si="689"/>
        <v/>
      </c>
      <c r="N14340" s="11" t="str">
        <f t="shared" si="690"/>
        <v/>
      </c>
    </row>
    <row r="14341" spans="9:14" x14ac:dyDescent="0.25">
      <c r="I14341" s="11" t="b">
        <f t="shared" si="688"/>
        <v>0</v>
      </c>
      <c r="M14341" s="17" t="str">
        <f t="shared" si="689"/>
        <v/>
      </c>
      <c r="N14341" s="11" t="str">
        <f t="shared" si="690"/>
        <v/>
      </c>
    </row>
    <row r="14342" spans="9:14" x14ac:dyDescent="0.25">
      <c r="I14342" s="11" t="b">
        <f t="shared" si="688"/>
        <v>0</v>
      </c>
      <c r="M14342" s="17" t="str">
        <f t="shared" si="689"/>
        <v/>
      </c>
      <c r="N14342" s="11" t="str">
        <f t="shared" si="690"/>
        <v/>
      </c>
    </row>
    <row r="14343" spans="9:14" x14ac:dyDescent="0.25">
      <c r="I14343" s="11" t="b">
        <f t="shared" si="688"/>
        <v>0</v>
      </c>
      <c r="M14343" s="17" t="str">
        <f t="shared" si="689"/>
        <v/>
      </c>
      <c r="N14343" s="11" t="str">
        <f t="shared" si="690"/>
        <v/>
      </c>
    </row>
    <row r="14344" spans="9:14" x14ac:dyDescent="0.25">
      <c r="I14344" s="11" t="b">
        <f t="shared" si="688"/>
        <v>0</v>
      </c>
      <c r="M14344" s="17" t="str">
        <f t="shared" si="689"/>
        <v/>
      </c>
      <c r="N14344" s="11" t="str">
        <f t="shared" si="690"/>
        <v/>
      </c>
    </row>
    <row r="14345" spans="9:14" x14ac:dyDescent="0.25">
      <c r="I14345" s="11" t="b">
        <f t="shared" si="688"/>
        <v>0</v>
      </c>
      <c r="M14345" s="17" t="str">
        <f t="shared" si="689"/>
        <v/>
      </c>
      <c r="N14345" s="11" t="str">
        <f t="shared" si="690"/>
        <v/>
      </c>
    </row>
    <row r="14346" spans="9:14" x14ac:dyDescent="0.25">
      <c r="I14346" s="11" t="b">
        <f t="shared" si="688"/>
        <v>0</v>
      </c>
      <c r="M14346" s="17" t="str">
        <f t="shared" si="689"/>
        <v/>
      </c>
      <c r="N14346" s="11" t="str">
        <f t="shared" si="690"/>
        <v/>
      </c>
    </row>
    <row r="14347" spans="9:14" x14ac:dyDescent="0.25">
      <c r="I14347" s="11" t="b">
        <f t="shared" si="688"/>
        <v>0</v>
      </c>
      <c r="M14347" s="17" t="str">
        <f t="shared" si="689"/>
        <v/>
      </c>
      <c r="N14347" s="11" t="str">
        <f t="shared" si="690"/>
        <v/>
      </c>
    </row>
    <row r="14348" spans="9:14" x14ac:dyDescent="0.25">
      <c r="I14348" s="11" t="b">
        <f t="shared" si="688"/>
        <v>0</v>
      </c>
      <c r="M14348" s="17" t="str">
        <f t="shared" si="689"/>
        <v/>
      </c>
      <c r="N14348" s="11" t="str">
        <f t="shared" si="690"/>
        <v/>
      </c>
    </row>
    <row r="14349" spans="9:14" x14ac:dyDescent="0.25">
      <c r="I14349" s="11" t="b">
        <f t="shared" si="688"/>
        <v>0</v>
      </c>
      <c r="M14349" s="17" t="str">
        <f t="shared" si="689"/>
        <v/>
      </c>
      <c r="N14349" s="11" t="str">
        <f t="shared" si="690"/>
        <v/>
      </c>
    </row>
    <row r="14350" spans="9:14" x14ac:dyDescent="0.25">
      <c r="I14350" s="11" t="b">
        <f t="shared" si="688"/>
        <v>0</v>
      </c>
      <c r="M14350" s="17" t="str">
        <f t="shared" si="689"/>
        <v/>
      </c>
      <c r="N14350" s="11" t="str">
        <f t="shared" si="690"/>
        <v/>
      </c>
    </row>
    <row r="14351" spans="9:14" x14ac:dyDescent="0.25">
      <c r="I14351" s="11" t="b">
        <f t="shared" si="688"/>
        <v>0</v>
      </c>
      <c r="M14351" s="17" t="str">
        <f t="shared" si="689"/>
        <v/>
      </c>
      <c r="N14351" s="11" t="str">
        <f t="shared" si="690"/>
        <v/>
      </c>
    </row>
    <row r="14352" spans="9:14" x14ac:dyDescent="0.25">
      <c r="I14352" s="11" t="b">
        <f t="shared" si="688"/>
        <v>0</v>
      </c>
      <c r="M14352" s="17" t="str">
        <f t="shared" si="689"/>
        <v/>
      </c>
      <c r="N14352" s="11" t="str">
        <f t="shared" si="690"/>
        <v/>
      </c>
    </row>
    <row r="14353" spans="9:14" x14ac:dyDescent="0.25">
      <c r="I14353" s="11" t="b">
        <f t="shared" si="688"/>
        <v>0</v>
      </c>
      <c r="M14353" s="17" t="str">
        <f t="shared" si="689"/>
        <v/>
      </c>
      <c r="N14353" s="11" t="str">
        <f t="shared" si="690"/>
        <v/>
      </c>
    </row>
    <row r="14354" spans="9:14" x14ac:dyDescent="0.25">
      <c r="I14354" s="11" t="b">
        <f t="shared" si="688"/>
        <v>0</v>
      </c>
      <c r="M14354" s="17" t="str">
        <f t="shared" si="689"/>
        <v/>
      </c>
      <c r="N14354" s="11" t="str">
        <f t="shared" si="690"/>
        <v/>
      </c>
    </row>
    <row r="14355" spans="9:14" x14ac:dyDescent="0.25">
      <c r="I14355" s="11" t="b">
        <f t="shared" si="688"/>
        <v>0</v>
      </c>
      <c r="M14355" s="17" t="str">
        <f t="shared" si="689"/>
        <v/>
      </c>
      <c r="N14355" s="11" t="str">
        <f t="shared" si="690"/>
        <v/>
      </c>
    </row>
    <row r="14356" spans="9:14" x14ac:dyDescent="0.25">
      <c r="I14356" s="11" t="b">
        <f t="shared" si="688"/>
        <v>0</v>
      </c>
      <c r="M14356" s="17" t="str">
        <f t="shared" si="689"/>
        <v/>
      </c>
      <c r="N14356" s="11" t="str">
        <f t="shared" si="690"/>
        <v/>
      </c>
    </row>
    <row r="14357" spans="9:14" x14ac:dyDescent="0.25">
      <c r="I14357" s="11" t="b">
        <f t="shared" si="688"/>
        <v>0</v>
      </c>
      <c r="M14357" s="17" t="str">
        <f t="shared" si="689"/>
        <v/>
      </c>
      <c r="N14357" s="11" t="str">
        <f t="shared" si="690"/>
        <v/>
      </c>
    </row>
    <row r="14358" spans="9:14" x14ac:dyDescent="0.25">
      <c r="I14358" s="11" t="b">
        <f t="shared" si="688"/>
        <v>0</v>
      </c>
      <c r="M14358" s="17" t="str">
        <f t="shared" si="689"/>
        <v/>
      </c>
      <c r="N14358" s="11" t="str">
        <f t="shared" si="690"/>
        <v/>
      </c>
    </row>
    <row r="14359" spans="9:14" x14ac:dyDescent="0.25">
      <c r="I14359" s="11" t="b">
        <f t="shared" si="688"/>
        <v>0</v>
      </c>
      <c r="M14359" s="17" t="str">
        <f t="shared" si="689"/>
        <v/>
      </c>
      <c r="N14359" s="11" t="str">
        <f t="shared" si="690"/>
        <v/>
      </c>
    </row>
    <row r="14360" spans="9:14" x14ac:dyDescent="0.25">
      <c r="I14360" s="11" t="b">
        <f t="shared" si="688"/>
        <v>0</v>
      </c>
      <c r="M14360" s="17" t="str">
        <f t="shared" si="689"/>
        <v/>
      </c>
      <c r="N14360" s="11" t="str">
        <f t="shared" si="690"/>
        <v/>
      </c>
    </row>
    <row r="14361" spans="9:14" x14ac:dyDescent="0.25">
      <c r="I14361" s="11" t="b">
        <f t="shared" si="688"/>
        <v>0</v>
      </c>
      <c r="M14361" s="17" t="str">
        <f t="shared" si="689"/>
        <v/>
      </c>
      <c r="N14361" s="11" t="str">
        <f t="shared" si="690"/>
        <v/>
      </c>
    </row>
    <row r="14362" spans="9:14" x14ac:dyDescent="0.25">
      <c r="I14362" s="11" t="b">
        <f t="shared" si="688"/>
        <v>0</v>
      </c>
      <c r="M14362" s="17" t="str">
        <f t="shared" si="689"/>
        <v/>
      </c>
      <c r="N14362" s="11" t="str">
        <f t="shared" si="690"/>
        <v/>
      </c>
    </row>
    <row r="14363" spans="9:14" x14ac:dyDescent="0.25">
      <c r="I14363" s="11" t="b">
        <f t="shared" si="688"/>
        <v>0</v>
      </c>
      <c r="M14363" s="17" t="str">
        <f t="shared" si="689"/>
        <v/>
      </c>
      <c r="N14363" s="11" t="str">
        <f t="shared" si="690"/>
        <v/>
      </c>
    </row>
    <row r="14364" spans="9:14" x14ac:dyDescent="0.25">
      <c r="I14364" s="11" t="b">
        <f t="shared" si="688"/>
        <v>0</v>
      </c>
      <c r="M14364" s="17" t="str">
        <f t="shared" si="689"/>
        <v/>
      </c>
      <c r="N14364" s="11" t="str">
        <f t="shared" si="690"/>
        <v/>
      </c>
    </row>
    <row r="14365" spans="9:14" x14ac:dyDescent="0.25">
      <c r="I14365" s="11" t="b">
        <f t="shared" ref="I14365:I14428" si="691">IF(AND(G14365="MERCADO PAGO",A14365="FATURAMENTO"),1,IF(AND(OR(G14365="MERCADO PAGO",G14365="pix mercado pago",G14365= "débito automático mercado pago", G14365= "boleto mercado pago"),A14365="DESPESAS"),4,IF(AND(G14365="SAFRA",A14365="FATURAMENTO"),2,IF(AND(OR(G14365="SAFRA",G14365="PIX SAFRA", G14365="DÉBITO AUTOMÁTICO SAFRA", G14365= "BOLETO SAFRA", G14365= "transferência safra"), A14365="DESPESAS"),5,IF(AND(G14365="espécie",A14365="FATURAMENTO"),3,IF(AND(G14365="espécie",A14365="DESPESAS"),6))))))</f>
        <v>0</v>
      </c>
      <c r="M14365" s="17" t="str">
        <f t="shared" si="689"/>
        <v/>
      </c>
      <c r="N14365" s="11" t="str">
        <f t="shared" si="690"/>
        <v/>
      </c>
    </row>
    <row r="14366" spans="9:14" x14ac:dyDescent="0.25">
      <c r="I14366" s="11" t="b">
        <f t="shared" si="691"/>
        <v>0</v>
      </c>
      <c r="M14366" s="17" t="str">
        <f t="shared" si="689"/>
        <v/>
      </c>
      <c r="N14366" s="11" t="str">
        <f t="shared" si="690"/>
        <v/>
      </c>
    </row>
    <row r="14367" spans="9:14" x14ac:dyDescent="0.25">
      <c r="I14367" s="11" t="b">
        <f t="shared" si="691"/>
        <v>0</v>
      </c>
      <c r="M14367" s="17" t="str">
        <f t="shared" si="689"/>
        <v/>
      </c>
      <c r="N14367" s="11" t="str">
        <f t="shared" si="690"/>
        <v/>
      </c>
    </row>
    <row r="14368" spans="9:14" x14ac:dyDescent="0.25">
      <c r="I14368" s="11" t="b">
        <f t="shared" si="691"/>
        <v>0</v>
      </c>
      <c r="M14368" s="17" t="str">
        <f t="shared" si="689"/>
        <v/>
      </c>
      <c r="N14368" s="11" t="str">
        <f t="shared" si="690"/>
        <v/>
      </c>
    </row>
    <row r="14369" spans="9:14" x14ac:dyDescent="0.25">
      <c r="I14369" s="11" t="b">
        <f t="shared" si="691"/>
        <v>0</v>
      </c>
      <c r="M14369" s="17" t="str">
        <f t="shared" si="689"/>
        <v/>
      </c>
      <c r="N14369" s="11" t="str">
        <f t="shared" si="690"/>
        <v/>
      </c>
    </row>
    <row r="14370" spans="9:14" x14ac:dyDescent="0.25">
      <c r="I14370" s="11" t="b">
        <f t="shared" si="691"/>
        <v>0</v>
      </c>
      <c r="M14370" s="17" t="str">
        <f t="shared" si="689"/>
        <v/>
      </c>
      <c r="N14370" s="11" t="str">
        <f t="shared" si="690"/>
        <v/>
      </c>
    </row>
    <row r="14371" spans="9:14" x14ac:dyDescent="0.25">
      <c r="I14371" s="11" t="b">
        <f t="shared" si="691"/>
        <v>0</v>
      </c>
      <c r="M14371" s="17" t="str">
        <f t="shared" si="689"/>
        <v/>
      </c>
      <c r="N14371" s="11" t="str">
        <f t="shared" si="690"/>
        <v/>
      </c>
    </row>
    <row r="14372" spans="9:14" x14ac:dyDescent="0.25">
      <c r="I14372" s="11" t="b">
        <f t="shared" si="691"/>
        <v>0</v>
      </c>
      <c r="M14372" s="17" t="str">
        <f t="shared" si="689"/>
        <v/>
      </c>
      <c r="N14372" s="11" t="str">
        <f t="shared" si="690"/>
        <v/>
      </c>
    </row>
    <row r="14373" spans="9:14" x14ac:dyDescent="0.25">
      <c r="I14373" s="11" t="b">
        <f t="shared" si="691"/>
        <v>0</v>
      </c>
      <c r="M14373" s="17" t="str">
        <f t="shared" si="689"/>
        <v/>
      </c>
      <c r="N14373" s="11" t="str">
        <f t="shared" si="690"/>
        <v/>
      </c>
    </row>
    <row r="14374" spans="9:14" x14ac:dyDescent="0.25">
      <c r="I14374" s="11" t="b">
        <f t="shared" si="691"/>
        <v>0</v>
      </c>
      <c r="M14374" s="17" t="str">
        <f t="shared" si="689"/>
        <v/>
      </c>
      <c r="N14374" s="11" t="str">
        <f t="shared" si="690"/>
        <v/>
      </c>
    </row>
    <row r="14375" spans="9:14" x14ac:dyDescent="0.25">
      <c r="I14375" s="11" t="b">
        <f t="shared" si="691"/>
        <v>0</v>
      </c>
      <c r="M14375" s="17" t="str">
        <f t="shared" si="689"/>
        <v/>
      </c>
      <c r="N14375" s="11" t="str">
        <f t="shared" si="690"/>
        <v/>
      </c>
    </row>
    <row r="14376" spans="9:14" x14ac:dyDescent="0.25">
      <c r="I14376" s="11" t="b">
        <f t="shared" si="691"/>
        <v>0</v>
      </c>
      <c r="M14376" s="17" t="str">
        <f t="shared" si="689"/>
        <v/>
      </c>
      <c r="N14376" s="11" t="str">
        <f t="shared" si="690"/>
        <v/>
      </c>
    </row>
    <row r="14377" spans="9:14" x14ac:dyDescent="0.25">
      <c r="I14377" s="11" t="b">
        <f t="shared" si="691"/>
        <v>0</v>
      </c>
      <c r="M14377" s="17" t="str">
        <f t="shared" si="689"/>
        <v/>
      </c>
      <c r="N14377" s="11" t="str">
        <f t="shared" si="690"/>
        <v/>
      </c>
    </row>
    <row r="14378" spans="9:14" x14ac:dyDescent="0.25">
      <c r="I14378" s="11" t="b">
        <f t="shared" si="691"/>
        <v>0</v>
      </c>
      <c r="M14378" s="17" t="str">
        <f t="shared" si="689"/>
        <v/>
      </c>
      <c r="N14378" s="11" t="str">
        <f t="shared" si="690"/>
        <v/>
      </c>
    </row>
    <row r="14379" spans="9:14" x14ac:dyDescent="0.25">
      <c r="I14379" s="11" t="b">
        <f t="shared" si="691"/>
        <v>0</v>
      </c>
      <c r="M14379" s="17" t="str">
        <f t="shared" si="689"/>
        <v/>
      </c>
      <c r="N14379" s="11" t="str">
        <f t="shared" si="690"/>
        <v/>
      </c>
    </row>
    <row r="14380" spans="9:14" x14ac:dyDescent="0.25">
      <c r="I14380" s="11" t="b">
        <f t="shared" si="691"/>
        <v>0</v>
      </c>
      <c r="M14380" s="17" t="str">
        <f t="shared" si="689"/>
        <v/>
      </c>
      <c r="N14380" s="11" t="str">
        <f t="shared" si="690"/>
        <v/>
      </c>
    </row>
    <row r="14381" spans="9:14" x14ac:dyDescent="0.25">
      <c r="I14381" s="11" t="b">
        <f t="shared" si="691"/>
        <v>0</v>
      </c>
      <c r="M14381" s="17" t="str">
        <f t="shared" si="689"/>
        <v/>
      </c>
      <c r="N14381" s="11" t="str">
        <f t="shared" si="690"/>
        <v/>
      </c>
    </row>
    <row r="14382" spans="9:14" x14ac:dyDescent="0.25">
      <c r="I14382" s="11" t="b">
        <f t="shared" si="691"/>
        <v>0</v>
      </c>
      <c r="M14382" s="17" t="str">
        <f t="shared" si="689"/>
        <v/>
      </c>
      <c r="N14382" s="11" t="str">
        <f t="shared" si="690"/>
        <v/>
      </c>
    </row>
    <row r="14383" spans="9:14" x14ac:dyDescent="0.25">
      <c r="I14383" s="11" t="b">
        <f t="shared" si="691"/>
        <v>0</v>
      </c>
      <c r="M14383" s="17" t="str">
        <f t="shared" si="689"/>
        <v/>
      </c>
      <c r="N14383" s="11" t="str">
        <f t="shared" si="690"/>
        <v/>
      </c>
    </row>
    <row r="14384" spans="9:14" x14ac:dyDescent="0.25">
      <c r="I14384" s="11" t="b">
        <f t="shared" si="691"/>
        <v>0</v>
      </c>
      <c r="M14384" s="17" t="str">
        <f t="shared" si="689"/>
        <v/>
      </c>
      <c r="N14384" s="11" t="str">
        <f t="shared" si="690"/>
        <v/>
      </c>
    </row>
    <row r="14385" spans="9:14" x14ac:dyDescent="0.25">
      <c r="I14385" s="11" t="b">
        <f t="shared" si="691"/>
        <v>0</v>
      </c>
      <c r="M14385" s="17" t="str">
        <f t="shared" si="689"/>
        <v/>
      </c>
      <c r="N14385" s="11" t="str">
        <f t="shared" si="690"/>
        <v/>
      </c>
    </row>
    <row r="14386" spans="9:14" x14ac:dyDescent="0.25">
      <c r="I14386" s="11" t="b">
        <f t="shared" si="691"/>
        <v>0</v>
      </c>
      <c r="M14386" s="17" t="str">
        <f t="shared" si="689"/>
        <v/>
      </c>
      <c r="N14386" s="11" t="str">
        <f t="shared" si="690"/>
        <v/>
      </c>
    </row>
    <row r="14387" spans="9:14" x14ac:dyDescent="0.25">
      <c r="I14387" s="11" t="b">
        <f t="shared" si="691"/>
        <v>0</v>
      </c>
      <c r="M14387" s="17" t="str">
        <f t="shared" si="689"/>
        <v/>
      </c>
      <c r="N14387" s="11" t="str">
        <f t="shared" si="690"/>
        <v/>
      </c>
    </row>
    <row r="14388" spans="9:14" x14ac:dyDescent="0.25">
      <c r="I14388" s="11" t="b">
        <f t="shared" si="691"/>
        <v>0</v>
      </c>
      <c r="M14388" s="17" t="str">
        <f t="shared" si="689"/>
        <v/>
      </c>
      <c r="N14388" s="11" t="str">
        <f t="shared" si="690"/>
        <v/>
      </c>
    </row>
    <row r="14389" spans="9:14" x14ac:dyDescent="0.25">
      <c r="I14389" s="11" t="b">
        <f t="shared" si="691"/>
        <v>0</v>
      </c>
      <c r="M14389" s="17" t="str">
        <f t="shared" si="689"/>
        <v/>
      </c>
      <c r="N14389" s="11" t="str">
        <f t="shared" si="690"/>
        <v/>
      </c>
    </row>
    <row r="14390" spans="9:14" x14ac:dyDescent="0.25">
      <c r="I14390" s="11" t="b">
        <f t="shared" si="691"/>
        <v>0</v>
      </c>
      <c r="M14390" s="17" t="str">
        <f t="shared" si="689"/>
        <v/>
      </c>
      <c r="N14390" s="11" t="str">
        <f t="shared" si="690"/>
        <v/>
      </c>
    </row>
    <row r="14391" spans="9:14" x14ac:dyDescent="0.25">
      <c r="I14391" s="11" t="b">
        <f t="shared" si="691"/>
        <v>0</v>
      </c>
      <c r="M14391" s="17" t="str">
        <f t="shared" si="689"/>
        <v/>
      </c>
      <c r="N14391" s="11" t="str">
        <f t="shared" si="690"/>
        <v/>
      </c>
    </row>
    <row r="14392" spans="9:14" x14ac:dyDescent="0.25">
      <c r="I14392" s="11" t="b">
        <f t="shared" si="691"/>
        <v>0</v>
      </c>
      <c r="M14392" s="17" t="str">
        <f t="shared" si="689"/>
        <v/>
      </c>
      <c r="N14392" s="11" t="str">
        <f t="shared" si="690"/>
        <v/>
      </c>
    </row>
    <row r="14393" spans="9:14" x14ac:dyDescent="0.25">
      <c r="I14393" s="11" t="b">
        <f t="shared" si="691"/>
        <v>0</v>
      </c>
      <c r="M14393" s="17" t="str">
        <f t="shared" si="689"/>
        <v/>
      </c>
      <c r="N14393" s="11" t="str">
        <f t="shared" si="690"/>
        <v/>
      </c>
    </row>
    <row r="14394" spans="9:14" x14ac:dyDescent="0.25">
      <c r="I14394" s="11" t="b">
        <f t="shared" si="691"/>
        <v>0</v>
      </c>
      <c r="M14394" s="17" t="str">
        <f t="shared" si="689"/>
        <v/>
      </c>
      <c r="N14394" s="11" t="str">
        <f t="shared" si="690"/>
        <v/>
      </c>
    </row>
    <row r="14395" spans="9:14" x14ac:dyDescent="0.25">
      <c r="I14395" s="11" t="b">
        <f t="shared" si="691"/>
        <v>0</v>
      </c>
      <c r="M14395" s="17" t="str">
        <f t="shared" si="689"/>
        <v/>
      </c>
      <c r="N14395" s="11" t="str">
        <f t="shared" si="690"/>
        <v/>
      </c>
    </row>
    <row r="14396" spans="9:14" x14ac:dyDescent="0.25">
      <c r="I14396" s="11" t="b">
        <f t="shared" si="691"/>
        <v>0</v>
      </c>
      <c r="M14396" s="17" t="str">
        <f t="shared" si="689"/>
        <v/>
      </c>
      <c r="N14396" s="11" t="str">
        <f t="shared" si="690"/>
        <v/>
      </c>
    </row>
    <row r="14397" spans="9:14" x14ac:dyDescent="0.25">
      <c r="I14397" s="11" t="b">
        <f t="shared" si="691"/>
        <v>0</v>
      </c>
      <c r="M14397" s="17" t="str">
        <f t="shared" si="689"/>
        <v/>
      </c>
      <c r="N14397" s="11" t="str">
        <f t="shared" si="690"/>
        <v/>
      </c>
    </row>
    <row r="14398" spans="9:14" x14ac:dyDescent="0.25">
      <c r="I14398" s="11" t="b">
        <f t="shared" si="691"/>
        <v>0</v>
      </c>
      <c r="M14398" s="17" t="str">
        <f t="shared" si="689"/>
        <v/>
      </c>
      <c r="N14398" s="11" t="str">
        <f t="shared" si="690"/>
        <v/>
      </c>
    </row>
    <row r="14399" spans="9:14" x14ac:dyDescent="0.25">
      <c r="I14399" s="11" t="b">
        <f t="shared" si="691"/>
        <v>0</v>
      </c>
      <c r="M14399" s="17" t="str">
        <f t="shared" si="689"/>
        <v/>
      </c>
      <c r="N14399" s="11" t="str">
        <f t="shared" si="690"/>
        <v/>
      </c>
    </row>
    <row r="14400" spans="9:14" x14ac:dyDescent="0.25">
      <c r="I14400" s="11" t="b">
        <f t="shared" si="691"/>
        <v>0</v>
      </c>
      <c r="M14400" s="17" t="str">
        <f t="shared" si="689"/>
        <v/>
      </c>
      <c r="N14400" s="11" t="str">
        <f t="shared" si="690"/>
        <v/>
      </c>
    </row>
    <row r="14401" spans="9:14" x14ac:dyDescent="0.25">
      <c r="I14401" s="11" t="b">
        <f t="shared" si="691"/>
        <v>0</v>
      </c>
      <c r="M14401" s="17" t="str">
        <f t="shared" ref="M14401:M14464" si="692">IF(B14401=0, "",M14400+ J14401-K14401)</f>
        <v/>
      </c>
      <c r="N14401" s="11" t="str">
        <f t="shared" ref="N14401:N14464" si="693">IF(B14401=0, "", MONTH(B14401))</f>
        <v/>
      </c>
    </row>
    <row r="14402" spans="9:14" x14ac:dyDescent="0.25">
      <c r="I14402" s="11" t="b">
        <f t="shared" si="691"/>
        <v>0</v>
      </c>
      <c r="M14402" s="17" t="str">
        <f t="shared" si="692"/>
        <v/>
      </c>
      <c r="N14402" s="11" t="str">
        <f t="shared" si="693"/>
        <v/>
      </c>
    </row>
    <row r="14403" spans="9:14" x14ac:dyDescent="0.25">
      <c r="I14403" s="11" t="b">
        <f t="shared" si="691"/>
        <v>0</v>
      </c>
      <c r="M14403" s="17" t="str">
        <f t="shared" si="692"/>
        <v/>
      </c>
      <c r="N14403" s="11" t="str">
        <f t="shared" si="693"/>
        <v/>
      </c>
    </row>
    <row r="14404" spans="9:14" x14ac:dyDescent="0.25">
      <c r="I14404" s="11" t="b">
        <f t="shared" si="691"/>
        <v>0</v>
      </c>
      <c r="M14404" s="17" t="str">
        <f t="shared" si="692"/>
        <v/>
      </c>
      <c r="N14404" s="11" t="str">
        <f t="shared" si="693"/>
        <v/>
      </c>
    </row>
    <row r="14405" spans="9:14" x14ac:dyDescent="0.25">
      <c r="I14405" s="11" t="b">
        <f t="shared" si="691"/>
        <v>0</v>
      </c>
      <c r="M14405" s="17" t="str">
        <f t="shared" si="692"/>
        <v/>
      </c>
      <c r="N14405" s="11" t="str">
        <f t="shared" si="693"/>
        <v/>
      </c>
    </row>
    <row r="14406" spans="9:14" x14ac:dyDescent="0.25">
      <c r="I14406" s="11" t="b">
        <f t="shared" si="691"/>
        <v>0</v>
      </c>
      <c r="M14406" s="17" t="str">
        <f t="shared" si="692"/>
        <v/>
      </c>
      <c r="N14406" s="11" t="str">
        <f t="shared" si="693"/>
        <v/>
      </c>
    </row>
    <row r="14407" spans="9:14" x14ac:dyDescent="0.25">
      <c r="I14407" s="11" t="b">
        <f t="shared" si="691"/>
        <v>0</v>
      </c>
      <c r="M14407" s="17" t="str">
        <f t="shared" si="692"/>
        <v/>
      </c>
      <c r="N14407" s="11" t="str">
        <f t="shared" si="693"/>
        <v/>
      </c>
    </row>
    <row r="14408" spans="9:14" x14ac:dyDescent="0.25">
      <c r="I14408" s="11" t="b">
        <f t="shared" si="691"/>
        <v>0</v>
      </c>
      <c r="M14408" s="17" t="str">
        <f t="shared" si="692"/>
        <v/>
      </c>
      <c r="N14408" s="11" t="str">
        <f t="shared" si="693"/>
        <v/>
      </c>
    </row>
    <row r="14409" spans="9:14" x14ac:dyDescent="0.25">
      <c r="I14409" s="11" t="b">
        <f t="shared" si="691"/>
        <v>0</v>
      </c>
      <c r="M14409" s="17" t="str">
        <f t="shared" si="692"/>
        <v/>
      </c>
      <c r="N14409" s="11" t="str">
        <f t="shared" si="693"/>
        <v/>
      </c>
    </row>
    <row r="14410" spans="9:14" x14ac:dyDescent="0.25">
      <c r="I14410" s="11" t="b">
        <f t="shared" si="691"/>
        <v>0</v>
      </c>
      <c r="M14410" s="17" t="str">
        <f t="shared" si="692"/>
        <v/>
      </c>
      <c r="N14410" s="11" t="str">
        <f t="shared" si="693"/>
        <v/>
      </c>
    </row>
    <row r="14411" spans="9:14" x14ac:dyDescent="0.25">
      <c r="I14411" s="11" t="b">
        <f t="shared" si="691"/>
        <v>0</v>
      </c>
      <c r="M14411" s="17" t="str">
        <f t="shared" si="692"/>
        <v/>
      </c>
      <c r="N14411" s="11" t="str">
        <f t="shared" si="693"/>
        <v/>
      </c>
    </row>
    <row r="14412" spans="9:14" x14ac:dyDescent="0.25">
      <c r="I14412" s="11" t="b">
        <f t="shared" si="691"/>
        <v>0</v>
      </c>
      <c r="M14412" s="17" t="str">
        <f t="shared" si="692"/>
        <v/>
      </c>
      <c r="N14412" s="11" t="str">
        <f t="shared" si="693"/>
        <v/>
      </c>
    </row>
    <row r="14413" spans="9:14" x14ac:dyDescent="0.25">
      <c r="I14413" s="11" t="b">
        <f t="shared" si="691"/>
        <v>0</v>
      </c>
      <c r="M14413" s="17" t="str">
        <f t="shared" si="692"/>
        <v/>
      </c>
      <c r="N14413" s="11" t="str">
        <f t="shared" si="693"/>
        <v/>
      </c>
    </row>
    <row r="14414" spans="9:14" x14ac:dyDescent="0.25">
      <c r="I14414" s="11" t="b">
        <f t="shared" si="691"/>
        <v>0</v>
      </c>
      <c r="M14414" s="17" t="str">
        <f t="shared" si="692"/>
        <v/>
      </c>
      <c r="N14414" s="11" t="str">
        <f t="shared" si="693"/>
        <v/>
      </c>
    </row>
    <row r="14415" spans="9:14" x14ac:dyDescent="0.25">
      <c r="I14415" s="11" t="b">
        <f t="shared" si="691"/>
        <v>0</v>
      </c>
      <c r="M14415" s="17" t="str">
        <f t="shared" si="692"/>
        <v/>
      </c>
      <c r="N14415" s="11" t="str">
        <f t="shared" si="693"/>
        <v/>
      </c>
    </row>
    <row r="14416" spans="9:14" x14ac:dyDescent="0.25">
      <c r="I14416" s="11" t="b">
        <f t="shared" si="691"/>
        <v>0</v>
      </c>
      <c r="M14416" s="17" t="str">
        <f t="shared" si="692"/>
        <v/>
      </c>
      <c r="N14416" s="11" t="str">
        <f t="shared" si="693"/>
        <v/>
      </c>
    </row>
    <row r="14417" spans="9:14" x14ac:dyDescent="0.25">
      <c r="I14417" s="11" t="b">
        <f t="shared" si="691"/>
        <v>0</v>
      </c>
      <c r="M14417" s="17" t="str">
        <f t="shared" si="692"/>
        <v/>
      </c>
      <c r="N14417" s="11" t="str">
        <f t="shared" si="693"/>
        <v/>
      </c>
    </row>
    <row r="14418" spans="9:14" x14ac:dyDescent="0.25">
      <c r="I14418" s="11" t="b">
        <f t="shared" si="691"/>
        <v>0</v>
      </c>
      <c r="M14418" s="17" t="str">
        <f t="shared" si="692"/>
        <v/>
      </c>
      <c r="N14418" s="11" t="str">
        <f t="shared" si="693"/>
        <v/>
      </c>
    </row>
    <row r="14419" spans="9:14" x14ac:dyDescent="0.25">
      <c r="I14419" s="11" t="b">
        <f t="shared" si="691"/>
        <v>0</v>
      </c>
      <c r="M14419" s="17" t="str">
        <f t="shared" si="692"/>
        <v/>
      </c>
      <c r="N14419" s="11" t="str">
        <f t="shared" si="693"/>
        <v/>
      </c>
    </row>
    <row r="14420" spans="9:14" x14ac:dyDescent="0.25">
      <c r="I14420" s="11" t="b">
        <f t="shared" si="691"/>
        <v>0</v>
      </c>
      <c r="M14420" s="17" t="str">
        <f t="shared" si="692"/>
        <v/>
      </c>
      <c r="N14420" s="11" t="str">
        <f t="shared" si="693"/>
        <v/>
      </c>
    </row>
    <row r="14421" spans="9:14" x14ac:dyDescent="0.25">
      <c r="I14421" s="11" t="b">
        <f t="shared" si="691"/>
        <v>0</v>
      </c>
      <c r="M14421" s="17" t="str">
        <f t="shared" si="692"/>
        <v/>
      </c>
      <c r="N14421" s="11" t="str">
        <f t="shared" si="693"/>
        <v/>
      </c>
    </row>
    <row r="14422" spans="9:14" x14ac:dyDescent="0.25">
      <c r="I14422" s="11" t="b">
        <f t="shared" si="691"/>
        <v>0</v>
      </c>
      <c r="M14422" s="17" t="str">
        <f t="shared" si="692"/>
        <v/>
      </c>
      <c r="N14422" s="11" t="str">
        <f t="shared" si="693"/>
        <v/>
      </c>
    </row>
    <row r="14423" spans="9:14" x14ac:dyDescent="0.25">
      <c r="I14423" s="11" t="b">
        <f t="shared" si="691"/>
        <v>0</v>
      </c>
      <c r="M14423" s="17" t="str">
        <f t="shared" si="692"/>
        <v/>
      </c>
      <c r="N14423" s="11" t="str">
        <f t="shared" si="693"/>
        <v/>
      </c>
    </row>
    <row r="14424" spans="9:14" x14ac:dyDescent="0.25">
      <c r="I14424" s="11" t="b">
        <f t="shared" si="691"/>
        <v>0</v>
      </c>
      <c r="M14424" s="17" t="str">
        <f t="shared" si="692"/>
        <v/>
      </c>
      <c r="N14424" s="11" t="str">
        <f t="shared" si="693"/>
        <v/>
      </c>
    </row>
    <row r="14425" spans="9:14" x14ac:dyDescent="0.25">
      <c r="I14425" s="11" t="b">
        <f t="shared" si="691"/>
        <v>0</v>
      </c>
      <c r="M14425" s="17" t="str">
        <f t="shared" si="692"/>
        <v/>
      </c>
      <c r="N14425" s="11" t="str">
        <f t="shared" si="693"/>
        <v/>
      </c>
    </row>
    <row r="14426" spans="9:14" x14ac:dyDescent="0.25">
      <c r="I14426" s="11" t="b">
        <f t="shared" si="691"/>
        <v>0</v>
      </c>
      <c r="M14426" s="17" t="str">
        <f t="shared" si="692"/>
        <v/>
      </c>
      <c r="N14426" s="11" t="str">
        <f t="shared" si="693"/>
        <v/>
      </c>
    </row>
    <row r="14427" spans="9:14" x14ac:dyDescent="0.25">
      <c r="I14427" s="11" t="b">
        <f t="shared" si="691"/>
        <v>0</v>
      </c>
      <c r="M14427" s="17" t="str">
        <f t="shared" si="692"/>
        <v/>
      </c>
      <c r="N14427" s="11" t="str">
        <f t="shared" si="693"/>
        <v/>
      </c>
    </row>
    <row r="14428" spans="9:14" x14ac:dyDescent="0.25">
      <c r="I14428" s="11" t="b">
        <f t="shared" si="691"/>
        <v>0</v>
      </c>
      <c r="M14428" s="17" t="str">
        <f t="shared" si="692"/>
        <v/>
      </c>
      <c r="N14428" s="11" t="str">
        <f t="shared" si="693"/>
        <v/>
      </c>
    </row>
    <row r="14429" spans="9:14" x14ac:dyDescent="0.25">
      <c r="I14429" s="11" t="b">
        <f t="shared" ref="I14429:I14492" si="694">IF(AND(G14429="MERCADO PAGO",A14429="FATURAMENTO"),1,IF(AND(OR(G14429="MERCADO PAGO",G14429="pix mercado pago",G14429= "débito automático mercado pago", G14429= "boleto mercado pago"),A14429="DESPESAS"),4,IF(AND(G14429="SAFRA",A14429="FATURAMENTO"),2,IF(AND(OR(G14429="SAFRA",G14429="PIX SAFRA", G14429="DÉBITO AUTOMÁTICO SAFRA", G14429= "BOLETO SAFRA", G14429= "transferência safra"), A14429="DESPESAS"),5,IF(AND(G14429="espécie",A14429="FATURAMENTO"),3,IF(AND(G14429="espécie",A14429="DESPESAS"),6))))))</f>
        <v>0</v>
      </c>
      <c r="M14429" s="17" t="str">
        <f t="shared" si="692"/>
        <v/>
      </c>
      <c r="N14429" s="11" t="str">
        <f t="shared" si="693"/>
        <v/>
      </c>
    </row>
    <row r="14430" spans="9:14" x14ac:dyDescent="0.25">
      <c r="I14430" s="11" t="b">
        <f t="shared" si="694"/>
        <v>0</v>
      </c>
      <c r="M14430" s="17" t="str">
        <f t="shared" si="692"/>
        <v/>
      </c>
      <c r="N14430" s="11" t="str">
        <f t="shared" si="693"/>
        <v/>
      </c>
    </row>
    <row r="14431" spans="9:14" x14ac:dyDescent="0.25">
      <c r="I14431" s="11" t="b">
        <f t="shared" si="694"/>
        <v>0</v>
      </c>
      <c r="M14431" s="17" t="str">
        <f t="shared" si="692"/>
        <v/>
      </c>
      <c r="N14431" s="11" t="str">
        <f t="shared" si="693"/>
        <v/>
      </c>
    </row>
    <row r="14432" spans="9:14" x14ac:dyDescent="0.25">
      <c r="I14432" s="11" t="b">
        <f t="shared" si="694"/>
        <v>0</v>
      </c>
      <c r="M14432" s="17" t="str">
        <f t="shared" si="692"/>
        <v/>
      </c>
      <c r="N14432" s="11" t="str">
        <f t="shared" si="693"/>
        <v/>
      </c>
    </row>
    <row r="14433" spans="9:14" x14ac:dyDescent="0.25">
      <c r="I14433" s="11" t="b">
        <f t="shared" si="694"/>
        <v>0</v>
      </c>
      <c r="M14433" s="17" t="str">
        <f t="shared" si="692"/>
        <v/>
      </c>
      <c r="N14433" s="11" t="str">
        <f t="shared" si="693"/>
        <v/>
      </c>
    </row>
    <row r="14434" spans="9:14" x14ac:dyDescent="0.25">
      <c r="I14434" s="11" t="b">
        <f t="shared" si="694"/>
        <v>0</v>
      </c>
      <c r="M14434" s="17" t="str">
        <f t="shared" si="692"/>
        <v/>
      </c>
      <c r="N14434" s="11" t="str">
        <f t="shared" si="693"/>
        <v/>
      </c>
    </row>
    <row r="14435" spans="9:14" x14ac:dyDescent="0.25">
      <c r="I14435" s="11" t="b">
        <f t="shared" si="694"/>
        <v>0</v>
      </c>
      <c r="M14435" s="17" t="str">
        <f t="shared" si="692"/>
        <v/>
      </c>
      <c r="N14435" s="11" t="str">
        <f t="shared" si="693"/>
        <v/>
      </c>
    </row>
    <row r="14436" spans="9:14" x14ac:dyDescent="0.25">
      <c r="I14436" s="11" t="b">
        <f t="shared" si="694"/>
        <v>0</v>
      </c>
      <c r="M14436" s="17" t="str">
        <f t="shared" si="692"/>
        <v/>
      </c>
      <c r="N14436" s="11" t="str">
        <f t="shared" si="693"/>
        <v/>
      </c>
    </row>
    <row r="14437" spans="9:14" x14ac:dyDescent="0.25">
      <c r="I14437" s="11" t="b">
        <f t="shared" si="694"/>
        <v>0</v>
      </c>
      <c r="M14437" s="17" t="str">
        <f t="shared" si="692"/>
        <v/>
      </c>
      <c r="N14437" s="11" t="str">
        <f t="shared" si="693"/>
        <v/>
      </c>
    </row>
    <row r="14438" spans="9:14" x14ac:dyDescent="0.25">
      <c r="I14438" s="11" t="b">
        <f t="shared" si="694"/>
        <v>0</v>
      </c>
      <c r="M14438" s="17" t="str">
        <f t="shared" si="692"/>
        <v/>
      </c>
      <c r="N14438" s="11" t="str">
        <f t="shared" si="693"/>
        <v/>
      </c>
    </row>
    <row r="14439" spans="9:14" x14ac:dyDescent="0.25">
      <c r="I14439" s="11" t="b">
        <f t="shared" si="694"/>
        <v>0</v>
      </c>
      <c r="M14439" s="17" t="str">
        <f t="shared" si="692"/>
        <v/>
      </c>
      <c r="N14439" s="11" t="str">
        <f t="shared" si="693"/>
        <v/>
      </c>
    </row>
    <row r="14440" spans="9:14" x14ac:dyDescent="0.25">
      <c r="I14440" s="11" t="b">
        <f t="shared" si="694"/>
        <v>0</v>
      </c>
      <c r="M14440" s="17" t="str">
        <f t="shared" si="692"/>
        <v/>
      </c>
      <c r="N14440" s="11" t="str">
        <f t="shared" si="693"/>
        <v/>
      </c>
    </row>
    <row r="14441" spans="9:14" x14ac:dyDescent="0.25">
      <c r="I14441" s="11" t="b">
        <f t="shared" si="694"/>
        <v>0</v>
      </c>
      <c r="M14441" s="17" t="str">
        <f t="shared" si="692"/>
        <v/>
      </c>
      <c r="N14441" s="11" t="str">
        <f t="shared" si="693"/>
        <v/>
      </c>
    </row>
    <row r="14442" spans="9:14" x14ac:dyDescent="0.25">
      <c r="I14442" s="11" t="b">
        <f t="shared" si="694"/>
        <v>0</v>
      </c>
      <c r="M14442" s="17" t="str">
        <f t="shared" si="692"/>
        <v/>
      </c>
      <c r="N14442" s="11" t="str">
        <f t="shared" si="693"/>
        <v/>
      </c>
    </row>
    <row r="14443" spans="9:14" x14ac:dyDescent="0.25">
      <c r="I14443" s="11" t="b">
        <f t="shared" si="694"/>
        <v>0</v>
      </c>
      <c r="M14443" s="17" t="str">
        <f t="shared" si="692"/>
        <v/>
      </c>
      <c r="N14443" s="11" t="str">
        <f t="shared" si="693"/>
        <v/>
      </c>
    </row>
    <row r="14444" spans="9:14" x14ac:dyDescent="0.25">
      <c r="I14444" s="11" t="b">
        <f t="shared" si="694"/>
        <v>0</v>
      </c>
      <c r="M14444" s="17" t="str">
        <f t="shared" si="692"/>
        <v/>
      </c>
      <c r="N14444" s="11" t="str">
        <f t="shared" si="693"/>
        <v/>
      </c>
    </row>
    <row r="14445" spans="9:14" x14ac:dyDescent="0.25">
      <c r="I14445" s="11" t="b">
        <f t="shared" si="694"/>
        <v>0</v>
      </c>
      <c r="M14445" s="17" t="str">
        <f t="shared" si="692"/>
        <v/>
      </c>
      <c r="N14445" s="11" t="str">
        <f t="shared" si="693"/>
        <v/>
      </c>
    </row>
    <row r="14446" spans="9:14" x14ac:dyDescent="0.25">
      <c r="I14446" s="11" t="b">
        <f t="shared" si="694"/>
        <v>0</v>
      </c>
      <c r="M14446" s="17" t="str">
        <f t="shared" si="692"/>
        <v/>
      </c>
      <c r="N14446" s="11" t="str">
        <f t="shared" si="693"/>
        <v/>
      </c>
    </row>
    <row r="14447" spans="9:14" x14ac:dyDescent="0.25">
      <c r="I14447" s="11" t="b">
        <f t="shared" si="694"/>
        <v>0</v>
      </c>
      <c r="M14447" s="17" t="str">
        <f t="shared" si="692"/>
        <v/>
      </c>
      <c r="N14447" s="11" t="str">
        <f t="shared" si="693"/>
        <v/>
      </c>
    </row>
    <row r="14448" spans="9:14" x14ac:dyDescent="0.25">
      <c r="I14448" s="11" t="b">
        <f t="shared" si="694"/>
        <v>0</v>
      </c>
      <c r="M14448" s="17" t="str">
        <f t="shared" si="692"/>
        <v/>
      </c>
      <c r="N14448" s="11" t="str">
        <f t="shared" si="693"/>
        <v/>
      </c>
    </row>
    <row r="14449" spans="9:14" x14ac:dyDescent="0.25">
      <c r="I14449" s="11" t="b">
        <f t="shared" si="694"/>
        <v>0</v>
      </c>
      <c r="M14449" s="17" t="str">
        <f t="shared" si="692"/>
        <v/>
      </c>
      <c r="N14449" s="11" t="str">
        <f t="shared" si="693"/>
        <v/>
      </c>
    </row>
    <row r="14450" spans="9:14" x14ac:dyDescent="0.25">
      <c r="I14450" s="11" t="b">
        <f t="shared" si="694"/>
        <v>0</v>
      </c>
      <c r="M14450" s="17" t="str">
        <f t="shared" si="692"/>
        <v/>
      </c>
      <c r="N14450" s="11" t="str">
        <f t="shared" si="693"/>
        <v/>
      </c>
    </row>
    <row r="14451" spans="9:14" x14ac:dyDescent="0.25">
      <c r="I14451" s="11" t="b">
        <f t="shared" si="694"/>
        <v>0</v>
      </c>
      <c r="M14451" s="17" t="str">
        <f t="shared" si="692"/>
        <v/>
      </c>
      <c r="N14451" s="11" t="str">
        <f t="shared" si="693"/>
        <v/>
      </c>
    </row>
    <row r="14452" spans="9:14" x14ac:dyDescent="0.25">
      <c r="I14452" s="11" t="b">
        <f t="shared" si="694"/>
        <v>0</v>
      </c>
      <c r="M14452" s="17" t="str">
        <f t="shared" si="692"/>
        <v/>
      </c>
      <c r="N14452" s="11" t="str">
        <f t="shared" si="693"/>
        <v/>
      </c>
    </row>
    <row r="14453" spans="9:14" x14ac:dyDescent="0.25">
      <c r="I14453" s="11" t="b">
        <f t="shared" si="694"/>
        <v>0</v>
      </c>
      <c r="M14453" s="17" t="str">
        <f t="shared" si="692"/>
        <v/>
      </c>
      <c r="N14453" s="11" t="str">
        <f t="shared" si="693"/>
        <v/>
      </c>
    </row>
    <row r="14454" spans="9:14" x14ac:dyDescent="0.25">
      <c r="I14454" s="11" t="b">
        <f t="shared" si="694"/>
        <v>0</v>
      </c>
      <c r="M14454" s="17" t="str">
        <f t="shared" si="692"/>
        <v/>
      </c>
      <c r="N14454" s="11" t="str">
        <f t="shared" si="693"/>
        <v/>
      </c>
    </row>
    <row r="14455" spans="9:14" x14ac:dyDescent="0.25">
      <c r="I14455" s="11" t="b">
        <f t="shared" si="694"/>
        <v>0</v>
      </c>
      <c r="M14455" s="17" t="str">
        <f t="shared" si="692"/>
        <v/>
      </c>
      <c r="N14455" s="11" t="str">
        <f t="shared" si="693"/>
        <v/>
      </c>
    </row>
    <row r="14456" spans="9:14" x14ac:dyDescent="0.25">
      <c r="I14456" s="11" t="b">
        <f t="shared" si="694"/>
        <v>0</v>
      </c>
      <c r="M14456" s="17" t="str">
        <f t="shared" si="692"/>
        <v/>
      </c>
      <c r="N14456" s="11" t="str">
        <f t="shared" si="693"/>
        <v/>
      </c>
    </row>
    <row r="14457" spans="9:14" x14ac:dyDescent="0.25">
      <c r="I14457" s="11" t="b">
        <f t="shared" si="694"/>
        <v>0</v>
      </c>
      <c r="M14457" s="17" t="str">
        <f t="shared" si="692"/>
        <v/>
      </c>
      <c r="N14457" s="11" t="str">
        <f t="shared" si="693"/>
        <v/>
      </c>
    </row>
    <row r="14458" spans="9:14" x14ac:dyDescent="0.25">
      <c r="I14458" s="11" t="b">
        <f t="shared" si="694"/>
        <v>0</v>
      </c>
      <c r="M14458" s="17" t="str">
        <f t="shared" si="692"/>
        <v/>
      </c>
      <c r="N14458" s="11" t="str">
        <f t="shared" si="693"/>
        <v/>
      </c>
    </row>
    <row r="14459" spans="9:14" x14ac:dyDescent="0.25">
      <c r="I14459" s="11" t="b">
        <f t="shared" si="694"/>
        <v>0</v>
      </c>
      <c r="M14459" s="17" t="str">
        <f t="shared" si="692"/>
        <v/>
      </c>
      <c r="N14459" s="11" t="str">
        <f t="shared" si="693"/>
        <v/>
      </c>
    </row>
    <row r="14460" spans="9:14" x14ac:dyDescent="0.25">
      <c r="I14460" s="11" t="b">
        <f t="shared" si="694"/>
        <v>0</v>
      </c>
      <c r="M14460" s="17" t="str">
        <f t="shared" si="692"/>
        <v/>
      </c>
      <c r="N14460" s="11" t="str">
        <f t="shared" si="693"/>
        <v/>
      </c>
    </row>
    <row r="14461" spans="9:14" x14ac:dyDescent="0.25">
      <c r="I14461" s="11" t="b">
        <f t="shared" si="694"/>
        <v>0</v>
      </c>
      <c r="M14461" s="17" t="str">
        <f t="shared" si="692"/>
        <v/>
      </c>
      <c r="N14461" s="11" t="str">
        <f t="shared" si="693"/>
        <v/>
      </c>
    </row>
    <row r="14462" spans="9:14" x14ac:dyDescent="0.25">
      <c r="I14462" s="11" t="b">
        <f t="shared" si="694"/>
        <v>0</v>
      </c>
      <c r="M14462" s="17" t="str">
        <f t="shared" si="692"/>
        <v/>
      </c>
      <c r="N14462" s="11" t="str">
        <f t="shared" si="693"/>
        <v/>
      </c>
    </row>
    <row r="14463" spans="9:14" x14ac:dyDescent="0.25">
      <c r="I14463" s="11" t="b">
        <f t="shared" si="694"/>
        <v>0</v>
      </c>
      <c r="M14463" s="17" t="str">
        <f t="shared" si="692"/>
        <v/>
      </c>
      <c r="N14463" s="11" t="str">
        <f t="shared" si="693"/>
        <v/>
      </c>
    </row>
    <row r="14464" spans="9:14" x14ac:dyDescent="0.25">
      <c r="I14464" s="11" t="b">
        <f t="shared" si="694"/>
        <v>0</v>
      </c>
      <c r="M14464" s="17" t="str">
        <f t="shared" si="692"/>
        <v/>
      </c>
      <c r="N14464" s="11" t="str">
        <f t="shared" si="693"/>
        <v/>
      </c>
    </row>
    <row r="14465" spans="9:14" x14ac:dyDescent="0.25">
      <c r="I14465" s="11" t="b">
        <f t="shared" si="694"/>
        <v>0</v>
      </c>
      <c r="M14465" s="17" t="str">
        <f t="shared" ref="M14465:M14528" si="695">IF(B14465=0, "",M14464+ J14465-K14465)</f>
        <v/>
      </c>
      <c r="N14465" s="11" t="str">
        <f t="shared" ref="N14465:N14528" si="696">IF(B14465=0, "", MONTH(B14465))</f>
        <v/>
      </c>
    </row>
    <row r="14466" spans="9:14" x14ac:dyDescent="0.25">
      <c r="I14466" s="11" t="b">
        <f t="shared" si="694"/>
        <v>0</v>
      </c>
      <c r="M14466" s="17" t="str">
        <f t="shared" si="695"/>
        <v/>
      </c>
      <c r="N14466" s="11" t="str">
        <f t="shared" si="696"/>
        <v/>
      </c>
    </row>
    <row r="14467" spans="9:14" x14ac:dyDescent="0.25">
      <c r="I14467" s="11" t="b">
        <f t="shared" si="694"/>
        <v>0</v>
      </c>
      <c r="M14467" s="17" t="str">
        <f t="shared" si="695"/>
        <v/>
      </c>
      <c r="N14467" s="11" t="str">
        <f t="shared" si="696"/>
        <v/>
      </c>
    </row>
    <row r="14468" spans="9:14" x14ac:dyDescent="0.25">
      <c r="I14468" s="11" t="b">
        <f t="shared" si="694"/>
        <v>0</v>
      </c>
      <c r="M14468" s="17" t="str">
        <f t="shared" si="695"/>
        <v/>
      </c>
      <c r="N14468" s="11" t="str">
        <f t="shared" si="696"/>
        <v/>
      </c>
    </row>
    <row r="14469" spans="9:14" x14ac:dyDescent="0.25">
      <c r="I14469" s="11" t="b">
        <f t="shared" si="694"/>
        <v>0</v>
      </c>
      <c r="M14469" s="17" t="str">
        <f t="shared" si="695"/>
        <v/>
      </c>
      <c r="N14469" s="11" t="str">
        <f t="shared" si="696"/>
        <v/>
      </c>
    </row>
    <row r="14470" spans="9:14" x14ac:dyDescent="0.25">
      <c r="I14470" s="11" t="b">
        <f t="shared" si="694"/>
        <v>0</v>
      </c>
      <c r="M14470" s="17" t="str">
        <f t="shared" si="695"/>
        <v/>
      </c>
      <c r="N14470" s="11" t="str">
        <f t="shared" si="696"/>
        <v/>
      </c>
    </row>
    <row r="14471" spans="9:14" x14ac:dyDescent="0.25">
      <c r="I14471" s="11" t="b">
        <f t="shared" si="694"/>
        <v>0</v>
      </c>
      <c r="M14471" s="17" t="str">
        <f t="shared" si="695"/>
        <v/>
      </c>
      <c r="N14471" s="11" t="str">
        <f t="shared" si="696"/>
        <v/>
      </c>
    </row>
    <row r="14472" spans="9:14" x14ac:dyDescent="0.25">
      <c r="I14472" s="11" t="b">
        <f t="shared" si="694"/>
        <v>0</v>
      </c>
      <c r="M14472" s="17" t="str">
        <f t="shared" si="695"/>
        <v/>
      </c>
      <c r="N14472" s="11" t="str">
        <f t="shared" si="696"/>
        <v/>
      </c>
    </row>
    <row r="14473" spans="9:14" x14ac:dyDescent="0.25">
      <c r="I14473" s="11" t="b">
        <f t="shared" si="694"/>
        <v>0</v>
      </c>
      <c r="M14473" s="17" t="str">
        <f t="shared" si="695"/>
        <v/>
      </c>
      <c r="N14473" s="11" t="str">
        <f t="shared" si="696"/>
        <v/>
      </c>
    </row>
    <row r="14474" spans="9:14" x14ac:dyDescent="0.25">
      <c r="I14474" s="11" t="b">
        <f t="shared" si="694"/>
        <v>0</v>
      </c>
      <c r="M14474" s="17" t="str">
        <f t="shared" si="695"/>
        <v/>
      </c>
      <c r="N14474" s="11" t="str">
        <f t="shared" si="696"/>
        <v/>
      </c>
    </row>
    <row r="14475" spans="9:14" x14ac:dyDescent="0.25">
      <c r="I14475" s="11" t="b">
        <f t="shared" si="694"/>
        <v>0</v>
      </c>
      <c r="M14475" s="17" t="str">
        <f t="shared" si="695"/>
        <v/>
      </c>
      <c r="N14475" s="11" t="str">
        <f t="shared" si="696"/>
        <v/>
      </c>
    </row>
    <row r="14476" spans="9:14" x14ac:dyDescent="0.25">
      <c r="I14476" s="11" t="b">
        <f t="shared" si="694"/>
        <v>0</v>
      </c>
      <c r="M14476" s="17" t="str">
        <f t="shared" si="695"/>
        <v/>
      </c>
      <c r="N14476" s="11" t="str">
        <f t="shared" si="696"/>
        <v/>
      </c>
    </row>
    <row r="14477" spans="9:14" x14ac:dyDescent="0.25">
      <c r="I14477" s="11" t="b">
        <f t="shared" si="694"/>
        <v>0</v>
      </c>
      <c r="M14477" s="17" t="str">
        <f t="shared" si="695"/>
        <v/>
      </c>
      <c r="N14477" s="11" t="str">
        <f t="shared" si="696"/>
        <v/>
      </c>
    </row>
    <row r="14478" spans="9:14" x14ac:dyDescent="0.25">
      <c r="I14478" s="11" t="b">
        <f t="shared" si="694"/>
        <v>0</v>
      </c>
      <c r="M14478" s="17" t="str">
        <f t="shared" si="695"/>
        <v/>
      </c>
      <c r="N14478" s="11" t="str">
        <f t="shared" si="696"/>
        <v/>
      </c>
    </row>
    <row r="14479" spans="9:14" x14ac:dyDescent="0.25">
      <c r="I14479" s="11" t="b">
        <f t="shared" si="694"/>
        <v>0</v>
      </c>
      <c r="M14479" s="17" t="str">
        <f t="shared" si="695"/>
        <v/>
      </c>
      <c r="N14479" s="11" t="str">
        <f t="shared" si="696"/>
        <v/>
      </c>
    </row>
    <row r="14480" spans="9:14" x14ac:dyDescent="0.25">
      <c r="I14480" s="11" t="b">
        <f t="shared" si="694"/>
        <v>0</v>
      </c>
      <c r="M14480" s="17" t="str">
        <f t="shared" si="695"/>
        <v/>
      </c>
      <c r="N14480" s="11" t="str">
        <f t="shared" si="696"/>
        <v/>
      </c>
    </row>
    <row r="14481" spans="9:14" x14ac:dyDescent="0.25">
      <c r="I14481" s="11" t="b">
        <f t="shared" si="694"/>
        <v>0</v>
      </c>
      <c r="M14481" s="17" t="str">
        <f t="shared" si="695"/>
        <v/>
      </c>
      <c r="N14481" s="11" t="str">
        <f t="shared" si="696"/>
        <v/>
      </c>
    </row>
    <row r="14482" spans="9:14" x14ac:dyDescent="0.25">
      <c r="I14482" s="11" t="b">
        <f t="shared" si="694"/>
        <v>0</v>
      </c>
      <c r="M14482" s="17" t="str">
        <f t="shared" si="695"/>
        <v/>
      </c>
      <c r="N14482" s="11" t="str">
        <f t="shared" si="696"/>
        <v/>
      </c>
    </row>
    <row r="14483" spans="9:14" x14ac:dyDescent="0.25">
      <c r="I14483" s="11" t="b">
        <f t="shared" si="694"/>
        <v>0</v>
      </c>
      <c r="M14483" s="17" t="str">
        <f t="shared" si="695"/>
        <v/>
      </c>
      <c r="N14483" s="11" t="str">
        <f t="shared" si="696"/>
        <v/>
      </c>
    </row>
    <row r="14484" spans="9:14" x14ac:dyDescent="0.25">
      <c r="I14484" s="11" t="b">
        <f t="shared" si="694"/>
        <v>0</v>
      </c>
      <c r="M14484" s="17" t="str">
        <f t="shared" si="695"/>
        <v/>
      </c>
      <c r="N14484" s="11" t="str">
        <f t="shared" si="696"/>
        <v/>
      </c>
    </row>
    <row r="14485" spans="9:14" x14ac:dyDescent="0.25">
      <c r="I14485" s="11" t="b">
        <f t="shared" si="694"/>
        <v>0</v>
      </c>
      <c r="M14485" s="17" t="str">
        <f t="shared" si="695"/>
        <v/>
      </c>
      <c r="N14485" s="11" t="str">
        <f t="shared" si="696"/>
        <v/>
      </c>
    </row>
    <row r="14486" spans="9:14" x14ac:dyDescent="0.25">
      <c r="I14486" s="11" t="b">
        <f t="shared" si="694"/>
        <v>0</v>
      </c>
      <c r="M14486" s="17" t="str">
        <f t="shared" si="695"/>
        <v/>
      </c>
      <c r="N14486" s="11" t="str">
        <f t="shared" si="696"/>
        <v/>
      </c>
    </row>
    <row r="14487" spans="9:14" x14ac:dyDescent="0.25">
      <c r="I14487" s="11" t="b">
        <f t="shared" si="694"/>
        <v>0</v>
      </c>
      <c r="M14487" s="17" t="str">
        <f t="shared" si="695"/>
        <v/>
      </c>
      <c r="N14487" s="11" t="str">
        <f t="shared" si="696"/>
        <v/>
      </c>
    </row>
    <row r="14488" spans="9:14" x14ac:dyDescent="0.25">
      <c r="I14488" s="11" t="b">
        <f t="shared" si="694"/>
        <v>0</v>
      </c>
      <c r="M14488" s="17" t="str">
        <f t="shared" si="695"/>
        <v/>
      </c>
      <c r="N14488" s="11" t="str">
        <f t="shared" si="696"/>
        <v/>
      </c>
    </row>
    <row r="14489" spans="9:14" x14ac:dyDescent="0.25">
      <c r="I14489" s="11" t="b">
        <f t="shared" si="694"/>
        <v>0</v>
      </c>
      <c r="M14489" s="17" t="str">
        <f t="shared" si="695"/>
        <v/>
      </c>
      <c r="N14489" s="11" t="str">
        <f t="shared" si="696"/>
        <v/>
      </c>
    </row>
    <row r="14490" spans="9:14" x14ac:dyDescent="0.25">
      <c r="I14490" s="11" t="b">
        <f t="shared" si="694"/>
        <v>0</v>
      </c>
      <c r="M14490" s="17" t="str">
        <f t="shared" si="695"/>
        <v/>
      </c>
      <c r="N14490" s="11" t="str">
        <f t="shared" si="696"/>
        <v/>
      </c>
    </row>
    <row r="14491" spans="9:14" x14ac:dyDescent="0.25">
      <c r="I14491" s="11" t="b">
        <f t="shared" si="694"/>
        <v>0</v>
      </c>
      <c r="M14491" s="17" t="str">
        <f t="shared" si="695"/>
        <v/>
      </c>
      <c r="N14491" s="11" t="str">
        <f t="shared" si="696"/>
        <v/>
      </c>
    </row>
    <row r="14492" spans="9:14" x14ac:dyDescent="0.25">
      <c r="I14492" s="11" t="b">
        <f t="shared" si="694"/>
        <v>0</v>
      </c>
      <c r="M14492" s="17" t="str">
        <f t="shared" si="695"/>
        <v/>
      </c>
      <c r="N14492" s="11" t="str">
        <f t="shared" si="696"/>
        <v/>
      </c>
    </row>
    <row r="14493" spans="9:14" x14ac:dyDescent="0.25">
      <c r="I14493" s="11" t="b">
        <f t="shared" ref="I14493:I14556" si="697">IF(AND(G14493="MERCADO PAGO",A14493="FATURAMENTO"),1,IF(AND(OR(G14493="MERCADO PAGO",G14493="pix mercado pago",G14493= "débito automático mercado pago", G14493= "boleto mercado pago"),A14493="DESPESAS"),4,IF(AND(G14493="SAFRA",A14493="FATURAMENTO"),2,IF(AND(OR(G14493="SAFRA",G14493="PIX SAFRA", G14493="DÉBITO AUTOMÁTICO SAFRA", G14493= "BOLETO SAFRA", G14493= "transferência safra"), A14493="DESPESAS"),5,IF(AND(G14493="espécie",A14493="FATURAMENTO"),3,IF(AND(G14493="espécie",A14493="DESPESAS"),6))))))</f>
        <v>0</v>
      </c>
      <c r="M14493" s="17" t="str">
        <f t="shared" si="695"/>
        <v/>
      </c>
      <c r="N14493" s="11" t="str">
        <f t="shared" si="696"/>
        <v/>
      </c>
    </row>
    <row r="14494" spans="9:14" x14ac:dyDescent="0.25">
      <c r="I14494" s="11" t="b">
        <f t="shared" si="697"/>
        <v>0</v>
      </c>
      <c r="M14494" s="17" t="str">
        <f t="shared" si="695"/>
        <v/>
      </c>
      <c r="N14494" s="11" t="str">
        <f t="shared" si="696"/>
        <v/>
      </c>
    </row>
    <row r="14495" spans="9:14" x14ac:dyDescent="0.25">
      <c r="I14495" s="11" t="b">
        <f t="shared" si="697"/>
        <v>0</v>
      </c>
      <c r="M14495" s="17" t="str">
        <f t="shared" si="695"/>
        <v/>
      </c>
      <c r="N14495" s="11" t="str">
        <f t="shared" si="696"/>
        <v/>
      </c>
    </row>
    <row r="14496" spans="9:14" x14ac:dyDescent="0.25">
      <c r="I14496" s="11" t="b">
        <f t="shared" si="697"/>
        <v>0</v>
      </c>
      <c r="M14496" s="17" t="str">
        <f t="shared" si="695"/>
        <v/>
      </c>
      <c r="N14496" s="11" t="str">
        <f t="shared" si="696"/>
        <v/>
      </c>
    </row>
    <row r="14497" spans="9:14" x14ac:dyDescent="0.25">
      <c r="I14497" s="11" t="b">
        <f t="shared" si="697"/>
        <v>0</v>
      </c>
      <c r="M14497" s="17" t="str">
        <f t="shared" si="695"/>
        <v/>
      </c>
      <c r="N14497" s="11" t="str">
        <f t="shared" si="696"/>
        <v/>
      </c>
    </row>
    <row r="14498" spans="9:14" x14ac:dyDescent="0.25">
      <c r="I14498" s="11" t="b">
        <f t="shared" si="697"/>
        <v>0</v>
      </c>
      <c r="M14498" s="17" t="str">
        <f t="shared" si="695"/>
        <v/>
      </c>
      <c r="N14498" s="11" t="str">
        <f t="shared" si="696"/>
        <v/>
      </c>
    </row>
    <row r="14499" spans="9:14" x14ac:dyDescent="0.25">
      <c r="I14499" s="11" t="b">
        <f t="shared" si="697"/>
        <v>0</v>
      </c>
      <c r="M14499" s="17" t="str">
        <f t="shared" si="695"/>
        <v/>
      </c>
      <c r="N14499" s="11" t="str">
        <f t="shared" si="696"/>
        <v/>
      </c>
    </row>
    <row r="14500" spans="9:14" x14ac:dyDescent="0.25">
      <c r="I14500" s="11" t="b">
        <f t="shared" si="697"/>
        <v>0</v>
      </c>
      <c r="M14500" s="17" t="str">
        <f t="shared" si="695"/>
        <v/>
      </c>
      <c r="N14500" s="11" t="str">
        <f t="shared" si="696"/>
        <v/>
      </c>
    </row>
    <row r="14501" spans="9:14" x14ac:dyDescent="0.25">
      <c r="I14501" s="11" t="b">
        <f t="shared" si="697"/>
        <v>0</v>
      </c>
      <c r="M14501" s="17" t="str">
        <f t="shared" si="695"/>
        <v/>
      </c>
      <c r="N14501" s="11" t="str">
        <f t="shared" si="696"/>
        <v/>
      </c>
    </row>
    <row r="14502" spans="9:14" x14ac:dyDescent="0.25">
      <c r="I14502" s="11" t="b">
        <f t="shared" si="697"/>
        <v>0</v>
      </c>
      <c r="M14502" s="17" t="str">
        <f t="shared" si="695"/>
        <v/>
      </c>
      <c r="N14502" s="11" t="str">
        <f t="shared" si="696"/>
        <v/>
      </c>
    </row>
    <row r="14503" spans="9:14" x14ac:dyDescent="0.25">
      <c r="I14503" s="11" t="b">
        <f t="shared" si="697"/>
        <v>0</v>
      </c>
      <c r="M14503" s="17" t="str">
        <f t="shared" si="695"/>
        <v/>
      </c>
      <c r="N14503" s="11" t="str">
        <f t="shared" si="696"/>
        <v/>
      </c>
    </row>
    <row r="14504" spans="9:14" x14ac:dyDescent="0.25">
      <c r="I14504" s="11" t="b">
        <f t="shared" si="697"/>
        <v>0</v>
      </c>
      <c r="M14504" s="17" t="str">
        <f t="shared" si="695"/>
        <v/>
      </c>
      <c r="N14504" s="11" t="str">
        <f t="shared" si="696"/>
        <v/>
      </c>
    </row>
    <row r="14505" spans="9:14" x14ac:dyDescent="0.25">
      <c r="I14505" s="11" t="b">
        <f t="shared" si="697"/>
        <v>0</v>
      </c>
      <c r="M14505" s="17" t="str">
        <f t="shared" si="695"/>
        <v/>
      </c>
      <c r="N14505" s="11" t="str">
        <f t="shared" si="696"/>
        <v/>
      </c>
    </row>
    <row r="14506" spans="9:14" x14ac:dyDescent="0.25">
      <c r="I14506" s="11" t="b">
        <f t="shared" si="697"/>
        <v>0</v>
      </c>
      <c r="M14506" s="17" t="str">
        <f t="shared" si="695"/>
        <v/>
      </c>
      <c r="N14506" s="11" t="str">
        <f t="shared" si="696"/>
        <v/>
      </c>
    </row>
    <row r="14507" spans="9:14" x14ac:dyDescent="0.25">
      <c r="I14507" s="11" t="b">
        <f t="shared" si="697"/>
        <v>0</v>
      </c>
      <c r="M14507" s="17" t="str">
        <f t="shared" si="695"/>
        <v/>
      </c>
      <c r="N14507" s="11" t="str">
        <f t="shared" si="696"/>
        <v/>
      </c>
    </row>
    <row r="14508" spans="9:14" x14ac:dyDescent="0.25">
      <c r="I14508" s="11" t="b">
        <f t="shared" si="697"/>
        <v>0</v>
      </c>
      <c r="M14508" s="17" t="str">
        <f t="shared" si="695"/>
        <v/>
      </c>
      <c r="N14508" s="11" t="str">
        <f t="shared" si="696"/>
        <v/>
      </c>
    </row>
    <row r="14509" spans="9:14" x14ac:dyDescent="0.25">
      <c r="I14509" s="11" t="b">
        <f t="shared" si="697"/>
        <v>0</v>
      </c>
      <c r="M14509" s="17" t="str">
        <f t="shared" si="695"/>
        <v/>
      </c>
      <c r="N14509" s="11" t="str">
        <f t="shared" si="696"/>
        <v/>
      </c>
    </row>
    <row r="14510" spans="9:14" x14ac:dyDescent="0.25">
      <c r="I14510" s="11" t="b">
        <f t="shared" si="697"/>
        <v>0</v>
      </c>
      <c r="M14510" s="17" t="str">
        <f t="shared" si="695"/>
        <v/>
      </c>
      <c r="N14510" s="11" t="str">
        <f t="shared" si="696"/>
        <v/>
      </c>
    </row>
    <row r="14511" spans="9:14" x14ac:dyDescent="0.25">
      <c r="I14511" s="11" t="b">
        <f t="shared" si="697"/>
        <v>0</v>
      </c>
      <c r="M14511" s="17" t="str">
        <f t="shared" si="695"/>
        <v/>
      </c>
      <c r="N14511" s="11" t="str">
        <f t="shared" si="696"/>
        <v/>
      </c>
    </row>
    <row r="14512" spans="9:14" x14ac:dyDescent="0.25">
      <c r="I14512" s="11" t="b">
        <f t="shared" si="697"/>
        <v>0</v>
      </c>
      <c r="M14512" s="17" t="str">
        <f t="shared" si="695"/>
        <v/>
      </c>
      <c r="N14512" s="11" t="str">
        <f t="shared" si="696"/>
        <v/>
      </c>
    </row>
    <row r="14513" spans="9:14" x14ac:dyDescent="0.25">
      <c r="I14513" s="11" t="b">
        <f t="shared" si="697"/>
        <v>0</v>
      </c>
      <c r="M14513" s="17" t="str">
        <f t="shared" si="695"/>
        <v/>
      </c>
      <c r="N14513" s="11" t="str">
        <f t="shared" si="696"/>
        <v/>
      </c>
    </row>
    <row r="14514" spans="9:14" x14ac:dyDescent="0.25">
      <c r="I14514" s="11" t="b">
        <f t="shared" si="697"/>
        <v>0</v>
      </c>
      <c r="M14514" s="17" t="str">
        <f t="shared" si="695"/>
        <v/>
      </c>
      <c r="N14514" s="11" t="str">
        <f t="shared" si="696"/>
        <v/>
      </c>
    </row>
    <row r="14515" spans="9:14" x14ac:dyDescent="0.25">
      <c r="I14515" s="11" t="b">
        <f t="shared" si="697"/>
        <v>0</v>
      </c>
      <c r="M14515" s="17" t="str">
        <f t="shared" si="695"/>
        <v/>
      </c>
      <c r="N14515" s="11" t="str">
        <f t="shared" si="696"/>
        <v/>
      </c>
    </row>
    <row r="14516" spans="9:14" x14ac:dyDescent="0.25">
      <c r="I14516" s="11" t="b">
        <f t="shared" si="697"/>
        <v>0</v>
      </c>
      <c r="M14516" s="17" t="str">
        <f t="shared" si="695"/>
        <v/>
      </c>
      <c r="N14516" s="11" t="str">
        <f t="shared" si="696"/>
        <v/>
      </c>
    </row>
    <row r="14517" spans="9:14" x14ac:dyDescent="0.25">
      <c r="I14517" s="11" t="b">
        <f t="shared" si="697"/>
        <v>0</v>
      </c>
      <c r="M14517" s="17" t="str">
        <f t="shared" si="695"/>
        <v/>
      </c>
      <c r="N14517" s="11" t="str">
        <f t="shared" si="696"/>
        <v/>
      </c>
    </row>
    <row r="14518" spans="9:14" x14ac:dyDescent="0.25">
      <c r="I14518" s="11" t="b">
        <f t="shared" si="697"/>
        <v>0</v>
      </c>
      <c r="M14518" s="17" t="str">
        <f t="shared" si="695"/>
        <v/>
      </c>
      <c r="N14518" s="11" t="str">
        <f t="shared" si="696"/>
        <v/>
      </c>
    </row>
    <row r="14519" spans="9:14" x14ac:dyDescent="0.25">
      <c r="I14519" s="11" t="b">
        <f t="shared" si="697"/>
        <v>0</v>
      </c>
      <c r="M14519" s="17" t="str">
        <f t="shared" si="695"/>
        <v/>
      </c>
      <c r="N14519" s="11" t="str">
        <f t="shared" si="696"/>
        <v/>
      </c>
    </row>
    <row r="14520" spans="9:14" x14ac:dyDescent="0.25">
      <c r="I14520" s="11" t="b">
        <f t="shared" si="697"/>
        <v>0</v>
      </c>
      <c r="M14520" s="17" t="str">
        <f t="shared" si="695"/>
        <v/>
      </c>
      <c r="N14520" s="11" t="str">
        <f t="shared" si="696"/>
        <v/>
      </c>
    </row>
    <row r="14521" spans="9:14" x14ac:dyDescent="0.25">
      <c r="I14521" s="11" t="b">
        <f t="shared" si="697"/>
        <v>0</v>
      </c>
      <c r="M14521" s="17" t="str">
        <f t="shared" si="695"/>
        <v/>
      </c>
      <c r="N14521" s="11" t="str">
        <f t="shared" si="696"/>
        <v/>
      </c>
    </row>
    <row r="14522" spans="9:14" x14ac:dyDescent="0.25">
      <c r="I14522" s="11" t="b">
        <f t="shared" si="697"/>
        <v>0</v>
      </c>
      <c r="M14522" s="17" t="str">
        <f t="shared" si="695"/>
        <v/>
      </c>
      <c r="N14522" s="11" t="str">
        <f t="shared" si="696"/>
        <v/>
      </c>
    </row>
    <row r="14523" spans="9:14" x14ac:dyDescent="0.25">
      <c r="I14523" s="11" t="b">
        <f t="shared" si="697"/>
        <v>0</v>
      </c>
      <c r="M14523" s="17" t="str">
        <f t="shared" si="695"/>
        <v/>
      </c>
      <c r="N14523" s="11" t="str">
        <f t="shared" si="696"/>
        <v/>
      </c>
    </row>
    <row r="14524" spans="9:14" x14ac:dyDescent="0.25">
      <c r="I14524" s="11" t="b">
        <f t="shared" si="697"/>
        <v>0</v>
      </c>
      <c r="M14524" s="17" t="str">
        <f t="shared" si="695"/>
        <v/>
      </c>
      <c r="N14524" s="11" t="str">
        <f t="shared" si="696"/>
        <v/>
      </c>
    </row>
    <row r="14525" spans="9:14" x14ac:dyDescent="0.25">
      <c r="I14525" s="11" t="b">
        <f t="shared" si="697"/>
        <v>0</v>
      </c>
      <c r="M14525" s="17" t="str">
        <f t="shared" si="695"/>
        <v/>
      </c>
      <c r="N14525" s="11" t="str">
        <f t="shared" si="696"/>
        <v/>
      </c>
    </row>
    <row r="14526" spans="9:14" x14ac:dyDescent="0.25">
      <c r="I14526" s="11" t="b">
        <f t="shared" si="697"/>
        <v>0</v>
      </c>
      <c r="M14526" s="17" t="str">
        <f t="shared" si="695"/>
        <v/>
      </c>
      <c r="N14526" s="11" t="str">
        <f t="shared" si="696"/>
        <v/>
      </c>
    </row>
    <row r="14527" spans="9:14" x14ac:dyDescent="0.25">
      <c r="I14527" s="11" t="b">
        <f t="shared" si="697"/>
        <v>0</v>
      </c>
      <c r="M14527" s="17" t="str">
        <f t="shared" si="695"/>
        <v/>
      </c>
      <c r="N14527" s="11" t="str">
        <f t="shared" si="696"/>
        <v/>
      </c>
    </row>
    <row r="14528" spans="9:14" x14ac:dyDescent="0.25">
      <c r="I14528" s="11" t="b">
        <f t="shared" si="697"/>
        <v>0</v>
      </c>
      <c r="M14528" s="17" t="str">
        <f t="shared" si="695"/>
        <v/>
      </c>
      <c r="N14528" s="11" t="str">
        <f t="shared" si="696"/>
        <v/>
      </c>
    </row>
    <row r="14529" spans="9:14" x14ac:dyDescent="0.25">
      <c r="I14529" s="11" t="b">
        <f t="shared" si="697"/>
        <v>0</v>
      </c>
      <c r="M14529" s="17" t="str">
        <f t="shared" ref="M14529:M14592" si="698">IF(B14529=0, "",M14528+ J14529-K14529)</f>
        <v/>
      </c>
      <c r="N14529" s="11" t="str">
        <f t="shared" ref="N14529:N14592" si="699">IF(B14529=0, "", MONTH(B14529))</f>
        <v/>
      </c>
    </row>
    <row r="14530" spans="9:14" x14ac:dyDescent="0.25">
      <c r="I14530" s="11" t="b">
        <f t="shared" si="697"/>
        <v>0</v>
      </c>
      <c r="M14530" s="17" t="str">
        <f t="shared" si="698"/>
        <v/>
      </c>
      <c r="N14530" s="11" t="str">
        <f t="shared" si="699"/>
        <v/>
      </c>
    </row>
    <row r="14531" spans="9:14" x14ac:dyDescent="0.25">
      <c r="I14531" s="11" t="b">
        <f t="shared" si="697"/>
        <v>0</v>
      </c>
      <c r="M14531" s="17" t="str">
        <f t="shared" si="698"/>
        <v/>
      </c>
      <c r="N14531" s="11" t="str">
        <f t="shared" si="699"/>
        <v/>
      </c>
    </row>
    <row r="14532" spans="9:14" x14ac:dyDescent="0.25">
      <c r="I14532" s="11" t="b">
        <f t="shared" si="697"/>
        <v>0</v>
      </c>
      <c r="M14532" s="17" t="str">
        <f t="shared" si="698"/>
        <v/>
      </c>
      <c r="N14532" s="11" t="str">
        <f t="shared" si="699"/>
        <v/>
      </c>
    </row>
    <row r="14533" spans="9:14" x14ac:dyDescent="0.25">
      <c r="I14533" s="11" t="b">
        <f t="shared" si="697"/>
        <v>0</v>
      </c>
      <c r="M14533" s="17" t="str">
        <f t="shared" si="698"/>
        <v/>
      </c>
      <c r="N14533" s="11" t="str">
        <f t="shared" si="699"/>
        <v/>
      </c>
    </row>
    <row r="14534" spans="9:14" x14ac:dyDescent="0.25">
      <c r="I14534" s="11" t="b">
        <f t="shared" si="697"/>
        <v>0</v>
      </c>
      <c r="M14534" s="17" t="str">
        <f t="shared" si="698"/>
        <v/>
      </c>
      <c r="N14534" s="11" t="str">
        <f t="shared" si="699"/>
        <v/>
      </c>
    </row>
    <row r="14535" spans="9:14" x14ac:dyDescent="0.25">
      <c r="I14535" s="11" t="b">
        <f t="shared" si="697"/>
        <v>0</v>
      </c>
      <c r="M14535" s="17" t="str">
        <f t="shared" si="698"/>
        <v/>
      </c>
      <c r="N14535" s="11" t="str">
        <f t="shared" si="699"/>
        <v/>
      </c>
    </row>
    <row r="14536" spans="9:14" x14ac:dyDescent="0.25">
      <c r="I14536" s="11" t="b">
        <f t="shared" si="697"/>
        <v>0</v>
      </c>
      <c r="M14536" s="17" t="str">
        <f t="shared" si="698"/>
        <v/>
      </c>
      <c r="N14536" s="11" t="str">
        <f t="shared" si="699"/>
        <v/>
      </c>
    </row>
    <row r="14537" spans="9:14" x14ac:dyDescent="0.25">
      <c r="I14537" s="11" t="b">
        <f t="shared" si="697"/>
        <v>0</v>
      </c>
      <c r="M14537" s="17" t="str">
        <f t="shared" si="698"/>
        <v/>
      </c>
      <c r="N14537" s="11" t="str">
        <f t="shared" si="699"/>
        <v/>
      </c>
    </row>
    <row r="14538" spans="9:14" x14ac:dyDescent="0.25">
      <c r="I14538" s="11" t="b">
        <f t="shared" si="697"/>
        <v>0</v>
      </c>
      <c r="M14538" s="17" t="str">
        <f t="shared" si="698"/>
        <v/>
      </c>
      <c r="N14538" s="11" t="str">
        <f t="shared" si="699"/>
        <v/>
      </c>
    </row>
    <row r="14539" spans="9:14" x14ac:dyDescent="0.25">
      <c r="I14539" s="11" t="b">
        <f t="shared" si="697"/>
        <v>0</v>
      </c>
      <c r="M14539" s="17" t="str">
        <f t="shared" si="698"/>
        <v/>
      </c>
      <c r="N14539" s="11" t="str">
        <f t="shared" si="699"/>
        <v/>
      </c>
    </row>
    <row r="14540" spans="9:14" x14ac:dyDescent="0.25">
      <c r="I14540" s="11" t="b">
        <f t="shared" si="697"/>
        <v>0</v>
      </c>
      <c r="M14540" s="17" t="str">
        <f t="shared" si="698"/>
        <v/>
      </c>
      <c r="N14540" s="11" t="str">
        <f t="shared" si="699"/>
        <v/>
      </c>
    </row>
    <row r="14541" spans="9:14" x14ac:dyDescent="0.25">
      <c r="I14541" s="11" t="b">
        <f t="shared" si="697"/>
        <v>0</v>
      </c>
      <c r="M14541" s="17" t="str">
        <f t="shared" si="698"/>
        <v/>
      </c>
      <c r="N14541" s="11" t="str">
        <f t="shared" si="699"/>
        <v/>
      </c>
    </row>
    <row r="14542" spans="9:14" x14ac:dyDescent="0.25">
      <c r="I14542" s="11" t="b">
        <f t="shared" si="697"/>
        <v>0</v>
      </c>
      <c r="M14542" s="17" t="str">
        <f t="shared" si="698"/>
        <v/>
      </c>
      <c r="N14542" s="11" t="str">
        <f t="shared" si="699"/>
        <v/>
      </c>
    </row>
    <row r="14543" spans="9:14" x14ac:dyDescent="0.25">
      <c r="I14543" s="11" t="b">
        <f t="shared" si="697"/>
        <v>0</v>
      </c>
      <c r="M14543" s="17" t="str">
        <f t="shared" si="698"/>
        <v/>
      </c>
      <c r="N14543" s="11" t="str">
        <f t="shared" si="699"/>
        <v/>
      </c>
    </row>
    <row r="14544" spans="9:14" x14ac:dyDescent="0.25">
      <c r="I14544" s="11" t="b">
        <f t="shared" si="697"/>
        <v>0</v>
      </c>
      <c r="M14544" s="17" t="str">
        <f t="shared" si="698"/>
        <v/>
      </c>
      <c r="N14544" s="11" t="str">
        <f t="shared" si="699"/>
        <v/>
      </c>
    </row>
    <row r="14545" spans="9:14" x14ac:dyDescent="0.25">
      <c r="I14545" s="11" t="b">
        <f t="shared" si="697"/>
        <v>0</v>
      </c>
      <c r="M14545" s="17" t="str">
        <f t="shared" si="698"/>
        <v/>
      </c>
      <c r="N14545" s="11" t="str">
        <f t="shared" si="699"/>
        <v/>
      </c>
    </row>
    <row r="14546" spans="9:14" x14ac:dyDescent="0.25">
      <c r="I14546" s="11" t="b">
        <f t="shared" si="697"/>
        <v>0</v>
      </c>
      <c r="M14546" s="17" t="str">
        <f t="shared" si="698"/>
        <v/>
      </c>
      <c r="N14546" s="11" t="str">
        <f t="shared" si="699"/>
        <v/>
      </c>
    </row>
    <row r="14547" spans="9:14" x14ac:dyDescent="0.25">
      <c r="I14547" s="11" t="b">
        <f t="shared" si="697"/>
        <v>0</v>
      </c>
      <c r="M14547" s="17" t="str">
        <f t="shared" si="698"/>
        <v/>
      </c>
      <c r="N14547" s="11" t="str">
        <f t="shared" si="699"/>
        <v/>
      </c>
    </row>
    <row r="14548" spans="9:14" x14ac:dyDescent="0.25">
      <c r="I14548" s="11" t="b">
        <f t="shared" si="697"/>
        <v>0</v>
      </c>
      <c r="M14548" s="17" t="str">
        <f t="shared" si="698"/>
        <v/>
      </c>
      <c r="N14548" s="11" t="str">
        <f t="shared" si="699"/>
        <v/>
      </c>
    </row>
    <row r="14549" spans="9:14" x14ac:dyDescent="0.25">
      <c r="I14549" s="11" t="b">
        <f t="shared" si="697"/>
        <v>0</v>
      </c>
      <c r="M14549" s="17" t="str">
        <f t="shared" si="698"/>
        <v/>
      </c>
      <c r="N14549" s="11" t="str">
        <f t="shared" si="699"/>
        <v/>
      </c>
    </row>
    <row r="14550" spans="9:14" x14ac:dyDescent="0.25">
      <c r="I14550" s="11" t="b">
        <f t="shared" si="697"/>
        <v>0</v>
      </c>
      <c r="M14550" s="17" t="str">
        <f t="shared" si="698"/>
        <v/>
      </c>
      <c r="N14550" s="11" t="str">
        <f t="shared" si="699"/>
        <v/>
      </c>
    </row>
    <row r="14551" spans="9:14" x14ac:dyDescent="0.25">
      <c r="I14551" s="11" t="b">
        <f t="shared" si="697"/>
        <v>0</v>
      </c>
      <c r="M14551" s="17" t="str">
        <f t="shared" si="698"/>
        <v/>
      </c>
      <c r="N14551" s="11" t="str">
        <f t="shared" si="699"/>
        <v/>
      </c>
    </row>
    <row r="14552" spans="9:14" x14ac:dyDescent="0.25">
      <c r="I14552" s="11" t="b">
        <f t="shared" si="697"/>
        <v>0</v>
      </c>
      <c r="M14552" s="17" t="str">
        <f t="shared" si="698"/>
        <v/>
      </c>
      <c r="N14552" s="11" t="str">
        <f t="shared" si="699"/>
        <v/>
      </c>
    </row>
    <row r="14553" spans="9:14" x14ac:dyDescent="0.25">
      <c r="I14553" s="11" t="b">
        <f t="shared" si="697"/>
        <v>0</v>
      </c>
      <c r="M14553" s="17" t="str">
        <f t="shared" si="698"/>
        <v/>
      </c>
      <c r="N14553" s="11" t="str">
        <f t="shared" si="699"/>
        <v/>
      </c>
    </row>
    <row r="14554" spans="9:14" x14ac:dyDescent="0.25">
      <c r="I14554" s="11" t="b">
        <f t="shared" si="697"/>
        <v>0</v>
      </c>
      <c r="M14554" s="17" t="str">
        <f t="shared" si="698"/>
        <v/>
      </c>
      <c r="N14554" s="11" t="str">
        <f t="shared" si="699"/>
        <v/>
      </c>
    </row>
    <row r="14555" spans="9:14" x14ac:dyDescent="0.25">
      <c r="I14555" s="11" t="b">
        <f t="shared" si="697"/>
        <v>0</v>
      </c>
      <c r="M14555" s="17" t="str">
        <f t="shared" si="698"/>
        <v/>
      </c>
      <c r="N14555" s="11" t="str">
        <f t="shared" si="699"/>
        <v/>
      </c>
    </row>
    <row r="14556" spans="9:14" x14ac:dyDescent="0.25">
      <c r="I14556" s="11" t="b">
        <f t="shared" si="697"/>
        <v>0</v>
      </c>
      <c r="M14556" s="17" t="str">
        <f t="shared" si="698"/>
        <v/>
      </c>
      <c r="N14556" s="11" t="str">
        <f t="shared" si="699"/>
        <v/>
      </c>
    </row>
    <row r="14557" spans="9:14" x14ac:dyDescent="0.25">
      <c r="I14557" s="11" t="b">
        <f t="shared" ref="I14557:I14620" si="700">IF(AND(G14557="MERCADO PAGO",A14557="FATURAMENTO"),1,IF(AND(OR(G14557="MERCADO PAGO",G14557="pix mercado pago",G14557= "débito automático mercado pago", G14557= "boleto mercado pago"),A14557="DESPESAS"),4,IF(AND(G14557="SAFRA",A14557="FATURAMENTO"),2,IF(AND(OR(G14557="SAFRA",G14557="PIX SAFRA", G14557="DÉBITO AUTOMÁTICO SAFRA", G14557= "BOLETO SAFRA", G14557= "transferência safra"), A14557="DESPESAS"),5,IF(AND(G14557="espécie",A14557="FATURAMENTO"),3,IF(AND(G14557="espécie",A14557="DESPESAS"),6))))))</f>
        <v>0</v>
      </c>
      <c r="M14557" s="17" t="str">
        <f t="shared" si="698"/>
        <v/>
      </c>
      <c r="N14557" s="11" t="str">
        <f t="shared" si="699"/>
        <v/>
      </c>
    </row>
    <row r="14558" spans="9:14" x14ac:dyDescent="0.25">
      <c r="I14558" s="11" t="b">
        <f t="shared" si="700"/>
        <v>0</v>
      </c>
      <c r="M14558" s="17" t="str">
        <f t="shared" si="698"/>
        <v/>
      </c>
      <c r="N14558" s="11" t="str">
        <f t="shared" si="699"/>
        <v/>
      </c>
    </row>
    <row r="14559" spans="9:14" x14ac:dyDescent="0.25">
      <c r="I14559" s="11" t="b">
        <f t="shared" si="700"/>
        <v>0</v>
      </c>
      <c r="M14559" s="17" t="str">
        <f t="shared" si="698"/>
        <v/>
      </c>
      <c r="N14559" s="11" t="str">
        <f t="shared" si="699"/>
        <v/>
      </c>
    </row>
    <row r="14560" spans="9:14" x14ac:dyDescent="0.25">
      <c r="I14560" s="11" t="b">
        <f t="shared" si="700"/>
        <v>0</v>
      </c>
      <c r="M14560" s="17" t="str">
        <f t="shared" si="698"/>
        <v/>
      </c>
      <c r="N14560" s="11" t="str">
        <f t="shared" si="699"/>
        <v/>
      </c>
    </row>
    <row r="14561" spans="9:14" x14ac:dyDescent="0.25">
      <c r="I14561" s="11" t="b">
        <f t="shared" si="700"/>
        <v>0</v>
      </c>
      <c r="M14561" s="17" t="str">
        <f t="shared" si="698"/>
        <v/>
      </c>
      <c r="N14561" s="11" t="str">
        <f t="shared" si="699"/>
        <v/>
      </c>
    </row>
    <row r="14562" spans="9:14" x14ac:dyDescent="0.25">
      <c r="I14562" s="11" t="b">
        <f t="shared" si="700"/>
        <v>0</v>
      </c>
      <c r="M14562" s="17" t="str">
        <f t="shared" si="698"/>
        <v/>
      </c>
      <c r="N14562" s="11" t="str">
        <f t="shared" si="699"/>
        <v/>
      </c>
    </row>
    <row r="14563" spans="9:14" x14ac:dyDescent="0.25">
      <c r="I14563" s="11" t="b">
        <f t="shared" si="700"/>
        <v>0</v>
      </c>
      <c r="M14563" s="17" t="str">
        <f t="shared" si="698"/>
        <v/>
      </c>
      <c r="N14563" s="11" t="str">
        <f t="shared" si="699"/>
        <v/>
      </c>
    </row>
    <row r="14564" spans="9:14" x14ac:dyDescent="0.25">
      <c r="I14564" s="11" t="b">
        <f t="shared" si="700"/>
        <v>0</v>
      </c>
      <c r="M14564" s="17" t="str">
        <f t="shared" si="698"/>
        <v/>
      </c>
      <c r="N14564" s="11" t="str">
        <f t="shared" si="699"/>
        <v/>
      </c>
    </row>
    <row r="14565" spans="9:14" x14ac:dyDescent="0.25">
      <c r="I14565" s="11" t="b">
        <f t="shared" si="700"/>
        <v>0</v>
      </c>
      <c r="M14565" s="17" t="str">
        <f t="shared" si="698"/>
        <v/>
      </c>
      <c r="N14565" s="11" t="str">
        <f t="shared" si="699"/>
        <v/>
      </c>
    </row>
    <row r="14566" spans="9:14" x14ac:dyDescent="0.25">
      <c r="I14566" s="11" t="b">
        <f t="shared" si="700"/>
        <v>0</v>
      </c>
      <c r="M14566" s="17" t="str">
        <f t="shared" si="698"/>
        <v/>
      </c>
      <c r="N14566" s="11" t="str">
        <f t="shared" si="699"/>
        <v/>
      </c>
    </row>
    <row r="14567" spans="9:14" x14ac:dyDescent="0.25">
      <c r="I14567" s="11" t="b">
        <f t="shared" si="700"/>
        <v>0</v>
      </c>
      <c r="M14567" s="17" t="str">
        <f t="shared" si="698"/>
        <v/>
      </c>
      <c r="N14567" s="11" t="str">
        <f t="shared" si="699"/>
        <v/>
      </c>
    </row>
    <row r="14568" spans="9:14" x14ac:dyDescent="0.25">
      <c r="I14568" s="11" t="b">
        <f t="shared" si="700"/>
        <v>0</v>
      </c>
      <c r="M14568" s="17" t="str">
        <f t="shared" si="698"/>
        <v/>
      </c>
      <c r="N14568" s="11" t="str">
        <f t="shared" si="699"/>
        <v/>
      </c>
    </row>
    <row r="14569" spans="9:14" x14ac:dyDescent="0.25">
      <c r="I14569" s="11" t="b">
        <f t="shared" si="700"/>
        <v>0</v>
      </c>
      <c r="M14569" s="17" t="str">
        <f t="shared" si="698"/>
        <v/>
      </c>
      <c r="N14569" s="11" t="str">
        <f t="shared" si="699"/>
        <v/>
      </c>
    </row>
    <row r="14570" spans="9:14" x14ac:dyDescent="0.25">
      <c r="I14570" s="11" t="b">
        <f t="shared" si="700"/>
        <v>0</v>
      </c>
      <c r="M14570" s="17" t="str">
        <f t="shared" si="698"/>
        <v/>
      </c>
      <c r="N14570" s="11" t="str">
        <f t="shared" si="699"/>
        <v/>
      </c>
    </row>
    <row r="14571" spans="9:14" x14ac:dyDescent="0.25">
      <c r="I14571" s="11" t="b">
        <f t="shared" si="700"/>
        <v>0</v>
      </c>
      <c r="M14571" s="17" t="str">
        <f t="shared" si="698"/>
        <v/>
      </c>
      <c r="N14571" s="11" t="str">
        <f t="shared" si="699"/>
        <v/>
      </c>
    </row>
    <row r="14572" spans="9:14" x14ac:dyDescent="0.25">
      <c r="I14572" s="11" t="b">
        <f t="shared" si="700"/>
        <v>0</v>
      </c>
      <c r="M14572" s="17" t="str">
        <f t="shared" si="698"/>
        <v/>
      </c>
      <c r="N14572" s="11" t="str">
        <f t="shared" si="699"/>
        <v/>
      </c>
    </row>
    <row r="14573" spans="9:14" x14ac:dyDescent="0.25">
      <c r="I14573" s="11" t="b">
        <f t="shared" si="700"/>
        <v>0</v>
      </c>
      <c r="M14573" s="17" t="str">
        <f t="shared" si="698"/>
        <v/>
      </c>
      <c r="N14573" s="11" t="str">
        <f t="shared" si="699"/>
        <v/>
      </c>
    </row>
    <row r="14574" spans="9:14" x14ac:dyDescent="0.25">
      <c r="I14574" s="11" t="b">
        <f t="shared" si="700"/>
        <v>0</v>
      </c>
      <c r="M14574" s="17" t="str">
        <f t="shared" si="698"/>
        <v/>
      </c>
      <c r="N14574" s="11" t="str">
        <f t="shared" si="699"/>
        <v/>
      </c>
    </row>
    <row r="14575" spans="9:14" x14ac:dyDescent="0.25">
      <c r="I14575" s="11" t="b">
        <f t="shared" si="700"/>
        <v>0</v>
      </c>
      <c r="M14575" s="17" t="str">
        <f t="shared" si="698"/>
        <v/>
      </c>
      <c r="N14575" s="11" t="str">
        <f t="shared" si="699"/>
        <v/>
      </c>
    </row>
    <row r="14576" spans="9:14" x14ac:dyDescent="0.25">
      <c r="I14576" s="11" t="b">
        <f t="shared" si="700"/>
        <v>0</v>
      </c>
      <c r="M14576" s="17" t="str">
        <f t="shared" si="698"/>
        <v/>
      </c>
      <c r="N14576" s="11" t="str">
        <f t="shared" si="699"/>
        <v/>
      </c>
    </row>
    <row r="14577" spans="9:14" x14ac:dyDescent="0.25">
      <c r="I14577" s="11" t="b">
        <f t="shared" si="700"/>
        <v>0</v>
      </c>
      <c r="M14577" s="17" t="str">
        <f t="shared" si="698"/>
        <v/>
      </c>
      <c r="N14577" s="11" t="str">
        <f t="shared" si="699"/>
        <v/>
      </c>
    </row>
    <row r="14578" spans="9:14" x14ac:dyDescent="0.25">
      <c r="I14578" s="11" t="b">
        <f t="shared" si="700"/>
        <v>0</v>
      </c>
      <c r="M14578" s="17" t="str">
        <f t="shared" si="698"/>
        <v/>
      </c>
      <c r="N14578" s="11" t="str">
        <f t="shared" si="699"/>
        <v/>
      </c>
    </row>
    <row r="14579" spans="9:14" x14ac:dyDescent="0.25">
      <c r="I14579" s="11" t="b">
        <f t="shared" si="700"/>
        <v>0</v>
      </c>
      <c r="M14579" s="17" t="str">
        <f t="shared" si="698"/>
        <v/>
      </c>
      <c r="N14579" s="11" t="str">
        <f t="shared" si="699"/>
        <v/>
      </c>
    </row>
    <row r="14580" spans="9:14" x14ac:dyDescent="0.25">
      <c r="I14580" s="11" t="b">
        <f t="shared" si="700"/>
        <v>0</v>
      </c>
      <c r="M14580" s="17" t="str">
        <f t="shared" si="698"/>
        <v/>
      </c>
      <c r="N14580" s="11" t="str">
        <f t="shared" si="699"/>
        <v/>
      </c>
    </row>
    <row r="14581" spans="9:14" x14ac:dyDescent="0.25">
      <c r="I14581" s="11" t="b">
        <f t="shared" si="700"/>
        <v>0</v>
      </c>
      <c r="M14581" s="17" t="str">
        <f t="shared" si="698"/>
        <v/>
      </c>
      <c r="N14581" s="11" t="str">
        <f t="shared" si="699"/>
        <v/>
      </c>
    </row>
    <row r="14582" spans="9:14" x14ac:dyDescent="0.25">
      <c r="I14582" s="11" t="b">
        <f t="shared" si="700"/>
        <v>0</v>
      </c>
      <c r="M14582" s="17" t="str">
        <f t="shared" si="698"/>
        <v/>
      </c>
      <c r="N14582" s="11" t="str">
        <f t="shared" si="699"/>
        <v/>
      </c>
    </row>
    <row r="14583" spans="9:14" x14ac:dyDescent="0.25">
      <c r="I14583" s="11" t="b">
        <f t="shared" si="700"/>
        <v>0</v>
      </c>
      <c r="M14583" s="17" t="str">
        <f t="shared" si="698"/>
        <v/>
      </c>
      <c r="N14583" s="11" t="str">
        <f t="shared" si="699"/>
        <v/>
      </c>
    </row>
    <row r="14584" spans="9:14" x14ac:dyDescent="0.25">
      <c r="I14584" s="11" t="b">
        <f t="shared" si="700"/>
        <v>0</v>
      </c>
      <c r="M14584" s="17" t="str">
        <f t="shared" si="698"/>
        <v/>
      </c>
      <c r="N14584" s="11" t="str">
        <f t="shared" si="699"/>
        <v/>
      </c>
    </row>
    <row r="14585" spans="9:14" x14ac:dyDescent="0.25">
      <c r="I14585" s="11" t="b">
        <f t="shared" si="700"/>
        <v>0</v>
      </c>
      <c r="M14585" s="17" t="str">
        <f t="shared" si="698"/>
        <v/>
      </c>
      <c r="N14585" s="11" t="str">
        <f t="shared" si="699"/>
        <v/>
      </c>
    </row>
    <row r="14586" spans="9:14" x14ac:dyDescent="0.25">
      <c r="I14586" s="11" t="b">
        <f t="shared" si="700"/>
        <v>0</v>
      </c>
      <c r="M14586" s="17" t="str">
        <f t="shared" si="698"/>
        <v/>
      </c>
      <c r="N14586" s="11" t="str">
        <f t="shared" si="699"/>
        <v/>
      </c>
    </row>
    <row r="14587" spans="9:14" x14ac:dyDescent="0.25">
      <c r="I14587" s="11" t="b">
        <f t="shared" si="700"/>
        <v>0</v>
      </c>
      <c r="M14587" s="17" t="str">
        <f t="shared" si="698"/>
        <v/>
      </c>
      <c r="N14587" s="11" t="str">
        <f t="shared" si="699"/>
        <v/>
      </c>
    </row>
    <row r="14588" spans="9:14" x14ac:dyDescent="0.25">
      <c r="I14588" s="11" t="b">
        <f t="shared" si="700"/>
        <v>0</v>
      </c>
      <c r="M14588" s="17" t="str">
        <f t="shared" si="698"/>
        <v/>
      </c>
      <c r="N14588" s="11" t="str">
        <f t="shared" si="699"/>
        <v/>
      </c>
    </row>
    <row r="14589" spans="9:14" x14ac:dyDescent="0.25">
      <c r="I14589" s="11" t="b">
        <f t="shared" si="700"/>
        <v>0</v>
      </c>
      <c r="M14589" s="17" t="str">
        <f t="shared" si="698"/>
        <v/>
      </c>
      <c r="N14589" s="11" t="str">
        <f t="shared" si="699"/>
        <v/>
      </c>
    </row>
    <row r="14590" spans="9:14" x14ac:dyDescent="0.25">
      <c r="I14590" s="11" t="b">
        <f t="shared" si="700"/>
        <v>0</v>
      </c>
      <c r="M14590" s="17" t="str">
        <f t="shared" si="698"/>
        <v/>
      </c>
      <c r="N14590" s="11" t="str">
        <f t="shared" si="699"/>
        <v/>
      </c>
    </row>
    <row r="14591" spans="9:14" x14ac:dyDescent="0.25">
      <c r="I14591" s="11" t="b">
        <f t="shared" si="700"/>
        <v>0</v>
      </c>
      <c r="M14591" s="17" t="str">
        <f t="shared" si="698"/>
        <v/>
      </c>
      <c r="N14591" s="11" t="str">
        <f t="shared" si="699"/>
        <v/>
      </c>
    </row>
    <row r="14592" spans="9:14" x14ac:dyDescent="0.25">
      <c r="I14592" s="11" t="b">
        <f t="shared" si="700"/>
        <v>0</v>
      </c>
      <c r="M14592" s="17" t="str">
        <f t="shared" si="698"/>
        <v/>
      </c>
      <c r="N14592" s="11" t="str">
        <f t="shared" si="699"/>
        <v/>
      </c>
    </row>
    <row r="14593" spans="9:14" x14ac:dyDescent="0.25">
      <c r="I14593" s="11" t="b">
        <f t="shared" si="700"/>
        <v>0</v>
      </c>
      <c r="M14593" s="17" t="str">
        <f t="shared" ref="M14593:M14656" si="701">IF(B14593=0, "",M14592+ J14593-K14593)</f>
        <v/>
      </c>
      <c r="N14593" s="11" t="str">
        <f t="shared" ref="N14593:N14656" si="702">IF(B14593=0, "", MONTH(B14593))</f>
        <v/>
      </c>
    </row>
    <row r="14594" spans="9:14" x14ac:dyDescent="0.25">
      <c r="I14594" s="11" t="b">
        <f t="shared" si="700"/>
        <v>0</v>
      </c>
      <c r="M14594" s="17" t="str">
        <f t="shared" si="701"/>
        <v/>
      </c>
      <c r="N14594" s="11" t="str">
        <f t="shared" si="702"/>
        <v/>
      </c>
    </row>
    <row r="14595" spans="9:14" x14ac:dyDescent="0.25">
      <c r="I14595" s="11" t="b">
        <f t="shared" si="700"/>
        <v>0</v>
      </c>
      <c r="M14595" s="17" t="str">
        <f t="shared" si="701"/>
        <v/>
      </c>
      <c r="N14595" s="11" t="str">
        <f t="shared" si="702"/>
        <v/>
      </c>
    </row>
    <row r="14596" spans="9:14" x14ac:dyDescent="0.25">
      <c r="I14596" s="11" t="b">
        <f t="shared" si="700"/>
        <v>0</v>
      </c>
      <c r="M14596" s="17" t="str">
        <f t="shared" si="701"/>
        <v/>
      </c>
      <c r="N14596" s="11" t="str">
        <f t="shared" si="702"/>
        <v/>
      </c>
    </row>
    <row r="14597" spans="9:14" x14ac:dyDescent="0.25">
      <c r="I14597" s="11" t="b">
        <f t="shared" si="700"/>
        <v>0</v>
      </c>
      <c r="M14597" s="17" t="str">
        <f t="shared" si="701"/>
        <v/>
      </c>
      <c r="N14597" s="11" t="str">
        <f t="shared" si="702"/>
        <v/>
      </c>
    </row>
    <row r="14598" spans="9:14" x14ac:dyDescent="0.25">
      <c r="I14598" s="11" t="b">
        <f t="shared" si="700"/>
        <v>0</v>
      </c>
      <c r="M14598" s="17" t="str">
        <f t="shared" si="701"/>
        <v/>
      </c>
      <c r="N14598" s="11" t="str">
        <f t="shared" si="702"/>
        <v/>
      </c>
    </row>
    <row r="14599" spans="9:14" x14ac:dyDescent="0.25">
      <c r="I14599" s="11" t="b">
        <f t="shared" si="700"/>
        <v>0</v>
      </c>
      <c r="M14599" s="17" t="str">
        <f t="shared" si="701"/>
        <v/>
      </c>
      <c r="N14599" s="11" t="str">
        <f t="shared" si="702"/>
        <v/>
      </c>
    </row>
    <row r="14600" spans="9:14" x14ac:dyDescent="0.25">
      <c r="I14600" s="11" t="b">
        <f t="shared" si="700"/>
        <v>0</v>
      </c>
      <c r="M14600" s="17" t="str">
        <f t="shared" si="701"/>
        <v/>
      </c>
      <c r="N14600" s="11" t="str">
        <f t="shared" si="702"/>
        <v/>
      </c>
    </row>
    <row r="14601" spans="9:14" x14ac:dyDescent="0.25">
      <c r="I14601" s="11" t="b">
        <f t="shared" si="700"/>
        <v>0</v>
      </c>
      <c r="M14601" s="17" t="str">
        <f t="shared" si="701"/>
        <v/>
      </c>
      <c r="N14601" s="11" t="str">
        <f t="shared" si="702"/>
        <v/>
      </c>
    </row>
    <row r="14602" spans="9:14" x14ac:dyDescent="0.25">
      <c r="I14602" s="11" t="b">
        <f t="shared" si="700"/>
        <v>0</v>
      </c>
      <c r="M14602" s="17" t="str">
        <f t="shared" si="701"/>
        <v/>
      </c>
      <c r="N14602" s="11" t="str">
        <f t="shared" si="702"/>
        <v/>
      </c>
    </row>
    <row r="14603" spans="9:14" x14ac:dyDescent="0.25">
      <c r="I14603" s="11" t="b">
        <f t="shared" si="700"/>
        <v>0</v>
      </c>
      <c r="M14603" s="17" t="str">
        <f t="shared" si="701"/>
        <v/>
      </c>
      <c r="N14603" s="11" t="str">
        <f t="shared" si="702"/>
        <v/>
      </c>
    </row>
    <row r="14604" spans="9:14" x14ac:dyDescent="0.25">
      <c r="I14604" s="11" t="b">
        <f t="shared" si="700"/>
        <v>0</v>
      </c>
      <c r="M14604" s="17" t="str">
        <f t="shared" si="701"/>
        <v/>
      </c>
      <c r="N14604" s="11" t="str">
        <f t="shared" si="702"/>
        <v/>
      </c>
    </row>
    <row r="14605" spans="9:14" x14ac:dyDescent="0.25">
      <c r="I14605" s="11" t="b">
        <f t="shared" si="700"/>
        <v>0</v>
      </c>
      <c r="M14605" s="17" t="str">
        <f t="shared" si="701"/>
        <v/>
      </c>
      <c r="N14605" s="11" t="str">
        <f t="shared" si="702"/>
        <v/>
      </c>
    </row>
    <row r="14606" spans="9:14" x14ac:dyDescent="0.25">
      <c r="I14606" s="11" t="b">
        <f t="shared" si="700"/>
        <v>0</v>
      </c>
      <c r="M14606" s="17" t="str">
        <f t="shared" si="701"/>
        <v/>
      </c>
      <c r="N14606" s="11" t="str">
        <f t="shared" si="702"/>
        <v/>
      </c>
    </row>
    <row r="14607" spans="9:14" x14ac:dyDescent="0.25">
      <c r="I14607" s="11" t="b">
        <f t="shared" si="700"/>
        <v>0</v>
      </c>
      <c r="M14607" s="17" t="str">
        <f t="shared" si="701"/>
        <v/>
      </c>
      <c r="N14607" s="11" t="str">
        <f t="shared" si="702"/>
        <v/>
      </c>
    </row>
    <row r="14608" spans="9:14" x14ac:dyDescent="0.25">
      <c r="I14608" s="11" t="b">
        <f t="shared" si="700"/>
        <v>0</v>
      </c>
      <c r="M14608" s="17" t="str">
        <f t="shared" si="701"/>
        <v/>
      </c>
      <c r="N14608" s="11" t="str">
        <f t="shared" si="702"/>
        <v/>
      </c>
    </row>
    <row r="14609" spans="9:14" x14ac:dyDescent="0.25">
      <c r="I14609" s="11" t="b">
        <f t="shared" si="700"/>
        <v>0</v>
      </c>
      <c r="M14609" s="17" t="str">
        <f t="shared" si="701"/>
        <v/>
      </c>
      <c r="N14609" s="11" t="str">
        <f t="shared" si="702"/>
        <v/>
      </c>
    </row>
    <row r="14610" spans="9:14" x14ac:dyDescent="0.25">
      <c r="I14610" s="11" t="b">
        <f t="shared" si="700"/>
        <v>0</v>
      </c>
      <c r="M14610" s="17" t="str">
        <f t="shared" si="701"/>
        <v/>
      </c>
      <c r="N14610" s="11" t="str">
        <f t="shared" si="702"/>
        <v/>
      </c>
    </row>
    <row r="14611" spans="9:14" x14ac:dyDescent="0.25">
      <c r="I14611" s="11" t="b">
        <f t="shared" si="700"/>
        <v>0</v>
      </c>
      <c r="M14611" s="17" t="str">
        <f t="shared" si="701"/>
        <v/>
      </c>
      <c r="N14611" s="11" t="str">
        <f t="shared" si="702"/>
        <v/>
      </c>
    </row>
    <row r="14612" spans="9:14" x14ac:dyDescent="0.25">
      <c r="I14612" s="11" t="b">
        <f t="shared" si="700"/>
        <v>0</v>
      </c>
      <c r="M14612" s="17" t="str">
        <f t="shared" si="701"/>
        <v/>
      </c>
      <c r="N14612" s="11" t="str">
        <f t="shared" si="702"/>
        <v/>
      </c>
    </row>
    <row r="14613" spans="9:14" x14ac:dyDescent="0.25">
      <c r="I14613" s="11" t="b">
        <f t="shared" si="700"/>
        <v>0</v>
      </c>
      <c r="M14613" s="17" t="str">
        <f t="shared" si="701"/>
        <v/>
      </c>
      <c r="N14613" s="11" t="str">
        <f t="shared" si="702"/>
        <v/>
      </c>
    </row>
    <row r="14614" spans="9:14" x14ac:dyDescent="0.25">
      <c r="I14614" s="11" t="b">
        <f t="shared" si="700"/>
        <v>0</v>
      </c>
      <c r="M14614" s="17" t="str">
        <f t="shared" si="701"/>
        <v/>
      </c>
      <c r="N14614" s="11" t="str">
        <f t="shared" si="702"/>
        <v/>
      </c>
    </row>
    <row r="14615" spans="9:14" x14ac:dyDescent="0.25">
      <c r="I14615" s="11" t="b">
        <f t="shared" si="700"/>
        <v>0</v>
      </c>
      <c r="M14615" s="17" t="str">
        <f t="shared" si="701"/>
        <v/>
      </c>
      <c r="N14615" s="11" t="str">
        <f t="shared" si="702"/>
        <v/>
      </c>
    </row>
    <row r="14616" spans="9:14" x14ac:dyDescent="0.25">
      <c r="I14616" s="11" t="b">
        <f t="shared" si="700"/>
        <v>0</v>
      </c>
      <c r="M14616" s="17" t="str">
        <f t="shared" si="701"/>
        <v/>
      </c>
      <c r="N14616" s="11" t="str">
        <f t="shared" si="702"/>
        <v/>
      </c>
    </row>
    <row r="14617" spans="9:14" x14ac:dyDescent="0.25">
      <c r="I14617" s="11" t="b">
        <f t="shared" si="700"/>
        <v>0</v>
      </c>
      <c r="M14617" s="17" t="str">
        <f t="shared" si="701"/>
        <v/>
      </c>
      <c r="N14617" s="11" t="str">
        <f t="shared" si="702"/>
        <v/>
      </c>
    </row>
    <row r="14618" spans="9:14" x14ac:dyDescent="0.25">
      <c r="I14618" s="11" t="b">
        <f t="shared" si="700"/>
        <v>0</v>
      </c>
      <c r="M14618" s="17" t="str">
        <f t="shared" si="701"/>
        <v/>
      </c>
      <c r="N14618" s="11" t="str">
        <f t="shared" si="702"/>
        <v/>
      </c>
    </row>
    <row r="14619" spans="9:14" x14ac:dyDescent="0.25">
      <c r="I14619" s="11" t="b">
        <f t="shared" si="700"/>
        <v>0</v>
      </c>
      <c r="M14619" s="17" t="str">
        <f t="shared" si="701"/>
        <v/>
      </c>
      <c r="N14619" s="11" t="str">
        <f t="shared" si="702"/>
        <v/>
      </c>
    </row>
    <row r="14620" spans="9:14" x14ac:dyDescent="0.25">
      <c r="I14620" s="11" t="b">
        <f t="shared" si="700"/>
        <v>0</v>
      </c>
      <c r="M14620" s="17" t="str">
        <f t="shared" si="701"/>
        <v/>
      </c>
      <c r="N14620" s="11" t="str">
        <f t="shared" si="702"/>
        <v/>
      </c>
    </row>
    <row r="14621" spans="9:14" x14ac:dyDescent="0.25">
      <c r="I14621" s="11" t="b">
        <f t="shared" ref="I14621:I14684" si="703">IF(AND(G14621="MERCADO PAGO",A14621="FATURAMENTO"),1,IF(AND(OR(G14621="MERCADO PAGO",G14621="pix mercado pago",G14621= "débito automático mercado pago", G14621= "boleto mercado pago"),A14621="DESPESAS"),4,IF(AND(G14621="SAFRA",A14621="FATURAMENTO"),2,IF(AND(OR(G14621="SAFRA",G14621="PIX SAFRA", G14621="DÉBITO AUTOMÁTICO SAFRA", G14621= "BOLETO SAFRA", G14621= "transferência safra"), A14621="DESPESAS"),5,IF(AND(G14621="espécie",A14621="FATURAMENTO"),3,IF(AND(G14621="espécie",A14621="DESPESAS"),6))))))</f>
        <v>0</v>
      </c>
      <c r="M14621" s="17" t="str">
        <f t="shared" si="701"/>
        <v/>
      </c>
      <c r="N14621" s="11" t="str">
        <f t="shared" si="702"/>
        <v/>
      </c>
    </row>
    <row r="14622" spans="9:14" x14ac:dyDescent="0.25">
      <c r="I14622" s="11" t="b">
        <f t="shared" si="703"/>
        <v>0</v>
      </c>
      <c r="M14622" s="17" t="str">
        <f t="shared" si="701"/>
        <v/>
      </c>
      <c r="N14622" s="11" t="str">
        <f t="shared" si="702"/>
        <v/>
      </c>
    </row>
    <row r="14623" spans="9:14" x14ac:dyDescent="0.25">
      <c r="I14623" s="11" t="b">
        <f t="shared" si="703"/>
        <v>0</v>
      </c>
      <c r="M14623" s="17" t="str">
        <f t="shared" si="701"/>
        <v/>
      </c>
      <c r="N14623" s="11" t="str">
        <f t="shared" si="702"/>
        <v/>
      </c>
    </row>
    <row r="14624" spans="9:14" x14ac:dyDescent="0.25">
      <c r="I14624" s="11" t="b">
        <f t="shared" si="703"/>
        <v>0</v>
      </c>
      <c r="M14624" s="17" t="str">
        <f t="shared" si="701"/>
        <v/>
      </c>
      <c r="N14624" s="11" t="str">
        <f t="shared" si="702"/>
        <v/>
      </c>
    </row>
    <row r="14625" spans="9:14" x14ac:dyDescent="0.25">
      <c r="I14625" s="11" t="b">
        <f t="shared" si="703"/>
        <v>0</v>
      </c>
      <c r="M14625" s="17" t="str">
        <f t="shared" si="701"/>
        <v/>
      </c>
      <c r="N14625" s="11" t="str">
        <f t="shared" si="702"/>
        <v/>
      </c>
    </row>
    <row r="14626" spans="9:14" x14ac:dyDescent="0.25">
      <c r="I14626" s="11" t="b">
        <f t="shared" si="703"/>
        <v>0</v>
      </c>
      <c r="M14626" s="17" t="str">
        <f t="shared" si="701"/>
        <v/>
      </c>
      <c r="N14626" s="11" t="str">
        <f t="shared" si="702"/>
        <v/>
      </c>
    </row>
    <row r="14627" spans="9:14" x14ac:dyDescent="0.25">
      <c r="I14627" s="11" t="b">
        <f t="shared" si="703"/>
        <v>0</v>
      </c>
      <c r="M14627" s="17" t="str">
        <f t="shared" si="701"/>
        <v/>
      </c>
      <c r="N14627" s="11" t="str">
        <f t="shared" si="702"/>
        <v/>
      </c>
    </row>
    <row r="14628" spans="9:14" x14ac:dyDescent="0.25">
      <c r="I14628" s="11" t="b">
        <f t="shared" si="703"/>
        <v>0</v>
      </c>
      <c r="M14628" s="17" t="str">
        <f t="shared" si="701"/>
        <v/>
      </c>
      <c r="N14628" s="11" t="str">
        <f t="shared" si="702"/>
        <v/>
      </c>
    </row>
    <row r="14629" spans="9:14" x14ac:dyDescent="0.25">
      <c r="I14629" s="11" t="b">
        <f t="shared" si="703"/>
        <v>0</v>
      </c>
      <c r="M14629" s="17" t="str">
        <f t="shared" si="701"/>
        <v/>
      </c>
      <c r="N14629" s="11" t="str">
        <f t="shared" si="702"/>
        <v/>
      </c>
    </row>
    <row r="14630" spans="9:14" x14ac:dyDescent="0.25">
      <c r="I14630" s="11" t="b">
        <f t="shared" si="703"/>
        <v>0</v>
      </c>
      <c r="M14630" s="17" t="str">
        <f t="shared" si="701"/>
        <v/>
      </c>
      <c r="N14630" s="11" t="str">
        <f t="shared" si="702"/>
        <v/>
      </c>
    </row>
    <row r="14631" spans="9:14" x14ac:dyDescent="0.25">
      <c r="I14631" s="11" t="b">
        <f t="shared" si="703"/>
        <v>0</v>
      </c>
      <c r="M14631" s="17" t="str">
        <f t="shared" si="701"/>
        <v/>
      </c>
      <c r="N14631" s="11" t="str">
        <f t="shared" si="702"/>
        <v/>
      </c>
    </row>
    <row r="14632" spans="9:14" x14ac:dyDescent="0.25">
      <c r="I14632" s="11" t="b">
        <f t="shared" si="703"/>
        <v>0</v>
      </c>
      <c r="M14632" s="17" t="str">
        <f t="shared" si="701"/>
        <v/>
      </c>
      <c r="N14632" s="11" t="str">
        <f t="shared" si="702"/>
        <v/>
      </c>
    </row>
    <row r="14633" spans="9:14" x14ac:dyDescent="0.25">
      <c r="I14633" s="11" t="b">
        <f t="shared" si="703"/>
        <v>0</v>
      </c>
      <c r="M14633" s="17" t="str">
        <f t="shared" si="701"/>
        <v/>
      </c>
      <c r="N14633" s="11" t="str">
        <f t="shared" si="702"/>
        <v/>
      </c>
    </row>
    <row r="14634" spans="9:14" x14ac:dyDescent="0.25">
      <c r="I14634" s="11" t="b">
        <f t="shared" si="703"/>
        <v>0</v>
      </c>
      <c r="M14634" s="17" t="str">
        <f t="shared" si="701"/>
        <v/>
      </c>
      <c r="N14634" s="11" t="str">
        <f t="shared" si="702"/>
        <v/>
      </c>
    </row>
    <row r="14635" spans="9:14" x14ac:dyDescent="0.25">
      <c r="I14635" s="11" t="b">
        <f t="shared" si="703"/>
        <v>0</v>
      </c>
      <c r="M14635" s="17" t="str">
        <f t="shared" si="701"/>
        <v/>
      </c>
      <c r="N14635" s="11" t="str">
        <f t="shared" si="702"/>
        <v/>
      </c>
    </row>
    <row r="14636" spans="9:14" x14ac:dyDescent="0.25">
      <c r="I14636" s="11" t="b">
        <f t="shared" si="703"/>
        <v>0</v>
      </c>
      <c r="M14636" s="17" t="str">
        <f t="shared" si="701"/>
        <v/>
      </c>
      <c r="N14636" s="11" t="str">
        <f t="shared" si="702"/>
        <v/>
      </c>
    </row>
    <row r="14637" spans="9:14" x14ac:dyDescent="0.25">
      <c r="I14637" s="11" t="b">
        <f t="shared" si="703"/>
        <v>0</v>
      </c>
      <c r="M14637" s="17" t="str">
        <f t="shared" si="701"/>
        <v/>
      </c>
      <c r="N14637" s="11" t="str">
        <f t="shared" si="702"/>
        <v/>
      </c>
    </row>
    <row r="14638" spans="9:14" x14ac:dyDescent="0.25">
      <c r="I14638" s="11" t="b">
        <f t="shared" si="703"/>
        <v>0</v>
      </c>
      <c r="M14638" s="17" t="str">
        <f t="shared" si="701"/>
        <v/>
      </c>
      <c r="N14638" s="11" t="str">
        <f t="shared" si="702"/>
        <v/>
      </c>
    </row>
    <row r="14639" spans="9:14" x14ac:dyDescent="0.25">
      <c r="I14639" s="11" t="b">
        <f t="shared" si="703"/>
        <v>0</v>
      </c>
      <c r="M14639" s="17" t="str">
        <f t="shared" si="701"/>
        <v/>
      </c>
      <c r="N14639" s="11" t="str">
        <f t="shared" si="702"/>
        <v/>
      </c>
    </row>
    <row r="14640" spans="9:14" x14ac:dyDescent="0.25">
      <c r="I14640" s="11" t="b">
        <f t="shared" si="703"/>
        <v>0</v>
      </c>
      <c r="M14640" s="17" t="str">
        <f t="shared" si="701"/>
        <v/>
      </c>
      <c r="N14640" s="11" t="str">
        <f t="shared" si="702"/>
        <v/>
      </c>
    </row>
    <row r="14641" spans="9:14" x14ac:dyDescent="0.25">
      <c r="I14641" s="11" t="b">
        <f t="shared" si="703"/>
        <v>0</v>
      </c>
      <c r="M14641" s="17" t="str">
        <f t="shared" si="701"/>
        <v/>
      </c>
      <c r="N14641" s="11" t="str">
        <f t="shared" si="702"/>
        <v/>
      </c>
    </row>
    <row r="14642" spans="9:14" x14ac:dyDescent="0.25">
      <c r="I14642" s="11" t="b">
        <f t="shared" si="703"/>
        <v>0</v>
      </c>
      <c r="M14642" s="17" t="str">
        <f t="shared" si="701"/>
        <v/>
      </c>
      <c r="N14642" s="11" t="str">
        <f t="shared" si="702"/>
        <v/>
      </c>
    </row>
    <row r="14643" spans="9:14" x14ac:dyDescent="0.25">
      <c r="I14643" s="11" t="b">
        <f t="shared" si="703"/>
        <v>0</v>
      </c>
      <c r="M14643" s="17" t="str">
        <f t="shared" si="701"/>
        <v/>
      </c>
      <c r="N14643" s="11" t="str">
        <f t="shared" si="702"/>
        <v/>
      </c>
    </row>
    <row r="14644" spans="9:14" x14ac:dyDescent="0.25">
      <c r="I14644" s="11" t="b">
        <f t="shared" si="703"/>
        <v>0</v>
      </c>
      <c r="M14644" s="17" t="str">
        <f t="shared" si="701"/>
        <v/>
      </c>
      <c r="N14644" s="11" t="str">
        <f t="shared" si="702"/>
        <v/>
      </c>
    </row>
    <row r="14645" spans="9:14" x14ac:dyDescent="0.25">
      <c r="I14645" s="11" t="b">
        <f t="shared" si="703"/>
        <v>0</v>
      </c>
      <c r="M14645" s="17" t="str">
        <f t="shared" si="701"/>
        <v/>
      </c>
      <c r="N14645" s="11" t="str">
        <f t="shared" si="702"/>
        <v/>
      </c>
    </row>
    <row r="14646" spans="9:14" x14ac:dyDescent="0.25">
      <c r="I14646" s="11" t="b">
        <f t="shared" si="703"/>
        <v>0</v>
      </c>
      <c r="M14646" s="17" t="str">
        <f t="shared" si="701"/>
        <v/>
      </c>
      <c r="N14646" s="11" t="str">
        <f t="shared" si="702"/>
        <v/>
      </c>
    </row>
    <row r="14647" spans="9:14" x14ac:dyDescent="0.25">
      <c r="I14647" s="11" t="b">
        <f t="shared" si="703"/>
        <v>0</v>
      </c>
      <c r="M14647" s="17" t="str">
        <f t="shared" si="701"/>
        <v/>
      </c>
      <c r="N14647" s="11" t="str">
        <f t="shared" si="702"/>
        <v/>
      </c>
    </row>
    <row r="14648" spans="9:14" x14ac:dyDescent="0.25">
      <c r="I14648" s="11" t="b">
        <f t="shared" si="703"/>
        <v>0</v>
      </c>
      <c r="M14648" s="17" t="str">
        <f t="shared" si="701"/>
        <v/>
      </c>
      <c r="N14648" s="11" t="str">
        <f t="shared" si="702"/>
        <v/>
      </c>
    </row>
    <row r="14649" spans="9:14" x14ac:dyDescent="0.25">
      <c r="I14649" s="11" t="b">
        <f t="shared" si="703"/>
        <v>0</v>
      </c>
      <c r="M14649" s="17" t="str">
        <f t="shared" si="701"/>
        <v/>
      </c>
      <c r="N14649" s="11" t="str">
        <f t="shared" si="702"/>
        <v/>
      </c>
    </row>
    <row r="14650" spans="9:14" x14ac:dyDescent="0.25">
      <c r="I14650" s="11" t="b">
        <f t="shared" si="703"/>
        <v>0</v>
      </c>
      <c r="M14650" s="17" t="str">
        <f t="shared" si="701"/>
        <v/>
      </c>
      <c r="N14650" s="11" t="str">
        <f t="shared" si="702"/>
        <v/>
      </c>
    </row>
    <row r="14651" spans="9:14" x14ac:dyDescent="0.25">
      <c r="I14651" s="11" t="b">
        <f t="shared" si="703"/>
        <v>0</v>
      </c>
      <c r="M14651" s="17" t="str">
        <f t="shared" si="701"/>
        <v/>
      </c>
      <c r="N14651" s="11" t="str">
        <f t="shared" si="702"/>
        <v/>
      </c>
    </row>
    <row r="14652" spans="9:14" x14ac:dyDescent="0.25">
      <c r="I14652" s="11" t="b">
        <f t="shared" si="703"/>
        <v>0</v>
      </c>
      <c r="M14652" s="17" t="str">
        <f t="shared" si="701"/>
        <v/>
      </c>
      <c r="N14652" s="11" t="str">
        <f t="shared" si="702"/>
        <v/>
      </c>
    </row>
    <row r="14653" spans="9:14" x14ac:dyDescent="0.25">
      <c r="I14653" s="11" t="b">
        <f t="shared" si="703"/>
        <v>0</v>
      </c>
      <c r="M14653" s="17" t="str">
        <f t="shared" si="701"/>
        <v/>
      </c>
      <c r="N14653" s="11" t="str">
        <f t="shared" si="702"/>
        <v/>
      </c>
    </row>
    <row r="14654" spans="9:14" x14ac:dyDescent="0.25">
      <c r="I14654" s="11" t="b">
        <f t="shared" si="703"/>
        <v>0</v>
      </c>
      <c r="M14654" s="17" t="str">
        <f t="shared" si="701"/>
        <v/>
      </c>
      <c r="N14654" s="11" t="str">
        <f t="shared" si="702"/>
        <v/>
      </c>
    </row>
    <row r="14655" spans="9:14" x14ac:dyDescent="0.25">
      <c r="I14655" s="11" t="b">
        <f t="shared" si="703"/>
        <v>0</v>
      </c>
      <c r="M14655" s="17" t="str">
        <f t="shared" si="701"/>
        <v/>
      </c>
      <c r="N14655" s="11" t="str">
        <f t="shared" si="702"/>
        <v/>
      </c>
    </row>
    <row r="14656" spans="9:14" x14ac:dyDescent="0.25">
      <c r="I14656" s="11" t="b">
        <f t="shared" si="703"/>
        <v>0</v>
      </c>
      <c r="M14656" s="17" t="str">
        <f t="shared" si="701"/>
        <v/>
      </c>
      <c r="N14656" s="11" t="str">
        <f t="shared" si="702"/>
        <v/>
      </c>
    </row>
    <row r="14657" spans="9:14" x14ac:dyDescent="0.25">
      <c r="I14657" s="11" t="b">
        <f t="shared" si="703"/>
        <v>0</v>
      </c>
      <c r="M14657" s="17" t="str">
        <f t="shared" ref="M14657:M14720" si="704">IF(B14657=0, "",M14656+ J14657-K14657)</f>
        <v/>
      </c>
      <c r="N14657" s="11" t="str">
        <f t="shared" ref="N14657:N14720" si="705">IF(B14657=0, "", MONTH(B14657))</f>
        <v/>
      </c>
    </row>
    <row r="14658" spans="9:14" x14ac:dyDescent="0.25">
      <c r="I14658" s="11" t="b">
        <f t="shared" si="703"/>
        <v>0</v>
      </c>
      <c r="M14658" s="17" t="str">
        <f t="shared" si="704"/>
        <v/>
      </c>
      <c r="N14658" s="11" t="str">
        <f t="shared" si="705"/>
        <v/>
      </c>
    </row>
    <row r="14659" spans="9:14" x14ac:dyDescent="0.25">
      <c r="I14659" s="11" t="b">
        <f t="shared" si="703"/>
        <v>0</v>
      </c>
      <c r="M14659" s="17" t="str">
        <f t="shared" si="704"/>
        <v/>
      </c>
      <c r="N14659" s="11" t="str">
        <f t="shared" si="705"/>
        <v/>
      </c>
    </row>
    <row r="14660" spans="9:14" x14ac:dyDescent="0.25">
      <c r="I14660" s="11" t="b">
        <f t="shared" si="703"/>
        <v>0</v>
      </c>
      <c r="M14660" s="17" t="str">
        <f t="shared" si="704"/>
        <v/>
      </c>
      <c r="N14660" s="11" t="str">
        <f t="shared" si="705"/>
        <v/>
      </c>
    </row>
    <row r="14661" spans="9:14" x14ac:dyDescent="0.25">
      <c r="I14661" s="11" t="b">
        <f t="shared" si="703"/>
        <v>0</v>
      </c>
      <c r="M14661" s="17" t="str">
        <f t="shared" si="704"/>
        <v/>
      </c>
      <c r="N14661" s="11" t="str">
        <f t="shared" si="705"/>
        <v/>
      </c>
    </row>
    <row r="14662" spans="9:14" x14ac:dyDescent="0.25">
      <c r="I14662" s="11" t="b">
        <f t="shared" si="703"/>
        <v>0</v>
      </c>
      <c r="M14662" s="17" t="str">
        <f t="shared" si="704"/>
        <v/>
      </c>
      <c r="N14662" s="11" t="str">
        <f t="shared" si="705"/>
        <v/>
      </c>
    </row>
    <row r="14663" spans="9:14" x14ac:dyDescent="0.25">
      <c r="I14663" s="11" t="b">
        <f t="shared" si="703"/>
        <v>0</v>
      </c>
      <c r="M14663" s="17" t="str">
        <f t="shared" si="704"/>
        <v/>
      </c>
      <c r="N14663" s="11" t="str">
        <f t="shared" si="705"/>
        <v/>
      </c>
    </row>
    <row r="14664" spans="9:14" x14ac:dyDescent="0.25">
      <c r="I14664" s="11" t="b">
        <f t="shared" si="703"/>
        <v>0</v>
      </c>
      <c r="M14664" s="17" t="str">
        <f t="shared" si="704"/>
        <v/>
      </c>
      <c r="N14664" s="11" t="str">
        <f t="shared" si="705"/>
        <v/>
      </c>
    </row>
    <row r="14665" spans="9:14" x14ac:dyDescent="0.25">
      <c r="I14665" s="11" t="b">
        <f t="shared" si="703"/>
        <v>0</v>
      </c>
      <c r="M14665" s="17" t="str">
        <f t="shared" si="704"/>
        <v/>
      </c>
      <c r="N14665" s="11" t="str">
        <f t="shared" si="705"/>
        <v/>
      </c>
    </row>
    <row r="14666" spans="9:14" x14ac:dyDescent="0.25">
      <c r="I14666" s="11" t="b">
        <f t="shared" si="703"/>
        <v>0</v>
      </c>
      <c r="M14666" s="17" t="str">
        <f t="shared" si="704"/>
        <v/>
      </c>
      <c r="N14666" s="11" t="str">
        <f t="shared" si="705"/>
        <v/>
      </c>
    </row>
    <row r="14667" spans="9:14" x14ac:dyDescent="0.25">
      <c r="I14667" s="11" t="b">
        <f t="shared" si="703"/>
        <v>0</v>
      </c>
      <c r="M14667" s="17" t="str">
        <f t="shared" si="704"/>
        <v/>
      </c>
      <c r="N14667" s="11" t="str">
        <f t="shared" si="705"/>
        <v/>
      </c>
    </row>
    <row r="14668" spans="9:14" x14ac:dyDescent="0.25">
      <c r="I14668" s="11" t="b">
        <f t="shared" si="703"/>
        <v>0</v>
      </c>
      <c r="M14668" s="17" t="str">
        <f t="shared" si="704"/>
        <v/>
      </c>
      <c r="N14668" s="11" t="str">
        <f t="shared" si="705"/>
        <v/>
      </c>
    </row>
    <row r="14669" spans="9:14" x14ac:dyDescent="0.25">
      <c r="I14669" s="11" t="b">
        <f t="shared" si="703"/>
        <v>0</v>
      </c>
      <c r="M14669" s="17" t="str">
        <f t="shared" si="704"/>
        <v/>
      </c>
      <c r="N14669" s="11" t="str">
        <f t="shared" si="705"/>
        <v/>
      </c>
    </row>
    <row r="14670" spans="9:14" x14ac:dyDescent="0.25">
      <c r="I14670" s="11" t="b">
        <f t="shared" si="703"/>
        <v>0</v>
      </c>
      <c r="M14670" s="17" t="str">
        <f t="shared" si="704"/>
        <v/>
      </c>
      <c r="N14670" s="11" t="str">
        <f t="shared" si="705"/>
        <v/>
      </c>
    </row>
    <row r="14671" spans="9:14" x14ac:dyDescent="0.25">
      <c r="I14671" s="11" t="b">
        <f t="shared" si="703"/>
        <v>0</v>
      </c>
      <c r="M14671" s="17" t="str">
        <f t="shared" si="704"/>
        <v/>
      </c>
      <c r="N14671" s="11" t="str">
        <f t="shared" si="705"/>
        <v/>
      </c>
    </row>
    <row r="14672" spans="9:14" x14ac:dyDescent="0.25">
      <c r="I14672" s="11" t="b">
        <f t="shared" si="703"/>
        <v>0</v>
      </c>
      <c r="M14672" s="17" t="str">
        <f t="shared" si="704"/>
        <v/>
      </c>
      <c r="N14672" s="11" t="str">
        <f t="shared" si="705"/>
        <v/>
      </c>
    </row>
    <row r="14673" spans="9:14" x14ac:dyDescent="0.25">
      <c r="I14673" s="11" t="b">
        <f t="shared" si="703"/>
        <v>0</v>
      </c>
      <c r="M14673" s="17" t="str">
        <f t="shared" si="704"/>
        <v/>
      </c>
      <c r="N14673" s="11" t="str">
        <f t="shared" si="705"/>
        <v/>
      </c>
    </row>
    <row r="14674" spans="9:14" x14ac:dyDescent="0.25">
      <c r="I14674" s="11" t="b">
        <f t="shared" si="703"/>
        <v>0</v>
      </c>
      <c r="M14674" s="17" t="str">
        <f t="shared" si="704"/>
        <v/>
      </c>
      <c r="N14674" s="11" t="str">
        <f t="shared" si="705"/>
        <v/>
      </c>
    </row>
    <row r="14675" spans="9:14" x14ac:dyDescent="0.25">
      <c r="I14675" s="11" t="b">
        <f t="shared" si="703"/>
        <v>0</v>
      </c>
      <c r="M14675" s="17" t="str">
        <f t="shared" si="704"/>
        <v/>
      </c>
      <c r="N14675" s="11" t="str">
        <f t="shared" si="705"/>
        <v/>
      </c>
    </row>
    <row r="14676" spans="9:14" x14ac:dyDescent="0.25">
      <c r="I14676" s="11" t="b">
        <f t="shared" si="703"/>
        <v>0</v>
      </c>
      <c r="M14676" s="17" t="str">
        <f t="shared" si="704"/>
        <v/>
      </c>
      <c r="N14676" s="11" t="str">
        <f t="shared" si="705"/>
        <v/>
      </c>
    </row>
    <row r="14677" spans="9:14" x14ac:dyDescent="0.25">
      <c r="I14677" s="11" t="b">
        <f t="shared" si="703"/>
        <v>0</v>
      </c>
      <c r="M14677" s="17" t="str">
        <f t="shared" si="704"/>
        <v/>
      </c>
      <c r="N14677" s="11" t="str">
        <f t="shared" si="705"/>
        <v/>
      </c>
    </row>
    <row r="14678" spans="9:14" x14ac:dyDescent="0.25">
      <c r="I14678" s="11" t="b">
        <f t="shared" si="703"/>
        <v>0</v>
      </c>
      <c r="M14678" s="17" t="str">
        <f t="shared" si="704"/>
        <v/>
      </c>
      <c r="N14678" s="11" t="str">
        <f t="shared" si="705"/>
        <v/>
      </c>
    </row>
    <row r="14679" spans="9:14" x14ac:dyDescent="0.25">
      <c r="I14679" s="11" t="b">
        <f t="shared" si="703"/>
        <v>0</v>
      </c>
      <c r="M14679" s="17" t="str">
        <f t="shared" si="704"/>
        <v/>
      </c>
      <c r="N14679" s="11" t="str">
        <f t="shared" si="705"/>
        <v/>
      </c>
    </row>
    <row r="14680" spans="9:14" x14ac:dyDescent="0.25">
      <c r="I14680" s="11" t="b">
        <f t="shared" si="703"/>
        <v>0</v>
      </c>
      <c r="M14680" s="17" t="str">
        <f t="shared" si="704"/>
        <v/>
      </c>
      <c r="N14680" s="11" t="str">
        <f t="shared" si="705"/>
        <v/>
      </c>
    </row>
    <row r="14681" spans="9:14" x14ac:dyDescent="0.25">
      <c r="I14681" s="11" t="b">
        <f t="shared" si="703"/>
        <v>0</v>
      </c>
      <c r="M14681" s="17" t="str">
        <f t="shared" si="704"/>
        <v/>
      </c>
      <c r="N14681" s="11" t="str">
        <f t="shared" si="705"/>
        <v/>
      </c>
    </row>
    <row r="14682" spans="9:14" x14ac:dyDescent="0.25">
      <c r="I14682" s="11" t="b">
        <f t="shared" si="703"/>
        <v>0</v>
      </c>
      <c r="M14682" s="17" t="str">
        <f t="shared" si="704"/>
        <v/>
      </c>
      <c r="N14682" s="11" t="str">
        <f t="shared" si="705"/>
        <v/>
      </c>
    </row>
    <row r="14683" spans="9:14" x14ac:dyDescent="0.25">
      <c r="I14683" s="11" t="b">
        <f t="shared" si="703"/>
        <v>0</v>
      </c>
      <c r="M14683" s="17" t="str">
        <f t="shared" si="704"/>
        <v/>
      </c>
      <c r="N14683" s="11" t="str">
        <f t="shared" si="705"/>
        <v/>
      </c>
    </row>
    <row r="14684" spans="9:14" x14ac:dyDescent="0.25">
      <c r="I14684" s="11" t="b">
        <f t="shared" si="703"/>
        <v>0</v>
      </c>
      <c r="M14684" s="17" t="str">
        <f t="shared" si="704"/>
        <v/>
      </c>
      <c r="N14684" s="11" t="str">
        <f t="shared" si="705"/>
        <v/>
      </c>
    </row>
    <row r="14685" spans="9:14" x14ac:dyDescent="0.25">
      <c r="I14685" s="11" t="b">
        <f t="shared" ref="I14685:I14748" si="706">IF(AND(G14685="MERCADO PAGO",A14685="FATURAMENTO"),1,IF(AND(OR(G14685="MERCADO PAGO",G14685="pix mercado pago",G14685= "débito automático mercado pago", G14685= "boleto mercado pago"),A14685="DESPESAS"),4,IF(AND(G14685="SAFRA",A14685="FATURAMENTO"),2,IF(AND(OR(G14685="SAFRA",G14685="PIX SAFRA", G14685="DÉBITO AUTOMÁTICO SAFRA", G14685= "BOLETO SAFRA", G14685= "transferência safra"), A14685="DESPESAS"),5,IF(AND(G14685="espécie",A14685="FATURAMENTO"),3,IF(AND(G14685="espécie",A14685="DESPESAS"),6))))))</f>
        <v>0</v>
      </c>
      <c r="M14685" s="17" t="str">
        <f t="shared" si="704"/>
        <v/>
      </c>
      <c r="N14685" s="11" t="str">
        <f t="shared" si="705"/>
        <v/>
      </c>
    </row>
    <row r="14686" spans="9:14" x14ac:dyDescent="0.25">
      <c r="I14686" s="11" t="b">
        <f t="shared" si="706"/>
        <v>0</v>
      </c>
      <c r="M14686" s="17" t="str">
        <f t="shared" si="704"/>
        <v/>
      </c>
      <c r="N14686" s="11" t="str">
        <f t="shared" si="705"/>
        <v/>
      </c>
    </row>
    <row r="14687" spans="9:14" x14ac:dyDescent="0.25">
      <c r="I14687" s="11" t="b">
        <f t="shared" si="706"/>
        <v>0</v>
      </c>
      <c r="M14687" s="17" t="str">
        <f t="shared" si="704"/>
        <v/>
      </c>
      <c r="N14687" s="11" t="str">
        <f t="shared" si="705"/>
        <v/>
      </c>
    </row>
    <row r="14688" spans="9:14" x14ac:dyDescent="0.25">
      <c r="I14688" s="11" t="b">
        <f t="shared" si="706"/>
        <v>0</v>
      </c>
      <c r="M14688" s="17" t="str">
        <f t="shared" si="704"/>
        <v/>
      </c>
      <c r="N14688" s="11" t="str">
        <f t="shared" si="705"/>
        <v/>
      </c>
    </row>
    <row r="14689" spans="9:14" x14ac:dyDescent="0.25">
      <c r="I14689" s="11" t="b">
        <f t="shared" si="706"/>
        <v>0</v>
      </c>
      <c r="M14689" s="17" t="str">
        <f t="shared" si="704"/>
        <v/>
      </c>
      <c r="N14689" s="11" t="str">
        <f t="shared" si="705"/>
        <v/>
      </c>
    </row>
    <row r="14690" spans="9:14" x14ac:dyDescent="0.25">
      <c r="I14690" s="11" t="b">
        <f t="shared" si="706"/>
        <v>0</v>
      </c>
      <c r="M14690" s="17" t="str">
        <f t="shared" si="704"/>
        <v/>
      </c>
      <c r="N14690" s="11" t="str">
        <f t="shared" si="705"/>
        <v/>
      </c>
    </row>
    <row r="14691" spans="9:14" x14ac:dyDescent="0.25">
      <c r="I14691" s="11" t="b">
        <f t="shared" si="706"/>
        <v>0</v>
      </c>
      <c r="M14691" s="17" t="str">
        <f t="shared" si="704"/>
        <v/>
      </c>
      <c r="N14691" s="11" t="str">
        <f t="shared" si="705"/>
        <v/>
      </c>
    </row>
    <row r="14692" spans="9:14" x14ac:dyDescent="0.25">
      <c r="I14692" s="11" t="b">
        <f t="shared" si="706"/>
        <v>0</v>
      </c>
      <c r="M14692" s="17" t="str">
        <f t="shared" si="704"/>
        <v/>
      </c>
      <c r="N14692" s="11" t="str">
        <f t="shared" si="705"/>
        <v/>
      </c>
    </row>
    <row r="14693" spans="9:14" x14ac:dyDescent="0.25">
      <c r="I14693" s="11" t="b">
        <f t="shared" si="706"/>
        <v>0</v>
      </c>
      <c r="M14693" s="17" t="str">
        <f t="shared" si="704"/>
        <v/>
      </c>
      <c r="N14693" s="11" t="str">
        <f t="shared" si="705"/>
        <v/>
      </c>
    </row>
    <row r="14694" spans="9:14" x14ac:dyDescent="0.25">
      <c r="I14694" s="11" t="b">
        <f t="shared" si="706"/>
        <v>0</v>
      </c>
      <c r="M14694" s="17" t="str">
        <f t="shared" si="704"/>
        <v/>
      </c>
      <c r="N14694" s="11" t="str">
        <f t="shared" si="705"/>
        <v/>
      </c>
    </row>
    <row r="14695" spans="9:14" x14ac:dyDescent="0.25">
      <c r="I14695" s="11" t="b">
        <f t="shared" si="706"/>
        <v>0</v>
      </c>
      <c r="M14695" s="17" t="str">
        <f t="shared" si="704"/>
        <v/>
      </c>
      <c r="N14695" s="11" t="str">
        <f t="shared" si="705"/>
        <v/>
      </c>
    </row>
    <row r="14696" spans="9:14" x14ac:dyDescent="0.25">
      <c r="I14696" s="11" t="b">
        <f t="shared" si="706"/>
        <v>0</v>
      </c>
      <c r="M14696" s="17" t="str">
        <f t="shared" si="704"/>
        <v/>
      </c>
      <c r="N14696" s="11" t="str">
        <f t="shared" si="705"/>
        <v/>
      </c>
    </row>
    <row r="14697" spans="9:14" x14ac:dyDescent="0.25">
      <c r="I14697" s="11" t="b">
        <f t="shared" si="706"/>
        <v>0</v>
      </c>
      <c r="M14697" s="17" t="str">
        <f t="shared" si="704"/>
        <v/>
      </c>
      <c r="N14697" s="11" t="str">
        <f t="shared" si="705"/>
        <v/>
      </c>
    </row>
    <row r="14698" spans="9:14" x14ac:dyDescent="0.25">
      <c r="I14698" s="11" t="b">
        <f t="shared" si="706"/>
        <v>0</v>
      </c>
      <c r="M14698" s="17" t="str">
        <f t="shared" si="704"/>
        <v/>
      </c>
      <c r="N14698" s="11" t="str">
        <f t="shared" si="705"/>
        <v/>
      </c>
    </row>
    <row r="14699" spans="9:14" x14ac:dyDescent="0.25">
      <c r="I14699" s="11" t="b">
        <f t="shared" si="706"/>
        <v>0</v>
      </c>
      <c r="M14699" s="17" t="str">
        <f t="shared" si="704"/>
        <v/>
      </c>
      <c r="N14699" s="11" t="str">
        <f t="shared" si="705"/>
        <v/>
      </c>
    </row>
    <row r="14700" spans="9:14" x14ac:dyDescent="0.25">
      <c r="I14700" s="11" t="b">
        <f t="shared" si="706"/>
        <v>0</v>
      </c>
      <c r="M14700" s="17" t="str">
        <f t="shared" si="704"/>
        <v/>
      </c>
      <c r="N14700" s="11" t="str">
        <f t="shared" si="705"/>
        <v/>
      </c>
    </row>
    <row r="14701" spans="9:14" x14ac:dyDescent="0.25">
      <c r="I14701" s="11" t="b">
        <f t="shared" si="706"/>
        <v>0</v>
      </c>
      <c r="M14701" s="17" t="str">
        <f t="shared" si="704"/>
        <v/>
      </c>
      <c r="N14701" s="11" t="str">
        <f t="shared" si="705"/>
        <v/>
      </c>
    </row>
    <row r="14702" spans="9:14" x14ac:dyDescent="0.25">
      <c r="I14702" s="11" t="b">
        <f t="shared" si="706"/>
        <v>0</v>
      </c>
      <c r="M14702" s="17" t="str">
        <f t="shared" si="704"/>
        <v/>
      </c>
      <c r="N14702" s="11" t="str">
        <f t="shared" si="705"/>
        <v/>
      </c>
    </row>
    <row r="14703" spans="9:14" x14ac:dyDescent="0.25">
      <c r="I14703" s="11" t="b">
        <f t="shared" si="706"/>
        <v>0</v>
      </c>
      <c r="M14703" s="17" t="str">
        <f t="shared" si="704"/>
        <v/>
      </c>
      <c r="N14703" s="11" t="str">
        <f t="shared" si="705"/>
        <v/>
      </c>
    </row>
    <row r="14704" spans="9:14" x14ac:dyDescent="0.25">
      <c r="I14704" s="11" t="b">
        <f t="shared" si="706"/>
        <v>0</v>
      </c>
      <c r="M14704" s="17" t="str">
        <f t="shared" si="704"/>
        <v/>
      </c>
      <c r="N14704" s="11" t="str">
        <f t="shared" si="705"/>
        <v/>
      </c>
    </row>
    <row r="14705" spans="9:14" x14ac:dyDescent="0.25">
      <c r="I14705" s="11" t="b">
        <f t="shared" si="706"/>
        <v>0</v>
      </c>
      <c r="M14705" s="17" t="str">
        <f t="shared" si="704"/>
        <v/>
      </c>
      <c r="N14705" s="11" t="str">
        <f t="shared" si="705"/>
        <v/>
      </c>
    </row>
    <row r="14706" spans="9:14" x14ac:dyDescent="0.25">
      <c r="I14706" s="11" t="b">
        <f t="shared" si="706"/>
        <v>0</v>
      </c>
      <c r="M14706" s="17" t="str">
        <f t="shared" si="704"/>
        <v/>
      </c>
      <c r="N14706" s="11" t="str">
        <f t="shared" si="705"/>
        <v/>
      </c>
    </row>
    <row r="14707" spans="9:14" x14ac:dyDescent="0.25">
      <c r="I14707" s="11" t="b">
        <f t="shared" si="706"/>
        <v>0</v>
      </c>
      <c r="M14707" s="17" t="str">
        <f t="shared" si="704"/>
        <v/>
      </c>
      <c r="N14707" s="11" t="str">
        <f t="shared" si="705"/>
        <v/>
      </c>
    </row>
    <row r="14708" spans="9:14" x14ac:dyDescent="0.25">
      <c r="I14708" s="11" t="b">
        <f t="shared" si="706"/>
        <v>0</v>
      </c>
      <c r="M14708" s="17" t="str">
        <f t="shared" si="704"/>
        <v/>
      </c>
      <c r="N14708" s="11" t="str">
        <f t="shared" si="705"/>
        <v/>
      </c>
    </row>
    <row r="14709" spans="9:14" x14ac:dyDescent="0.25">
      <c r="I14709" s="11" t="b">
        <f t="shared" si="706"/>
        <v>0</v>
      </c>
      <c r="M14709" s="17" t="str">
        <f t="shared" si="704"/>
        <v/>
      </c>
      <c r="N14709" s="11" t="str">
        <f t="shared" si="705"/>
        <v/>
      </c>
    </row>
    <row r="14710" spans="9:14" x14ac:dyDescent="0.25">
      <c r="I14710" s="11" t="b">
        <f t="shared" si="706"/>
        <v>0</v>
      </c>
      <c r="M14710" s="17" t="str">
        <f t="shared" si="704"/>
        <v/>
      </c>
      <c r="N14710" s="11" t="str">
        <f t="shared" si="705"/>
        <v/>
      </c>
    </row>
    <row r="14711" spans="9:14" x14ac:dyDescent="0.25">
      <c r="I14711" s="11" t="b">
        <f t="shared" si="706"/>
        <v>0</v>
      </c>
      <c r="M14711" s="17" t="str">
        <f t="shared" si="704"/>
        <v/>
      </c>
      <c r="N14711" s="11" t="str">
        <f t="shared" si="705"/>
        <v/>
      </c>
    </row>
    <row r="14712" spans="9:14" x14ac:dyDescent="0.25">
      <c r="I14712" s="11" t="b">
        <f t="shared" si="706"/>
        <v>0</v>
      </c>
      <c r="M14712" s="17" t="str">
        <f t="shared" si="704"/>
        <v/>
      </c>
      <c r="N14712" s="11" t="str">
        <f t="shared" si="705"/>
        <v/>
      </c>
    </row>
    <row r="14713" spans="9:14" x14ac:dyDescent="0.25">
      <c r="I14713" s="11" t="b">
        <f t="shared" si="706"/>
        <v>0</v>
      </c>
      <c r="M14713" s="17" t="str">
        <f t="shared" si="704"/>
        <v/>
      </c>
      <c r="N14713" s="11" t="str">
        <f t="shared" si="705"/>
        <v/>
      </c>
    </row>
    <row r="14714" spans="9:14" x14ac:dyDescent="0.25">
      <c r="I14714" s="11" t="b">
        <f t="shared" si="706"/>
        <v>0</v>
      </c>
      <c r="M14714" s="17" t="str">
        <f t="shared" si="704"/>
        <v/>
      </c>
      <c r="N14714" s="11" t="str">
        <f t="shared" si="705"/>
        <v/>
      </c>
    </row>
    <row r="14715" spans="9:14" x14ac:dyDescent="0.25">
      <c r="I14715" s="11" t="b">
        <f t="shared" si="706"/>
        <v>0</v>
      </c>
      <c r="M14715" s="17" t="str">
        <f t="shared" si="704"/>
        <v/>
      </c>
      <c r="N14715" s="11" t="str">
        <f t="shared" si="705"/>
        <v/>
      </c>
    </row>
    <row r="14716" spans="9:14" x14ac:dyDescent="0.25">
      <c r="I14716" s="11" t="b">
        <f t="shared" si="706"/>
        <v>0</v>
      </c>
      <c r="M14716" s="17" t="str">
        <f t="shared" si="704"/>
        <v/>
      </c>
      <c r="N14716" s="11" t="str">
        <f t="shared" si="705"/>
        <v/>
      </c>
    </row>
    <row r="14717" spans="9:14" x14ac:dyDescent="0.25">
      <c r="I14717" s="11" t="b">
        <f t="shared" si="706"/>
        <v>0</v>
      </c>
      <c r="M14717" s="17" t="str">
        <f t="shared" si="704"/>
        <v/>
      </c>
      <c r="N14717" s="11" t="str">
        <f t="shared" si="705"/>
        <v/>
      </c>
    </row>
    <row r="14718" spans="9:14" x14ac:dyDescent="0.25">
      <c r="I14718" s="11" t="b">
        <f t="shared" si="706"/>
        <v>0</v>
      </c>
      <c r="M14718" s="17" t="str">
        <f t="shared" si="704"/>
        <v/>
      </c>
      <c r="N14718" s="11" t="str">
        <f t="shared" si="705"/>
        <v/>
      </c>
    </row>
    <row r="14719" spans="9:14" x14ac:dyDescent="0.25">
      <c r="I14719" s="11" t="b">
        <f t="shared" si="706"/>
        <v>0</v>
      </c>
      <c r="M14719" s="17" t="str">
        <f t="shared" si="704"/>
        <v/>
      </c>
      <c r="N14719" s="11" t="str">
        <f t="shared" si="705"/>
        <v/>
      </c>
    </row>
    <row r="14720" spans="9:14" x14ac:dyDescent="0.25">
      <c r="I14720" s="11" t="b">
        <f t="shared" si="706"/>
        <v>0</v>
      </c>
      <c r="M14720" s="17" t="str">
        <f t="shared" si="704"/>
        <v/>
      </c>
      <c r="N14720" s="11" t="str">
        <f t="shared" si="705"/>
        <v/>
      </c>
    </row>
    <row r="14721" spans="9:14" x14ac:dyDescent="0.25">
      <c r="I14721" s="11" t="b">
        <f t="shared" si="706"/>
        <v>0</v>
      </c>
      <c r="M14721" s="17" t="str">
        <f t="shared" ref="M14721:M14784" si="707">IF(B14721=0, "",M14720+ J14721-K14721)</f>
        <v/>
      </c>
      <c r="N14721" s="11" t="str">
        <f t="shared" ref="N14721:N14784" si="708">IF(B14721=0, "", MONTH(B14721))</f>
        <v/>
      </c>
    </row>
    <row r="14722" spans="9:14" x14ac:dyDescent="0.25">
      <c r="I14722" s="11" t="b">
        <f t="shared" si="706"/>
        <v>0</v>
      </c>
      <c r="M14722" s="17" t="str">
        <f t="shared" si="707"/>
        <v/>
      </c>
      <c r="N14722" s="11" t="str">
        <f t="shared" si="708"/>
        <v/>
      </c>
    </row>
    <row r="14723" spans="9:14" x14ac:dyDescent="0.25">
      <c r="I14723" s="11" t="b">
        <f t="shared" si="706"/>
        <v>0</v>
      </c>
      <c r="M14723" s="17" t="str">
        <f t="shared" si="707"/>
        <v/>
      </c>
      <c r="N14723" s="11" t="str">
        <f t="shared" si="708"/>
        <v/>
      </c>
    </row>
    <row r="14724" spans="9:14" x14ac:dyDescent="0.25">
      <c r="I14724" s="11" t="b">
        <f t="shared" si="706"/>
        <v>0</v>
      </c>
      <c r="M14724" s="17" t="str">
        <f t="shared" si="707"/>
        <v/>
      </c>
      <c r="N14724" s="11" t="str">
        <f t="shared" si="708"/>
        <v/>
      </c>
    </row>
    <row r="14725" spans="9:14" x14ac:dyDescent="0.25">
      <c r="I14725" s="11" t="b">
        <f t="shared" si="706"/>
        <v>0</v>
      </c>
      <c r="M14725" s="17" t="str">
        <f t="shared" si="707"/>
        <v/>
      </c>
      <c r="N14725" s="11" t="str">
        <f t="shared" si="708"/>
        <v/>
      </c>
    </row>
    <row r="14726" spans="9:14" x14ac:dyDescent="0.25">
      <c r="I14726" s="11" t="b">
        <f t="shared" si="706"/>
        <v>0</v>
      </c>
      <c r="M14726" s="17" t="str">
        <f t="shared" si="707"/>
        <v/>
      </c>
      <c r="N14726" s="11" t="str">
        <f t="shared" si="708"/>
        <v/>
      </c>
    </row>
    <row r="14727" spans="9:14" x14ac:dyDescent="0.25">
      <c r="I14727" s="11" t="b">
        <f t="shared" si="706"/>
        <v>0</v>
      </c>
      <c r="M14727" s="17" t="str">
        <f t="shared" si="707"/>
        <v/>
      </c>
      <c r="N14727" s="11" t="str">
        <f t="shared" si="708"/>
        <v/>
      </c>
    </row>
    <row r="14728" spans="9:14" x14ac:dyDescent="0.25">
      <c r="I14728" s="11" t="b">
        <f t="shared" si="706"/>
        <v>0</v>
      </c>
      <c r="M14728" s="17" t="str">
        <f t="shared" si="707"/>
        <v/>
      </c>
      <c r="N14728" s="11" t="str">
        <f t="shared" si="708"/>
        <v/>
      </c>
    </row>
    <row r="14729" spans="9:14" x14ac:dyDescent="0.25">
      <c r="I14729" s="11" t="b">
        <f t="shared" si="706"/>
        <v>0</v>
      </c>
      <c r="M14729" s="17" t="str">
        <f t="shared" si="707"/>
        <v/>
      </c>
      <c r="N14729" s="11" t="str">
        <f t="shared" si="708"/>
        <v/>
      </c>
    </row>
    <row r="14730" spans="9:14" x14ac:dyDescent="0.25">
      <c r="I14730" s="11" t="b">
        <f t="shared" si="706"/>
        <v>0</v>
      </c>
      <c r="M14730" s="17" t="str">
        <f t="shared" si="707"/>
        <v/>
      </c>
      <c r="N14730" s="11" t="str">
        <f t="shared" si="708"/>
        <v/>
      </c>
    </row>
    <row r="14731" spans="9:14" x14ac:dyDescent="0.25">
      <c r="I14731" s="11" t="b">
        <f t="shared" si="706"/>
        <v>0</v>
      </c>
      <c r="M14731" s="17" t="str">
        <f t="shared" si="707"/>
        <v/>
      </c>
      <c r="N14731" s="11" t="str">
        <f t="shared" si="708"/>
        <v/>
      </c>
    </row>
    <row r="14732" spans="9:14" x14ac:dyDescent="0.25">
      <c r="I14732" s="11" t="b">
        <f t="shared" si="706"/>
        <v>0</v>
      </c>
      <c r="M14732" s="17" t="str">
        <f t="shared" si="707"/>
        <v/>
      </c>
      <c r="N14732" s="11" t="str">
        <f t="shared" si="708"/>
        <v/>
      </c>
    </row>
    <row r="14733" spans="9:14" x14ac:dyDescent="0.25">
      <c r="I14733" s="11" t="b">
        <f t="shared" si="706"/>
        <v>0</v>
      </c>
      <c r="M14733" s="17" t="str">
        <f t="shared" si="707"/>
        <v/>
      </c>
      <c r="N14733" s="11" t="str">
        <f t="shared" si="708"/>
        <v/>
      </c>
    </row>
    <row r="14734" spans="9:14" x14ac:dyDescent="0.25">
      <c r="I14734" s="11" t="b">
        <f t="shared" si="706"/>
        <v>0</v>
      </c>
      <c r="M14734" s="17" t="str">
        <f t="shared" si="707"/>
        <v/>
      </c>
      <c r="N14734" s="11" t="str">
        <f t="shared" si="708"/>
        <v/>
      </c>
    </row>
    <row r="14735" spans="9:14" x14ac:dyDescent="0.25">
      <c r="I14735" s="11" t="b">
        <f t="shared" si="706"/>
        <v>0</v>
      </c>
      <c r="M14735" s="17" t="str">
        <f t="shared" si="707"/>
        <v/>
      </c>
      <c r="N14735" s="11" t="str">
        <f t="shared" si="708"/>
        <v/>
      </c>
    </row>
    <row r="14736" spans="9:14" x14ac:dyDescent="0.25">
      <c r="I14736" s="11" t="b">
        <f t="shared" si="706"/>
        <v>0</v>
      </c>
      <c r="M14736" s="17" t="str">
        <f t="shared" si="707"/>
        <v/>
      </c>
      <c r="N14736" s="11" t="str">
        <f t="shared" si="708"/>
        <v/>
      </c>
    </row>
    <row r="14737" spans="9:14" x14ac:dyDescent="0.25">
      <c r="I14737" s="11" t="b">
        <f t="shared" si="706"/>
        <v>0</v>
      </c>
      <c r="M14737" s="17" t="str">
        <f t="shared" si="707"/>
        <v/>
      </c>
      <c r="N14737" s="11" t="str">
        <f t="shared" si="708"/>
        <v/>
      </c>
    </row>
    <row r="14738" spans="9:14" x14ac:dyDescent="0.25">
      <c r="I14738" s="11" t="b">
        <f t="shared" si="706"/>
        <v>0</v>
      </c>
      <c r="M14738" s="17" t="str">
        <f t="shared" si="707"/>
        <v/>
      </c>
      <c r="N14738" s="11" t="str">
        <f t="shared" si="708"/>
        <v/>
      </c>
    </row>
    <row r="14739" spans="9:14" x14ac:dyDescent="0.25">
      <c r="I14739" s="11" t="b">
        <f t="shared" si="706"/>
        <v>0</v>
      </c>
      <c r="M14739" s="17" t="str">
        <f t="shared" si="707"/>
        <v/>
      </c>
      <c r="N14739" s="11" t="str">
        <f t="shared" si="708"/>
        <v/>
      </c>
    </row>
    <row r="14740" spans="9:14" x14ac:dyDescent="0.25">
      <c r="I14740" s="11" t="b">
        <f t="shared" si="706"/>
        <v>0</v>
      </c>
      <c r="M14740" s="17" t="str">
        <f t="shared" si="707"/>
        <v/>
      </c>
      <c r="N14740" s="11" t="str">
        <f t="shared" si="708"/>
        <v/>
      </c>
    </row>
    <row r="14741" spans="9:14" x14ac:dyDescent="0.25">
      <c r="I14741" s="11" t="b">
        <f t="shared" si="706"/>
        <v>0</v>
      </c>
      <c r="M14741" s="17" t="str">
        <f t="shared" si="707"/>
        <v/>
      </c>
      <c r="N14741" s="11" t="str">
        <f t="shared" si="708"/>
        <v/>
      </c>
    </row>
    <row r="14742" spans="9:14" x14ac:dyDescent="0.25">
      <c r="I14742" s="11" t="b">
        <f t="shared" si="706"/>
        <v>0</v>
      </c>
      <c r="M14742" s="17" t="str">
        <f t="shared" si="707"/>
        <v/>
      </c>
      <c r="N14742" s="11" t="str">
        <f t="shared" si="708"/>
        <v/>
      </c>
    </row>
    <row r="14743" spans="9:14" x14ac:dyDescent="0.25">
      <c r="I14743" s="11" t="b">
        <f t="shared" si="706"/>
        <v>0</v>
      </c>
      <c r="M14743" s="17" t="str">
        <f t="shared" si="707"/>
        <v/>
      </c>
      <c r="N14743" s="11" t="str">
        <f t="shared" si="708"/>
        <v/>
      </c>
    </row>
    <row r="14744" spans="9:14" x14ac:dyDescent="0.25">
      <c r="I14744" s="11" t="b">
        <f t="shared" si="706"/>
        <v>0</v>
      </c>
      <c r="M14744" s="17" t="str">
        <f t="shared" si="707"/>
        <v/>
      </c>
      <c r="N14744" s="11" t="str">
        <f t="shared" si="708"/>
        <v/>
      </c>
    </row>
    <row r="14745" spans="9:14" x14ac:dyDescent="0.25">
      <c r="I14745" s="11" t="b">
        <f t="shared" si="706"/>
        <v>0</v>
      </c>
      <c r="M14745" s="17" t="str">
        <f t="shared" si="707"/>
        <v/>
      </c>
      <c r="N14745" s="11" t="str">
        <f t="shared" si="708"/>
        <v/>
      </c>
    </row>
    <row r="14746" spans="9:14" x14ac:dyDescent="0.25">
      <c r="I14746" s="11" t="b">
        <f t="shared" si="706"/>
        <v>0</v>
      </c>
      <c r="M14746" s="17" t="str">
        <f t="shared" si="707"/>
        <v/>
      </c>
      <c r="N14746" s="11" t="str">
        <f t="shared" si="708"/>
        <v/>
      </c>
    </row>
    <row r="14747" spans="9:14" x14ac:dyDescent="0.25">
      <c r="I14747" s="11" t="b">
        <f t="shared" si="706"/>
        <v>0</v>
      </c>
      <c r="M14747" s="17" t="str">
        <f t="shared" si="707"/>
        <v/>
      </c>
      <c r="N14747" s="11" t="str">
        <f t="shared" si="708"/>
        <v/>
      </c>
    </row>
    <row r="14748" spans="9:14" x14ac:dyDescent="0.25">
      <c r="I14748" s="11" t="b">
        <f t="shared" si="706"/>
        <v>0</v>
      </c>
      <c r="M14748" s="17" t="str">
        <f t="shared" si="707"/>
        <v/>
      </c>
      <c r="N14748" s="11" t="str">
        <f t="shared" si="708"/>
        <v/>
      </c>
    </row>
    <row r="14749" spans="9:14" x14ac:dyDescent="0.25">
      <c r="I14749" s="11" t="b">
        <f t="shared" ref="I14749:I14812" si="709">IF(AND(G14749="MERCADO PAGO",A14749="FATURAMENTO"),1,IF(AND(OR(G14749="MERCADO PAGO",G14749="pix mercado pago",G14749= "débito automático mercado pago", G14749= "boleto mercado pago"),A14749="DESPESAS"),4,IF(AND(G14749="SAFRA",A14749="FATURAMENTO"),2,IF(AND(OR(G14749="SAFRA",G14749="PIX SAFRA", G14749="DÉBITO AUTOMÁTICO SAFRA", G14749= "BOLETO SAFRA", G14749= "transferência safra"), A14749="DESPESAS"),5,IF(AND(G14749="espécie",A14749="FATURAMENTO"),3,IF(AND(G14749="espécie",A14749="DESPESAS"),6))))))</f>
        <v>0</v>
      </c>
      <c r="M14749" s="17" t="str">
        <f t="shared" si="707"/>
        <v/>
      </c>
      <c r="N14749" s="11" t="str">
        <f t="shared" si="708"/>
        <v/>
      </c>
    </row>
    <row r="14750" spans="9:14" x14ac:dyDescent="0.25">
      <c r="I14750" s="11" t="b">
        <f t="shared" si="709"/>
        <v>0</v>
      </c>
      <c r="M14750" s="17" t="str">
        <f t="shared" si="707"/>
        <v/>
      </c>
      <c r="N14750" s="11" t="str">
        <f t="shared" si="708"/>
        <v/>
      </c>
    </row>
    <row r="14751" spans="9:14" x14ac:dyDescent="0.25">
      <c r="I14751" s="11" t="b">
        <f t="shared" si="709"/>
        <v>0</v>
      </c>
      <c r="M14751" s="17" t="str">
        <f t="shared" si="707"/>
        <v/>
      </c>
      <c r="N14751" s="11" t="str">
        <f t="shared" si="708"/>
        <v/>
      </c>
    </row>
    <row r="14752" spans="9:14" x14ac:dyDescent="0.25">
      <c r="I14752" s="11" t="b">
        <f t="shared" si="709"/>
        <v>0</v>
      </c>
      <c r="M14752" s="17" t="str">
        <f t="shared" si="707"/>
        <v/>
      </c>
      <c r="N14752" s="11" t="str">
        <f t="shared" si="708"/>
        <v/>
      </c>
    </row>
    <row r="14753" spans="9:14" x14ac:dyDescent="0.25">
      <c r="I14753" s="11" t="b">
        <f t="shared" si="709"/>
        <v>0</v>
      </c>
      <c r="M14753" s="17" t="str">
        <f t="shared" si="707"/>
        <v/>
      </c>
      <c r="N14753" s="11" t="str">
        <f t="shared" si="708"/>
        <v/>
      </c>
    </row>
    <row r="14754" spans="9:14" x14ac:dyDescent="0.25">
      <c r="I14754" s="11" t="b">
        <f t="shared" si="709"/>
        <v>0</v>
      </c>
      <c r="M14754" s="17" t="str">
        <f t="shared" si="707"/>
        <v/>
      </c>
      <c r="N14754" s="11" t="str">
        <f t="shared" si="708"/>
        <v/>
      </c>
    </row>
    <row r="14755" spans="9:14" x14ac:dyDescent="0.25">
      <c r="I14755" s="11" t="b">
        <f t="shared" si="709"/>
        <v>0</v>
      </c>
      <c r="M14755" s="17" t="str">
        <f t="shared" si="707"/>
        <v/>
      </c>
      <c r="N14755" s="11" t="str">
        <f t="shared" si="708"/>
        <v/>
      </c>
    </row>
    <row r="14756" spans="9:14" x14ac:dyDescent="0.25">
      <c r="I14756" s="11" t="b">
        <f t="shared" si="709"/>
        <v>0</v>
      </c>
      <c r="M14756" s="17" t="str">
        <f t="shared" si="707"/>
        <v/>
      </c>
      <c r="N14756" s="11" t="str">
        <f t="shared" si="708"/>
        <v/>
      </c>
    </row>
    <row r="14757" spans="9:14" x14ac:dyDescent="0.25">
      <c r="I14757" s="11" t="b">
        <f t="shared" si="709"/>
        <v>0</v>
      </c>
      <c r="M14757" s="17" t="str">
        <f t="shared" si="707"/>
        <v/>
      </c>
      <c r="N14757" s="11" t="str">
        <f t="shared" si="708"/>
        <v/>
      </c>
    </row>
    <row r="14758" spans="9:14" x14ac:dyDescent="0.25">
      <c r="I14758" s="11" t="b">
        <f t="shared" si="709"/>
        <v>0</v>
      </c>
      <c r="M14758" s="17" t="str">
        <f t="shared" si="707"/>
        <v/>
      </c>
      <c r="N14758" s="11" t="str">
        <f t="shared" si="708"/>
        <v/>
      </c>
    </row>
    <row r="14759" spans="9:14" x14ac:dyDescent="0.25">
      <c r="I14759" s="11" t="b">
        <f t="shared" si="709"/>
        <v>0</v>
      </c>
      <c r="M14759" s="17" t="str">
        <f t="shared" si="707"/>
        <v/>
      </c>
      <c r="N14759" s="11" t="str">
        <f t="shared" si="708"/>
        <v/>
      </c>
    </row>
    <row r="14760" spans="9:14" x14ac:dyDescent="0.25">
      <c r="I14760" s="11" t="b">
        <f t="shared" si="709"/>
        <v>0</v>
      </c>
      <c r="M14760" s="17" t="str">
        <f t="shared" si="707"/>
        <v/>
      </c>
      <c r="N14760" s="11" t="str">
        <f t="shared" si="708"/>
        <v/>
      </c>
    </row>
    <row r="14761" spans="9:14" x14ac:dyDescent="0.25">
      <c r="I14761" s="11" t="b">
        <f t="shared" si="709"/>
        <v>0</v>
      </c>
      <c r="M14761" s="17" t="str">
        <f t="shared" si="707"/>
        <v/>
      </c>
      <c r="N14761" s="11" t="str">
        <f t="shared" si="708"/>
        <v/>
      </c>
    </row>
    <row r="14762" spans="9:14" x14ac:dyDescent="0.25">
      <c r="I14762" s="11" t="b">
        <f t="shared" si="709"/>
        <v>0</v>
      </c>
      <c r="M14762" s="17" t="str">
        <f t="shared" si="707"/>
        <v/>
      </c>
      <c r="N14762" s="11" t="str">
        <f t="shared" si="708"/>
        <v/>
      </c>
    </row>
    <row r="14763" spans="9:14" x14ac:dyDescent="0.25">
      <c r="I14763" s="11" t="b">
        <f t="shared" si="709"/>
        <v>0</v>
      </c>
      <c r="M14763" s="17" t="str">
        <f t="shared" si="707"/>
        <v/>
      </c>
      <c r="N14763" s="11" t="str">
        <f t="shared" si="708"/>
        <v/>
      </c>
    </row>
    <row r="14764" spans="9:14" x14ac:dyDescent="0.25">
      <c r="I14764" s="11" t="b">
        <f t="shared" si="709"/>
        <v>0</v>
      </c>
      <c r="M14764" s="17" t="str">
        <f t="shared" si="707"/>
        <v/>
      </c>
      <c r="N14764" s="11" t="str">
        <f t="shared" si="708"/>
        <v/>
      </c>
    </row>
    <row r="14765" spans="9:14" x14ac:dyDescent="0.25">
      <c r="I14765" s="11" t="b">
        <f t="shared" si="709"/>
        <v>0</v>
      </c>
      <c r="M14765" s="17" t="str">
        <f t="shared" si="707"/>
        <v/>
      </c>
      <c r="N14765" s="11" t="str">
        <f t="shared" si="708"/>
        <v/>
      </c>
    </row>
    <row r="14766" spans="9:14" x14ac:dyDescent="0.25">
      <c r="I14766" s="11" t="b">
        <f t="shared" si="709"/>
        <v>0</v>
      </c>
      <c r="M14766" s="17" t="str">
        <f t="shared" si="707"/>
        <v/>
      </c>
      <c r="N14766" s="11" t="str">
        <f t="shared" si="708"/>
        <v/>
      </c>
    </row>
    <row r="14767" spans="9:14" x14ac:dyDescent="0.25">
      <c r="I14767" s="11" t="b">
        <f t="shared" si="709"/>
        <v>0</v>
      </c>
      <c r="M14767" s="17" t="str">
        <f t="shared" si="707"/>
        <v/>
      </c>
      <c r="N14767" s="11" t="str">
        <f t="shared" si="708"/>
        <v/>
      </c>
    </row>
    <row r="14768" spans="9:14" x14ac:dyDescent="0.25">
      <c r="I14768" s="11" t="b">
        <f t="shared" si="709"/>
        <v>0</v>
      </c>
      <c r="M14768" s="17" t="str">
        <f t="shared" si="707"/>
        <v/>
      </c>
      <c r="N14768" s="11" t="str">
        <f t="shared" si="708"/>
        <v/>
      </c>
    </row>
    <row r="14769" spans="9:14" x14ac:dyDescent="0.25">
      <c r="I14769" s="11" t="b">
        <f t="shared" si="709"/>
        <v>0</v>
      </c>
      <c r="M14769" s="17" t="str">
        <f t="shared" si="707"/>
        <v/>
      </c>
      <c r="N14769" s="11" t="str">
        <f t="shared" si="708"/>
        <v/>
      </c>
    </row>
    <row r="14770" spans="9:14" x14ac:dyDescent="0.25">
      <c r="I14770" s="11" t="b">
        <f t="shared" si="709"/>
        <v>0</v>
      </c>
      <c r="M14770" s="17" t="str">
        <f t="shared" si="707"/>
        <v/>
      </c>
      <c r="N14770" s="11" t="str">
        <f t="shared" si="708"/>
        <v/>
      </c>
    </row>
    <row r="14771" spans="9:14" x14ac:dyDescent="0.25">
      <c r="I14771" s="11" t="b">
        <f t="shared" si="709"/>
        <v>0</v>
      </c>
      <c r="M14771" s="17" t="str">
        <f t="shared" si="707"/>
        <v/>
      </c>
      <c r="N14771" s="11" t="str">
        <f t="shared" si="708"/>
        <v/>
      </c>
    </row>
    <row r="14772" spans="9:14" x14ac:dyDescent="0.25">
      <c r="I14772" s="11" t="b">
        <f t="shared" si="709"/>
        <v>0</v>
      </c>
      <c r="M14772" s="17" t="str">
        <f t="shared" si="707"/>
        <v/>
      </c>
      <c r="N14772" s="11" t="str">
        <f t="shared" si="708"/>
        <v/>
      </c>
    </row>
    <row r="14773" spans="9:14" x14ac:dyDescent="0.25">
      <c r="I14773" s="11" t="b">
        <f t="shared" si="709"/>
        <v>0</v>
      </c>
      <c r="M14773" s="17" t="str">
        <f t="shared" si="707"/>
        <v/>
      </c>
      <c r="N14773" s="11" t="str">
        <f t="shared" si="708"/>
        <v/>
      </c>
    </row>
    <row r="14774" spans="9:14" x14ac:dyDescent="0.25">
      <c r="I14774" s="11" t="b">
        <f t="shared" si="709"/>
        <v>0</v>
      </c>
      <c r="M14774" s="17" t="str">
        <f t="shared" si="707"/>
        <v/>
      </c>
      <c r="N14774" s="11" t="str">
        <f t="shared" si="708"/>
        <v/>
      </c>
    </row>
    <row r="14775" spans="9:14" x14ac:dyDescent="0.25">
      <c r="I14775" s="11" t="b">
        <f t="shared" si="709"/>
        <v>0</v>
      </c>
      <c r="M14775" s="17" t="str">
        <f t="shared" si="707"/>
        <v/>
      </c>
      <c r="N14775" s="11" t="str">
        <f t="shared" si="708"/>
        <v/>
      </c>
    </row>
    <row r="14776" spans="9:14" x14ac:dyDescent="0.25">
      <c r="I14776" s="11" t="b">
        <f t="shared" si="709"/>
        <v>0</v>
      </c>
      <c r="M14776" s="17" t="str">
        <f t="shared" si="707"/>
        <v/>
      </c>
      <c r="N14776" s="11" t="str">
        <f t="shared" si="708"/>
        <v/>
      </c>
    </row>
    <row r="14777" spans="9:14" x14ac:dyDescent="0.25">
      <c r="I14777" s="11" t="b">
        <f t="shared" si="709"/>
        <v>0</v>
      </c>
      <c r="M14777" s="17" t="str">
        <f t="shared" si="707"/>
        <v/>
      </c>
      <c r="N14777" s="11" t="str">
        <f t="shared" si="708"/>
        <v/>
      </c>
    </row>
    <row r="14778" spans="9:14" x14ac:dyDescent="0.25">
      <c r="I14778" s="11" t="b">
        <f t="shared" si="709"/>
        <v>0</v>
      </c>
      <c r="M14778" s="17" t="str">
        <f t="shared" si="707"/>
        <v/>
      </c>
      <c r="N14778" s="11" t="str">
        <f t="shared" si="708"/>
        <v/>
      </c>
    </row>
    <row r="14779" spans="9:14" x14ac:dyDescent="0.25">
      <c r="I14779" s="11" t="b">
        <f t="shared" si="709"/>
        <v>0</v>
      </c>
      <c r="M14779" s="17" t="str">
        <f t="shared" si="707"/>
        <v/>
      </c>
      <c r="N14779" s="11" t="str">
        <f t="shared" si="708"/>
        <v/>
      </c>
    </row>
    <row r="14780" spans="9:14" x14ac:dyDescent="0.25">
      <c r="I14780" s="11" t="b">
        <f t="shared" si="709"/>
        <v>0</v>
      </c>
      <c r="M14780" s="17" t="str">
        <f t="shared" si="707"/>
        <v/>
      </c>
      <c r="N14780" s="11" t="str">
        <f t="shared" si="708"/>
        <v/>
      </c>
    </row>
    <row r="14781" spans="9:14" x14ac:dyDescent="0.25">
      <c r="I14781" s="11" t="b">
        <f t="shared" si="709"/>
        <v>0</v>
      </c>
      <c r="M14781" s="17" t="str">
        <f t="shared" si="707"/>
        <v/>
      </c>
      <c r="N14781" s="11" t="str">
        <f t="shared" si="708"/>
        <v/>
      </c>
    </row>
    <row r="14782" spans="9:14" x14ac:dyDescent="0.25">
      <c r="I14782" s="11" t="b">
        <f t="shared" si="709"/>
        <v>0</v>
      </c>
      <c r="M14782" s="17" t="str">
        <f t="shared" si="707"/>
        <v/>
      </c>
      <c r="N14782" s="11" t="str">
        <f t="shared" si="708"/>
        <v/>
      </c>
    </row>
    <row r="14783" spans="9:14" x14ac:dyDescent="0.25">
      <c r="I14783" s="11" t="b">
        <f t="shared" si="709"/>
        <v>0</v>
      </c>
      <c r="M14783" s="17" t="str">
        <f t="shared" si="707"/>
        <v/>
      </c>
      <c r="N14783" s="11" t="str">
        <f t="shared" si="708"/>
        <v/>
      </c>
    </row>
    <row r="14784" spans="9:14" x14ac:dyDescent="0.25">
      <c r="I14784" s="11" t="b">
        <f t="shared" si="709"/>
        <v>0</v>
      </c>
      <c r="M14784" s="17" t="str">
        <f t="shared" si="707"/>
        <v/>
      </c>
      <c r="N14784" s="11" t="str">
        <f t="shared" si="708"/>
        <v/>
      </c>
    </row>
    <row r="14785" spans="9:14" x14ac:dyDescent="0.25">
      <c r="I14785" s="11" t="b">
        <f t="shared" si="709"/>
        <v>0</v>
      </c>
      <c r="M14785" s="17" t="str">
        <f t="shared" ref="M14785:M14848" si="710">IF(B14785=0, "",M14784+ J14785-K14785)</f>
        <v/>
      </c>
      <c r="N14785" s="11" t="str">
        <f t="shared" ref="N14785:N14848" si="711">IF(B14785=0, "", MONTH(B14785))</f>
        <v/>
      </c>
    </row>
    <row r="14786" spans="9:14" x14ac:dyDescent="0.25">
      <c r="I14786" s="11" t="b">
        <f t="shared" si="709"/>
        <v>0</v>
      </c>
      <c r="M14786" s="17" t="str">
        <f t="shared" si="710"/>
        <v/>
      </c>
      <c r="N14786" s="11" t="str">
        <f t="shared" si="711"/>
        <v/>
      </c>
    </row>
    <row r="14787" spans="9:14" x14ac:dyDescent="0.25">
      <c r="I14787" s="11" t="b">
        <f t="shared" si="709"/>
        <v>0</v>
      </c>
      <c r="M14787" s="17" t="str">
        <f t="shared" si="710"/>
        <v/>
      </c>
      <c r="N14787" s="11" t="str">
        <f t="shared" si="711"/>
        <v/>
      </c>
    </row>
    <row r="14788" spans="9:14" x14ac:dyDescent="0.25">
      <c r="I14788" s="11" t="b">
        <f t="shared" si="709"/>
        <v>0</v>
      </c>
      <c r="M14788" s="17" t="str">
        <f t="shared" si="710"/>
        <v/>
      </c>
      <c r="N14788" s="11" t="str">
        <f t="shared" si="711"/>
        <v/>
      </c>
    </row>
    <row r="14789" spans="9:14" x14ac:dyDescent="0.25">
      <c r="I14789" s="11" t="b">
        <f t="shared" si="709"/>
        <v>0</v>
      </c>
      <c r="M14789" s="17" t="str">
        <f t="shared" si="710"/>
        <v/>
      </c>
      <c r="N14789" s="11" t="str">
        <f t="shared" si="711"/>
        <v/>
      </c>
    </row>
    <row r="14790" spans="9:14" x14ac:dyDescent="0.25">
      <c r="I14790" s="11" t="b">
        <f t="shared" si="709"/>
        <v>0</v>
      </c>
      <c r="M14790" s="17" t="str">
        <f t="shared" si="710"/>
        <v/>
      </c>
      <c r="N14790" s="11" t="str">
        <f t="shared" si="711"/>
        <v/>
      </c>
    </row>
    <row r="14791" spans="9:14" x14ac:dyDescent="0.25">
      <c r="I14791" s="11" t="b">
        <f t="shared" si="709"/>
        <v>0</v>
      </c>
      <c r="M14791" s="17" t="str">
        <f t="shared" si="710"/>
        <v/>
      </c>
      <c r="N14791" s="11" t="str">
        <f t="shared" si="711"/>
        <v/>
      </c>
    </row>
    <row r="14792" spans="9:14" x14ac:dyDescent="0.25">
      <c r="I14792" s="11" t="b">
        <f t="shared" si="709"/>
        <v>0</v>
      </c>
      <c r="M14792" s="17" t="str">
        <f t="shared" si="710"/>
        <v/>
      </c>
      <c r="N14792" s="11" t="str">
        <f t="shared" si="711"/>
        <v/>
      </c>
    </row>
    <row r="14793" spans="9:14" x14ac:dyDescent="0.25">
      <c r="I14793" s="11" t="b">
        <f t="shared" si="709"/>
        <v>0</v>
      </c>
      <c r="M14793" s="17" t="str">
        <f t="shared" si="710"/>
        <v/>
      </c>
      <c r="N14793" s="11" t="str">
        <f t="shared" si="711"/>
        <v/>
      </c>
    </row>
    <row r="14794" spans="9:14" x14ac:dyDescent="0.25">
      <c r="I14794" s="11" t="b">
        <f t="shared" si="709"/>
        <v>0</v>
      </c>
      <c r="M14794" s="17" t="str">
        <f t="shared" si="710"/>
        <v/>
      </c>
      <c r="N14794" s="11" t="str">
        <f t="shared" si="711"/>
        <v/>
      </c>
    </row>
    <row r="14795" spans="9:14" x14ac:dyDescent="0.25">
      <c r="I14795" s="11" t="b">
        <f t="shared" si="709"/>
        <v>0</v>
      </c>
      <c r="M14795" s="17" t="str">
        <f t="shared" si="710"/>
        <v/>
      </c>
      <c r="N14795" s="11" t="str">
        <f t="shared" si="711"/>
        <v/>
      </c>
    </row>
    <row r="14796" spans="9:14" x14ac:dyDescent="0.25">
      <c r="I14796" s="11" t="b">
        <f t="shared" si="709"/>
        <v>0</v>
      </c>
      <c r="M14796" s="17" t="str">
        <f t="shared" si="710"/>
        <v/>
      </c>
      <c r="N14796" s="11" t="str">
        <f t="shared" si="711"/>
        <v/>
      </c>
    </row>
    <row r="14797" spans="9:14" x14ac:dyDescent="0.25">
      <c r="I14797" s="11" t="b">
        <f t="shared" si="709"/>
        <v>0</v>
      </c>
      <c r="M14797" s="17" t="str">
        <f t="shared" si="710"/>
        <v/>
      </c>
      <c r="N14797" s="11" t="str">
        <f t="shared" si="711"/>
        <v/>
      </c>
    </row>
    <row r="14798" spans="9:14" x14ac:dyDescent="0.25">
      <c r="I14798" s="11" t="b">
        <f t="shared" si="709"/>
        <v>0</v>
      </c>
      <c r="M14798" s="17" t="str">
        <f t="shared" si="710"/>
        <v/>
      </c>
      <c r="N14798" s="11" t="str">
        <f t="shared" si="711"/>
        <v/>
      </c>
    </row>
    <row r="14799" spans="9:14" x14ac:dyDescent="0.25">
      <c r="I14799" s="11" t="b">
        <f t="shared" si="709"/>
        <v>0</v>
      </c>
      <c r="M14799" s="17" t="str">
        <f t="shared" si="710"/>
        <v/>
      </c>
      <c r="N14799" s="11" t="str">
        <f t="shared" si="711"/>
        <v/>
      </c>
    </row>
    <row r="14800" spans="9:14" x14ac:dyDescent="0.25">
      <c r="I14800" s="11" t="b">
        <f t="shared" si="709"/>
        <v>0</v>
      </c>
      <c r="M14800" s="17" t="str">
        <f t="shared" si="710"/>
        <v/>
      </c>
      <c r="N14800" s="11" t="str">
        <f t="shared" si="711"/>
        <v/>
      </c>
    </row>
    <row r="14801" spans="9:14" x14ac:dyDescent="0.25">
      <c r="I14801" s="11" t="b">
        <f t="shared" si="709"/>
        <v>0</v>
      </c>
      <c r="M14801" s="17" t="str">
        <f t="shared" si="710"/>
        <v/>
      </c>
      <c r="N14801" s="11" t="str">
        <f t="shared" si="711"/>
        <v/>
      </c>
    </row>
    <row r="14802" spans="9:14" x14ac:dyDescent="0.25">
      <c r="I14802" s="11" t="b">
        <f t="shared" si="709"/>
        <v>0</v>
      </c>
      <c r="M14802" s="17" t="str">
        <f t="shared" si="710"/>
        <v/>
      </c>
      <c r="N14802" s="11" t="str">
        <f t="shared" si="711"/>
        <v/>
      </c>
    </row>
    <row r="14803" spans="9:14" x14ac:dyDescent="0.25">
      <c r="I14803" s="11" t="b">
        <f t="shared" si="709"/>
        <v>0</v>
      </c>
      <c r="M14803" s="17" t="str">
        <f t="shared" si="710"/>
        <v/>
      </c>
      <c r="N14803" s="11" t="str">
        <f t="shared" si="711"/>
        <v/>
      </c>
    </row>
    <row r="14804" spans="9:14" x14ac:dyDescent="0.25">
      <c r="I14804" s="11" t="b">
        <f t="shared" si="709"/>
        <v>0</v>
      </c>
      <c r="M14804" s="17" t="str">
        <f t="shared" si="710"/>
        <v/>
      </c>
      <c r="N14804" s="11" t="str">
        <f t="shared" si="711"/>
        <v/>
      </c>
    </row>
    <row r="14805" spans="9:14" x14ac:dyDescent="0.25">
      <c r="I14805" s="11" t="b">
        <f t="shared" si="709"/>
        <v>0</v>
      </c>
      <c r="M14805" s="17" t="str">
        <f t="shared" si="710"/>
        <v/>
      </c>
      <c r="N14805" s="11" t="str">
        <f t="shared" si="711"/>
        <v/>
      </c>
    </row>
    <row r="14806" spans="9:14" x14ac:dyDescent="0.25">
      <c r="I14806" s="11" t="b">
        <f t="shared" si="709"/>
        <v>0</v>
      </c>
      <c r="M14806" s="17" t="str">
        <f t="shared" si="710"/>
        <v/>
      </c>
      <c r="N14806" s="11" t="str">
        <f t="shared" si="711"/>
        <v/>
      </c>
    </row>
    <row r="14807" spans="9:14" x14ac:dyDescent="0.25">
      <c r="I14807" s="11" t="b">
        <f t="shared" si="709"/>
        <v>0</v>
      </c>
      <c r="M14807" s="17" t="str">
        <f t="shared" si="710"/>
        <v/>
      </c>
      <c r="N14807" s="11" t="str">
        <f t="shared" si="711"/>
        <v/>
      </c>
    </row>
    <row r="14808" spans="9:14" x14ac:dyDescent="0.25">
      <c r="I14808" s="11" t="b">
        <f t="shared" si="709"/>
        <v>0</v>
      </c>
      <c r="M14808" s="17" t="str">
        <f t="shared" si="710"/>
        <v/>
      </c>
      <c r="N14808" s="11" t="str">
        <f t="shared" si="711"/>
        <v/>
      </c>
    </row>
    <row r="14809" spans="9:14" x14ac:dyDescent="0.25">
      <c r="I14809" s="11" t="b">
        <f t="shared" si="709"/>
        <v>0</v>
      </c>
      <c r="M14809" s="17" t="str">
        <f t="shared" si="710"/>
        <v/>
      </c>
      <c r="N14809" s="11" t="str">
        <f t="shared" si="711"/>
        <v/>
      </c>
    </row>
    <row r="14810" spans="9:14" x14ac:dyDescent="0.25">
      <c r="I14810" s="11" t="b">
        <f t="shared" si="709"/>
        <v>0</v>
      </c>
      <c r="M14810" s="17" t="str">
        <f t="shared" si="710"/>
        <v/>
      </c>
      <c r="N14810" s="11" t="str">
        <f t="shared" si="711"/>
        <v/>
      </c>
    </row>
    <row r="14811" spans="9:14" x14ac:dyDescent="0.25">
      <c r="I14811" s="11" t="b">
        <f t="shared" si="709"/>
        <v>0</v>
      </c>
      <c r="M14811" s="17" t="str">
        <f t="shared" si="710"/>
        <v/>
      </c>
      <c r="N14811" s="11" t="str">
        <f t="shared" si="711"/>
        <v/>
      </c>
    </row>
    <row r="14812" spans="9:14" x14ac:dyDescent="0.25">
      <c r="I14812" s="11" t="b">
        <f t="shared" si="709"/>
        <v>0</v>
      </c>
      <c r="M14812" s="17" t="str">
        <f t="shared" si="710"/>
        <v/>
      </c>
      <c r="N14812" s="11" t="str">
        <f t="shared" si="711"/>
        <v/>
      </c>
    </row>
    <row r="14813" spans="9:14" x14ac:dyDescent="0.25">
      <c r="I14813" s="11" t="b">
        <f t="shared" ref="I14813:I14876" si="712">IF(AND(G14813="MERCADO PAGO",A14813="FATURAMENTO"),1,IF(AND(OR(G14813="MERCADO PAGO",G14813="pix mercado pago",G14813= "débito automático mercado pago", G14813= "boleto mercado pago"),A14813="DESPESAS"),4,IF(AND(G14813="SAFRA",A14813="FATURAMENTO"),2,IF(AND(OR(G14813="SAFRA",G14813="PIX SAFRA", G14813="DÉBITO AUTOMÁTICO SAFRA", G14813= "BOLETO SAFRA", G14813= "transferência safra"), A14813="DESPESAS"),5,IF(AND(G14813="espécie",A14813="FATURAMENTO"),3,IF(AND(G14813="espécie",A14813="DESPESAS"),6))))))</f>
        <v>0</v>
      </c>
      <c r="M14813" s="17" t="str">
        <f t="shared" si="710"/>
        <v/>
      </c>
      <c r="N14813" s="11" t="str">
        <f t="shared" si="711"/>
        <v/>
      </c>
    </row>
    <row r="14814" spans="9:14" x14ac:dyDescent="0.25">
      <c r="I14814" s="11" t="b">
        <f t="shared" si="712"/>
        <v>0</v>
      </c>
      <c r="M14814" s="17" t="str">
        <f t="shared" si="710"/>
        <v/>
      </c>
      <c r="N14814" s="11" t="str">
        <f t="shared" si="711"/>
        <v/>
      </c>
    </row>
    <row r="14815" spans="9:14" x14ac:dyDescent="0.25">
      <c r="I14815" s="11" t="b">
        <f t="shared" si="712"/>
        <v>0</v>
      </c>
      <c r="M14815" s="17" t="str">
        <f t="shared" si="710"/>
        <v/>
      </c>
      <c r="N14815" s="11" t="str">
        <f t="shared" si="711"/>
        <v/>
      </c>
    </row>
    <row r="14816" spans="9:14" x14ac:dyDescent="0.25">
      <c r="I14816" s="11" t="b">
        <f t="shared" si="712"/>
        <v>0</v>
      </c>
      <c r="M14816" s="17" t="str">
        <f t="shared" si="710"/>
        <v/>
      </c>
      <c r="N14816" s="11" t="str">
        <f t="shared" si="711"/>
        <v/>
      </c>
    </row>
    <row r="14817" spans="9:14" x14ac:dyDescent="0.25">
      <c r="I14817" s="11" t="b">
        <f t="shared" si="712"/>
        <v>0</v>
      </c>
      <c r="M14817" s="17" t="str">
        <f t="shared" si="710"/>
        <v/>
      </c>
      <c r="N14817" s="11" t="str">
        <f t="shared" si="711"/>
        <v/>
      </c>
    </row>
    <row r="14818" spans="9:14" x14ac:dyDescent="0.25">
      <c r="I14818" s="11" t="b">
        <f t="shared" si="712"/>
        <v>0</v>
      </c>
      <c r="M14818" s="17" t="str">
        <f t="shared" si="710"/>
        <v/>
      </c>
      <c r="N14818" s="11" t="str">
        <f t="shared" si="711"/>
        <v/>
      </c>
    </row>
    <row r="14819" spans="9:14" x14ac:dyDescent="0.25">
      <c r="I14819" s="11" t="b">
        <f t="shared" si="712"/>
        <v>0</v>
      </c>
      <c r="M14819" s="17" t="str">
        <f t="shared" si="710"/>
        <v/>
      </c>
      <c r="N14819" s="11" t="str">
        <f t="shared" si="711"/>
        <v/>
      </c>
    </row>
    <row r="14820" spans="9:14" x14ac:dyDescent="0.25">
      <c r="I14820" s="11" t="b">
        <f t="shared" si="712"/>
        <v>0</v>
      </c>
      <c r="M14820" s="17" t="str">
        <f t="shared" si="710"/>
        <v/>
      </c>
      <c r="N14820" s="11" t="str">
        <f t="shared" si="711"/>
        <v/>
      </c>
    </row>
    <row r="14821" spans="9:14" x14ac:dyDescent="0.25">
      <c r="I14821" s="11" t="b">
        <f t="shared" si="712"/>
        <v>0</v>
      </c>
      <c r="M14821" s="17" t="str">
        <f t="shared" si="710"/>
        <v/>
      </c>
      <c r="N14821" s="11" t="str">
        <f t="shared" si="711"/>
        <v/>
      </c>
    </row>
    <row r="14822" spans="9:14" x14ac:dyDescent="0.25">
      <c r="I14822" s="11" t="b">
        <f t="shared" si="712"/>
        <v>0</v>
      </c>
      <c r="M14822" s="17" t="str">
        <f t="shared" si="710"/>
        <v/>
      </c>
      <c r="N14822" s="11" t="str">
        <f t="shared" si="711"/>
        <v/>
      </c>
    </row>
    <row r="14823" spans="9:14" x14ac:dyDescent="0.25">
      <c r="I14823" s="11" t="b">
        <f t="shared" si="712"/>
        <v>0</v>
      </c>
      <c r="M14823" s="17" t="str">
        <f t="shared" si="710"/>
        <v/>
      </c>
      <c r="N14823" s="11" t="str">
        <f t="shared" si="711"/>
        <v/>
      </c>
    </row>
    <row r="14824" spans="9:14" x14ac:dyDescent="0.25">
      <c r="I14824" s="11" t="b">
        <f t="shared" si="712"/>
        <v>0</v>
      </c>
      <c r="M14824" s="17" t="str">
        <f t="shared" si="710"/>
        <v/>
      </c>
      <c r="N14824" s="11" t="str">
        <f t="shared" si="711"/>
        <v/>
      </c>
    </row>
    <row r="14825" spans="9:14" x14ac:dyDescent="0.25">
      <c r="I14825" s="11" t="b">
        <f t="shared" si="712"/>
        <v>0</v>
      </c>
      <c r="M14825" s="17" t="str">
        <f t="shared" si="710"/>
        <v/>
      </c>
      <c r="N14825" s="11" t="str">
        <f t="shared" si="711"/>
        <v/>
      </c>
    </row>
    <row r="14826" spans="9:14" x14ac:dyDescent="0.25">
      <c r="I14826" s="11" t="b">
        <f t="shared" si="712"/>
        <v>0</v>
      </c>
      <c r="M14826" s="17" t="str">
        <f t="shared" si="710"/>
        <v/>
      </c>
      <c r="N14826" s="11" t="str">
        <f t="shared" si="711"/>
        <v/>
      </c>
    </row>
    <row r="14827" spans="9:14" x14ac:dyDescent="0.25">
      <c r="I14827" s="11" t="b">
        <f t="shared" si="712"/>
        <v>0</v>
      </c>
      <c r="M14827" s="17" t="str">
        <f t="shared" si="710"/>
        <v/>
      </c>
      <c r="N14827" s="11" t="str">
        <f t="shared" si="711"/>
        <v/>
      </c>
    </row>
    <row r="14828" spans="9:14" x14ac:dyDescent="0.25">
      <c r="I14828" s="11" t="b">
        <f t="shared" si="712"/>
        <v>0</v>
      </c>
      <c r="M14828" s="17" t="str">
        <f t="shared" si="710"/>
        <v/>
      </c>
      <c r="N14828" s="11" t="str">
        <f t="shared" si="711"/>
        <v/>
      </c>
    </row>
    <row r="14829" spans="9:14" x14ac:dyDescent="0.25">
      <c r="I14829" s="11" t="b">
        <f t="shared" si="712"/>
        <v>0</v>
      </c>
      <c r="M14829" s="17" t="str">
        <f t="shared" si="710"/>
        <v/>
      </c>
      <c r="N14829" s="11" t="str">
        <f t="shared" si="711"/>
        <v/>
      </c>
    </row>
    <row r="14830" spans="9:14" x14ac:dyDescent="0.25">
      <c r="I14830" s="11" t="b">
        <f t="shared" si="712"/>
        <v>0</v>
      </c>
      <c r="M14830" s="17" t="str">
        <f t="shared" si="710"/>
        <v/>
      </c>
      <c r="N14830" s="11" t="str">
        <f t="shared" si="711"/>
        <v/>
      </c>
    </row>
    <row r="14831" spans="9:14" x14ac:dyDescent="0.25">
      <c r="I14831" s="11" t="b">
        <f t="shared" si="712"/>
        <v>0</v>
      </c>
      <c r="M14831" s="17" t="str">
        <f t="shared" si="710"/>
        <v/>
      </c>
      <c r="N14831" s="11" t="str">
        <f t="shared" si="711"/>
        <v/>
      </c>
    </row>
    <row r="14832" spans="9:14" x14ac:dyDescent="0.25">
      <c r="I14832" s="11" t="b">
        <f t="shared" si="712"/>
        <v>0</v>
      </c>
      <c r="M14832" s="17" t="str">
        <f t="shared" si="710"/>
        <v/>
      </c>
      <c r="N14832" s="11" t="str">
        <f t="shared" si="711"/>
        <v/>
      </c>
    </row>
    <row r="14833" spans="9:14" x14ac:dyDescent="0.25">
      <c r="I14833" s="11" t="b">
        <f t="shared" si="712"/>
        <v>0</v>
      </c>
      <c r="M14833" s="17" t="str">
        <f t="shared" si="710"/>
        <v/>
      </c>
      <c r="N14833" s="11" t="str">
        <f t="shared" si="711"/>
        <v/>
      </c>
    </row>
    <row r="14834" spans="9:14" x14ac:dyDescent="0.25">
      <c r="I14834" s="11" t="b">
        <f t="shared" si="712"/>
        <v>0</v>
      </c>
      <c r="M14834" s="17" t="str">
        <f t="shared" si="710"/>
        <v/>
      </c>
      <c r="N14834" s="11" t="str">
        <f t="shared" si="711"/>
        <v/>
      </c>
    </row>
    <row r="14835" spans="9:14" x14ac:dyDescent="0.25">
      <c r="I14835" s="11" t="b">
        <f t="shared" si="712"/>
        <v>0</v>
      </c>
      <c r="M14835" s="17" t="str">
        <f t="shared" si="710"/>
        <v/>
      </c>
      <c r="N14835" s="11" t="str">
        <f t="shared" si="711"/>
        <v/>
      </c>
    </row>
    <row r="14836" spans="9:14" x14ac:dyDescent="0.25">
      <c r="I14836" s="11" t="b">
        <f t="shared" si="712"/>
        <v>0</v>
      </c>
      <c r="M14836" s="17" t="str">
        <f t="shared" si="710"/>
        <v/>
      </c>
      <c r="N14836" s="11" t="str">
        <f t="shared" si="711"/>
        <v/>
      </c>
    </row>
    <row r="14837" spans="9:14" x14ac:dyDescent="0.25">
      <c r="I14837" s="11" t="b">
        <f t="shared" si="712"/>
        <v>0</v>
      </c>
      <c r="M14837" s="17" t="str">
        <f t="shared" si="710"/>
        <v/>
      </c>
      <c r="N14837" s="11" t="str">
        <f t="shared" si="711"/>
        <v/>
      </c>
    </row>
    <row r="14838" spans="9:14" x14ac:dyDescent="0.25">
      <c r="I14838" s="11" t="b">
        <f t="shared" si="712"/>
        <v>0</v>
      </c>
      <c r="M14838" s="17" t="str">
        <f t="shared" si="710"/>
        <v/>
      </c>
      <c r="N14838" s="11" t="str">
        <f t="shared" si="711"/>
        <v/>
      </c>
    </row>
    <row r="14839" spans="9:14" x14ac:dyDescent="0.25">
      <c r="I14839" s="11" t="b">
        <f t="shared" si="712"/>
        <v>0</v>
      </c>
      <c r="M14839" s="17" t="str">
        <f t="shared" si="710"/>
        <v/>
      </c>
      <c r="N14839" s="11" t="str">
        <f t="shared" si="711"/>
        <v/>
      </c>
    </row>
    <row r="14840" spans="9:14" x14ac:dyDescent="0.25">
      <c r="I14840" s="11" t="b">
        <f t="shared" si="712"/>
        <v>0</v>
      </c>
      <c r="M14840" s="17" t="str">
        <f t="shared" si="710"/>
        <v/>
      </c>
      <c r="N14840" s="11" t="str">
        <f t="shared" si="711"/>
        <v/>
      </c>
    </row>
    <row r="14841" spans="9:14" x14ac:dyDescent="0.25">
      <c r="I14841" s="11" t="b">
        <f t="shared" si="712"/>
        <v>0</v>
      </c>
      <c r="M14841" s="17" t="str">
        <f t="shared" si="710"/>
        <v/>
      </c>
      <c r="N14841" s="11" t="str">
        <f t="shared" si="711"/>
        <v/>
      </c>
    </row>
    <row r="14842" spans="9:14" x14ac:dyDescent="0.25">
      <c r="I14842" s="11" t="b">
        <f t="shared" si="712"/>
        <v>0</v>
      </c>
      <c r="M14842" s="17" t="str">
        <f t="shared" si="710"/>
        <v/>
      </c>
      <c r="N14842" s="11" t="str">
        <f t="shared" si="711"/>
        <v/>
      </c>
    </row>
    <row r="14843" spans="9:14" x14ac:dyDescent="0.25">
      <c r="I14843" s="11" t="b">
        <f t="shared" si="712"/>
        <v>0</v>
      </c>
      <c r="M14843" s="17" t="str">
        <f t="shared" si="710"/>
        <v/>
      </c>
      <c r="N14843" s="11" t="str">
        <f t="shared" si="711"/>
        <v/>
      </c>
    </row>
    <row r="14844" spans="9:14" x14ac:dyDescent="0.25">
      <c r="I14844" s="11" t="b">
        <f t="shared" si="712"/>
        <v>0</v>
      </c>
      <c r="M14844" s="17" t="str">
        <f t="shared" si="710"/>
        <v/>
      </c>
      <c r="N14844" s="11" t="str">
        <f t="shared" si="711"/>
        <v/>
      </c>
    </row>
    <row r="14845" spans="9:14" x14ac:dyDescent="0.25">
      <c r="I14845" s="11" t="b">
        <f t="shared" si="712"/>
        <v>0</v>
      </c>
      <c r="M14845" s="17" t="str">
        <f t="shared" si="710"/>
        <v/>
      </c>
      <c r="N14845" s="11" t="str">
        <f t="shared" si="711"/>
        <v/>
      </c>
    </row>
    <row r="14846" spans="9:14" x14ac:dyDescent="0.25">
      <c r="I14846" s="11" t="b">
        <f t="shared" si="712"/>
        <v>0</v>
      </c>
      <c r="M14846" s="17" t="str">
        <f t="shared" si="710"/>
        <v/>
      </c>
      <c r="N14846" s="11" t="str">
        <f t="shared" si="711"/>
        <v/>
      </c>
    </row>
    <row r="14847" spans="9:14" x14ac:dyDescent="0.25">
      <c r="I14847" s="11" t="b">
        <f t="shared" si="712"/>
        <v>0</v>
      </c>
      <c r="M14847" s="17" t="str">
        <f t="shared" si="710"/>
        <v/>
      </c>
      <c r="N14847" s="11" t="str">
        <f t="shared" si="711"/>
        <v/>
      </c>
    </row>
    <row r="14848" spans="9:14" x14ac:dyDescent="0.25">
      <c r="I14848" s="11" t="b">
        <f t="shared" si="712"/>
        <v>0</v>
      </c>
      <c r="M14848" s="17" t="str">
        <f t="shared" si="710"/>
        <v/>
      </c>
      <c r="N14848" s="11" t="str">
        <f t="shared" si="711"/>
        <v/>
      </c>
    </row>
    <row r="14849" spans="9:14" x14ac:dyDescent="0.25">
      <c r="I14849" s="11" t="b">
        <f t="shared" si="712"/>
        <v>0</v>
      </c>
      <c r="M14849" s="17" t="str">
        <f t="shared" ref="M14849:M14912" si="713">IF(B14849=0, "",M14848+ J14849-K14849)</f>
        <v/>
      </c>
      <c r="N14849" s="11" t="str">
        <f t="shared" ref="N14849:N14912" si="714">IF(B14849=0, "", MONTH(B14849))</f>
        <v/>
      </c>
    </row>
    <row r="14850" spans="9:14" x14ac:dyDescent="0.25">
      <c r="I14850" s="11" t="b">
        <f t="shared" si="712"/>
        <v>0</v>
      </c>
      <c r="M14850" s="17" t="str">
        <f t="shared" si="713"/>
        <v/>
      </c>
      <c r="N14850" s="11" t="str">
        <f t="shared" si="714"/>
        <v/>
      </c>
    </row>
    <row r="14851" spans="9:14" x14ac:dyDescent="0.25">
      <c r="I14851" s="11" t="b">
        <f t="shared" si="712"/>
        <v>0</v>
      </c>
      <c r="M14851" s="17" t="str">
        <f t="shared" si="713"/>
        <v/>
      </c>
      <c r="N14851" s="11" t="str">
        <f t="shared" si="714"/>
        <v/>
      </c>
    </row>
    <row r="14852" spans="9:14" x14ac:dyDescent="0.25">
      <c r="I14852" s="11" t="b">
        <f t="shared" si="712"/>
        <v>0</v>
      </c>
      <c r="M14852" s="17" t="str">
        <f t="shared" si="713"/>
        <v/>
      </c>
      <c r="N14852" s="11" t="str">
        <f t="shared" si="714"/>
        <v/>
      </c>
    </row>
    <row r="14853" spans="9:14" x14ac:dyDescent="0.25">
      <c r="I14853" s="11" t="b">
        <f t="shared" si="712"/>
        <v>0</v>
      </c>
      <c r="M14853" s="17" t="str">
        <f t="shared" si="713"/>
        <v/>
      </c>
      <c r="N14853" s="11" t="str">
        <f t="shared" si="714"/>
        <v/>
      </c>
    </row>
    <row r="14854" spans="9:14" x14ac:dyDescent="0.25">
      <c r="I14854" s="11" t="b">
        <f t="shared" si="712"/>
        <v>0</v>
      </c>
      <c r="M14854" s="17" t="str">
        <f t="shared" si="713"/>
        <v/>
      </c>
      <c r="N14854" s="11" t="str">
        <f t="shared" si="714"/>
        <v/>
      </c>
    </row>
    <row r="14855" spans="9:14" x14ac:dyDescent="0.25">
      <c r="I14855" s="11" t="b">
        <f t="shared" si="712"/>
        <v>0</v>
      </c>
      <c r="M14855" s="17" t="str">
        <f t="shared" si="713"/>
        <v/>
      </c>
      <c r="N14855" s="11" t="str">
        <f t="shared" si="714"/>
        <v/>
      </c>
    </row>
    <row r="14856" spans="9:14" x14ac:dyDescent="0.25">
      <c r="I14856" s="11" t="b">
        <f t="shared" si="712"/>
        <v>0</v>
      </c>
      <c r="M14856" s="17" t="str">
        <f t="shared" si="713"/>
        <v/>
      </c>
      <c r="N14856" s="11" t="str">
        <f t="shared" si="714"/>
        <v/>
      </c>
    </row>
    <row r="14857" spans="9:14" x14ac:dyDescent="0.25">
      <c r="I14857" s="11" t="b">
        <f t="shared" si="712"/>
        <v>0</v>
      </c>
      <c r="M14857" s="17" t="str">
        <f t="shared" si="713"/>
        <v/>
      </c>
      <c r="N14857" s="11" t="str">
        <f t="shared" si="714"/>
        <v/>
      </c>
    </row>
    <row r="14858" spans="9:14" x14ac:dyDescent="0.25">
      <c r="I14858" s="11" t="b">
        <f t="shared" si="712"/>
        <v>0</v>
      </c>
      <c r="M14858" s="17" t="str">
        <f t="shared" si="713"/>
        <v/>
      </c>
      <c r="N14858" s="11" t="str">
        <f t="shared" si="714"/>
        <v/>
      </c>
    </row>
    <row r="14859" spans="9:14" x14ac:dyDescent="0.25">
      <c r="I14859" s="11" t="b">
        <f t="shared" si="712"/>
        <v>0</v>
      </c>
      <c r="M14859" s="17" t="str">
        <f t="shared" si="713"/>
        <v/>
      </c>
      <c r="N14859" s="11" t="str">
        <f t="shared" si="714"/>
        <v/>
      </c>
    </row>
    <row r="14860" spans="9:14" x14ac:dyDescent="0.25">
      <c r="I14860" s="11" t="b">
        <f t="shared" si="712"/>
        <v>0</v>
      </c>
      <c r="M14860" s="17" t="str">
        <f t="shared" si="713"/>
        <v/>
      </c>
      <c r="N14860" s="11" t="str">
        <f t="shared" si="714"/>
        <v/>
      </c>
    </row>
    <row r="14861" spans="9:14" x14ac:dyDescent="0.25">
      <c r="I14861" s="11" t="b">
        <f t="shared" si="712"/>
        <v>0</v>
      </c>
      <c r="M14861" s="17" t="str">
        <f t="shared" si="713"/>
        <v/>
      </c>
      <c r="N14861" s="11" t="str">
        <f t="shared" si="714"/>
        <v/>
      </c>
    </row>
    <row r="14862" spans="9:14" x14ac:dyDescent="0.25">
      <c r="I14862" s="11" t="b">
        <f t="shared" si="712"/>
        <v>0</v>
      </c>
      <c r="M14862" s="17" t="str">
        <f t="shared" si="713"/>
        <v/>
      </c>
      <c r="N14862" s="11" t="str">
        <f t="shared" si="714"/>
        <v/>
      </c>
    </row>
    <row r="14863" spans="9:14" x14ac:dyDescent="0.25">
      <c r="I14863" s="11" t="b">
        <f t="shared" si="712"/>
        <v>0</v>
      </c>
      <c r="M14863" s="17" t="str">
        <f t="shared" si="713"/>
        <v/>
      </c>
      <c r="N14863" s="11" t="str">
        <f t="shared" si="714"/>
        <v/>
      </c>
    </row>
    <row r="14864" spans="9:14" x14ac:dyDescent="0.25">
      <c r="I14864" s="11" t="b">
        <f t="shared" si="712"/>
        <v>0</v>
      </c>
      <c r="M14864" s="17" t="str">
        <f t="shared" si="713"/>
        <v/>
      </c>
      <c r="N14864" s="11" t="str">
        <f t="shared" si="714"/>
        <v/>
      </c>
    </row>
    <row r="14865" spans="9:14" x14ac:dyDescent="0.25">
      <c r="I14865" s="11" t="b">
        <f t="shared" si="712"/>
        <v>0</v>
      </c>
      <c r="M14865" s="17" t="str">
        <f t="shared" si="713"/>
        <v/>
      </c>
      <c r="N14865" s="11" t="str">
        <f t="shared" si="714"/>
        <v/>
      </c>
    </row>
    <row r="14866" spans="9:14" x14ac:dyDescent="0.25">
      <c r="I14866" s="11" t="b">
        <f t="shared" si="712"/>
        <v>0</v>
      </c>
      <c r="M14866" s="17" t="str">
        <f t="shared" si="713"/>
        <v/>
      </c>
      <c r="N14866" s="11" t="str">
        <f t="shared" si="714"/>
        <v/>
      </c>
    </row>
    <row r="14867" spans="9:14" x14ac:dyDescent="0.25">
      <c r="I14867" s="11" t="b">
        <f t="shared" si="712"/>
        <v>0</v>
      </c>
      <c r="M14867" s="17" t="str">
        <f t="shared" si="713"/>
        <v/>
      </c>
      <c r="N14867" s="11" t="str">
        <f t="shared" si="714"/>
        <v/>
      </c>
    </row>
    <row r="14868" spans="9:14" x14ac:dyDescent="0.25">
      <c r="I14868" s="11" t="b">
        <f t="shared" si="712"/>
        <v>0</v>
      </c>
      <c r="M14868" s="17" t="str">
        <f t="shared" si="713"/>
        <v/>
      </c>
      <c r="N14868" s="11" t="str">
        <f t="shared" si="714"/>
        <v/>
      </c>
    </row>
    <row r="14869" spans="9:14" x14ac:dyDescent="0.25">
      <c r="I14869" s="11" t="b">
        <f t="shared" si="712"/>
        <v>0</v>
      </c>
      <c r="M14869" s="17" t="str">
        <f t="shared" si="713"/>
        <v/>
      </c>
      <c r="N14869" s="11" t="str">
        <f t="shared" si="714"/>
        <v/>
      </c>
    </row>
    <row r="14870" spans="9:14" x14ac:dyDescent="0.25">
      <c r="I14870" s="11" t="b">
        <f t="shared" si="712"/>
        <v>0</v>
      </c>
      <c r="M14870" s="17" t="str">
        <f t="shared" si="713"/>
        <v/>
      </c>
      <c r="N14870" s="11" t="str">
        <f t="shared" si="714"/>
        <v/>
      </c>
    </row>
    <row r="14871" spans="9:14" x14ac:dyDescent="0.25">
      <c r="I14871" s="11" t="b">
        <f t="shared" si="712"/>
        <v>0</v>
      </c>
      <c r="M14871" s="17" t="str">
        <f t="shared" si="713"/>
        <v/>
      </c>
      <c r="N14871" s="11" t="str">
        <f t="shared" si="714"/>
        <v/>
      </c>
    </row>
    <row r="14872" spans="9:14" x14ac:dyDescent="0.25">
      <c r="I14872" s="11" t="b">
        <f t="shared" si="712"/>
        <v>0</v>
      </c>
      <c r="M14872" s="17" t="str">
        <f t="shared" si="713"/>
        <v/>
      </c>
      <c r="N14872" s="11" t="str">
        <f t="shared" si="714"/>
        <v/>
      </c>
    </row>
    <row r="14873" spans="9:14" x14ac:dyDescent="0.25">
      <c r="I14873" s="11" t="b">
        <f t="shared" si="712"/>
        <v>0</v>
      </c>
      <c r="M14873" s="17" t="str">
        <f t="shared" si="713"/>
        <v/>
      </c>
      <c r="N14873" s="11" t="str">
        <f t="shared" si="714"/>
        <v/>
      </c>
    </row>
    <row r="14874" spans="9:14" x14ac:dyDescent="0.25">
      <c r="I14874" s="11" t="b">
        <f t="shared" si="712"/>
        <v>0</v>
      </c>
      <c r="M14874" s="17" t="str">
        <f t="shared" si="713"/>
        <v/>
      </c>
      <c r="N14874" s="11" t="str">
        <f t="shared" si="714"/>
        <v/>
      </c>
    </row>
    <row r="14875" spans="9:14" x14ac:dyDescent="0.25">
      <c r="I14875" s="11" t="b">
        <f t="shared" si="712"/>
        <v>0</v>
      </c>
      <c r="M14875" s="17" t="str">
        <f t="shared" si="713"/>
        <v/>
      </c>
      <c r="N14875" s="11" t="str">
        <f t="shared" si="714"/>
        <v/>
      </c>
    </row>
    <row r="14876" spans="9:14" x14ac:dyDescent="0.25">
      <c r="I14876" s="11" t="b">
        <f t="shared" si="712"/>
        <v>0</v>
      </c>
      <c r="M14876" s="17" t="str">
        <f t="shared" si="713"/>
        <v/>
      </c>
      <c r="N14876" s="11" t="str">
        <f t="shared" si="714"/>
        <v/>
      </c>
    </row>
    <row r="14877" spans="9:14" x14ac:dyDescent="0.25">
      <c r="I14877" s="11" t="b">
        <f t="shared" ref="I14877:I14940" si="715">IF(AND(G14877="MERCADO PAGO",A14877="FATURAMENTO"),1,IF(AND(OR(G14877="MERCADO PAGO",G14877="pix mercado pago",G14877= "débito automático mercado pago", G14877= "boleto mercado pago"),A14877="DESPESAS"),4,IF(AND(G14877="SAFRA",A14877="FATURAMENTO"),2,IF(AND(OR(G14877="SAFRA",G14877="PIX SAFRA", G14877="DÉBITO AUTOMÁTICO SAFRA", G14877= "BOLETO SAFRA", G14877= "transferência safra"), A14877="DESPESAS"),5,IF(AND(G14877="espécie",A14877="FATURAMENTO"),3,IF(AND(G14877="espécie",A14877="DESPESAS"),6))))))</f>
        <v>0</v>
      </c>
      <c r="M14877" s="17" t="str">
        <f t="shared" si="713"/>
        <v/>
      </c>
      <c r="N14877" s="11" t="str">
        <f t="shared" si="714"/>
        <v/>
      </c>
    </row>
    <row r="14878" spans="9:14" x14ac:dyDescent="0.25">
      <c r="I14878" s="11" t="b">
        <f t="shared" si="715"/>
        <v>0</v>
      </c>
      <c r="M14878" s="17" t="str">
        <f t="shared" si="713"/>
        <v/>
      </c>
      <c r="N14878" s="11" t="str">
        <f t="shared" si="714"/>
        <v/>
      </c>
    </row>
    <row r="14879" spans="9:14" x14ac:dyDescent="0.25">
      <c r="I14879" s="11" t="b">
        <f t="shared" si="715"/>
        <v>0</v>
      </c>
      <c r="M14879" s="17" t="str">
        <f t="shared" si="713"/>
        <v/>
      </c>
      <c r="N14879" s="11" t="str">
        <f t="shared" si="714"/>
        <v/>
      </c>
    </row>
    <row r="14880" spans="9:14" x14ac:dyDescent="0.25">
      <c r="I14880" s="11" t="b">
        <f t="shared" si="715"/>
        <v>0</v>
      </c>
      <c r="M14880" s="17" t="str">
        <f t="shared" si="713"/>
        <v/>
      </c>
      <c r="N14880" s="11" t="str">
        <f t="shared" si="714"/>
        <v/>
      </c>
    </row>
    <row r="14881" spans="9:14" x14ac:dyDescent="0.25">
      <c r="I14881" s="11" t="b">
        <f t="shared" si="715"/>
        <v>0</v>
      </c>
      <c r="M14881" s="17" t="str">
        <f t="shared" si="713"/>
        <v/>
      </c>
      <c r="N14881" s="11" t="str">
        <f t="shared" si="714"/>
        <v/>
      </c>
    </row>
    <row r="14882" spans="9:14" x14ac:dyDescent="0.25">
      <c r="I14882" s="11" t="b">
        <f t="shared" si="715"/>
        <v>0</v>
      </c>
      <c r="M14882" s="17" t="str">
        <f t="shared" si="713"/>
        <v/>
      </c>
      <c r="N14882" s="11" t="str">
        <f t="shared" si="714"/>
        <v/>
      </c>
    </row>
    <row r="14883" spans="9:14" x14ac:dyDescent="0.25">
      <c r="I14883" s="11" t="b">
        <f t="shared" si="715"/>
        <v>0</v>
      </c>
      <c r="M14883" s="17" t="str">
        <f t="shared" si="713"/>
        <v/>
      </c>
      <c r="N14883" s="11" t="str">
        <f t="shared" si="714"/>
        <v/>
      </c>
    </row>
    <row r="14884" spans="9:14" x14ac:dyDescent="0.25">
      <c r="I14884" s="11" t="b">
        <f t="shared" si="715"/>
        <v>0</v>
      </c>
      <c r="M14884" s="17" t="str">
        <f t="shared" si="713"/>
        <v/>
      </c>
      <c r="N14884" s="11" t="str">
        <f t="shared" si="714"/>
        <v/>
      </c>
    </row>
    <row r="14885" spans="9:14" x14ac:dyDescent="0.25">
      <c r="I14885" s="11" t="b">
        <f t="shared" si="715"/>
        <v>0</v>
      </c>
      <c r="M14885" s="17" t="str">
        <f t="shared" si="713"/>
        <v/>
      </c>
      <c r="N14885" s="11" t="str">
        <f t="shared" si="714"/>
        <v/>
      </c>
    </row>
    <row r="14886" spans="9:14" x14ac:dyDescent="0.25">
      <c r="I14886" s="11" t="b">
        <f t="shared" si="715"/>
        <v>0</v>
      </c>
      <c r="M14886" s="17" t="str">
        <f t="shared" si="713"/>
        <v/>
      </c>
      <c r="N14886" s="11" t="str">
        <f t="shared" si="714"/>
        <v/>
      </c>
    </row>
    <row r="14887" spans="9:14" x14ac:dyDescent="0.25">
      <c r="I14887" s="11" t="b">
        <f t="shared" si="715"/>
        <v>0</v>
      </c>
      <c r="M14887" s="17" t="str">
        <f t="shared" si="713"/>
        <v/>
      </c>
      <c r="N14887" s="11" t="str">
        <f t="shared" si="714"/>
        <v/>
      </c>
    </row>
    <row r="14888" spans="9:14" x14ac:dyDescent="0.25">
      <c r="I14888" s="11" t="b">
        <f t="shared" si="715"/>
        <v>0</v>
      </c>
      <c r="M14888" s="17" t="str">
        <f t="shared" si="713"/>
        <v/>
      </c>
      <c r="N14888" s="11" t="str">
        <f t="shared" si="714"/>
        <v/>
      </c>
    </row>
    <row r="14889" spans="9:14" x14ac:dyDescent="0.25">
      <c r="I14889" s="11" t="b">
        <f t="shared" si="715"/>
        <v>0</v>
      </c>
      <c r="M14889" s="17" t="str">
        <f t="shared" si="713"/>
        <v/>
      </c>
      <c r="N14889" s="11" t="str">
        <f t="shared" si="714"/>
        <v/>
      </c>
    </row>
    <row r="14890" spans="9:14" x14ac:dyDescent="0.25">
      <c r="I14890" s="11" t="b">
        <f t="shared" si="715"/>
        <v>0</v>
      </c>
      <c r="M14890" s="17" t="str">
        <f t="shared" si="713"/>
        <v/>
      </c>
      <c r="N14890" s="11" t="str">
        <f t="shared" si="714"/>
        <v/>
      </c>
    </row>
    <row r="14891" spans="9:14" x14ac:dyDescent="0.25">
      <c r="I14891" s="11" t="b">
        <f t="shared" si="715"/>
        <v>0</v>
      </c>
      <c r="M14891" s="17" t="str">
        <f t="shared" si="713"/>
        <v/>
      </c>
      <c r="N14891" s="11" t="str">
        <f t="shared" si="714"/>
        <v/>
      </c>
    </row>
    <row r="14892" spans="9:14" x14ac:dyDescent="0.25">
      <c r="I14892" s="11" t="b">
        <f t="shared" si="715"/>
        <v>0</v>
      </c>
      <c r="M14892" s="17" t="str">
        <f t="shared" si="713"/>
        <v/>
      </c>
      <c r="N14892" s="11" t="str">
        <f t="shared" si="714"/>
        <v/>
      </c>
    </row>
    <row r="14893" spans="9:14" x14ac:dyDescent="0.25">
      <c r="I14893" s="11" t="b">
        <f t="shared" si="715"/>
        <v>0</v>
      </c>
      <c r="M14893" s="17" t="str">
        <f t="shared" si="713"/>
        <v/>
      </c>
      <c r="N14893" s="11" t="str">
        <f t="shared" si="714"/>
        <v/>
      </c>
    </row>
    <row r="14894" spans="9:14" x14ac:dyDescent="0.25">
      <c r="I14894" s="11" t="b">
        <f t="shared" si="715"/>
        <v>0</v>
      </c>
      <c r="M14894" s="17" t="str">
        <f t="shared" si="713"/>
        <v/>
      </c>
      <c r="N14894" s="11" t="str">
        <f t="shared" si="714"/>
        <v/>
      </c>
    </row>
    <row r="14895" spans="9:14" x14ac:dyDescent="0.25">
      <c r="I14895" s="11" t="b">
        <f t="shared" si="715"/>
        <v>0</v>
      </c>
      <c r="M14895" s="17" t="str">
        <f t="shared" si="713"/>
        <v/>
      </c>
      <c r="N14895" s="11" t="str">
        <f t="shared" si="714"/>
        <v/>
      </c>
    </row>
    <row r="14896" spans="9:14" x14ac:dyDescent="0.25">
      <c r="I14896" s="11" t="b">
        <f t="shared" si="715"/>
        <v>0</v>
      </c>
      <c r="M14896" s="17" t="str">
        <f t="shared" si="713"/>
        <v/>
      </c>
      <c r="N14896" s="11" t="str">
        <f t="shared" si="714"/>
        <v/>
      </c>
    </row>
    <row r="14897" spans="9:14" x14ac:dyDescent="0.25">
      <c r="I14897" s="11" t="b">
        <f t="shared" si="715"/>
        <v>0</v>
      </c>
      <c r="M14897" s="17" t="str">
        <f t="shared" si="713"/>
        <v/>
      </c>
      <c r="N14897" s="11" t="str">
        <f t="shared" si="714"/>
        <v/>
      </c>
    </row>
    <row r="14898" spans="9:14" x14ac:dyDescent="0.25">
      <c r="I14898" s="11" t="b">
        <f t="shared" si="715"/>
        <v>0</v>
      </c>
      <c r="M14898" s="17" t="str">
        <f t="shared" si="713"/>
        <v/>
      </c>
      <c r="N14898" s="11" t="str">
        <f t="shared" si="714"/>
        <v/>
      </c>
    </row>
    <row r="14899" spans="9:14" x14ac:dyDescent="0.25">
      <c r="I14899" s="11" t="b">
        <f t="shared" si="715"/>
        <v>0</v>
      </c>
      <c r="M14899" s="17" t="str">
        <f t="shared" si="713"/>
        <v/>
      </c>
      <c r="N14899" s="11" t="str">
        <f t="shared" si="714"/>
        <v/>
      </c>
    </row>
    <row r="14900" spans="9:14" x14ac:dyDescent="0.25">
      <c r="I14900" s="11" t="b">
        <f t="shared" si="715"/>
        <v>0</v>
      </c>
      <c r="M14900" s="17" t="str">
        <f t="shared" si="713"/>
        <v/>
      </c>
      <c r="N14900" s="11" t="str">
        <f t="shared" si="714"/>
        <v/>
      </c>
    </row>
    <row r="14901" spans="9:14" x14ac:dyDescent="0.25">
      <c r="I14901" s="11" t="b">
        <f t="shared" si="715"/>
        <v>0</v>
      </c>
      <c r="M14901" s="17" t="str">
        <f t="shared" si="713"/>
        <v/>
      </c>
      <c r="N14901" s="11" t="str">
        <f t="shared" si="714"/>
        <v/>
      </c>
    </row>
    <row r="14902" spans="9:14" x14ac:dyDescent="0.25">
      <c r="I14902" s="11" t="b">
        <f t="shared" si="715"/>
        <v>0</v>
      </c>
      <c r="M14902" s="17" t="str">
        <f t="shared" si="713"/>
        <v/>
      </c>
      <c r="N14902" s="11" t="str">
        <f t="shared" si="714"/>
        <v/>
      </c>
    </row>
    <row r="14903" spans="9:14" x14ac:dyDescent="0.25">
      <c r="I14903" s="11" t="b">
        <f t="shared" si="715"/>
        <v>0</v>
      </c>
      <c r="M14903" s="17" t="str">
        <f t="shared" si="713"/>
        <v/>
      </c>
      <c r="N14903" s="11" t="str">
        <f t="shared" si="714"/>
        <v/>
      </c>
    </row>
    <row r="14904" spans="9:14" x14ac:dyDescent="0.25">
      <c r="I14904" s="11" t="b">
        <f t="shared" si="715"/>
        <v>0</v>
      </c>
      <c r="M14904" s="17" t="str">
        <f t="shared" si="713"/>
        <v/>
      </c>
      <c r="N14904" s="11" t="str">
        <f t="shared" si="714"/>
        <v/>
      </c>
    </row>
    <row r="14905" spans="9:14" x14ac:dyDescent="0.25">
      <c r="I14905" s="11" t="b">
        <f t="shared" si="715"/>
        <v>0</v>
      </c>
      <c r="M14905" s="17" t="str">
        <f t="shared" si="713"/>
        <v/>
      </c>
      <c r="N14905" s="11" t="str">
        <f t="shared" si="714"/>
        <v/>
      </c>
    </row>
    <row r="14906" spans="9:14" x14ac:dyDescent="0.25">
      <c r="I14906" s="11" t="b">
        <f t="shared" si="715"/>
        <v>0</v>
      </c>
      <c r="M14906" s="17" t="str">
        <f t="shared" si="713"/>
        <v/>
      </c>
      <c r="N14906" s="11" t="str">
        <f t="shared" si="714"/>
        <v/>
      </c>
    </row>
    <row r="14907" spans="9:14" x14ac:dyDescent="0.25">
      <c r="I14907" s="11" t="b">
        <f t="shared" si="715"/>
        <v>0</v>
      </c>
      <c r="M14907" s="17" t="str">
        <f t="shared" si="713"/>
        <v/>
      </c>
      <c r="N14907" s="11" t="str">
        <f t="shared" si="714"/>
        <v/>
      </c>
    </row>
    <row r="14908" spans="9:14" x14ac:dyDescent="0.25">
      <c r="I14908" s="11" t="b">
        <f t="shared" si="715"/>
        <v>0</v>
      </c>
      <c r="M14908" s="17" t="str">
        <f t="shared" si="713"/>
        <v/>
      </c>
      <c r="N14908" s="11" t="str">
        <f t="shared" si="714"/>
        <v/>
      </c>
    </row>
    <row r="14909" spans="9:14" x14ac:dyDescent="0.25">
      <c r="I14909" s="11" t="b">
        <f t="shared" si="715"/>
        <v>0</v>
      </c>
      <c r="M14909" s="17" t="str">
        <f t="shared" si="713"/>
        <v/>
      </c>
      <c r="N14909" s="11" t="str">
        <f t="shared" si="714"/>
        <v/>
      </c>
    </row>
    <row r="14910" spans="9:14" x14ac:dyDescent="0.25">
      <c r="I14910" s="11" t="b">
        <f t="shared" si="715"/>
        <v>0</v>
      </c>
      <c r="M14910" s="17" t="str">
        <f t="shared" si="713"/>
        <v/>
      </c>
      <c r="N14910" s="11" t="str">
        <f t="shared" si="714"/>
        <v/>
      </c>
    </row>
    <row r="14911" spans="9:14" x14ac:dyDescent="0.25">
      <c r="I14911" s="11" t="b">
        <f t="shared" si="715"/>
        <v>0</v>
      </c>
      <c r="M14911" s="17" t="str">
        <f t="shared" si="713"/>
        <v/>
      </c>
      <c r="N14911" s="11" t="str">
        <f t="shared" si="714"/>
        <v/>
      </c>
    </row>
    <row r="14912" spans="9:14" x14ac:dyDescent="0.25">
      <c r="I14912" s="11" t="b">
        <f t="shared" si="715"/>
        <v>0</v>
      </c>
      <c r="M14912" s="17" t="str">
        <f t="shared" si="713"/>
        <v/>
      </c>
      <c r="N14912" s="11" t="str">
        <f t="shared" si="714"/>
        <v/>
      </c>
    </row>
    <row r="14913" spans="9:14" x14ac:dyDescent="0.25">
      <c r="I14913" s="11" t="b">
        <f t="shared" si="715"/>
        <v>0</v>
      </c>
      <c r="M14913" s="17" t="str">
        <f t="shared" ref="M14913:M14976" si="716">IF(B14913=0, "",M14912+ J14913-K14913)</f>
        <v/>
      </c>
      <c r="N14913" s="11" t="str">
        <f t="shared" ref="N14913:N14976" si="717">IF(B14913=0, "", MONTH(B14913))</f>
        <v/>
      </c>
    </row>
    <row r="14914" spans="9:14" x14ac:dyDescent="0.25">
      <c r="I14914" s="11" t="b">
        <f t="shared" si="715"/>
        <v>0</v>
      </c>
      <c r="M14914" s="17" t="str">
        <f t="shared" si="716"/>
        <v/>
      </c>
      <c r="N14914" s="11" t="str">
        <f t="shared" si="717"/>
        <v/>
      </c>
    </row>
    <row r="14915" spans="9:14" x14ac:dyDescent="0.25">
      <c r="I14915" s="11" t="b">
        <f t="shared" si="715"/>
        <v>0</v>
      </c>
      <c r="M14915" s="17" t="str">
        <f t="shared" si="716"/>
        <v/>
      </c>
      <c r="N14915" s="11" t="str">
        <f t="shared" si="717"/>
        <v/>
      </c>
    </row>
    <row r="14916" spans="9:14" x14ac:dyDescent="0.25">
      <c r="I14916" s="11" t="b">
        <f t="shared" si="715"/>
        <v>0</v>
      </c>
      <c r="M14916" s="17" t="str">
        <f t="shared" si="716"/>
        <v/>
      </c>
      <c r="N14916" s="11" t="str">
        <f t="shared" si="717"/>
        <v/>
      </c>
    </row>
    <row r="14917" spans="9:14" x14ac:dyDescent="0.25">
      <c r="I14917" s="11" t="b">
        <f t="shared" si="715"/>
        <v>0</v>
      </c>
      <c r="M14917" s="17" t="str">
        <f t="shared" si="716"/>
        <v/>
      </c>
      <c r="N14917" s="11" t="str">
        <f t="shared" si="717"/>
        <v/>
      </c>
    </row>
    <row r="14918" spans="9:14" x14ac:dyDescent="0.25">
      <c r="I14918" s="11" t="b">
        <f t="shared" si="715"/>
        <v>0</v>
      </c>
      <c r="M14918" s="17" t="str">
        <f t="shared" si="716"/>
        <v/>
      </c>
      <c r="N14918" s="11" t="str">
        <f t="shared" si="717"/>
        <v/>
      </c>
    </row>
    <row r="14919" spans="9:14" x14ac:dyDescent="0.25">
      <c r="I14919" s="11" t="b">
        <f t="shared" si="715"/>
        <v>0</v>
      </c>
      <c r="M14919" s="17" t="str">
        <f t="shared" si="716"/>
        <v/>
      </c>
      <c r="N14919" s="11" t="str">
        <f t="shared" si="717"/>
        <v/>
      </c>
    </row>
    <row r="14920" spans="9:14" x14ac:dyDescent="0.25">
      <c r="I14920" s="11" t="b">
        <f t="shared" si="715"/>
        <v>0</v>
      </c>
      <c r="M14920" s="17" t="str">
        <f t="shared" si="716"/>
        <v/>
      </c>
      <c r="N14920" s="11" t="str">
        <f t="shared" si="717"/>
        <v/>
      </c>
    </row>
    <row r="14921" spans="9:14" x14ac:dyDescent="0.25">
      <c r="I14921" s="11" t="b">
        <f t="shared" si="715"/>
        <v>0</v>
      </c>
      <c r="M14921" s="17" t="str">
        <f t="shared" si="716"/>
        <v/>
      </c>
      <c r="N14921" s="11" t="str">
        <f t="shared" si="717"/>
        <v/>
      </c>
    </row>
    <row r="14922" spans="9:14" x14ac:dyDescent="0.25">
      <c r="I14922" s="11" t="b">
        <f t="shared" si="715"/>
        <v>0</v>
      </c>
      <c r="M14922" s="17" t="str">
        <f t="shared" si="716"/>
        <v/>
      </c>
      <c r="N14922" s="11" t="str">
        <f t="shared" si="717"/>
        <v/>
      </c>
    </row>
    <row r="14923" spans="9:14" x14ac:dyDescent="0.25">
      <c r="I14923" s="11" t="b">
        <f t="shared" si="715"/>
        <v>0</v>
      </c>
      <c r="M14923" s="17" t="str">
        <f t="shared" si="716"/>
        <v/>
      </c>
      <c r="N14923" s="11" t="str">
        <f t="shared" si="717"/>
        <v/>
      </c>
    </row>
    <row r="14924" spans="9:14" x14ac:dyDescent="0.25">
      <c r="I14924" s="11" t="b">
        <f t="shared" si="715"/>
        <v>0</v>
      </c>
      <c r="M14924" s="17" t="str">
        <f t="shared" si="716"/>
        <v/>
      </c>
      <c r="N14924" s="11" t="str">
        <f t="shared" si="717"/>
        <v/>
      </c>
    </row>
    <row r="14925" spans="9:14" x14ac:dyDescent="0.25">
      <c r="I14925" s="11" t="b">
        <f t="shared" si="715"/>
        <v>0</v>
      </c>
      <c r="M14925" s="17" t="str">
        <f t="shared" si="716"/>
        <v/>
      </c>
      <c r="N14925" s="11" t="str">
        <f t="shared" si="717"/>
        <v/>
      </c>
    </row>
    <row r="14926" spans="9:14" x14ac:dyDescent="0.25">
      <c r="I14926" s="11" t="b">
        <f t="shared" si="715"/>
        <v>0</v>
      </c>
      <c r="M14926" s="17" t="str">
        <f t="shared" si="716"/>
        <v/>
      </c>
      <c r="N14926" s="11" t="str">
        <f t="shared" si="717"/>
        <v/>
      </c>
    </row>
    <row r="14927" spans="9:14" x14ac:dyDescent="0.25">
      <c r="I14927" s="11" t="b">
        <f t="shared" si="715"/>
        <v>0</v>
      </c>
      <c r="M14927" s="17" t="str">
        <f t="shared" si="716"/>
        <v/>
      </c>
      <c r="N14927" s="11" t="str">
        <f t="shared" si="717"/>
        <v/>
      </c>
    </row>
    <row r="14928" spans="9:14" x14ac:dyDescent="0.25">
      <c r="I14928" s="11" t="b">
        <f t="shared" si="715"/>
        <v>0</v>
      </c>
      <c r="M14928" s="17" t="str">
        <f t="shared" si="716"/>
        <v/>
      </c>
      <c r="N14928" s="11" t="str">
        <f t="shared" si="717"/>
        <v/>
      </c>
    </row>
    <row r="14929" spans="9:14" x14ac:dyDescent="0.25">
      <c r="I14929" s="11" t="b">
        <f t="shared" si="715"/>
        <v>0</v>
      </c>
      <c r="M14929" s="17" t="str">
        <f t="shared" si="716"/>
        <v/>
      </c>
      <c r="N14929" s="11" t="str">
        <f t="shared" si="717"/>
        <v/>
      </c>
    </row>
    <row r="14930" spans="9:14" x14ac:dyDescent="0.25">
      <c r="I14930" s="11" t="b">
        <f t="shared" si="715"/>
        <v>0</v>
      </c>
      <c r="M14930" s="17" t="str">
        <f t="shared" si="716"/>
        <v/>
      </c>
      <c r="N14930" s="11" t="str">
        <f t="shared" si="717"/>
        <v/>
      </c>
    </row>
    <row r="14931" spans="9:14" x14ac:dyDescent="0.25">
      <c r="I14931" s="11" t="b">
        <f t="shared" si="715"/>
        <v>0</v>
      </c>
      <c r="M14931" s="17" t="str">
        <f t="shared" si="716"/>
        <v/>
      </c>
      <c r="N14931" s="11" t="str">
        <f t="shared" si="717"/>
        <v/>
      </c>
    </row>
    <row r="14932" spans="9:14" x14ac:dyDescent="0.25">
      <c r="I14932" s="11" t="b">
        <f t="shared" si="715"/>
        <v>0</v>
      </c>
      <c r="M14932" s="17" t="str">
        <f t="shared" si="716"/>
        <v/>
      </c>
      <c r="N14932" s="11" t="str">
        <f t="shared" si="717"/>
        <v/>
      </c>
    </row>
    <row r="14933" spans="9:14" x14ac:dyDescent="0.25">
      <c r="I14933" s="11" t="b">
        <f t="shared" si="715"/>
        <v>0</v>
      </c>
      <c r="M14933" s="17" t="str">
        <f t="shared" si="716"/>
        <v/>
      </c>
      <c r="N14933" s="11" t="str">
        <f t="shared" si="717"/>
        <v/>
      </c>
    </row>
    <row r="14934" spans="9:14" x14ac:dyDescent="0.25">
      <c r="I14934" s="11" t="b">
        <f t="shared" si="715"/>
        <v>0</v>
      </c>
      <c r="M14934" s="17" t="str">
        <f t="shared" si="716"/>
        <v/>
      </c>
      <c r="N14934" s="11" t="str">
        <f t="shared" si="717"/>
        <v/>
      </c>
    </row>
    <row r="14935" spans="9:14" x14ac:dyDescent="0.25">
      <c r="I14935" s="11" t="b">
        <f t="shared" si="715"/>
        <v>0</v>
      </c>
      <c r="M14935" s="17" t="str">
        <f t="shared" si="716"/>
        <v/>
      </c>
      <c r="N14935" s="11" t="str">
        <f t="shared" si="717"/>
        <v/>
      </c>
    </row>
    <row r="14936" spans="9:14" x14ac:dyDescent="0.25">
      <c r="I14936" s="11" t="b">
        <f t="shared" si="715"/>
        <v>0</v>
      </c>
      <c r="M14936" s="17" t="str">
        <f t="shared" si="716"/>
        <v/>
      </c>
      <c r="N14936" s="11" t="str">
        <f t="shared" si="717"/>
        <v/>
      </c>
    </row>
    <row r="14937" spans="9:14" x14ac:dyDescent="0.25">
      <c r="I14937" s="11" t="b">
        <f t="shared" si="715"/>
        <v>0</v>
      </c>
      <c r="M14937" s="17" t="str">
        <f t="shared" si="716"/>
        <v/>
      </c>
      <c r="N14937" s="11" t="str">
        <f t="shared" si="717"/>
        <v/>
      </c>
    </row>
    <row r="14938" spans="9:14" x14ac:dyDescent="0.25">
      <c r="I14938" s="11" t="b">
        <f t="shared" si="715"/>
        <v>0</v>
      </c>
      <c r="M14938" s="17" t="str">
        <f t="shared" si="716"/>
        <v/>
      </c>
      <c r="N14938" s="11" t="str">
        <f t="shared" si="717"/>
        <v/>
      </c>
    </row>
    <row r="14939" spans="9:14" x14ac:dyDescent="0.25">
      <c r="I14939" s="11" t="b">
        <f t="shared" si="715"/>
        <v>0</v>
      </c>
      <c r="M14939" s="17" t="str">
        <f t="shared" si="716"/>
        <v/>
      </c>
      <c r="N14939" s="11" t="str">
        <f t="shared" si="717"/>
        <v/>
      </c>
    </row>
    <row r="14940" spans="9:14" x14ac:dyDescent="0.25">
      <c r="I14940" s="11" t="b">
        <f t="shared" si="715"/>
        <v>0</v>
      </c>
      <c r="M14940" s="17" t="str">
        <f t="shared" si="716"/>
        <v/>
      </c>
      <c r="N14940" s="11" t="str">
        <f t="shared" si="717"/>
        <v/>
      </c>
    </row>
    <row r="14941" spans="9:14" x14ac:dyDescent="0.25">
      <c r="I14941" s="11" t="b">
        <f t="shared" ref="I14941:I15004" si="718">IF(AND(G14941="MERCADO PAGO",A14941="FATURAMENTO"),1,IF(AND(OR(G14941="MERCADO PAGO",G14941="pix mercado pago",G14941= "débito automático mercado pago", G14941= "boleto mercado pago"),A14941="DESPESAS"),4,IF(AND(G14941="SAFRA",A14941="FATURAMENTO"),2,IF(AND(OR(G14941="SAFRA",G14941="PIX SAFRA", G14941="DÉBITO AUTOMÁTICO SAFRA", G14941= "BOLETO SAFRA", G14941= "transferência safra"), A14941="DESPESAS"),5,IF(AND(G14941="espécie",A14941="FATURAMENTO"),3,IF(AND(G14941="espécie",A14941="DESPESAS"),6))))))</f>
        <v>0</v>
      </c>
      <c r="M14941" s="17" t="str">
        <f t="shared" si="716"/>
        <v/>
      </c>
      <c r="N14941" s="11" t="str">
        <f t="shared" si="717"/>
        <v/>
      </c>
    </row>
    <row r="14942" spans="9:14" x14ac:dyDescent="0.25">
      <c r="I14942" s="11" t="b">
        <f t="shared" si="718"/>
        <v>0</v>
      </c>
      <c r="M14942" s="17" t="str">
        <f t="shared" si="716"/>
        <v/>
      </c>
      <c r="N14942" s="11" t="str">
        <f t="shared" si="717"/>
        <v/>
      </c>
    </row>
    <row r="14943" spans="9:14" x14ac:dyDescent="0.25">
      <c r="I14943" s="11" t="b">
        <f t="shared" si="718"/>
        <v>0</v>
      </c>
      <c r="M14943" s="17" t="str">
        <f t="shared" si="716"/>
        <v/>
      </c>
      <c r="N14943" s="11" t="str">
        <f t="shared" si="717"/>
        <v/>
      </c>
    </row>
    <row r="14944" spans="9:14" x14ac:dyDescent="0.25">
      <c r="I14944" s="11" t="b">
        <f t="shared" si="718"/>
        <v>0</v>
      </c>
      <c r="M14944" s="17" t="str">
        <f t="shared" si="716"/>
        <v/>
      </c>
      <c r="N14944" s="11" t="str">
        <f t="shared" si="717"/>
        <v/>
      </c>
    </row>
    <row r="14945" spans="9:14" x14ac:dyDescent="0.25">
      <c r="I14945" s="11" t="b">
        <f t="shared" si="718"/>
        <v>0</v>
      </c>
      <c r="M14945" s="17" t="str">
        <f t="shared" si="716"/>
        <v/>
      </c>
      <c r="N14945" s="11" t="str">
        <f t="shared" si="717"/>
        <v/>
      </c>
    </row>
    <row r="14946" spans="9:14" x14ac:dyDescent="0.25">
      <c r="I14946" s="11" t="b">
        <f t="shared" si="718"/>
        <v>0</v>
      </c>
      <c r="M14946" s="17" t="str">
        <f t="shared" si="716"/>
        <v/>
      </c>
      <c r="N14946" s="11" t="str">
        <f t="shared" si="717"/>
        <v/>
      </c>
    </row>
    <row r="14947" spans="9:14" x14ac:dyDescent="0.25">
      <c r="I14947" s="11" t="b">
        <f t="shared" si="718"/>
        <v>0</v>
      </c>
      <c r="M14947" s="17" t="str">
        <f t="shared" si="716"/>
        <v/>
      </c>
      <c r="N14947" s="11" t="str">
        <f t="shared" si="717"/>
        <v/>
      </c>
    </row>
    <row r="14948" spans="9:14" x14ac:dyDescent="0.25">
      <c r="I14948" s="11" t="b">
        <f t="shared" si="718"/>
        <v>0</v>
      </c>
      <c r="M14948" s="17" t="str">
        <f t="shared" si="716"/>
        <v/>
      </c>
      <c r="N14948" s="11" t="str">
        <f t="shared" si="717"/>
        <v/>
      </c>
    </row>
    <row r="14949" spans="9:14" x14ac:dyDescent="0.25">
      <c r="I14949" s="11" t="b">
        <f t="shared" si="718"/>
        <v>0</v>
      </c>
      <c r="M14949" s="17" t="str">
        <f t="shared" si="716"/>
        <v/>
      </c>
      <c r="N14949" s="11" t="str">
        <f t="shared" si="717"/>
        <v/>
      </c>
    </row>
    <row r="14950" spans="9:14" x14ac:dyDescent="0.25">
      <c r="I14950" s="11" t="b">
        <f t="shared" si="718"/>
        <v>0</v>
      </c>
      <c r="M14950" s="17" t="str">
        <f t="shared" si="716"/>
        <v/>
      </c>
      <c r="N14950" s="11" t="str">
        <f t="shared" si="717"/>
        <v/>
      </c>
    </row>
    <row r="14951" spans="9:14" x14ac:dyDescent="0.25">
      <c r="I14951" s="11" t="b">
        <f t="shared" si="718"/>
        <v>0</v>
      </c>
      <c r="M14951" s="17" t="str">
        <f t="shared" si="716"/>
        <v/>
      </c>
      <c r="N14951" s="11" t="str">
        <f t="shared" si="717"/>
        <v/>
      </c>
    </row>
    <row r="14952" spans="9:14" x14ac:dyDescent="0.25">
      <c r="I14952" s="11" t="b">
        <f t="shared" si="718"/>
        <v>0</v>
      </c>
      <c r="M14952" s="17" t="str">
        <f t="shared" si="716"/>
        <v/>
      </c>
      <c r="N14952" s="11" t="str">
        <f t="shared" si="717"/>
        <v/>
      </c>
    </row>
    <row r="14953" spans="9:14" x14ac:dyDescent="0.25">
      <c r="I14953" s="11" t="b">
        <f t="shared" si="718"/>
        <v>0</v>
      </c>
      <c r="M14953" s="17" t="str">
        <f t="shared" si="716"/>
        <v/>
      </c>
      <c r="N14953" s="11" t="str">
        <f t="shared" si="717"/>
        <v/>
      </c>
    </row>
    <row r="14954" spans="9:14" x14ac:dyDescent="0.25">
      <c r="I14954" s="11" t="b">
        <f t="shared" si="718"/>
        <v>0</v>
      </c>
      <c r="M14954" s="17" t="str">
        <f t="shared" si="716"/>
        <v/>
      </c>
      <c r="N14954" s="11" t="str">
        <f t="shared" si="717"/>
        <v/>
      </c>
    </row>
    <row r="14955" spans="9:14" x14ac:dyDescent="0.25">
      <c r="I14955" s="11" t="b">
        <f t="shared" si="718"/>
        <v>0</v>
      </c>
      <c r="M14955" s="17" t="str">
        <f t="shared" si="716"/>
        <v/>
      </c>
      <c r="N14955" s="11" t="str">
        <f t="shared" si="717"/>
        <v/>
      </c>
    </row>
    <row r="14956" spans="9:14" x14ac:dyDescent="0.25">
      <c r="I14956" s="11" t="b">
        <f t="shared" si="718"/>
        <v>0</v>
      </c>
      <c r="M14956" s="17" t="str">
        <f t="shared" si="716"/>
        <v/>
      </c>
      <c r="N14956" s="11" t="str">
        <f t="shared" si="717"/>
        <v/>
      </c>
    </row>
    <row r="14957" spans="9:14" x14ac:dyDescent="0.25">
      <c r="I14957" s="11" t="b">
        <f t="shared" si="718"/>
        <v>0</v>
      </c>
      <c r="M14957" s="17" t="str">
        <f t="shared" si="716"/>
        <v/>
      </c>
      <c r="N14957" s="11" t="str">
        <f t="shared" si="717"/>
        <v/>
      </c>
    </row>
    <row r="14958" spans="9:14" x14ac:dyDescent="0.25">
      <c r="I14958" s="11" t="b">
        <f t="shared" si="718"/>
        <v>0</v>
      </c>
      <c r="M14958" s="17" t="str">
        <f t="shared" si="716"/>
        <v/>
      </c>
      <c r="N14958" s="11" t="str">
        <f t="shared" si="717"/>
        <v/>
      </c>
    </row>
    <row r="14959" spans="9:14" x14ac:dyDescent="0.25">
      <c r="I14959" s="11" t="b">
        <f t="shared" si="718"/>
        <v>0</v>
      </c>
      <c r="M14959" s="17" t="str">
        <f t="shared" si="716"/>
        <v/>
      </c>
      <c r="N14959" s="11" t="str">
        <f t="shared" si="717"/>
        <v/>
      </c>
    </row>
    <row r="14960" spans="9:14" x14ac:dyDescent="0.25">
      <c r="I14960" s="11" t="b">
        <f t="shared" si="718"/>
        <v>0</v>
      </c>
      <c r="M14960" s="17" t="str">
        <f t="shared" si="716"/>
        <v/>
      </c>
      <c r="N14960" s="11" t="str">
        <f t="shared" si="717"/>
        <v/>
      </c>
    </row>
    <row r="14961" spans="9:14" x14ac:dyDescent="0.25">
      <c r="I14961" s="11" t="b">
        <f t="shared" si="718"/>
        <v>0</v>
      </c>
      <c r="M14961" s="17" t="str">
        <f t="shared" si="716"/>
        <v/>
      </c>
      <c r="N14961" s="11" t="str">
        <f t="shared" si="717"/>
        <v/>
      </c>
    </row>
    <row r="14962" spans="9:14" x14ac:dyDescent="0.25">
      <c r="I14962" s="11" t="b">
        <f t="shared" si="718"/>
        <v>0</v>
      </c>
      <c r="M14962" s="17" t="str">
        <f t="shared" si="716"/>
        <v/>
      </c>
      <c r="N14962" s="11" t="str">
        <f t="shared" si="717"/>
        <v/>
      </c>
    </row>
    <row r="14963" spans="9:14" x14ac:dyDescent="0.25">
      <c r="I14963" s="11" t="b">
        <f t="shared" si="718"/>
        <v>0</v>
      </c>
      <c r="M14963" s="17" t="str">
        <f t="shared" si="716"/>
        <v/>
      </c>
      <c r="N14963" s="11" t="str">
        <f t="shared" si="717"/>
        <v/>
      </c>
    </row>
    <row r="14964" spans="9:14" x14ac:dyDescent="0.25">
      <c r="I14964" s="11" t="b">
        <f t="shared" si="718"/>
        <v>0</v>
      </c>
      <c r="M14964" s="17" t="str">
        <f t="shared" si="716"/>
        <v/>
      </c>
      <c r="N14964" s="11" t="str">
        <f t="shared" si="717"/>
        <v/>
      </c>
    </row>
    <row r="14965" spans="9:14" x14ac:dyDescent="0.25">
      <c r="I14965" s="11" t="b">
        <f t="shared" si="718"/>
        <v>0</v>
      </c>
      <c r="M14965" s="17" t="str">
        <f t="shared" si="716"/>
        <v/>
      </c>
      <c r="N14965" s="11" t="str">
        <f t="shared" si="717"/>
        <v/>
      </c>
    </row>
    <row r="14966" spans="9:14" x14ac:dyDescent="0.25">
      <c r="I14966" s="11" t="b">
        <f t="shared" si="718"/>
        <v>0</v>
      </c>
      <c r="M14966" s="17" t="str">
        <f t="shared" si="716"/>
        <v/>
      </c>
      <c r="N14966" s="11" t="str">
        <f t="shared" si="717"/>
        <v/>
      </c>
    </row>
    <row r="14967" spans="9:14" x14ac:dyDescent="0.25">
      <c r="I14967" s="11" t="b">
        <f t="shared" si="718"/>
        <v>0</v>
      </c>
      <c r="M14967" s="17" t="str">
        <f t="shared" si="716"/>
        <v/>
      </c>
      <c r="N14967" s="11" t="str">
        <f t="shared" si="717"/>
        <v/>
      </c>
    </row>
    <row r="14968" spans="9:14" x14ac:dyDescent="0.25">
      <c r="I14968" s="11" t="b">
        <f t="shared" si="718"/>
        <v>0</v>
      </c>
      <c r="M14968" s="17" t="str">
        <f t="shared" si="716"/>
        <v/>
      </c>
      <c r="N14968" s="11" t="str">
        <f t="shared" si="717"/>
        <v/>
      </c>
    </row>
    <row r="14969" spans="9:14" x14ac:dyDescent="0.25">
      <c r="I14969" s="11" t="b">
        <f t="shared" si="718"/>
        <v>0</v>
      </c>
      <c r="M14969" s="17" t="str">
        <f t="shared" si="716"/>
        <v/>
      </c>
      <c r="N14969" s="11" t="str">
        <f t="shared" si="717"/>
        <v/>
      </c>
    </row>
    <row r="14970" spans="9:14" x14ac:dyDescent="0.25">
      <c r="I14970" s="11" t="b">
        <f t="shared" si="718"/>
        <v>0</v>
      </c>
      <c r="M14970" s="17" t="str">
        <f t="shared" si="716"/>
        <v/>
      </c>
      <c r="N14970" s="11" t="str">
        <f t="shared" si="717"/>
        <v/>
      </c>
    </row>
    <row r="14971" spans="9:14" x14ac:dyDescent="0.25">
      <c r="I14971" s="11" t="b">
        <f t="shared" si="718"/>
        <v>0</v>
      </c>
      <c r="M14971" s="17" t="str">
        <f t="shared" si="716"/>
        <v/>
      </c>
      <c r="N14971" s="11" t="str">
        <f t="shared" si="717"/>
        <v/>
      </c>
    </row>
    <row r="14972" spans="9:14" x14ac:dyDescent="0.25">
      <c r="I14972" s="11" t="b">
        <f t="shared" si="718"/>
        <v>0</v>
      </c>
      <c r="M14972" s="17" t="str">
        <f t="shared" si="716"/>
        <v/>
      </c>
      <c r="N14972" s="11" t="str">
        <f t="shared" si="717"/>
        <v/>
      </c>
    </row>
    <row r="14973" spans="9:14" x14ac:dyDescent="0.25">
      <c r="I14973" s="11" t="b">
        <f t="shared" si="718"/>
        <v>0</v>
      </c>
      <c r="M14973" s="17" t="str">
        <f t="shared" si="716"/>
        <v/>
      </c>
      <c r="N14973" s="11" t="str">
        <f t="shared" si="717"/>
        <v/>
      </c>
    </row>
    <row r="14974" spans="9:14" x14ac:dyDescent="0.25">
      <c r="I14974" s="11" t="b">
        <f t="shared" si="718"/>
        <v>0</v>
      </c>
      <c r="M14974" s="17" t="str">
        <f t="shared" si="716"/>
        <v/>
      </c>
      <c r="N14974" s="11" t="str">
        <f t="shared" si="717"/>
        <v/>
      </c>
    </row>
    <row r="14975" spans="9:14" x14ac:dyDescent="0.25">
      <c r="I14975" s="11" t="b">
        <f t="shared" si="718"/>
        <v>0</v>
      </c>
      <c r="M14975" s="17" t="str">
        <f t="shared" si="716"/>
        <v/>
      </c>
      <c r="N14975" s="11" t="str">
        <f t="shared" si="717"/>
        <v/>
      </c>
    </row>
    <row r="14976" spans="9:14" x14ac:dyDescent="0.25">
      <c r="I14976" s="11" t="b">
        <f t="shared" si="718"/>
        <v>0</v>
      </c>
      <c r="M14976" s="17" t="str">
        <f t="shared" si="716"/>
        <v/>
      </c>
      <c r="N14976" s="11" t="str">
        <f t="shared" si="717"/>
        <v/>
      </c>
    </row>
    <row r="14977" spans="9:14" x14ac:dyDescent="0.25">
      <c r="I14977" s="11" t="b">
        <f t="shared" si="718"/>
        <v>0</v>
      </c>
      <c r="M14977" s="17" t="str">
        <f t="shared" ref="M14977:M15040" si="719">IF(B14977=0, "",M14976+ J14977-K14977)</f>
        <v/>
      </c>
      <c r="N14977" s="11" t="str">
        <f t="shared" ref="N14977:N15040" si="720">IF(B14977=0, "", MONTH(B14977))</f>
        <v/>
      </c>
    </row>
    <row r="14978" spans="9:14" x14ac:dyDescent="0.25">
      <c r="I14978" s="11" t="b">
        <f t="shared" si="718"/>
        <v>0</v>
      </c>
      <c r="M14978" s="17" t="str">
        <f t="shared" si="719"/>
        <v/>
      </c>
      <c r="N14978" s="11" t="str">
        <f t="shared" si="720"/>
        <v/>
      </c>
    </row>
    <row r="14979" spans="9:14" x14ac:dyDescent="0.25">
      <c r="I14979" s="11" t="b">
        <f t="shared" si="718"/>
        <v>0</v>
      </c>
      <c r="M14979" s="17" t="str">
        <f t="shared" si="719"/>
        <v/>
      </c>
      <c r="N14979" s="11" t="str">
        <f t="shared" si="720"/>
        <v/>
      </c>
    </row>
    <row r="14980" spans="9:14" x14ac:dyDescent="0.25">
      <c r="I14980" s="11" t="b">
        <f t="shared" si="718"/>
        <v>0</v>
      </c>
      <c r="M14980" s="17" t="str">
        <f t="shared" si="719"/>
        <v/>
      </c>
      <c r="N14980" s="11" t="str">
        <f t="shared" si="720"/>
        <v/>
      </c>
    </row>
    <row r="14981" spans="9:14" x14ac:dyDescent="0.25">
      <c r="I14981" s="11" t="b">
        <f t="shared" si="718"/>
        <v>0</v>
      </c>
      <c r="M14981" s="17" t="str">
        <f t="shared" si="719"/>
        <v/>
      </c>
      <c r="N14981" s="11" t="str">
        <f t="shared" si="720"/>
        <v/>
      </c>
    </row>
    <row r="14982" spans="9:14" x14ac:dyDescent="0.25">
      <c r="I14982" s="11" t="b">
        <f t="shared" si="718"/>
        <v>0</v>
      </c>
      <c r="M14982" s="17" t="str">
        <f t="shared" si="719"/>
        <v/>
      </c>
      <c r="N14982" s="11" t="str">
        <f t="shared" si="720"/>
        <v/>
      </c>
    </row>
    <row r="14983" spans="9:14" x14ac:dyDescent="0.25">
      <c r="I14983" s="11" t="b">
        <f t="shared" si="718"/>
        <v>0</v>
      </c>
      <c r="M14983" s="17" t="str">
        <f t="shared" si="719"/>
        <v/>
      </c>
      <c r="N14983" s="11" t="str">
        <f t="shared" si="720"/>
        <v/>
      </c>
    </row>
    <row r="14984" spans="9:14" x14ac:dyDescent="0.25">
      <c r="I14984" s="11" t="b">
        <f t="shared" si="718"/>
        <v>0</v>
      </c>
      <c r="M14984" s="17" t="str">
        <f t="shared" si="719"/>
        <v/>
      </c>
      <c r="N14984" s="11" t="str">
        <f t="shared" si="720"/>
        <v/>
      </c>
    </row>
    <row r="14985" spans="9:14" x14ac:dyDescent="0.25">
      <c r="I14985" s="11" t="b">
        <f t="shared" si="718"/>
        <v>0</v>
      </c>
      <c r="M14985" s="17" t="str">
        <f t="shared" si="719"/>
        <v/>
      </c>
      <c r="N14985" s="11" t="str">
        <f t="shared" si="720"/>
        <v/>
      </c>
    </row>
    <row r="14986" spans="9:14" x14ac:dyDescent="0.25">
      <c r="I14986" s="11" t="b">
        <f t="shared" si="718"/>
        <v>0</v>
      </c>
      <c r="M14986" s="17" t="str">
        <f t="shared" si="719"/>
        <v/>
      </c>
      <c r="N14986" s="11" t="str">
        <f t="shared" si="720"/>
        <v/>
      </c>
    </row>
    <row r="14987" spans="9:14" x14ac:dyDescent="0.25">
      <c r="I14987" s="11" t="b">
        <f t="shared" si="718"/>
        <v>0</v>
      </c>
      <c r="M14987" s="17" t="str">
        <f t="shared" si="719"/>
        <v/>
      </c>
      <c r="N14987" s="11" t="str">
        <f t="shared" si="720"/>
        <v/>
      </c>
    </row>
    <row r="14988" spans="9:14" x14ac:dyDescent="0.25">
      <c r="I14988" s="11" t="b">
        <f t="shared" si="718"/>
        <v>0</v>
      </c>
      <c r="M14988" s="17" t="str">
        <f t="shared" si="719"/>
        <v/>
      </c>
      <c r="N14988" s="11" t="str">
        <f t="shared" si="720"/>
        <v/>
      </c>
    </row>
    <row r="14989" spans="9:14" x14ac:dyDescent="0.25">
      <c r="I14989" s="11" t="b">
        <f t="shared" si="718"/>
        <v>0</v>
      </c>
      <c r="M14989" s="17" t="str">
        <f t="shared" si="719"/>
        <v/>
      </c>
      <c r="N14989" s="11" t="str">
        <f t="shared" si="720"/>
        <v/>
      </c>
    </row>
    <row r="14990" spans="9:14" x14ac:dyDescent="0.25">
      <c r="I14990" s="11" t="b">
        <f t="shared" si="718"/>
        <v>0</v>
      </c>
      <c r="M14990" s="17" t="str">
        <f t="shared" si="719"/>
        <v/>
      </c>
      <c r="N14990" s="11" t="str">
        <f t="shared" si="720"/>
        <v/>
      </c>
    </row>
    <row r="14991" spans="9:14" x14ac:dyDescent="0.25">
      <c r="I14991" s="11" t="b">
        <f t="shared" si="718"/>
        <v>0</v>
      </c>
      <c r="M14991" s="17" t="str">
        <f t="shared" si="719"/>
        <v/>
      </c>
      <c r="N14991" s="11" t="str">
        <f t="shared" si="720"/>
        <v/>
      </c>
    </row>
    <row r="14992" spans="9:14" x14ac:dyDescent="0.25">
      <c r="I14992" s="11" t="b">
        <f t="shared" si="718"/>
        <v>0</v>
      </c>
      <c r="M14992" s="17" t="str">
        <f t="shared" si="719"/>
        <v/>
      </c>
      <c r="N14992" s="11" t="str">
        <f t="shared" si="720"/>
        <v/>
      </c>
    </row>
    <row r="14993" spans="9:14" x14ac:dyDescent="0.25">
      <c r="I14993" s="11" t="b">
        <f t="shared" si="718"/>
        <v>0</v>
      </c>
      <c r="M14993" s="17" t="str">
        <f t="shared" si="719"/>
        <v/>
      </c>
      <c r="N14993" s="11" t="str">
        <f t="shared" si="720"/>
        <v/>
      </c>
    </row>
    <row r="14994" spans="9:14" x14ac:dyDescent="0.25">
      <c r="I14994" s="11" t="b">
        <f t="shared" si="718"/>
        <v>0</v>
      </c>
      <c r="M14994" s="17" t="str">
        <f t="shared" si="719"/>
        <v/>
      </c>
      <c r="N14994" s="11" t="str">
        <f t="shared" si="720"/>
        <v/>
      </c>
    </row>
    <row r="14995" spans="9:14" x14ac:dyDescent="0.25">
      <c r="I14995" s="11" t="b">
        <f t="shared" si="718"/>
        <v>0</v>
      </c>
      <c r="M14995" s="17" t="str">
        <f t="shared" si="719"/>
        <v/>
      </c>
      <c r="N14995" s="11" t="str">
        <f t="shared" si="720"/>
        <v/>
      </c>
    </row>
    <row r="14996" spans="9:14" x14ac:dyDescent="0.25">
      <c r="I14996" s="11" t="b">
        <f t="shared" si="718"/>
        <v>0</v>
      </c>
      <c r="M14996" s="17" t="str">
        <f t="shared" si="719"/>
        <v/>
      </c>
      <c r="N14996" s="11" t="str">
        <f t="shared" si="720"/>
        <v/>
      </c>
    </row>
    <row r="14997" spans="9:14" x14ac:dyDescent="0.25">
      <c r="I14997" s="11" t="b">
        <f t="shared" si="718"/>
        <v>0</v>
      </c>
      <c r="M14997" s="17" t="str">
        <f t="shared" si="719"/>
        <v/>
      </c>
      <c r="N14997" s="11" t="str">
        <f t="shared" si="720"/>
        <v/>
      </c>
    </row>
    <row r="14998" spans="9:14" x14ac:dyDescent="0.25">
      <c r="I14998" s="11" t="b">
        <f t="shared" si="718"/>
        <v>0</v>
      </c>
      <c r="M14998" s="17" t="str">
        <f t="shared" si="719"/>
        <v/>
      </c>
      <c r="N14998" s="11" t="str">
        <f t="shared" si="720"/>
        <v/>
      </c>
    </row>
    <row r="14999" spans="9:14" x14ac:dyDescent="0.25">
      <c r="I14999" s="11" t="b">
        <f t="shared" si="718"/>
        <v>0</v>
      </c>
      <c r="M14999" s="17" t="str">
        <f t="shared" si="719"/>
        <v/>
      </c>
      <c r="N14999" s="11" t="str">
        <f t="shared" si="720"/>
        <v/>
      </c>
    </row>
    <row r="15000" spans="9:14" x14ac:dyDescent="0.25">
      <c r="I15000" s="11" t="b">
        <f t="shared" si="718"/>
        <v>0</v>
      </c>
      <c r="M15000" s="17" t="str">
        <f t="shared" si="719"/>
        <v/>
      </c>
      <c r="N15000" s="11" t="str">
        <f t="shared" si="720"/>
        <v/>
      </c>
    </row>
    <row r="15001" spans="9:14" x14ac:dyDescent="0.25">
      <c r="I15001" s="11" t="b">
        <f t="shared" si="718"/>
        <v>0</v>
      </c>
      <c r="M15001" s="17" t="str">
        <f t="shared" si="719"/>
        <v/>
      </c>
      <c r="N15001" s="11" t="str">
        <f t="shared" si="720"/>
        <v/>
      </c>
    </row>
    <row r="15002" spans="9:14" x14ac:dyDescent="0.25">
      <c r="I15002" s="11" t="b">
        <f t="shared" si="718"/>
        <v>0</v>
      </c>
      <c r="M15002" s="17" t="str">
        <f t="shared" si="719"/>
        <v/>
      </c>
      <c r="N15002" s="11" t="str">
        <f t="shared" si="720"/>
        <v/>
      </c>
    </row>
    <row r="15003" spans="9:14" x14ac:dyDescent="0.25">
      <c r="I15003" s="11" t="b">
        <f t="shared" si="718"/>
        <v>0</v>
      </c>
      <c r="M15003" s="17" t="str">
        <f t="shared" si="719"/>
        <v/>
      </c>
      <c r="N15003" s="11" t="str">
        <f t="shared" si="720"/>
        <v/>
      </c>
    </row>
    <row r="15004" spans="9:14" x14ac:dyDescent="0.25">
      <c r="I15004" s="11" t="b">
        <f t="shared" si="718"/>
        <v>0</v>
      </c>
      <c r="M15004" s="17" t="str">
        <f t="shared" si="719"/>
        <v/>
      </c>
      <c r="N15004" s="11" t="str">
        <f t="shared" si="720"/>
        <v/>
      </c>
    </row>
    <row r="15005" spans="9:14" x14ac:dyDescent="0.25">
      <c r="I15005" s="11" t="b">
        <f t="shared" ref="I15005:I15068" si="721">IF(AND(G15005="MERCADO PAGO",A15005="FATURAMENTO"),1,IF(AND(OR(G15005="MERCADO PAGO",G15005="pix mercado pago",G15005= "débito automático mercado pago", G15005= "boleto mercado pago"),A15005="DESPESAS"),4,IF(AND(G15005="SAFRA",A15005="FATURAMENTO"),2,IF(AND(OR(G15005="SAFRA",G15005="PIX SAFRA", G15005="DÉBITO AUTOMÁTICO SAFRA", G15005= "BOLETO SAFRA", G15005= "transferência safra"), A15005="DESPESAS"),5,IF(AND(G15005="espécie",A15005="FATURAMENTO"),3,IF(AND(G15005="espécie",A15005="DESPESAS"),6))))))</f>
        <v>0</v>
      </c>
      <c r="M15005" s="17" t="str">
        <f t="shared" si="719"/>
        <v/>
      </c>
      <c r="N15005" s="11" t="str">
        <f t="shared" si="720"/>
        <v/>
      </c>
    </row>
    <row r="15006" spans="9:14" x14ac:dyDescent="0.25">
      <c r="I15006" s="11" t="b">
        <f t="shared" si="721"/>
        <v>0</v>
      </c>
      <c r="M15006" s="17" t="str">
        <f t="shared" si="719"/>
        <v/>
      </c>
      <c r="N15006" s="11" t="str">
        <f t="shared" si="720"/>
        <v/>
      </c>
    </row>
    <row r="15007" spans="9:14" x14ac:dyDescent="0.25">
      <c r="I15007" s="11" t="b">
        <f t="shared" si="721"/>
        <v>0</v>
      </c>
      <c r="M15007" s="17" t="str">
        <f t="shared" si="719"/>
        <v/>
      </c>
      <c r="N15007" s="11" t="str">
        <f t="shared" si="720"/>
        <v/>
      </c>
    </row>
    <row r="15008" spans="9:14" x14ac:dyDescent="0.25">
      <c r="I15008" s="11" t="b">
        <f t="shared" si="721"/>
        <v>0</v>
      </c>
      <c r="M15008" s="17" t="str">
        <f t="shared" si="719"/>
        <v/>
      </c>
      <c r="N15008" s="11" t="str">
        <f t="shared" si="720"/>
        <v/>
      </c>
    </row>
    <row r="15009" spans="9:14" x14ac:dyDescent="0.25">
      <c r="I15009" s="11" t="b">
        <f t="shared" si="721"/>
        <v>0</v>
      </c>
      <c r="M15009" s="17" t="str">
        <f t="shared" si="719"/>
        <v/>
      </c>
      <c r="N15009" s="11" t="str">
        <f t="shared" si="720"/>
        <v/>
      </c>
    </row>
    <row r="15010" spans="9:14" x14ac:dyDescent="0.25">
      <c r="I15010" s="11" t="b">
        <f t="shared" si="721"/>
        <v>0</v>
      </c>
      <c r="M15010" s="17" t="str">
        <f t="shared" si="719"/>
        <v/>
      </c>
      <c r="N15010" s="11" t="str">
        <f t="shared" si="720"/>
        <v/>
      </c>
    </row>
    <row r="15011" spans="9:14" x14ac:dyDescent="0.25">
      <c r="I15011" s="11" t="b">
        <f t="shared" si="721"/>
        <v>0</v>
      </c>
      <c r="M15011" s="17" t="str">
        <f t="shared" si="719"/>
        <v/>
      </c>
      <c r="N15011" s="11" t="str">
        <f t="shared" si="720"/>
        <v/>
      </c>
    </row>
    <row r="15012" spans="9:14" x14ac:dyDescent="0.25">
      <c r="I15012" s="11" t="b">
        <f t="shared" si="721"/>
        <v>0</v>
      </c>
      <c r="M15012" s="17" t="str">
        <f t="shared" si="719"/>
        <v/>
      </c>
      <c r="N15012" s="11" t="str">
        <f t="shared" si="720"/>
        <v/>
      </c>
    </row>
    <row r="15013" spans="9:14" x14ac:dyDescent="0.25">
      <c r="I15013" s="11" t="b">
        <f t="shared" si="721"/>
        <v>0</v>
      </c>
      <c r="M15013" s="17" t="str">
        <f t="shared" si="719"/>
        <v/>
      </c>
      <c r="N15013" s="11" t="str">
        <f t="shared" si="720"/>
        <v/>
      </c>
    </row>
    <row r="15014" spans="9:14" x14ac:dyDescent="0.25">
      <c r="I15014" s="11" t="b">
        <f t="shared" si="721"/>
        <v>0</v>
      </c>
      <c r="M15014" s="17" t="str">
        <f t="shared" si="719"/>
        <v/>
      </c>
      <c r="N15014" s="11" t="str">
        <f t="shared" si="720"/>
        <v/>
      </c>
    </row>
    <row r="15015" spans="9:14" x14ac:dyDescent="0.25">
      <c r="I15015" s="11" t="b">
        <f t="shared" si="721"/>
        <v>0</v>
      </c>
      <c r="M15015" s="17" t="str">
        <f t="shared" si="719"/>
        <v/>
      </c>
      <c r="N15015" s="11" t="str">
        <f t="shared" si="720"/>
        <v/>
      </c>
    </row>
    <row r="15016" spans="9:14" x14ac:dyDescent="0.25">
      <c r="I15016" s="11" t="b">
        <f t="shared" si="721"/>
        <v>0</v>
      </c>
      <c r="M15016" s="17" t="str">
        <f t="shared" si="719"/>
        <v/>
      </c>
      <c r="N15016" s="11" t="str">
        <f t="shared" si="720"/>
        <v/>
      </c>
    </row>
    <row r="15017" spans="9:14" x14ac:dyDescent="0.25">
      <c r="I15017" s="11" t="b">
        <f t="shared" si="721"/>
        <v>0</v>
      </c>
      <c r="M15017" s="17" t="str">
        <f t="shared" si="719"/>
        <v/>
      </c>
      <c r="N15017" s="11" t="str">
        <f t="shared" si="720"/>
        <v/>
      </c>
    </row>
    <row r="15018" spans="9:14" x14ac:dyDescent="0.25">
      <c r="I15018" s="11" t="b">
        <f t="shared" si="721"/>
        <v>0</v>
      </c>
      <c r="M15018" s="17" t="str">
        <f t="shared" si="719"/>
        <v/>
      </c>
      <c r="N15018" s="11" t="str">
        <f t="shared" si="720"/>
        <v/>
      </c>
    </row>
    <row r="15019" spans="9:14" x14ac:dyDescent="0.25">
      <c r="I15019" s="11" t="b">
        <f t="shared" si="721"/>
        <v>0</v>
      </c>
      <c r="M15019" s="17" t="str">
        <f t="shared" si="719"/>
        <v/>
      </c>
      <c r="N15019" s="11" t="str">
        <f t="shared" si="720"/>
        <v/>
      </c>
    </row>
    <row r="15020" spans="9:14" x14ac:dyDescent="0.25">
      <c r="I15020" s="11" t="b">
        <f t="shared" si="721"/>
        <v>0</v>
      </c>
      <c r="M15020" s="17" t="str">
        <f t="shared" si="719"/>
        <v/>
      </c>
      <c r="N15020" s="11" t="str">
        <f t="shared" si="720"/>
        <v/>
      </c>
    </row>
    <row r="15021" spans="9:14" x14ac:dyDescent="0.25">
      <c r="I15021" s="11" t="b">
        <f t="shared" si="721"/>
        <v>0</v>
      </c>
      <c r="M15021" s="17" t="str">
        <f t="shared" si="719"/>
        <v/>
      </c>
      <c r="N15021" s="11" t="str">
        <f t="shared" si="720"/>
        <v/>
      </c>
    </row>
    <row r="15022" spans="9:14" x14ac:dyDescent="0.25">
      <c r="I15022" s="11" t="b">
        <f t="shared" si="721"/>
        <v>0</v>
      </c>
      <c r="M15022" s="17" t="str">
        <f t="shared" si="719"/>
        <v/>
      </c>
      <c r="N15022" s="11" t="str">
        <f t="shared" si="720"/>
        <v/>
      </c>
    </row>
    <row r="15023" spans="9:14" x14ac:dyDescent="0.25">
      <c r="I15023" s="11" t="b">
        <f t="shared" si="721"/>
        <v>0</v>
      </c>
      <c r="M15023" s="17" t="str">
        <f t="shared" si="719"/>
        <v/>
      </c>
      <c r="N15023" s="11" t="str">
        <f t="shared" si="720"/>
        <v/>
      </c>
    </row>
    <row r="15024" spans="9:14" x14ac:dyDescent="0.25">
      <c r="I15024" s="11" t="b">
        <f t="shared" si="721"/>
        <v>0</v>
      </c>
      <c r="M15024" s="17" t="str">
        <f t="shared" si="719"/>
        <v/>
      </c>
      <c r="N15024" s="11" t="str">
        <f t="shared" si="720"/>
        <v/>
      </c>
    </row>
    <row r="15025" spans="9:14" x14ac:dyDescent="0.25">
      <c r="I15025" s="11" t="b">
        <f t="shared" si="721"/>
        <v>0</v>
      </c>
      <c r="M15025" s="17" t="str">
        <f t="shared" si="719"/>
        <v/>
      </c>
      <c r="N15025" s="11" t="str">
        <f t="shared" si="720"/>
        <v/>
      </c>
    </row>
    <row r="15026" spans="9:14" x14ac:dyDescent="0.25">
      <c r="I15026" s="11" t="b">
        <f t="shared" si="721"/>
        <v>0</v>
      </c>
      <c r="M15026" s="17" t="str">
        <f t="shared" si="719"/>
        <v/>
      </c>
      <c r="N15026" s="11" t="str">
        <f t="shared" si="720"/>
        <v/>
      </c>
    </row>
    <row r="15027" spans="9:14" x14ac:dyDescent="0.25">
      <c r="I15027" s="11" t="b">
        <f t="shared" si="721"/>
        <v>0</v>
      </c>
      <c r="M15027" s="17" t="str">
        <f t="shared" si="719"/>
        <v/>
      </c>
      <c r="N15027" s="11" t="str">
        <f t="shared" si="720"/>
        <v/>
      </c>
    </row>
    <row r="15028" spans="9:14" x14ac:dyDescent="0.25">
      <c r="I15028" s="11" t="b">
        <f t="shared" si="721"/>
        <v>0</v>
      </c>
      <c r="M15028" s="17" t="str">
        <f t="shared" si="719"/>
        <v/>
      </c>
      <c r="N15028" s="11" t="str">
        <f t="shared" si="720"/>
        <v/>
      </c>
    </row>
    <row r="15029" spans="9:14" x14ac:dyDescent="0.25">
      <c r="I15029" s="11" t="b">
        <f t="shared" si="721"/>
        <v>0</v>
      </c>
      <c r="M15029" s="17" t="str">
        <f t="shared" si="719"/>
        <v/>
      </c>
      <c r="N15029" s="11" t="str">
        <f t="shared" si="720"/>
        <v/>
      </c>
    </row>
    <row r="15030" spans="9:14" x14ac:dyDescent="0.25">
      <c r="I15030" s="11" t="b">
        <f t="shared" si="721"/>
        <v>0</v>
      </c>
      <c r="M15030" s="17" t="str">
        <f t="shared" si="719"/>
        <v/>
      </c>
      <c r="N15030" s="11" t="str">
        <f t="shared" si="720"/>
        <v/>
      </c>
    </row>
    <row r="15031" spans="9:14" x14ac:dyDescent="0.25">
      <c r="I15031" s="11" t="b">
        <f t="shared" si="721"/>
        <v>0</v>
      </c>
      <c r="M15031" s="17" t="str">
        <f t="shared" si="719"/>
        <v/>
      </c>
      <c r="N15031" s="11" t="str">
        <f t="shared" si="720"/>
        <v/>
      </c>
    </row>
    <row r="15032" spans="9:14" x14ac:dyDescent="0.25">
      <c r="I15032" s="11" t="b">
        <f t="shared" si="721"/>
        <v>0</v>
      </c>
      <c r="M15032" s="17" t="str">
        <f t="shared" si="719"/>
        <v/>
      </c>
      <c r="N15032" s="11" t="str">
        <f t="shared" si="720"/>
        <v/>
      </c>
    </row>
    <row r="15033" spans="9:14" x14ac:dyDescent="0.25">
      <c r="I15033" s="11" t="b">
        <f t="shared" si="721"/>
        <v>0</v>
      </c>
      <c r="M15033" s="17" t="str">
        <f t="shared" si="719"/>
        <v/>
      </c>
      <c r="N15033" s="11" t="str">
        <f t="shared" si="720"/>
        <v/>
      </c>
    </row>
    <row r="15034" spans="9:14" x14ac:dyDescent="0.25">
      <c r="I15034" s="11" t="b">
        <f t="shared" si="721"/>
        <v>0</v>
      </c>
      <c r="M15034" s="17" t="str">
        <f t="shared" si="719"/>
        <v/>
      </c>
      <c r="N15034" s="11" t="str">
        <f t="shared" si="720"/>
        <v/>
      </c>
    </row>
    <row r="15035" spans="9:14" x14ac:dyDescent="0.25">
      <c r="I15035" s="11" t="b">
        <f t="shared" si="721"/>
        <v>0</v>
      </c>
      <c r="M15035" s="17" t="str">
        <f t="shared" si="719"/>
        <v/>
      </c>
      <c r="N15035" s="11" t="str">
        <f t="shared" si="720"/>
        <v/>
      </c>
    </row>
    <row r="15036" spans="9:14" x14ac:dyDescent="0.25">
      <c r="I15036" s="11" t="b">
        <f t="shared" si="721"/>
        <v>0</v>
      </c>
      <c r="M15036" s="17" t="str">
        <f t="shared" si="719"/>
        <v/>
      </c>
      <c r="N15036" s="11" t="str">
        <f t="shared" si="720"/>
        <v/>
      </c>
    </row>
    <row r="15037" spans="9:14" x14ac:dyDescent="0.25">
      <c r="I15037" s="11" t="b">
        <f t="shared" si="721"/>
        <v>0</v>
      </c>
      <c r="M15037" s="17" t="str">
        <f t="shared" si="719"/>
        <v/>
      </c>
      <c r="N15037" s="11" t="str">
        <f t="shared" si="720"/>
        <v/>
      </c>
    </row>
    <row r="15038" spans="9:14" x14ac:dyDescent="0.25">
      <c r="I15038" s="11" t="b">
        <f t="shared" si="721"/>
        <v>0</v>
      </c>
      <c r="M15038" s="17" t="str">
        <f t="shared" si="719"/>
        <v/>
      </c>
      <c r="N15038" s="11" t="str">
        <f t="shared" si="720"/>
        <v/>
      </c>
    </row>
    <row r="15039" spans="9:14" x14ac:dyDescent="0.25">
      <c r="I15039" s="11" t="b">
        <f t="shared" si="721"/>
        <v>0</v>
      </c>
      <c r="M15039" s="17" t="str">
        <f t="shared" si="719"/>
        <v/>
      </c>
      <c r="N15039" s="11" t="str">
        <f t="shared" si="720"/>
        <v/>
      </c>
    </row>
    <row r="15040" spans="9:14" x14ac:dyDescent="0.25">
      <c r="I15040" s="11" t="b">
        <f t="shared" si="721"/>
        <v>0</v>
      </c>
      <c r="M15040" s="17" t="str">
        <f t="shared" si="719"/>
        <v/>
      </c>
      <c r="N15040" s="11" t="str">
        <f t="shared" si="720"/>
        <v/>
      </c>
    </row>
    <row r="15041" spans="9:14" x14ac:dyDescent="0.25">
      <c r="I15041" s="11" t="b">
        <f t="shared" si="721"/>
        <v>0</v>
      </c>
      <c r="M15041" s="17" t="str">
        <f t="shared" ref="M15041:M15104" si="722">IF(B15041=0, "",M15040+ J15041-K15041)</f>
        <v/>
      </c>
      <c r="N15041" s="11" t="str">
        <f t="shared" ref="N15041:N15104" si="723">IF(B15041=0, "", MONTH(B15041))</f>
        <v/>
      </c>
    </row>
    <row r="15042" spans="9:14" x14ac:dyDescent="0.25">
      <c r="I15042" s="11" t="b">
        <f t="shared" si="721"/>
        <v>0</v>
      </c>
      <c r="M15042" s="17" t="str">
        <f t="shared" si="722"/>
        <v/>
      </c>
      <c r="N15042" s="11" t="str">
        <f t="shared" si="723"/>
        <v/>
      </c>
    </row>
    <row r="15043" spans="9:14" x14ac:dyDescent="0.25">
      <c r="I15043" s="11" t="b">
        <f t="shared" si="721"/>
        <v>0</v>
      </c>
      <c r="M15043" s="17" t="str">
        <f t="shared" si="722"/>
        <v/>
      </c>
      <c r="N15043" s="11" t="str">
        <f t="shared" si="723"/>
        <v/>
      </c>
    </row>
    <row r="15044" spans="9:14" x14ac:dyDescent="0.25">
      <c r="I15044" s="11" t="b">
        <f t="shared" si="721"/>
        <v>0</v>
      </c>
      <c r="M15044" s="17" t="str">
        <f t="shared" si="722"/>
        <v/>
      </c>
      <c r="N15044" s="11" t="str">
        <f t="shared" si="723"/>
        <v/>
      </c>
    </row>
    <row r="15045" spans="9:14" x14ac:dyDescent="0.25">
      <c r="I15045" s="11" t="b">
        <f t="shared" si="721"/>
        <v>0</v>
      </c>
      <c r="M15045" s="17" t="str">
        <f t="shared" si="722"/>
        <v/>
      </c>
      <c r="N15045" s="11" t="str">
        <f t="shared" si="723"/>
        <v/>
      </c>
    </row>
    <row r="15046" spans="9:14" x14ac:dyDescent="0.25">
      <c r="I15046" s="11" t="b">
        <f t="shared" si="721"/>
        <v>0</v>
      </c>
      <c r="M15046" s="17" t="str">
        <f t="shared" si="722"/>
        <v/>
      </c>
      <c r="N15046" s="11" t="str">
        <f t="shared" si="723"/>
        <v/>
      </c>
    </row>
    <row r="15047" spans="9:14" x14ac:dyDescent="0.25">
      <c r="I15047" s="11" t="b">
        <f t="shared" si="721"/>
        <v>0</v>
      </c>
      <c r="M15047" s="17" t="str">
        <f t="shared" si="722"/>
        <v/>
      </c>
      <c r="N15047" s="11" t="str">
        <f t="shared" si="723"/>
        <v/>
      </c>
    </row>
    <row r="15048" spans="9:14" x14ac:dyDescent="0.25">
      <c r="I15048" s="11" t="b">
        <f t="shared" si="721"/>
        <v>0</v>
      </c>
      <c r="M15048" s="17" t="str">
        <f t="shared" si="722"/>
        <v/>
      </c>
      <c r="N15048" s="11" t="str">
        <f t="shared" si="723"/>
        <v/>
      </c>
    </row>
    <row r="15049" spans="9:14" x14ac:dyDescent="0.25">
      <c r="I15049" s="11" t="b">
        <f t="shared" si="721"/>
        <v>0</v>
      </c>
      <c r="M15049" s="17" t="str">
        <f t="shared" si="722"/>
        <v/>
      </c>
      <c r="N15049" s="11" t="str">
        <f t="shared" si="723"/>
        <v/>
      </c>
    </row>
    <row r="15050" spans="9:14" x14ac:dyDescent="0.25">
      <c r="I15050" s="11" t="b">
        <f t="shared" si="721"/>
        <v>0</v>
      </c>
      <c r="M15050" s="17" t="str">
        <f t="shared" si="722"/>
        <v/>
      </c>
      <c r="N15050" s="11" t="str">
        <f t="shared" si="723"/>
        <v/>
      </c>
    </row>
    <row r="15051" spans="9:14" x14ac:dyDescent="0.25">
      <c r="I15051" s="11" t="b">
        <f t="shared" si="721"/>
        <v>0</v>
      </c>
      <c r="M15051" s="17" t="str">
        <f t="shared" si="722"/>
        <v/>
      </c>
      <c r="N15051" s="11" t="str">
        <f t="shared" si="723"/>
        <v/>
      </c>
    </row>
    <row r="15052" spans="9:14" x14ac:dyDescent="0.25">
      <c r="I15052" s="11" t="b">
        <f t="shared" si="721"/>
        <v>0</v>
      </c>
      <c r="M15052" s="17" t="str">
        <f t="shared" si="722"/>
        <v/>
      </c>
      <c r="N15052" s="11" t="str">
        <f t="shared" si="723"/>
        <v/>
      </c>
    </row>
    <row r="15053" spans="9:14" x14ac:dyDescent="0.25">
      <c r="I15053" s="11" t="b">
        <f t="shared" si="721"/>
        <v>0</v>
      </c>
      <c r="M15053" s="17" t="str">
        <f t="shared" si="722"/>
        <v/>
      </c>
      <c r="N15053" s="11" t="str">
        <f t="shared" si="723"/>
        <v/>
      </c>
    </row>
    <row r="15054" spans="9:14" x14ac:dyDescent="0.25">
      <c r="I15054" s="11" t="b">
        <f t="shared" si="721"/>
        <v>0</v>
      </c>
      <c r="M15054" s="17" t="str">
        <f t="shared" si="722"/>
        <v/>
      </c>
      <c r="N15054" s="11" t="str">
        <f t="shared" si="723"/>
        <v/>
      </c>
    </row>
    <row r="15055" spans="9:14" x14ac:dyDescent="0.25">
      <c r="I15055" s="11" t="b">
        <f t="shared" si="721"/>
        <v>0</v>
      </c>
      <c r="M15055" s="17" t="str">
        <f t="shared" si="722"/>
        <v/>
      </c>
      <c r="N15055" s="11" t="str">
        <f t="shared" si="723"/>
        <v/>
      </c>
    </row>
    <row r="15056" spans="9:14" x14ac:dyDescent="0.25">
      <c r="I15056" s="11" t="b">
        <f t="shared" si="721"/>
        <v>0</v>
      </c>
      <c r="M15056" s="17" t="str">
        <f t="shared" si="722"/>
        <v/>
      </c>
      <c r="N15056" s="11" t="str">
        <f t="shared" si="723"/>
        <v/>
      </c>
    </row>
    <row r="15057" spans="9:14" x14ac:dyDescent="0.25">
      <c r="I15057" s="11" t="b">
        <f t="shared" si="721"/>
        <v>0</v>
      </c>
      <c r="M15057" s="17" t="str">
        <f t="shared" si="722"/>
        <v/>
      </c>
      <c r="N15057" s="11" t="str">
        <f t="shared" si="723"/>
        <v/>
      </c>
    </row>
    <row r="15058" spans="9:14" x14ac:dyDescent="0.25">
      <c r="I15058" s="11" t="b">
        <f t="shared" si="721"/>
        <v>0</v>
      </c>
      <c r="M15058" s="17" t="str">
        <f t="shared" si="722"/>
        <v/>
      </c>
      <c r="N15058" s="11" t="str">
        <f t="shared" si="723"/>
        <v/>
      </c>
    </row>
    <row r="15059" spans="9:14" x14ac:dyDescent="0.25">
      <c r="I15059" s="11" t="b">
        <f t="shared" si="721"/>
        <v>0</v>
      </c>
      <c r="M15059" s="17" t="str">
        <f t="shared" si="722"/>
        <v/>
      </c>
      <c r="N15059" s="11" t="str">
        <f t="shared" si="723"/>
        <v/>
      </c>
    </row>
    <row r="15060" spans="9:14" x14ac:dyDescent="0.25">
      <c r="I15060" s="11" t="b">
        <f t="shared" si="721"/>
        <v>0</v>
      </c>
      <c r="M15060" s="17" t="str">
        <f t="shared" si="722"/>
        <v/>
      </c>
      <c r="N15060" s="11" t="str">
        <f t="shared" si="723"/>
        <v/>
      </c>
    </row>
    <row r="15061" spans="9:14" x14ac:dyDescent="0.25">
      <c r="I15061" s="11" t="b">
        <f t="shared" si="721"/>
        <v>0</v>
      </c>
      <c r="M15061" s="17" t="str">
        <f t="shared" si="722"/>
        <v/>
      </c>
      <c r="N15061" s="11" t="str">
        <f t="shared" si="723"/>
        <v/>
      </c>
    </row>
    <row r="15062" spans="9:14" x14ac:dyDescent="0.25">
      <c r="I15062" s="11" t="b">
        <f t="shared" si="721"/>
        <v>0</v>
      </c>
      <c r="M15062" s="17" t="str">
        <f t="shared" si="722"/>
        <v/>
      </c>
      <c r="N15062" s="11" t="str">
        <f t="shared" si="723"/>
        <v/>
      </c>
    </row>
    <row r="15063" spans="9:14" x14ac:dyDescent="0.25">
      <c r="I15063" s="11" t="b">
        <f t="shared" si="721"/>
        <v>0</v>
      </c>
      <c r="M15063" s="17" t="str">
        <f t="shared" si="722"/>
        <v/>
      </c>
      <c r="N15063" s="11" t="str">
        <f t="shared" si="723"/>
        <v/>
      </c>
    </row>
    <row r="15064" spans="9:14" x14ac:dyDescent="0.25">
      <c r="I15064" s="11" t="b">
        <f t="shared" si="721"/>
        <v>0</v>
      </c>
      <c r="M15064" s="17" t="str">
        <f t="shared" si="722"/>
        <v/>
      </c>
      <c r="N15064" s="11" t="str">
        <f t="shared" si="723"/>
        <v/>
      </c>
    </row>
    <row r="15065" spans="9:14" x14ac:dyDescent="0.25">
      <c r="I15065" s="11" t="b">
        <f t="shared" si="721"/>
        <v>0</v>
      </c>
      <c r="M15065" s="17" t="str">
        <f t="shared" si="722"/>
        <v/>
      </c>
      <c r="N15065" s="11" t="str">
        <f t="shared" si="723"/>
        <v/>
      </c>
    </row>
    <row r="15066" spans="9:14" x14ac:dyDescent="0.25">
      <c r="I15066" s="11" t="b">
        <f t="shared" si="721"/>
        <v>0</v>
      </c>
      <c r="M15066" s="17" t="str">
        <f t="shared" si="722"/>
        <v/>
      </c>
      <c r="N15066" s="11" t="str">
        <f t="shared" si="723"/>
        <v/>
      </c>
    </row>
    <row r="15067" spans="9:14" x14ac:dyDescent="0.25">
      <c r="I15067" s="11" t="b">
        <f t="shared" si="721"/>
        <v>0</v>
      </c>
      <c r="M15067" s="17" t="str">
        <f t="shared" si="722"/>
        <v/>
      </c>
      <c r="N15067" s="11" t="str">
        <f t="shared" si="723"/>
        <v/>
      </c>
    </row>
    <row r="15068" spans="9:14" x14ac:dyDescent="0.25">
      <c r="I15068" s="11" t="b">
        <f t="shared" si="721"/>
        <v>0</v>
      </c>
      <c r="M15068" s="17" t="str">
        <f t="shared" si="722"/>
        <v/>
      </c>
      <c r="N15068" s="11" t="str">
        <f t="shared" si="723"/>
        <v/>
      </c>
    </row>
    <row r="15069" spans="9:14" x14ac:dyDescent="0.25">
      <c r="I15069" s="11" t="b">
        <f t="shared" ref="I15069:I15132" si="724">IF(AND(G15069="MERCADO PAGO",A15069="FATURAMENTO"),1,IF(AND(OR(G15069="MERCADO PAGO",G15069="pix mercado pago",G15069= "débito automático mercado pago", G15069= "boleto mercado pago"),A15069="DESPESAS"),4,IF(AND(G15069="SAFRA",A15069="FATURAMENTO"),2,IF(AND(OR(G15069="SAFRA",G15069="PIX SAFRA", G15069="DÉBITO AUTOMÁTICO SAFRA", G15069= "BOLETO SAFRA", G15069= "transferência safra"), A15069="DESPESAS"),5,IF(AND(G15069="espécie",A15069="FATURAMENTO"),3,IF(AND(G15069="espécie",A15069="DESPESAS"),6))))))</f>
        <v>0</v>
      </c>
      <c r="M15069" s="17" t="str">
        <f t="shared" si="722"/>
        <v/>
      </c>
      <c r="N15069" s="11" t="str">
        <f t="shared" si="723"/>
        <v/>
      </c>
    </row>
    <row r="15070" spans="9:14" x14ac:dyDescent="0.25">
      <c r="I15070" s="11" t="b">
        <f t="shared" si="724"/>
        <v>0</v>
      </c>
      <c r="M15070" s="17" t="str">
        <f t="shared" si="722"/>
        <v/>
      </c>
      <c r="N15070" s="11" t="str">
        <f t="shared" si="723"/>
        <v/>
      </c>
    </row>
    <row r="15071" spans="9:14" x14ac:dyDescent="0.25">
      <c r="I15071" s="11" t="b">
        <f t="shared" si="724"/>
        <v>0</v>
      </c>
      <c r="M15071" s="17" t="str">
        <f t="shared" si="722"/>
        <v/>
      </c>
      <c r="N15071" s="11" t="str">
        <f t="shared" si="723"/>
        <v/>
      </c>
    </row>
    <row r="15072" spans="9:14" x14ac:dyDescent="0.25">
      <c r="I15072" s="11" t="b">
        <f t="shared" si="724"/>
        <v>0</v>
      </c>
      <c r="M15072" s="17" t="str">
        <f t="shared" si="722"/>
        <v/>
      </c>
      <c r="N15072" s="11" t="str">
        <f t="shared" si="723"/>
        <v/>
      </c>
    </row>
    <row r="15073" spans="9:14" x14ac:dyDescent="0.25">
      <c r="I15073" s="11" t="b">
        <f t="shared" si="724"/>
        <v>0</v>
      </c>
      <c r="M15073" s="17" t="str">
        <f t="shared" si="722"/>
        <v/>
      </c>
      <c r="N15073" s="11" t="str">
        <f t="shared" si="723"/>
        <v/>
      </c>
    </row>
    <row r="15074" spans="9:14" x14ac:dyDescent="0.25">
      <c r="I15074" s="11" t="b">
        <f t="shared" si="724"/>
        <v>0</v>
      </c>
      <c r="M15074" s="17" t="str">
        <f t="shared" si="722"/>
        <v/>
      </c>
      <c r="N15074" s="11" t="str">
        <f t="shared" si="723"/>
        <v/>
      </c>
    </row>
    <row r="15075" spans="9:14" x14ac:dyDescent="0.25">
      <c r="I15075" s="11" t="b">
        <f t="shared" si="724"/>
        <v>0</v>
      </c>
      <c r="M15075" s="17" t="str">
        <f t="shared" si="722"/>
        <v/>
      </c>
      <c r="N15075" s="11" t="str">
        <f t="shared" si="723"/>
        <v/>
      </c>
    </row>
    <row r="15076" spans="9:14" x14ac:dyDescent="0.25">
      <c r="I15076" s="11" t="b">
        <f t="shared" si="724"/>
        <v>0</v>
      </c>
      <c r="M15076" s="17" t="str">
        <f t="shared" si="722"/>
        <v/>
      </c>
      <c r="N15076" s="11" t="str">
        <f t="shared" si="723"/>
        <v/>
      </c>
    </row>
    <row r="15077" spans="9:14" x14ac:dyDescent="0.25">
      <c r="I15077" s="11" t="b">
        <f t="shared" si="724"/>
        <v>0</v>
      </c>
      <c r="M15077" s="17" t="str">
        <f t="shared" si="722"/>
        <v/>
      </c>
      <c r="N15077" s="11" t="str">
        <f t="shared" si="723"/>
        <v/>
      </c>
    </row>
    <row r="15078" spans="9:14" x14ac:dyDescent="0.25">
      <c r="I15078" s="11" t="b">
        <f t="shared" si="724"/>
        <v>0</v>
      </c>
      <c r="M15078" s="17" t="str">
        <f t="shared" si="722"/>
        <v/>
      </c>
      <c r="N15078" s="11" t="str">
        <f t="shared" si="723"/>
        <v/>
      </c>
    </row>
    <row r="15079" spans="9:14" x14ac:dyDescent="0.25">
      <c r="I15079" s="11" t="b">
        <f t="shared" si="724"/>
        <v>0</v>
      </c>
      <c r="M15079" s="17" t="str">
        <f t="shared" si="722"/>
        <v/>
      </c>
      <c r="N15079" s="11" t="str">
        <f t="shared" si="723"/>
        <v/>
      </c>
    </row>
    <row r="15080" spans="9:14" x14ac:dyDescent="0.25">
      <c r="I15080" s="11" t="b">
        <f t="shared" si="724"/>
        <v>0</v>
      </c>
      <c r="M15080" s="17" t="str">
        <f t="shared" si="722"/>
        <v/>
      </c>
      <c r="N15080" s="11" t="str">
        <f t="shared" si="723"/>
        <v/>
      </c>
    </row>
    <row r="15081" spans="9:14" x14ac:dyDescent="0.25">
      <c r="I15081" s="11" t="b">
        <f t="shared" si="724"/>
        <v>0</v>
      </c>
      <c r="M15081" s="17" t="str">
        <f t="shared" si="722"/>
        <v/>
      </c>
      <c r="N15081" s="11" t="str">
        <f t="shared" si="723"/>
        <v/>
      </c>
    </row>
    <row r="15082" spans="9:14" x14ac:dyDescent="0.25">
      <c r="I15082" s="11" t="b">
        <f t="shared" si="724"/>
        <v>0</v>
      </c>
      <c r="M15082" s="17" t="str">
        <f t="shared" si="722"/>
        <v/>
      </c>
      <c r="N15082" s="11" t="str">
        <f t="shared" si="723"/>
        <v/>
      </c>
    </row>
    <row r="15083" spans="9:14" x14ac:dyDescent="0.25">
      <c r="I15083" s="11" t="b">
        <f t="shared" si="724"/>
        <v>0</v>
      </c>
      <c r="M15083" s="17" t="str">
        <f t="shared" si="722"/>
        <v/>
      </c>
      <c r="N15083" s="11" t="str">
        <f t="shared" si="723"/>
        <v/>
      </c>
    </row>
    <row r="15084" spans="9:14" x14ac:dyDescent="0.25">
      <c r="I15084" s="11" t="b">
        <f t="shared" si="724"/>
        <v>0</v>
      </c>
      <c r="M15084" s="17" t="str">
        <f t="shared" si="722"/>
        <v/>
      </c>
      <c r="N15084" s="11" t="str">
        <f t="shared" si="723"/>
        <v/>
      </c>
    </row>
    <row r="15085" spans="9:14" x14ac:dyDescent="0.25">
      <c r="I15085" s="11" t="b">
        <f t="shared" si="724"/>
        <v>0</v>
      </c>
      <c r="M15085" s="17" t="str">
        <f t="shared" si="722"/>
        <v/>
      </c>
      <c r="N15085" s="11" t="str">
        <f t="shared" si="723"/>
        <v/>
      </c>
    </row>
    <row r="15086" spans="9:14" x14ac:dyDescent="0.25">
      <c r="I15086" s="11" t="b">
        <f t="shared" si="724"/>
        <v>0</v>
      </c>
      <c r="M15086" s="17" t="str">
        <f t="shared" si="722"/>
        <v/>
      </c>
      <c r="N15086" s="11" t="str">
        <f t="shared" si="723"/>
        <v/>
      </c>
    </row>
    <row r="15087" spans="9:14" x14ac:dyDescent="0.25">
      <c r="I15087" s="11" t="b">
        <f t="shared" si="724"/>
        <v>0</v>
      </c>
      <c r="M15087" s="17" t="str">
        <f t="shared" si="722"/>
        <v/>
      </c>
      <c r="N15087" s="11" t="str">
        <f t="shared" si="723"/>
        <v/>
      </c>
    </row>
    <row r="15088" spans="9:14" x14ac:dyDescent="0.25">
      <c r="I15088" s="11" t="b">
        <f t="shared" si="724"/>
        <v>0</v>
      </c>
      <c r="M15088" s="17" t="str">
        <f t="shared" si="722"/>
        <v/>
      </c>
      <c r="N15088" s="11" t="str">
        <f t="shared" si="723"/>
        <v/>
      </c>
    </row>
    <row r="15089" spans="9:14" x14ac:dyDescent="0.25">
      <c r="I15089" s="11" t="b">
        <f t="shared" si="724"/>
        <v>0</v>
      </c>
      <c r="M15089" s="17" t="str">
        <f t="shared" si="722"/>
        <v/>
      </c>
      <c r="N15089" s="11" t="str">
        <f t="shared" si="723"/>
        <v/>
      </c>
    </row>
    <row r="15090" spans="9:14" x14ac:dyDescent="0.25">
      <c r="I15090" s="11" t="b">
        <f t="shared" si="724"/>
        <v>0</v>
      </c>
      <c r="M15090" s="17" t="str">
        <f t="shared" si="722"/>
        <v/>
      </c>
      <c r="N15090" s="11" t="str">
        <f t="shared" si="723"/>
        <v/>
      </c>
    </row>
    <row r="15091" spans="9:14" x14ac:dyDescent="0.25">
      <c r="I15091" s="11" t="b">
        <f t="shared" si="724"/>
        <v>0</v>
      </c>
      <c r="M15091" s="17" t="str">
        <f t="shared" si="722"/>
        <v/>
      </c>
      <c r="N15091" s="11" t="str">
        <f t="shared" si="723"/>
        <v/>
      </c>
    </row>
    <row r="15092" spans="9:14" x14ac:dyDescent="0.25">
      <c r="I15092" s="11" t="b">
        <f t="shared" si="724"/>
        <v>0</v>
      </c>
      <c r="M15092" s="17" t="str">
        <f t="shared" si="722"/>
        <v/>
      </c>
      <c r="N15092" s="11" t="str">
        <f t="shared" si="723"/>
        <v/>
      </c>
    </row>
    <row r="15093" spans="9:14" x14ac:dyDescent="0.25">
      <c r="I15093" s="11" t="b">
        <f t="shared" si="724"/>
        <v>0</v>
      </c>
      <c r="M15093" s="17" t="str">
        <f t="shared" si="722"/>
        <v/>
      </c>
      <c r="N15093" s="11" t="str">
        <f t="shared" si="723"/>
        <v/>
      </c>
    </row>
    <row r="15094" spans="9:14" x14ac:dyDescent="0.25">
      <c r="I15094" s="11" t="b">
        <f t="shared" si="724"/>
        <v>0</v>
      </c>
      <c r="M15094" s="17" t="str">
        <f t="shared" si="722"/>
        <v/>
      </c>
      <c r="N15094" s="11" t="str">
        <f t="shared" si="723"/>
        <v/>
      </c>
    </row>
    <row r="15095" spans="9:14" x14ac:dyDescent="0.25">
      <c r="I15095" s="11" t="b">
        <f t="shared" si="724"/>
        <v>0</v>
      </c>
      <c r="M15095" s="17" t="str">
        <f t="shared" si="722"/>
        <v/>
      </c>
      <c r="N15095" s="11" t="str">
        <f t="shared" si="723"/>
        <v/>
      </c>
    </row>
    <row r="15096" spans="9:14" x14ac:dyDescent="0.25">
      <c r="I15096" s="11" t="b">
        <f t="shared" si="724"/>
        <v>0</v>
      </c>
      <c r="M15096" s="17" t="str">
        <f t="shared" si="722"/>
        <v/>
      </c>
      <c r="N15096" s="11" t="str">
        <f t="shared" si="723"/>
        <v/>
      </c>
    </row>
    <row r="15097" spans="9:14" x14ac:dyDescent="0.25">
      <c r="I15097" s="11" t="b">
        <f t="shared" si="724"/>
        <v>0</v>
      </c>
      <c r="M15097" s="17" t="str">
        <f t="shared" si="722"/>
        <v/>
      </c>
      <c r="N15097" s="11" t="str">
        <f t="shared" si="723"/>
        <v/>
      </c>
    </row>
    <row r="15098" spans="9:14" x14ac:dyDescent="0.25">
      <c r="I15098" s="11" t="b">
        <f t="shared" si="724"/>
        <v>0</v>
      </c>
      <c r="M15098" s="17" t="str">
        <f t="shared" si="722"/>
        <v/>
      </c>
      <c r="N15098" s="11" t="str">
        <f t="shared" si="723"/>
        <v/>
      </c>
    </row>
    <row r="15099" spans="9:14" x14ac:dyDescent="0.25">
      <c r="I15099" s="11" t="b">
        <f t="shared" si="724"/>
        <v>0</v>
      </c>
      <c r="M15099" s="17" t="str">
        <f t="shared" si="722"/>
        <v/>
      </c>
      <c r="N15099" s="11" t="str">
        <f t="shared" si="723"/>
        <v/>
      </c>
    </row>
    <row r="15100" spans="9:14" x14ac:dyDescent="0.25">
      <c r="I15100" s="11" t="b">
        <f t="shared" si="724"/>
        <v>0</v>
      </c>
      <c r="M15100" s="17" t="str">
        <f t="shared" si="722"/>
        <v/>
      </c>
      <c r="N15100" s="11" t="str">
        <f t="shared" si="723"/>
        <v/>
      </c>
    </row>
    <row r="15101" spans="9:14" x14ac:dyDescent="0.25">
      <c r="I15101" s="11" t="b">
        <f t="shared" si="724"/>
        <v>0</v>
      </c>
      <c r="M15101" s="17" t="str">
        <f t="shared" si="722"/>
        <v/>
      </c>
      <c r="N15101" s="11" t="str">
        <f t="shared" si="723"/>
        <v/>
      </c>
    </row>
    <row r="15102" spans="9:14" x14ac:dyDescent="0.25">
      <c r="I15102" s="11" t="b">
        <f t="shared" si="724"/>
        <v>0</v>
      </c>
      <c r="M15102" s="17" t="str">
        <f t="shared" si="722"/>
        <v/>
      </c>
      <c r="N15102" s="11" t="str">
        <f t="shared" si="723"/>
        <v/>
      </c>
    </row>
    <row r="15103" spans="9:14" x14ac:dyDescent="0.25">
      <c r="I15103" s="11" t="b">
        <f t="shared" si="724"/>
        <v>0</v>
      </c>
      <c r="M15103" s="17" t="str">
        <f t="shared" si="722"/>
        <v/>
      </c>
      <c r="N15103" s="11" t="str">
        <f t="shared" si="723"/>
        <v/>
      </c>
    </row>
    <row r="15104" spans="9:14" x14ac:dyDescent="0.25">
      <c r="I15104" s="11" t="b">
        <f t="shared" si="724"/>
        <v>0</v>
      </c>
      <c r="M15104" s="17" t="str">
        <f t="shared" si="722"/>
        <v/>
      </c>
      <c r="N15104" s="11" t="str">
        <f t="shared" si="723"/>
        <v/>
      </c>
    </row>
    <row r="15105" spans="9:14" x14ac:dyDescent="0.25">
      <c r="I15105" s="11" t="b">
        <f t="shared" si="724"/>
        <v>0</v>
      </c>
      <c r="M15105" s="17" t="str">
        <f t="shared" ref="M15105:M15168" si="725">IF(B15105=0, "",M15104+ J15105-K15105)</f>
        <v/>
      </c>
      <c r="N15105" s="11" t="str">
        <f t="shared" ref="N15105:N15168" si="726">IF(B15105=0, "", MONTH(B15105))</f>
        <v/>
      </c>
    </row>
    <row r="15106" spans="9:14" x14ac:dyDescent="0.25">
      <c r="I15106" s="11" t="b">
        <f t="shared" si="724"/>
        <v>0</v>
      </c>
      <c r="M15106" s="17" t="str">
        <f t="shared" si="725"/>
        <v/>
      </c>
      <c r="N15106" s="11" t="str">
        <f t="shared" si="726"/>
        <v/>
      </c>
    </row>
    <row r="15107" spans="9:14" x14ac:dyDescent="0.25">
      <c r="I15107" s="11" t="b">
        <f t="shared" si="724"/>
        <v>0</v>
      </c>
      <c r="M15107" s="17" t="str">
        <f t="shared" si="725"/>
        <v/>
      </c>
      <c r="N15107" s="11" t="str">
        <f t="shared" si="726"/>
        <v/>
      </c>
    </row>
    <row r="15108" spans="9:14" x14ac:dyDescent="0.25">
      <c r="I15108" s="11" t="b">
        <f t="shared" si="724"/>
        <v>0</v>
      </c>
      <c r="M15108" s="17" t="str">
        <f t="shared" si="725"/>
        <v/>
      </c>
      <c r="N15108" s="11" t="str">
        <f t="shared" si="726"/>
        <v/>
      </c>
    </row>
    <row r="15109" spans="9:14" x14ac:dyDescent="0.25">
      <c r="I15109" s="11" t="b">
        <f t="shared" si="724"/>
        <v>0</v>
      </c>
      <c r="M15109" s="17" t="str">
        <f t="shared" si="725"/>
        <v/>
      </c>
      <c r="N15109" s="11" t="str">
        <f t="shared" si="726"/>
        <v/>
      </c>
    </row>
    <row r="15110" spans="9:14" x14ac:dyDescent="0.25">
      <c r="I15110" s="11" t="b">
        <f t="shared" si="724"/>
        <v>0</v>
      </c>
      <c r="M15110" s="17" t="str">
        <f t="shared" si="725"/>
        <v/>
      </c>
      <c r="N15110" s="11" t="str">
        <f t="shared" si="726"/>
        <v/>
      </c>
    </row>
    <row r="15111" spans="9:14" x14ac:dyDescent="0.25">
      <c r="I15111" s="11" t="b">
        <f t="shared" si="724"/>
        <v>0</v>
      </c>
      <c r="M15111" s="17" t="str">
        <f t="shared" si="725"/>
        <v/>
      </c>
      <c r="N15111" s="11" t="str">
        <f t="shared" si="726"/>
        <v/>
      </c>
    </row>
    <row r="15112" spans="9:14" x14ac:dyDescent="0.25">
      <c r="I15112" s="11" t="b">
        <f t="shared" si="724"/>
        <v>0</v>
      </c>
      <c r="M15112" s="17" t="str">
        <f t="shared" si="725"/>
        <v/>
      </c>
      <c r="N15112" s="11" t="str">
        <f t="shared" si="726"/>
        <v/>
      </c>
    </row>
    <row r="15113" spans="9:14" x14ac:dyDescent="0.25">
      <c r="I15113" s="11" t="b">
        <f t="shared" si="724"/>
        <v>0</v>
      </c>
      <c r="M15113" s="17" t="str">
        <f t="shared" si="725"/>
        <v/>
      </c>
      <c r="N15113" s="11" t="str">
        <f t="shared" si="726"/>
        <v/>
      </c>
    </row>
    <row r="15114" spans="9:14" x14ac:dyDescent="0.25">
      <c r="I15114" s="11" t="b">
        <f t="shared" si="724"/>
        <v>0</v>
      </c>
      <c r="M15114" s="17" t="str">
        <f t="shared" si="725"/>
        <v/>
      </c>
      <c r="N15114" s="11" t="str">
        <f t="shared" si="726"/>
        <v/>
      </c>
    </row>
    <row r="15115" spans="9:14" x14ac:dyDescent="0.25">
      <c r="I15115" s="11" t="b">
        <f t="shared" si="724"/>
        <v>0</v>
      </c>
      <c r="M15115" s="17" t="str">
        <f t="shared" si="725"/>
        <v/>
      </c>
      <c r="N15115" s="11" t="str">
        <f t="shared" si="726"/>
        <v/>
      </c>
    </row>
    <row r="15116" spans="9:14" x14ac:dyDescent="0.25">
      <c r="I15116" s="11" t="b">
        <f t="shared" si="724"/>
        <v>0</v>
      </c>
      <c r="M15116" s="17" t="str">
        <f t="shared" si="725"/>
        <v/>
      </c>
      <c r="N15116" s="11" t="str">
        <f t="shared" si="726"/>
        <v/>
      </c>
    </row>
    <row r="15117" spans="9:14" x14ac:dyDescent="0.25">
      <c r="I15117" s="11" t="b">
        <f t="shared" si="724"/>
        <v>0</v>
      </c>
      <c r="M15117" s="17" t="str">
        <f t="shared" si="725"/>
        <v/>
      </c>
      <c r="N15117" s="11" t="str">
        <f t="shared" si="726"/>
        <v/>
      </c>
    </row>
    <row r="15118" spans="9:14" x14ac:dyDescent="0.25">
      <c r="I15118" s="11" t="b">
        <f t="shared" si="724"/>
        <v>0</v>
      </c>
      <c r="M15118" s="17" t="str">
        <f t="shared" si="725"/>
        <v/>
      </c>
      <c r="N15118" s="11" t="str">
        <f t="shared" si="726"/>
        <v/>
      </c>
    </row>
    <row r="15119" spans="9:14" x14ac:dyDescent="0.25">
      <c r="I15119" s="11" t="b">
        <f t="shared" si="724"/>
        <v>0</v>
      </c>
      <c r="M15119" s="17" t="str">
        <f t="shared" si="725"/>
        <v/>
      </c>
      <c r="N15119" s="11" t="str">
        <f t="shared" si="726"/>
        <v/>
      </c>
    </row>
    <row r="15120" spans="9:14" x14ac:dyDescent="0.25">
      <c r="I15120" s="11" t="b">
        <f t="shared" si="724"/>
        <v>0</v>
      </c>
      <c r="M15120" s="17" t="str">
        <f t="shared" si="725"/>
        <v/>
      </c>
      <c r="N15120" s="11" t="str">
        <f t="shared" si="726"/>
        <v/>
      </c>
    </row>
    <row r="15121" spans="9:14" x14ac:dyDescent="0.25">
      <c r="I15121" s="11" t="b">
        <f t="shared" si="724"/>
        <v>0</v>
      </c>
      <c r="M15121" s="17" t="str">
        <f t="shared" si="725"/>
        <v/>
      </c>
      <c r="N15121" s="11" t="str">
        <f t="shared" si="726"/>
        <v/>
      </c>
    </row>
    <row r="15122" spans="9:14" x14ac:dyDescent="0.25">
      <c r="I15122" s="11" t="b">
        <f t="shared" si="724"/>
        <v>0</v>
      </c>
      <c r="M15122" s="17" t="str">
        <f t="shared" si="725"/>
        <v/>
      </c>
      <c r="N15122" s="11" t="str">
        <f t="shared" si="726"/>
        <v/>
      </c>
    </row>
    <row r="15123" spans="9:14" x14ac:dyDescent="0.25">
      <c r="I15123" s="11" t="b">
        <f t="shared" si="724"/>
        <v>0</v>
      </c>
      <c r="M15123" s="17" t="str">
        <f t="shared" si="725"/>
        <v/>
      </c>
      <c r="N15123" s="11" t="str">
        <f t="shared" si="726"/>
        <v/>
      </c>
    </row>
    <row r="15124" spans="9:14" x14ac:dyDescent="0.25">
      <c r="I15124" s="11" t="b">
        <f t="shared" si="724"/>
        <v>0</v>
      </c>
      <c r="M15124" s="17" t="str">
        <f t="shared" si="725"/>
        <v/>
      </c>
      <c r="N15124" s="11" t="str">
        <f t="shared" si="726"/>
        <v/>
      </c>
    </row>
    <row r="15125" spans="9:14" x14ac:dyDescent="0.25">
      <c r="I15125" s="11" t="b">
        <f t="shared" si="724"/>
        <v>0</v>
      </c>
      <c r="M15125" s="17" t="str">
        <f t="shared" si="725"/>
        <v/>
      </c>
      <c r="N15125" s="11" t="str">
        <f t="shared" si="726"/>
        <v/>
      </c>
    </row>
    <row r="15126" spans="9:14" x14ac:dyDescent="0.25">
      <c r="I15126" s="11" t="b">
        <f t="shared" si="724"/>
        <v>0</v>
      </c>
      <c r="M15126" s="17" t="str">
        <f t="shared" si="725"/>
        <v/>
      </c>
      <c r="N15126" s="11" t="str">
        <f t="shared" si="726"/>
        <v/>
      </c>
    </row>
    <row r="15127" spans="9:14" x14ac:dyDescent="0.25">
      <c r="I15127" s="11" t="b">
        <f t="shared" si="724"/>
        <v>0</v>
      </c>
      <c r="M15127" s="17" t="str">
        <f t="shared" si="725"/>
        <v/>
      </c>
      <c r="N15127" s="11" t="str">
        <f t="shared" si="726"/>
        <v/>
      </c>
    </row>
    <row r="15128" spans="9:14" x14ac:dyDescent="0.25">
      <c r="I15128" s="11" t="b">
        <f t="shared" si="724"/>
        <v>0</v>
      </c>
      <c r="M15128" s="17" t="str">
        <f t="shared" si="725"/>
        <v/>
      </c>
      <c r="N15128" s="11" t="str">
        <f t="shared" si="726"/>
        <v/>
      </c>
    </row>
    <row r="15129" spans="9:14" x14ac:dyDescent="0.25">
      <c r="I15129" s="11" t="b">
        <f t="shared" si="724"/>
        <v>0</v>
      </c>
      <c r="M15129" s="17" t="str">
        <f t="shared" si="725"/>
        <v/>
      </c>
      <c r="N15129" s="11" t="str">
        <f t="shared" si="726"/>
        <v/>
      </c>
    </row>
    <row r="15130" spans="9:14" x14ac:dyDescent="0.25">
      <c r="I15130" s="11" t="b">
        <f t="shared" si="724"/>
        <v>0</v>
      </c>
      <c r="M15130" s="17" t="str">
        <f t="shared" si="725"/>
        <v/>
      </c>
      <c r="N15130" s="11" t="str">
        <f t="shared" si="726"/>
        <v/>
      </c>
    </row>
    <row r="15131" spans="9:14" x14ac:dyDescent="0.25">
      <c r="I15131" s="11" t="b">
        <f t="shared" si="724"/>
        <v>0</v>
      </c>
      <c r="M15131" s="17" t="str">
        <f t="shared" si="725"/>
        <v/>
      </c>
      <c r="N15131" s="11" t="str">
        <f t="shared" si="726"/>
        <v/>
      </c>
    </row>
    <row r="15132" spans="9:14" x14ac:dyDescent="0.25">
      <c r="I15132" s="11" t="b">
        <f t="shared" si="724"/>
        <v>0</v>
      </c>
      <c r="M15132" s="17" t="str">
        <f t="shared" si="725"/>
        <v/>
      </c>
      <c r="N15132" s="11" t="str">
        <f t="shared" si="726"/>
        <v/>
      </c>
    </row>
    <row r="15133" spans="9:14" x14ac:dyDescent="0.25">
      <c r="I15133" s="11" t="b">
        <f t="shared" ref="I15133:I15196" si="727">IF(AND(G15133="MERCADO PAGO",A15133="FATURAMENTO"),1,IF(AND(OR(G15133="MERCADO PAGO",G15133="pix mercado pago",G15133= "débito automático mercado pago", G15133= "boleto mercado pago"),A15133="DESPESAS"),4,IF(AND(G15133="SAFRA",A15133="FATURAMENTO"),2,IF(AND(OR(G15133="SAFRA",G15133="PIX SAFRA", G15133="DÉBITO AUTOMÁTICO SAFRA", G15133= "BOLETO SAFRA", G15133= "transferência safra"), A15133="DESPESAS"),5,IF(AND(G15133="espécie",A15133="FATURAMENTO"),3,IF(AND(G15133="espécie",A15133="DESPESAS"),6))))))</f>
        <v>0</v>
      </c>
      <c r="M15133" s="17" t="str">
        <f t="shared" si="725"/>
        <v/>
      </c>
      <c r="N15133" s="11" t="str">
        <f t="shared" si="726"/>
        <v/>
      </c>
    </row>
    <row r="15134" spans="9:14" x14ac:dyDescent="0.25">
      <c r="I15134" s="11" t="b">
        <f t="shared" si="727"/>
        <v>0</v>
      </c>
      <c r="M15134" s="17" t="str">
        <f t="shared" si="725"/>
        <v/>
      </c>
      <c r="N15134" s="11" t="str">
        <f t="shared" si="726"/>
        <v/>
      </c>
    </row>
    <row r="15135" spans="9:14" x14ac:dyDescent="0.25">
      <c r="I15135" s="11" t="b">
        <f t="shared" si="727"/>
        <v>0</v>
      </c>
      <c r="M15135" s="17" t="str">
        <f t="shared" si="725"/>
        <v/>
      </c>
      <c r="N15135" s="11" t="str">
        <f t="shared" si="726"/>
        <v/>
      </c>
    </row>
    <row r="15136" spans="9:14" x14ac:dyDescent="0.25">
      <c r="I15136" s="11" t="b">
        <f t="shared" si="727"/>
        <v>0</v>
      </c>
      <c r="M15136" s="17" t="str">
        <f t="shared" si="725"/>
        <v/>
      </c>
      <c r="N15136" s="11" t="str">
        <f t="shared" si="726"/>
        <v/>
      </c>
    </row>
    <row r="15137" spans="9:14" x14ac:dyDescent="0.25">
      <c r="I15137" s="11" t="b">
        <f t="shared" si="727"/>
        <v>0</v>
      </c>
      <c r="M15137" s="17" t="str">
        <f t="shared" si="725"/>
        <v/>
      </c>
      <c r="N15137" s="11" t="str">
        <f t="shared" si="726"/>
        <v/>
      </c>
    </row>
    <row r="15138" spans="9:14" x14ac:dyDescent="0.25">
      <c r="I15138" s="11" t="b">
        <f t="shared" si="727"/>
        <v>0</v>
      </c>
      <c r="M15138" s="17" t="str">
        <f t="shared" si="725"/>
        <v/>
      </c>
      <c r="N15138" s="11" t="str">
        <f t="shared" si="726"/>
        <v/>
      </c>
    </row>
    <row r="15139" spans="9:14" x14ac:dyDescent="0.25">
      <c r="I15139" s="11" t="b">
        <f t="shared" si="727"/>
        <v>0</v>
      </c>
      <c r="M15139" s="17" t="str">
        <f t="shared" si="725"/>
        <v/>
      </c>
      <c r="N15139" s="11" t="str">
        <f t="shared" si="726"/>
        <v/>
      </c>
    </row>
    <row r="15140" spans="9:14" x14ac:dyDescent="0.25">
      <c r="I15140" s="11" t="b">
        <f t="shared" si="727"/>
        <v>0</v>
      </c>
      <c r="M15140" s="17" t="str">
        <f t="shared" si="725"/>
        <v/>
      </c>
      <c r="N15140" s="11" t="str">
        <f t="shared" si="726"/>
        <v/>
      </c>
    </row>
    <row r="15141" spans="9:14" x14ac:dyDescent="0.25">
      <c r="I15141" s="11" t="b">
        <f t="shared" si="727"/>
        <v>0</v>
      </c>
      <c r="M15141" s="17" t="str">
        <f t="shared" si="725"/>
        <v/>
      </c>
      <c r="N15141" s="11" t="str">
        <f t="shared" si="726"/>
        <v/>
      </c>
    </row>
    <row r="15142" spans="9:14" x14ac:dyDescent="0.25">
      <c r="I15142" s="11" t="b">
        <f t="shared" si="727"/>
        <v>0</v>
      </c>
      <c r="M15142" s="17" t="str">
        <f t="shared" si="725"/>
        <v/>
      </c>
      <c r="N15142" s="11" t="str">
        <f t="shared" si="726"/>
        <v/>
      </c>
    </row>
    <row r="15143" spans="9:14" x14ac:dyDescent="0.25">
      <c r="I15143" s="11" t="b">
        <f t="shared" si="727"/>
        <v>0</v>
      </c>
      <c r="M15143" s="17" t="str">
        <f t="shared" si="725"/>
        <v/>
      </c>
      <c r="N15143" s="11" t="str">
        <f t="shared" si="726"/>
        <v/>
      </c>
    </row>
    <row r="15144" spans="9:14" x14ac:dyDescent="0.25">
      <c r="I15144" s="11" t="b">
        <f t="shared" si="727"/>
        <v>0</v>
      </c>
      <c r="M15144" s="17" t="str">
        <f t="shared" si="725"/>
        <v/>
      </c>
      <c r="N15144" s="11" t="str">
        <f t="shared" si="726"/>
        <v/>
      </c>
    </row>
    <row r="15145" spans="9:14" x14ac:dyDescent="0.25">
      <c r="I15145" s="11" t="b">
        <f t="shared" si="727"/>
        <v>0</v>
      </c>
      <c r="M15145" s="17" t="str">
        <f t="shared" si="725"/>
        <v/>
      </c>
      <c r="N15145" s="11" t="str">
        <f t="shared" si="726"/>
        <v/>
      </c>
    </row>
    <row r="15146" spans="9:14" x14ac:dyDescent="0.25">
      <c r="I15146" s="11" t="b">
        <f t="shared" si="727"/>
        <v>0</v>
      </c>
      <c r="M15146" s="17" t="str">
        <f t="shared" si="725"/>
        <v/>
      </c>
      <c r="N15146" s="11" t="str">
        <f t="shared" si="726"/>
        <v/>
      </c>
    </row>
    <row r="15147" spans="9:14" x14ac:dyDescent="0.25">
      <c r="I15147" s="11" t="b">
        <f t="shared" si="727"/>
        <v>0</v>
      </c>
      <c r="M15147" s="17" t="str">
        <f t="shared" si="725"/>
        <v/>
      </c>
      <c r="N15147" s="11" t="str">
        <f t="shared" si="726"/>
        <v/>
      </c>
    </row>
    <row r="15148" spans="9:14" x14ac:dyDescent="0.25">
      <c r="I15148" s="11" t="b">
        <f t="shared" si="727"/>
        <v>0</v>
      </c>
      <c r="M15148" s="17" t="str">
        <f t="shared" si="725"/>
        <v/>
      </c>
      <c r="N15148" s="11" t="str">
        <f t="shared" si="726"/>
        <v/>
      </c>
    </row>
    <row r="15149" spans="9:14" x14ac:dyDescent="0.25">
      <c r="I15149" s="11" t="b">
        <f t="shared" si="727"/>
        <v>0</v>
      </c>
      <c r="M15149" s="17" t="str">
        <f t="shared" si="725"/>
        <v/>
      </c>
      <c r="N15149" s="11" t="str">
        <f t="shared" si="726"/>
        <v/>
      </c>
    </row>
    <row r="15150" spans="9:14" x14ac:dyDescent="0.25">
      <c r="I15150" s="11" t="b">
        <f t="shared" si="727"/>
        <v>0</v>
      </c>
      <c r="M15150" s="17" t="str">
        <f t="shared" si="725"/>
        <v/>
      </c>
      <c r="N15150" s="11" t="str">
        <f t="shared" si="726"/>
        <v/>
      </c>
    </row>
    <row r="15151" spans="9:14" x14ac:dyDescent="0.25">
      <c r="I15151" s="11" t="b">
        <f t="shared" si="727"/>
        <v>0</v>
      </c>
      <c r="M15151" s="17" t="str">
        <f t="shared" si="725"/>
        <v/>
      </c>
      <c r="N15151" s="11" t="str">
        <f t="shared" si="726"/>
        <v/>
      </c>
    </row>
    <row r="15152" spans="9:14" x14ac:dyDescent="0.25">
      <c r="I15152" s="11" t="b">
        <f t="shared" si="727"/>
        <v>0</v>
      </c>
      <c r="M15152" s="17" t="str">
        <f t="shared" si="725"/>
        <v/>
      </c>
      <c r="N15152" s="11" t="str">
        <f t="shared" si="726"/>
        <v/>
      </c>
    </row>
    <row r="15153" spans="9:14" x14ac:dyDescent="0.25">
      <c r="I15153" s="11" t="b">
        <f t="shared" si="727"/>
        <v>0</v>
      </c>
      <c r="M15153" s="17" t="str">
        <f t="shared" si="725"/>
        <v/>
      </c>
      <c r="N15153" s="11" t="str">
        <f t="shared" si="726"/>
        <v/>
      </c>
    </row>
    <row r="15154" spans="9:14" x14ac:dyDescent="0.25">
      <c r="I15154" s="11" t="b">
        <f t="shared" si="727"/>
        <v>0</v>
      </c>
      <c r="M15154" s="17" t="str">
        <f t="shared" si="725"/>
        <v/>
      </c>
      <c r="N15154" s="11" t="str">
        <f t="shared" si="726"/>
        <v/>
      </c>
    </row>
    <row r="15155" spans="9:14" x14ac:dyDescent="0.25">
      <c r="I15155" s="11" t="b">
        <f t="shared" si="727"/>
        <v>0</v>
      </c>
      <c r="M15155" s="17" t="str">
        <f t="shared" si="725"/>
        <v/>
      </c>
      <c r="N15155" s="11" t="str">
        <f t="shared" si="726"/>
        <v/>
      </c>
    </row>
    <row r="15156" spans="9:14" x14ac:dyDescent="0.25">
      <c r="I15156" s="11" t="b">
        <f t="shared" si="727"/>
        <v>0</v>
      </c>
      <c r="M15156" s="17" t="str">
        <f t="shared" si="725"/>
        <v/>
      </c>
      <c r="N15156" s="11" t="str">
        <f t="shared" si="726"/>
        <v/>
      </c>
    </row>
    <row r="15157" spans="9:14" x14ac:dyDescent="0.25">
      <c r="I15157" s="11" t="b">
        <f t="shared" si="727"/>
        <v>0</v>
      </c>
      <c r="M15157" s="17" t="str">
        <f t="shared" si="725"/>
        <v/>
      </c>
      <c r="N15157" s="11" t="str">
        <f t="shared" si="726"/>
        <v/>
      </c>
    </row>
    <row r="15158" spans="9:14" x14ac:dyDescent="0.25">
      <c r="I15158" s="11" t="b">
        <f t="shared" si="727"/>
        <v>0</v>
      </c>
      <c r="M15158" s="17" t="str">
        <f t="shared" si="725"/>
        <v/>
      </c>
      <c r="N15158" s="11" t="str">
        <f t="shared" si="726"/>
        <v/>
      </c>
    </row>
    <row r="15159" spans="9:14" x14ac:dyDescent="0.25">
      <c r="I15159" s="11" t="b">
        <f t="shared" si="727"/>
        <v>0</v>
      </c>
      <c r="M15159" s="17" t="str">
        <f t="shared" si="725"/>
        <v/>
      </c>
      <c r="N15159" s="11" t="str">
        <f t="shared" si="726"/>
        <v/>
      </c>
    </row>
    <row r="15160" spans="9:14" x14ac:dyDescent="0.25">
      <c r="I15160" s="11" t="b">
        <f t="shared" si="727"/>
        <v>0</v>
      </c>
      <c r="M15160" s="17" t="str">
        <f t="shared" si="725"/>
        <v/>
      </c>
      <c r="N15160" s="11" t="str">
        <f t="shared" si="726"/>
        <v/>
      </c>
    </row>
    <row r="15161" spans="9:14" x14ac:dyDescent="0.25">
      <c r="I15161" s="11" t="b">
        <f t="shared" si="727"/>
        <v>0</v>
      </c>
      <c r="M15161" s="17" t="str">
        <f t="shared" si="725"/>
        <v/>
      </c>
      <c r="N15161" s="11" t="str">
        <f t="shared" si="726"/>
        <v/>
      </c>
    </row>
    <row r="15162" spans="9:14" x14ac:dyDescent="0.25">
      <c r="I15162" s="11" t="b">
        <f t="shared" si="727"/>
        <v>0</v>
      </c>
      <c r="M15162" s="17" t="str">
        <f t="shared" si="725"/>
        <v/>
      </c>
      <c r="N15162" s="11" t="str">
        <f t="shared" si="726"/>
        <v/>
      </c>
    </row>
    <row r="15163" spans="9:14" x14ac:dyDescent="0.25">
      <c r="I15163" s="11" t="b">
        <f t="shared" si="727"/>
        <v>0</v>
      </c>
      <c r="M15163" s="17" t="str">
        <f t="shared" si="725"/>
        <v/>
      </c>
      <c r="N15163" s="11" t="str">
        <f t="shared" si="726"/>
        <v/>
      </c>
    </row>
    <row r="15164" spans="9:14" x14ac:dyDescent="0.25">
      <c r="I15164" s="11" t="b">
        <f t="shared" si="727"/>
        <v>0</v>
      </c>
      <c r="M15164" s="17" t="str">
        <f t="shared" si="725"/>
        <v/>
      </c>
      <c r="N15164" s="11" t="str">
        <f t="shared" si="726"/>
        <v/>
      </c>
    </row>
    <row r="15165" spans="9:14" x14ac:dyDescent="0.25">
      <c r="I15165" s="11" t="b">
        <f t="shared" si="727"/>
        <v>0</v>
      </c>
      <c r="M15165" s="17" t="str">
        <f t="shared" si="725"/>
        <v/>
      </c>
      <c r="N15165" s="11" t="str">
        <f t="shared" si="726"/>
        <v/>
      </c>
    </row>
    <row r="15166" spans="9:14" x14ac:dyDescent="0.25">
      <c r="I15166" s="11" t="b">
        <f t="shared" si="727"/>
        <v>0</v>
      </c>
      <c r="M15166" s="17" t="str">
        <f t="shared" si="725"/>
        <v/>
      </c>
      <c r="N15166" s="11" t="str">
        <f t="shared" si="726"/>
        <v/>
      </c>
    </row>
    <row r="15167" spans="9:14" x14ac:dyDescent="0.25">
      <c r="I15167" s="11" t="b">
        <f t="shared" si="727"/>
        <v>0</v>
      </c>
      <c r="M15167" s="17" t="str">
        <f t="shared" si="725"/>
        <v/>
      </c>
      <c r="N15167" s="11" t="str">
        <f t="shared" si="726"/>
        <v/>
      </c>
    </row>
    <row r="15168" spans="9:14" x14ac:dyDescent="0.25">
      <c r="I15168" s="11" t="b">
        <f t="shared" si="727"/>
        <v>0</v>
      </c>
      <c r="M15168" s="17" t="str">
        <f t="shared" si="725"/>
        <v/>
      </c>
      <c r="N15168" s="11" t="str">
        <f t="shared" si="726"/>
        <v/>
      </c>
    </row>
    <row r="15169" spans="9:14" x14ac:dyDescent="0.25">
      <c r="I15169" s="11" t="b">
        <f t="shared" si="727"/>
        <v>0</v>
      </c>
      <c r="M15169" s="17" t="str">
        <f t="shared" ref="M15169:M15232" si="728">IF(B15169=0, "",M15168+ J15169-K15169)</f>
        <v/>
      </c>
      <c r="N15169" s="11" t="str">
        <f t="shared" ref="N15169:N15232" si="729">IF(B15169=0, "", MONTH(B15169))</f>
        <v/>
      </c>
    </row>
    <row r="15170" spans="9:14" x14ac:dyDescent="0.25">
      <c r="I15170" s="11" t="b">
        <f t="shared" si="727"/>
        <v>0</v>
      </c>
      <c r="M15170" s="17" t="str">
        <f t="shared" si="728"/>
        <v/>
      </c>
      <c r="N15170" s="11" t="str">
        <f t="shared" si="729"/>
        <v/>
      </c>
    </row>
    <row r="15171" spans="9:14" x14ac:dyDescent="0.25">
      <c r="I15171" s="11" t="b">
        <f t="shared" si="727"/>
        <v>0</v>
      </c>
      <c r="M15171" s="17" t="str">
        <f t="shared" si="728"/>
        <v/>
      </c>
      <c r="N15171" s="11" t="str">
        <f t="shared" si="729"/>
        <v/>
      </c>
    </row>
    <row r="15172" spans="9:14" x14ac:dyDescent="0.25">
      <c r="I15172" s="11" t="b">
        <f t="shared" si="727"/>
        <v>0</v>
      </c>
      <c r="M15172" s="17" t="str">
        <f t="shared" si="728"/>
        <v/>
      </c>
      <c r="N15172" s="11" t="str">
        <f t="shared" si="729"/>
        <v/>
      </c>
    </row>
    <row r="15173" spans="9:14" x14ac:dyDescent="0.25">
      <c r="I15173" s="11" t="b">
        <f t="shared" si="727"/>
        <v>0</v>
      </c>
      <c r="M15173" s="17" t="str">
        <f t="shared" si="728"/>
        <v/>
      </c>
      <c r="N15173" s="11" t="str">
        <f t="shared" si="729"/>
        <v/>
      </c>
    </row>
    <row r="15174" spans="9:14" x14ac:dyDescent="0.25">
      <c r="I15174" s="11" t="b">
        <f t="shared" si="727"/>
        <v>0</v>
      </c>
      <c r="M15174" s="17" t="str">
        <f t="shared" si="728"/>
        <v/>
      </c>
      <c r="N15174" s="11" t="str">
        <f t="shared" si="729"/>
        <v/>
      </c>
    </row>
    <row r="15175" spans="9:14" x14ac:dyDescent="0.25">
      <c r="I15175" s="11" t="b">
        <f t="shared" si="727"/>
        <v>0</v>
      </c>
      <c r="M15175" s="17" t="str">
        <f t="shared" si="728"/>
        <v/>
      </c>
      <c r="N15175" s="11" t="str">
        <f t="shared" si="729"/>
        <v/>
      </c>
    </row>
    <row r="15176" spans="9:14" x14ac:dyDescent="0.25">
      <c r="I15176" s="11" t="b">
        <f t="shared" si="727"/>
        <v>0</v>
      </c>
      <c r="M15176" s="17" t="str">
        <f t="shared" si="728"/>
        <v/>
      </c>
      <c r="N15176" s="11" t="str">
        <f t="shared" si="729"/>
        <v/>
      </c>
    </row>
    <row r="15177" spans="9:14" x14ac:dyDescent="0.25">
      <c r="I15177" s="11" t="b">
        <f t="shared" si="727"/>
        <v>0</v>
      </c>
      <c r="M15177" s="17" t="str">
        <f t="shared" si="728"/>
        <v/>
      </c>
      <c r="N15177" s="11" t="str">
        <f t="shared" si="729"/>
        <v/>
      </c>
    </row>
    <row r="15178" spans="9:14" x14ac:dyDescent="0.25">
      <c r="I15178" s="11" t="b">
        <f t="shared" si="727"/>
        <v>0</v>
      </c>
      <c r="M15178" s="17" t="str">
        <f t="shared" si="728"/>
        <v/>
      </c>
      <c r="N15178" s="11" t="str">
        <f t="shared" si="729"/>
        <v/>
      </c>
    </row>
    <row r="15179" spans="9:14" x14ac:dyDescent="0.25">
      <c r="I15179" s="11" t="b">
        <f t="shared" si="727"/>
        <v>0</v>
      </c>
      <c r="M15179" s="17" t="str">
        <f t="shared" si="728"/>
        <v/>
      </c>
      <c r="N15179" s="11" t="str">
        <f t="shared" si="729"/>
        <v/>
      </c>
    </row>
    <row r="15180" spans="9:14" x14ac:dyDescent="0.25">
      <c r="I15180" s="11" t="b">
        <f t="shared" si="727"/>
        <v>0</v>
      </c>
      <c r="M15180" s="17" t="str">
        <f t="shared" si="728"/>
        <v/>
      </c>
      <c r="N15180" s="11" t="str">
        <f t="shared" si="729"/>
        <v/>
      </c>
    </row>
    <row r="15181" spans="9:14" x14ac:dyDescent="0.25">
      <c r="I15181" s="11" t="b">
        <f t="shared" si="727"/>
        <v>0</v>
      </c>
      <c r="M15181" s="17" t="str">
        <f t="shared" si="728"/>
        <v/>
      </c>
      <c r="N15181" s="11" t="str">
        <f t="shared" si="729"/>
        <v/>
      </c>
    </row>
    <row r="15182" spans="9:14" x14ac:dyDescent="0.25">
      <c r="I15182" s="11" t="b">
        <f t="shared" si="727"/>
        <v>0</v>
      </c>
      <c r="M15182" s="17" t="str">
        <f t="shared" si="728"/>
        <v/>
      </c>
      <c r="N15182" s="11" t="str">
        <f t="shared" si="729"/>
        <v/>
      </c>
    </row>
    <row r="15183" spans="9:14" x14ac:dyDescent="0.25">
      <c r="I15183" s="11" t="b">
        <f t="shared" si="727"/>
        <v>0</v>
      </c>
      <c r="M15183" s="17" t="str">
        <f t="shared" si="728"/>
        <v/>
      </c>
      <c r="N15183" s="11" t="str">
        <f t="shared" si="729"/>
        <v/>
      </c>
    </row>
    <row r="15184" spans="9:14" x14ac:dyDescent="0.25">
      <c r="I15184" s="11" t="b">
        <f t="shared" si="727"/>
        <v>0</v>
      </c>
      <c r="M15184" s="17" t="str">
        <f t="shared" si="728"/>
        <v/>
      </c>
      <c r="N15184" s="11" t="str">
        <f t="shared" si="729"/>
        <v/>
      </c>
    </row>
    <row r="15185" spans="9:14" x14ac:dyDescent="0.25">
      <c r="I15185" s="11" t="b">
        <f t="shared" si="727"/>
        <v>0</v>
      </c>
      <c r="M15185" s="17" t="str">
        <f t="shared" si="728"/>
        <v/>
      </c>
      <c r="N15185" s="11" t="str">
        <f t="shared" si="729"/>
        <v/>
      </c>
    </row>
    <row r="15186" spans="9:14" x14ac:dyDescent="0.25">
      <c r="I15186" s="11" t="b">
        <f t="shared" si="727"/>
        <v>0</v>
      </c>
      <c r="M15186" s="17" t="str">
        <f t="shared" si="728"/>
        <v/>
      </c>
      <c r="N15186" s="11" t="str">
        <f t="shared" si="729"/>
        <v/>
      </c>
    </row>
    <row r="15187" spans="9:14" x14ac:dyDescent="0.25">
      <c r="I15187" s="11" t="b">
        <f t="shared" si="727"/>
        <v>0</v>
      </c>
      <c r="M15187" s="17" t="str">
        <f t="shared" si="728"/>
        <v/>
      </c>
      <c r="N15187" s="11" t="str">
        <f t="shared" si="729"/>
        <v/>
      </c>
    </row>
    <row r="15188" spans="9:14" x14ac:dyDescent="0.25">
      <c r="I15188" s="11" t="b">
        <f t="shared" si="727"/>
        <v>0</v>
      </c>
      <c r="M15188" s="17" t="str">
        <f t="shared" si="728"/>
        <v/>
      </c>
      <c r="N15188" s="11" t="str">
        <f t="shared" si="729"/>
        <v/>
      </c>
    </row>
    <row r="15189" spans="9:14" x14ac:dyDescent="0.25">
      <c r="I15189" s="11" t="b">
        <f t="shared" si="727"/>
        <v>0</v>
      </c>
      <c r="M15189" s="17" t="str">
        <f t="shared" si="728"/>
        <v/>
      </c>
      <c r="N15189" s="11" t="str">
        <f t="shared" si="729"/>
        <v/>
      </c>
    </row>
    <row r="15190" spans="9:14" x14ac:dyDescent="0.25">
      <c r="I15190" s="11" t="b">
        <f t="shared" si="727"/>
        <v>0</v>
      </c>
      <c r="M15190" s="17" t="str">
        <f t="shared" si="728"/>
        <v/>
      </c>
      <c r="N15190" s="11" t="str">
        <f t="shared" si="729"/>
        <v/>
      </c>
    </row>
    <row r="15191" spans="9:14" x14ac:dyDescent="0.25">
      <c r="I15191" s="11" t="b">
        <f t="shared" si="727"/>
        <v>0</v>
      </c>
      <c r="M15191" s="17" t="str">
        <f t="shared" si="728"/>
        <v/>
      </c>
      <c r="N15191" s="11" t="str">
        <f t="shared" si="729"/>
        <v/>
      </c>
    </row>
    <row r="15192" spans="9:14" x14ac:dyDescent="0.25">
      <c r="I15192" s="11" t="b">
        <f t="shared" si="727"/>
        <v>0</v>
      </c>
      <c r="M15192" s="17" t="str">
        <f t="shared" si="728"/>
        <v/>
      </c>
      <c r="N15192" s="11" t="str">
        <f t="shared" si="729"/>
        <v/>
      </c>
    </row>
    <row r="15193" spans="9:14" x14ac:dyDescent="0.25">
      <c r="I15193" s="11" t="b">
        <f t="shared" si="727"/>
        <v>0</v>
      </c>
      <c r="M15193" s="17" t="str">
        <f t="shared" si="728"/>
        <v/>
      </c>
      <c r="N15193" s="11" t="str">
        <f t="shared" si="729"/>
        <v/>
      </c>
    </row>
    <row r="15194" spans="9:14" x14ac:dyDescent="0.25">
      <c r="I15194" s="11" t="b">
        <f t="shared" si="727"/>
        <v>0</v>
      </c>
      <c r="M15194" s="17" t="str">
        <f t="shared" si="728"/>
        <v/>
      </c>
      <c r="N15194" s="11" t="str">
        <f t="shared" si="729"/>
        <v/>
      </c>
    </row>
    <row r="15195" spans="9:14" x14ac:dyDescent="0.25">
      <c r="I15195" s="11" t="b">
        <f t="shared" si="727"/>
        <v>0</v>
      </c>
      <c r="M15195" s="17" t="str">
        <f t="shared" si="728"/>
        <v/>
      </c>
      <c r="N15195" s="11" t="str">
        <f t="shared" si="729"/>
        <v/>
      </c>
    </row>
    <row r="15196" spans="9:14" x14ac:dyDescent="0.25">
      <c r="I15196" s="11" t="b">
        <f t="shared" si="727"/>
        <v>0</v>
      </c>
      <c r="M15196" s="17" t="str">
        <f t="shared" si="728"/>
        <v/>
      </c>
      <c r="N15196" s="11" t="str">
        <f t="shared" si="729"/>
        <v/>
      </c>
    </row>
    <row r="15197" spans="9:14" x14ac:dyDescent="0.25">
      <c r="I15197" s="11" t="b">
        <f t="shared" ref="I15197:I15260" si="730">IF(AND(G15197="MERCADO PAGO",A15197="FATURAMENTO"),1,IF(AND(OR(G15197="MERCADO PAGO",G15197="pix mercado pago",G15197= "débito automático mercado pago", G15197= "boleto mercado pago"),A15197="DESPESAS"),4,IF(AND(G15197="SAFRA",A15197="FATURAMENTO"),2,IF(AND(OR(G15197="SAFRA",G15197="PIX SAFRA", G15197="DÉBITO AUTOMÁTICO SAFRA", G15197= "BOLETO SAFRA", G15197= "transferência safra"), A15197="DESPESAS"),5,IF(AND(G15197="espécie",A15197="FATURAMENTO"),3,IF(AND(G15197="espécie",A15197="DESPESAS"),6))))))</f>
        <v>0</v>
      </c>
      <c r="M15197" s="17" t="str">
        <f t="shared" si="728"/>
        <v/>
      </c>
      <c r="N15197" s="11" t="str">
        <f t="shared" si="729"/>
        <v/>
      </c>
    </row>
    <row r="15198" spans="9:14" x14ac:dyDescent="0.25">
      <c r="I15198" s="11" t="b">
        <f t="shared" si="730"/>
        <v>0</v>
      </c>
      <c r="M15198" s="17" t="str">
        <f t="shared" si="728"/>
        <v/>
      </c>
      <c r="N15198" s="11" t="str">
        <f t="shared" si="729"/>
        <v/>
      </c>
    </row>
    <row r="15199" spans="9:14" x14ac:dyDescent="0.25">
      <c r="I15199" s="11" t="b">
        <f t="shared" si="730"/>
        <v>0</v>
      </c>
      <c r="M15199" s="17" t="str">
        <f t="shared" si="728"/>
        <v/>
      </c>
      <c r="N15199" s="11" t="str">
        <f t="shared" si="729"/>
        <v/>
      </c>
    </row>
    <row r="15200" spans="9:14" x14ac:dyDescent="0.25">
      <c r="I15200" s="11" t="b">
        <f t="shared" si="730"/>
        <v>0</v>
      </c>
      <c r="M15200" s="17" t="str">
        <f t="shared" si="728"/>
        <v/>
      </c>
      <c r="N15200" s="11" t="str">
        <f t="shared" si="729"/>
        <v/>
      </c>
    </row>
    <row r="15201" spans="9:14" x14ac:dyDescent="0.25">
      <c r="I15201" s="11" t="b">
        <f t="shared" si="730"/>
        <v>0</v>
      </c>
      <c r="M15201" s="17" t="str">
        <f t="shared" si="728"/>
        <v/>
      </c>
      <c r="N15201" s="11" t="str">
        <f t="shared" si="729"/>
        <v/>
      </c>
    </row>
    <row r="15202" spans="9:14" x14ac:dyDescent="0.25">
      <c r="I15202" s="11" t="b">
        <f t="shared" si="730"/>
        <v>0</v>
      </c>
      <c r="M15202" s="17" t="str">
        <f t="shared" si="728"/>
        <v/>
      </c>
      <c r="N15202" s="11" t="str">
        <f t="shared" si="729"/>
        <v/>
      </c>
    </row>
    <row r="15203" spans="9:14" x14ac:dyDescent="0.25">
      <c r="I15203" s="11" t="b">
        <f t="shared" si="730"/>
        <v>0</v>
      </c>
      <c r="M15203" s="17" t="str">
        <f t="shared" si="728"/>
        <v/>
      </c>
      <c r="N15203" s="11" t="str">
        <f t="shared" si="729"/>
        <v/>
      </c>
    </row>
    <row r="15204" spans="9:14" x14ac:dyDescent="0.25">
      <c r="I15204" s="11" t="b">
        <f t="shared" si="730"/>
        <v>0</v>
      </c>
      <c r="M15204" s="17" t="str">
        <f t="shared" si="728"/>
        <v/>
      </c>
      <c r="N15204" s="11" t="str">
        <f t="shared" si="729"/>
        <v/>
      </c>
    </row>
    <row r="15205" spans="9:14" x14ac:dyDescent="0.25">
      <c r="I15205" s="11" t="b">
        <f t="shared" si="730"/>
        <v>0</v>
      </c>
      <c r="M15205" s="17" t="str">
        <f t="shared" si="728"/>
        <v/>
      </c>
      <c r="N15205" s="11" t="str">
        <f t="shared" si="729"/>
        <v/>
      </c>
    </row>
    <row r="15206" spans="9:14" x14ac:dyDescent="0.25">
      <c r="I15206" s="11" t="b">
        <f t="shared" si="730"/>
        <v>0</v>
      </c>
      <c r="M15206" s="17" t="str">
        <f t="shared" si="728"/>
        <v/>
      </c>
      <c r="N15206" s="11" t="str">
        <f t="shared" si="729"/>
        <v/>
      </c>
    </row>
    <row r="15207" spans="9:14" x14ac:dyDescent="0.25">
      <c r="I15207" s="11" t="b">
        <f t="shared" si="730"/>
        <v>0</v>
      </c>
      <c r="M15207" s="17" t="str">
        <f t="shared" si="728"/>
        <v/>
      </c>
      <c r="N15207" s="11" t="str">
        <f t="shared" si="729"/>
        <v/>
      </c>
    </row>
    <row r="15208" spans="9:14" x14ac:dyDescent="0.25">
      <c r="I15208" s="11" t="b">
        <f t="shared" si="730"/>
        <v>0</v>
      </c>
      <c r="M15208" s="17" t="str">
        <f t="shared" si="728"/>
        <v/>
      </c>
      <c r="N15208" s="11" t="str">
        <f t="shared" si="729"/>
        <v/>
      </c>
    </row>
    <row r="15209" spans="9:14" x14ac:dyDescent="0.25">
      <c r="I15209" s="11" t="b">
        <f t="shared" si="730"/>
        <v>0</v>
      </c>
      <c r="M15209" s="17" t="str">
        <f t="shared" si="728"/>
        <v/>
      </c>
      <c r="N15209" s="11" t="str">
        <f t="shared" si="729"/>
        <v/>
      </c>
    </row>
    <row r="15210" spans="9:14" x14ac:dyDescent="0.25">
      <c r="I15210" s="11" t="b">
        <f t="shared" si="730"/>
        <v>0</v>
      </c>
      <c r="M15210" s="17" t="str">
        <f t="shared" si="728"/>
        <v/>
      </c>
      <c r="N15210" s="11" t="str">
        <f t="shared" si="729"/>
        <v/>
      </c>
    </row>
    <row r="15211" spans="9:14" x14ac:dyDescent="0.25">
      <c r="I15211" s="11" t="b">
        <f t="shared" si="730"/>
        <v>0</v>
      </c>
      <c r="M15211" s="17" t="str">
        <f t="shared" si="728"/>
        <v/>
      </c>
      <c r="N15211" s="11" t="str">
        <f t="shared" si="729"/>
        <v/>
      </c>
    </row>
    <row r="15212" spans="9:14" x14ac:dyDescent="0.25">
      <c r="I15212" s="11" t="b">
        <f t="shared" si="730"/>
        <v>0</v>
      </c>
      <c r="M15212" s="17" t="str">
        <f t="shared" si="728"/>
        <v/>
      </c>
      <c r="N15212" s="11" t="str">
        <f t="shared" si="729"/>
        <v/>
      </c>
    </row>
    <row r="15213" spans="9:14" x14ac:dyDescent="0.25">
      <c r="I15213" s="11" t="b">
        <f t="shared" si="730"/>
        <v>0</v>
      </c>
      <c r="M15213" s="17" t="str">
        <f t="shared" si="728"/>
        <v/>
      </c>
      <c r="N15213" s="11" t="str">
        <f t="shared" si="729"/>
        <v/>
      </c>
    </row>
    <row r="15214" spans="9:14" x14ac:dyDescent="0.25">
      <c r="I15214" s="11" t="b">
        <f t="shared" si="730"/>
        <v>0</v>
      </c>
      <c r="M15214" s="17" t="str">
        <f t="shared" si="728"/>
        <v/>
      </c>
      <c r="N15214" s="11" t="str">
        <f t="shared" si="729"/>
        <v/>
      </c>
    </row>
    <row r="15215" spans="9:14" x14ac:dyDescent="0.25">
      <c r="I15215" s="11" t="b">
        <f t="shared" si="730"/>
        <v>0</v>
      </c>
      <c r="M15215" s="17" t="str">
        <f t="shared" si="728"/>
        <v/>
      </c>
      <c r="N15215" s="11" t="str">
        <f t="shared" si="729"/>
        <v/>
      </c>
    </row>
    <row r="15216" spans="9:14" x14ac:dyDescent="0.25">
      <c r="I15216" s="11" t="b">
        <f t="shared" si="730"/>
        <v>0</v>
      </c>
      <c r="M15216" s="17" t="str">
        <f t="shared" si="728"/>
        <v/>
      </c>
      <c r="N15216" s="11" t="str">
        <f t="shared" si="729"/>
        <v/>
      </c>
    </row>
    <row r="15217" spans="9:14" x14ac:dyDescent="0.25">
      <c r="I15217" s="11" t="b">
        <f t="shared" si="730"/>
        <v>0</v>
      </c>
      <c r="M15217" s="17" t="str">
        <f t="shared" si="728"/>
        <v/>
      </c>
      <c r="N15217" s="11" t="str">
        <f t="shared" si="729"/>
        <v/>
      </c>
    </row>
    <row r="15218" spans="9:14" x14ac:dyDescent="0.25">
      <c r="I15218" s="11" t="b">
        <f t="shared" si="730"/>
        <v>0</v>
      </c>
      <c r="M15218" s="17" t="str">
        <f t="shared" si="728"/>
        <v/>
      </c>
      <c r="N15218" s="11" t="str">
        <f t="shared" si="729"/>
        <v/>
      </c>
    </row>
    <row r="15219" spans="9:14" x14ac:dyDescent="0.25">
      <c r="I15219" s="11" t="b">
        <f t="shared" si="730"/>
        <v>0</v>
      </c>
      <c r="M15219" s="17" t="str">
        <f t="shared" si="728"/>
        <v/>
      </c>
      <c r="N15219" s="11" t="str">
        <f t="shared" si="729"/>
        <v/>
      </c>
    </row>
    <row r="15220" spans="9:14" x14ac:dyDescent="0.25">
      <c r="I15220" s="11" t="b">
        <f t="shared" si="730"/>
        <v>0</v>
      </c>
      <c r="M15220" s="17" t="str">
        <f t="shared" si="728"/>
        <v/>
      </c>
      <c r="N15220" s="11" t="str">
        <f t="shared" si="729"/>
        <v/>
      </c>
    </row>
    <row r="15221" spans="9:14" x14ac:dyDescent="0.25">
      <c r="I15221" s="11" t="b">
        <f t="shared" si="730"/>
        <v>0</v>
      </c>
      <c r="M15221" s="17" t="str">
        <f t="shared" si="728"/>
        <v/>
      </c>
      <c r="N15221" s="11" t="str">
        <f t="shared" si="729"/>
        <v/>
      </c>
    </row>
    <row r="15222" spans="9:14" x14ac:dyDescent="0.25">
      <c r="I15222" s="11" t="b">
        <f t="shared" si="730"/>
        <v>0</v>
      </c>
      <c r="M15222" s="17" t="str">
        <f t="shared" si="728"/>
        <v/>
      </c>
      <c r="N15222" s="11" t="str">
        <f t="shared" si="729"/>
        <v/>
      </c>
    </row>
    <row r="15223" spans="9:14" x14ac:dyDescent="0.25">
      <c r="I15223" s="11" t="b">
        <f t="shared" si="730"/>
        <v>0</v>
      </c>
      <c r="M15223" s="17" t="str">
        <f t="shared" si="728"/>
        <v/>
      </c>
      <c r="N15223" s="11" t="str">
        <f t="shared" si="729"/>
        <v/>
      </c>
    </row>
    <row r="15224" spans="9:14" x14ac:dyDescent="0.25">
      <c r="I15224" s="11" t="b">
        <f t="shared" si="730"/>
        <v>0</v>
      </c>
      <c r="M15224" s="17" t="str">
        <f t="shared" si="728"/>
        <v/>
      </c>
      <c r="N15224" s="11" t="str">
        <f t="shared" si="729"/>
        <v/>
      </c>
    </row>
    <row r="15225" spans="9:14" x14ac:dyDescent="0.25">
      <c r="I15225" s="11" t="b">
        <f t="shared" si="730"/>
        <v>0</v>
      </c>
      <c r="M15225" s="17" t="str">
        <f t="shared" si="728"/>
        <v/>
      </c>
      <c r="N15225" s="11" t="str">
        <f t="shared" si="729"/>
        <v/>
      </c>
    </row>
    <row r="15226" spans="9:14" x14ac:dyDescent="0.25">
      <c r="I15226" s="11" t="b">
        <f t="shared" si="730"/>
        <v>0</v>
      </c>
      <c r="M15226" s="17" t="str">
        <f t="shared" si="728"/>
        <v/>
      </c>
      <c r="N15226" s="11" t="str">
        <f t="shared" si="729"/>
        <v/>
      </c>
    </row>
    <row r="15227" spans="9:14" x14ac:dyDescent="0.25">
      <c r="I15227" s="11" t="b">
        <f t="shared" si="730"/>
        <v>0</v>
      </c>
      <c r="M15227" s="17" t="str">
        <f t="shared" si="728"/>
        <v/>
      </c>
      <c r="N15227" s="11" t="str">
        <f t="shared" si="729"/>
        <v/>
      </c>
    </row>
    <row r="15228" spans="9:14" x14ac:dyDescent="0.25">
      <c r="I15228" s="11" t="b">
        <f t="shared" si="730"/>
        <v>0</v>
      </c>
      <c r="M15228" s="17" t="str">
        <f t="shared" si="728"/>
        <v/>
      </c>
      <c r="N15228" s="11" t="str">
        <f t="shared" si="729"/>
        <v/>
      </c>
    </row>
    <row r="15229" spans="9:14" x14ac:dyDescent="0.25">
      <c r="I15229" s="11" t="b">
        <f t="shared" si="730"/>
        <v>0</v>
      </c>
      <c r="M15229" s="17" t="str">
        <f t="shared" si="728"/>
        <v/>
      </c>
      <c r="N15229" s="11" t="str">
        <f t="shared" si="729"/>
        <v/>
      </c>
    </row>
    <row r="15230" spans="9:14" x14ac:dyDescent="0.25">
      <c r="I15230" s="11" t="b">
        <f t="shared" si="730"/>
        <v>0</v>
      </c>
      <c r="M15230" s="17" t="str">
        <f t="shared" si="728"/>
        <v/>
      </c>
      <c r="N15230" s="11" t="str">
        <f t="shared" si="729"/>
        <v/>
      </c>
    </row>
    <row r="15231" spans="9:14" x14ac:dyDescent="0.25">
      <c r="I15231" s="11" t="b">
        <f t="shared" si="730"/>
        <v>0</v>
      </c>
      <c r="M15231" s="17" t="str">
        <f t="shared" si="728"/>
        <v/>
      </c>
      <c r="N15231" s="11" t="str">
        <f t="shared" si="729"/>
        <v/>
      </c>
    </row>
    <row r="15232" spans="9:14" x14ac:dyDescent="0.25">
      <c r="I15232" s="11" t="b">
        <f t="shared" si="730"/>
        <v>0</v>
      </c>
      <c r="M15232" s="17" t="str">
        <f t="shared" si="728"/>
        <v/>
      </c>
      <c r="N15232" s="11" t="str">
        <f t="shared" si="729"/>
        <v/>
      </c>
    </row>
    <row r="15233" spans="9:14" x14ac:dyDescent="0.25">
      <c r="I15233" s="11" t="b">
        <f t="shared" si="730"/>
        <v>0</v>
      </c>
      <c r="M15233" s="17" t="str">
        <f t="shared" ref="M15233:M15296" si="731">IF(B15233=0, "",M15232+ J15233-K15233)</f>
        <v/>
      </c>
      <c r="N15233" s="11" t="str">
        <f t="shared" ref="N15233:N15296" si="732">IF(B15233=0, "", MONTH(B15233))</f>
        <v/>
      </c>
    </row>
    <row r="15234" spans="9:14" x14ac:dyDescent="0.25">
      <c r="I15234" s="11" t="b">
        <f t="shared" si="730"/>
        <v>0</v>
      </c>
      <c r="M15234" s="17" t="str">
        <f t="shared" si="731"/>
        <v/>
      </c>
      <c r="N15234" s="11" t="str">
        <f t="shared" si="732"/>
        <v/>
      </c>
    </row>
    <row r="15235" spans="9:14" x14ac:dyDescent="0.25">
      <c r="I15235" s="11" t="b">
        <f t="shared" si="730"/>
        <v>0</v>
      </c>
      <c r="M15235" s="17" t="str">
        <f t="shared" si="731"/>
        <v/>
      </c>
      <c r="N15235" s="11" t="str">
        <f t="shared" si="732"/>
        <v/>
      </c>
    </row>
    <row r="15236" spans="9:14" x14ac:dyDescent="0.25">
      <c r="I15236" s="11" t="b">
        <f t="shared" si="730"/>
        <v>0</v>
      </c>
      <c r="M15236" s="17" t="str">
        <f t="shared" si="731"/>
        <v/>
      </c>
      <c r="N15236" s="11" t="str">
        <f t="shared" si="732"/>
        <v/>
      </c>
    </row>
    <row r="15237" spans="9:14" x14ac:dyDescent="0.25">
      <c r="I15237" s="11" t="b">
        <f t="shared" si="730"/>
        <v>0</v>
      </c>
      <c r="M15237" s="17" t="str">
        <f t="shared" si="731"/>
        <v/>
      </c>
      <c r="N15237" s="11" t="str">
        <f t="shared" si="732"/>
        <v/>
      </c>
    </row>
    <row r="15238" spans="9:14" x14ac:dyDescent="0.25">
      <c r="I15238" s="11" t="b">
        <f t="shared" si="730"/>
        <v>0</v>
      </c>
      <c r="M15238" s="17" t="str">
        <f t="shared" si="731"/>
        <v/>
      </c>
      <c r="N15238" s="11" t="str">
        <f t="shared" si="732"/>
        <v/>
      </c>
    </row>
    <row r="15239" spans="9:14" x14ac:dyDescent="0.25">
      <c r="I15239" s="11" t="b">
        <f t="shared" si="730"/>
        <v>0</v>
      </c>
      <c r="M15239" s="17" t="str">
        <f t="shared" si="731"/>
        <v/>
      </c>
      <c r="N15239" s="11" t="str">
        <f t="shared" si="732"/>
        <v/>
      </c>
    </row>
    <row r="15240" spans="9:14" x14ac:dyDescent="0.25">
      <c r="I15240" s="11" t="b">
        <f t="shared" si="730"/>
        <v>0</v>
      </c>
      <c r="M15240" s="17" t="str">
        <f t="shared" si="731"/>
        <v/>
      </c>
      <c r="N15240" s="11" t="str">
        <f t="shared" si="732"/>
        <v/>
      </c>
    </row>
    <row r="15241" spans="9:14" x14ac:dyDescent="0.25">
      <c r="I15241" s="11" t="b">
        <f t="shared" si="730"/>
        <v>0</v>
      </c>
      <c r="M15241" s="17" t="str">
        <f t="shared" si="731"/>
        <v/>
      </c>
      <c r="N15241" s="11" t="str">
        <f t="shared" si="732"/>
        <v/>
      </c>
    </row>
    <row r="15242" spans="9:14" x14ac:dyDescent="0.25">
      <c r="I15242" s="11" t="b">
        <f t="shared" si="730"/>
        <v>0</v>
      </c>
      <c r="M15242" s="17" t="str">
        <f t="shared" si="731"/>
        <v/>
      </c>
      <c r="N15242" s="11" t="str">
        <f t="shared" si="732"/>
        <v/>
      </c>
    </row>
    <row r="15243" spans="9:14" x14ac:dyDescent="0.25">
      <c r="I15243" s="11" t="b">
        <f t="shared" si="730"/>
        <v>0</v>
      </c>
      <c r="M15243" s="17" t="str">
        <f t="shared" si="731"/>
        <v/>
      </c>
      <c r="N15243" s="11" t="str">
        <f t="shared" si="732"/>
        <v/>
      </c>
    </row>
    <row r="15244" spans="9:14" x14ac:dyDescent="0.25">
      <c r="I15244" s="11" t="b">
        <f t="shared" si="730"/>
        <v>0</v>
      </c>
      <c r="M15244" s="17" t="str">
        <f t="shared" si="731"/>
        <v/>
      </c>
      <c r="N15244" s="11" t="str">
        <f t="shared" si="732"/>
        <v/>
      </c>
    </row>
    <row r="15245" spans="9:14" x14ac:dyDescent="0.25">
      <c r="I15245" s="11" t="b">
        <f t="shared" si="730"/>
        <v>0</v>
      </c>
      <c r="M15245" s="17" t="str">
        <f t="shared" si="731"/>
        <v/>
      </c>
      <c r="N15245" s="11" t="str">
        <f t="shared" si="732"/>
        <v/>
      </c>
    </row>
    <row r="15246" spans="9:14" x14ac:dyDescent="0.25">
      <c r="I15246" s="11" t="b">
        <f t="shared" si="730"/>
        <v>0</v>
      </c>
      <c r="M15246" s="17" t="str">
        <f t="shared" si="731"/>
        <v/>
      </c>
      <c r="N15246" s="11" t="str">
        <f t="shared" si="732"/>
        <v/>
      </c>
    </row>
    <row r="15247" spans="9:14" x14ac:dyDescent="0.25">
      <c r="I15247" s="11" t="b">
        <f t="shared" si="730"/>
        <v>0</v>
      </c>
      <c r="M15247" s="17" t="str">
        <f t="shared" si="731"/>
        <v/>
      </c>
      <c r="N15247" s="11" t="str">
        <f t="shared" si="732"/>
        <v/>
      </c>
    </row>
    <row r="15248" spans="9:14" x14ac:dyDescent="0.25">
      <c r="I15248" s="11" t="b">
        <f t="shared" si="730"/>
        <v>0</v>
      </c>
      <c r="M15248" s="17" t="str">
        <f t="shared" si="731"/>
        <v/>
      </c>
      <c r="N15248" s="11" t="str">
        <f t="shared" si="732"/>
        <v/>
      </c>
    </row>
    <row r="15249" spans="9:14" x14ac:dyDescent="0.25">
      <c r="I15249" s="11" t="b">
        <f t="shared" si="730"/>
        <v>0</v>
      </c>
      <c r="M15249" s="17" t="str">
        <f t="shared" si="731"/>
        <v/>
      </c>
      <c r="N15249" s="11" t="str">
        <f t="shared" si="732"/>
        <v/>
      </c>
    </row>
    <row r="15250" spans="9:14" x14ac:dyDescent="0.25">
      <c r="I15250" s="11" t="b">
        <f t="shared" si="730"/>
        <v>0</v>
      </c>
      <c r="M15250" s="17" t="str">
        <f t="shared" si="731"/>
        <v/>
      </c>
      <c r="N15250" s="11" t="str">
        <f t="shared" si="732"/>
        <v/>
      </c>
    </row>
    <row r="15251" spans="9:14" x14ac:dyDescent="0.25">
      <c r="I15251" s="11" t="b">
        <f t="shared" si="730"/>
        <v>0</v>
      </c>
      <c r="M15251" s="17" t="str">
        <f t="shared" si="731"/>
        <v/>
      </c>
      <c r="N15251" s="11" t="str">
        <f t="shared" si="732"/>
        <v/>
      </c>
    </row>
    <row r="15252" spans="9:14" x14ac:dyDescent="0.25">
      <c r="I15252" s="11" t="b">
        <f t="shared" si="730"/>
        <v>0</v>
      </c>
      <c r="M15252" s="17" t="str">
        <f t="shared" si="731"/>
        <v/>
      </c>
      <c r="N15252" s="11" t="str">
        <f t="shared" si="732"/>
        <v/>
      </c>
    </row>
    <row r="15253" spans="9:14" x14ac:dyDescent="0.25">
      <c r="I15253" s="11" t="b">
        <f t="shared" si="730"/>
        <v>0</v>
      </c>
      <c r="M15253" s="17" t="str">
        <f t="shared" si="731"/>
        <v/>
      </c>
      <c r="N15253" s="11" t="str">
        <f t="shared" si="732"/>
        <v/>
      </c>
    </row>
    <row r="15254" spans="9:14" x14ac:dyDescent="0.25">
      <c r="I15254" s="11" t="b">
        <f t="shared" si="730"/>
        <v>0</v>
      </c>
      <c r="M15254" s="17" t="str">
        <f t="shared" si="731"/>
        <v/>
      </c>
      <c r="N15254" s="11" t="str">
        <f t="shared" si="732"/>
        <v/>
      </c>
    </row>
    <row r="15255" spans="9:14" x14ac:dyDescent="0.25">
      <c r="I15255" s="11" t="b">
        <f t="shared" si="730"/>
        <v>0</v>
      </c>
      <c r="M15255" s="17" t="str">
        <f t="shared" si="731"/>
        <v/>
      </c>
      <c r="N15255" s="11" t="str">
        <f t="shared" si="732"/>
        <v/>
      </c>
    </row>
    <row r="15256" spans="9:14" x14ac:dyDescent="0.25">
      <c r="I15256" s="11" t="b">
        <f t="shared" si="730"/>
        <v>0</v>
      </c>
      <c r="M15256" s="17" t="str">
        <f t="shared" si="731"/>
        <v/>
      </c>
      <c r="N15256" s="11" t="str">
        <f t="shared" si="732"/>
        <v/>
      </c>
    </row>
    <row r="15257" spans="9:14" x14ac:dyDescent="0.25">
      <c r="I15257" s="11" t="b">
        <f t="shared" si="730"/>
        <v>0</v>
      </c>
      <c r="M15257" s="17" t="str">
        <f t="shared" si="731"/>
        <v/>
      </c>
      <c r="N15257" s="11" t="str">
        <f t="shared" si="732"/>
        <v/>
      </c>
    </row>
    <row r="15258" spans="9:14" x14ac:dyDescent="0.25">
      <c r="I15258" s="11" t="b">
        <f t="shared" si="730"/>
        <v>0</v>
      </c>
      <c r="M15258" s="17" t="str">
        <f t="shared" si="731"/>
        <v/>
      </c>
      <c r="N15258" s="11" t="str">
        <f t="shared" si="732"/>
        <v/>
      </c>
    </row>
    <row r="15259" spans="9:14" x14ac:dyDescent="0.25">
      <c r="I15259" s="11" t="b">
        <f t="shared" si="730"/>
        <v>0</v>
      </c>
      <c r="M15259" s="17" t="str">
        <f t="shared" si="731"/>
        <v/>
      </c>
      <c r="N15259" s="11" t="str">
        <f t="shared" si="732"/>
        <v/>
      </c>
    </row>
    <row r="15260" spans="9:14" x14ac:dyDescent="0.25">
      <c r="I15260" s="11" t="b">
        <f t="shared" si="730"/>
        <v>0</v>
      </c>
      <c r="M15260" s="17" t="str">
        <f t="shared" si="731"/>
        <v/>
      </c>
      <c r="N15260" s="11" t="str">
        <f t="shared" si="732"/>
        <v/>
      </c>
    </row>
    <row r="15261" spans="9:14" x14ac:dyDescent="0.25">
      <c r="I15261" s="11" t="b">
        <f t="shared" ref="I15261:I15324" si="733">IF(AND(G15261="MERCADO PAGO",A15261="FATURAMENTO"),1,IF(AND(OR(G15261="MERCADO PAGO",G15261="pix mercado pago",G15261= "débito automático mercado pago", G15261= "boleto mercado pago"),A15261="DESPESAS"),4,IF(AND(G15261="SAFRA",A15261="FATURAMENTO"),2,IF(AND(OR(G15261="SAFRA",G15261="PIX SAFRA", G15261="DÉBITO AUTOMÁTICO SAFRA", G15261= "BOLETO SAFRA", G15261= "transferência safra"), A15261="DESPESAS"),5,IF(AND(G15261="espécie",A15261="FATURAMENTO"),3,IF(AND(G15261="espécie",A15261="DESPESAS"),6))))))</f>
        <v>0</v>
      </c>
      <c r="M15261" s="17" t="str">
        <f t="shared" si="731"/>
        <v/>
      </c>
      <c r="N15261" s="11" t="str">
        <f t="shared" si="732"/>
        <v/>
      </c>
    </row>
    <row r="15262" spans="9:14" x14ac:dyDescent="0.25">
      <c r="I15262" s="11" t="b">
        <f t="shared" si="733"/>
        <v>0</v>
      </c>
      <c r="M15262" s="17" t="str">
        <f t="shared" si="731"/>
        <v/>
      </c>
      <c r="N15262" s="11" t="str">
        <f t="shared" si="732"/>
        <v/>
      </c>
    </row>
    <row r="15263" spans="9:14" x14ac:dyDescent="0.25">
      <c r="I15263" s="11" t="b">
        <f t="shared" si="733"/>
        <v>0</v>
      </c>
      <c r="M15263" s="17" t="str">
        <f t="shared" si="731"/>
        <v/>
      </c>
      <c r="N15263" s="11" t="str">
        <f t="shared" si="732"/>
        <v/>
      </c>
    </row>
    <row r="15264" spans="9:14" x14ac:dyDescent="0.25">
      <c r="I15264" s="11" t="b">
        <f t="shared" si="733"/>
        <v>0</v>
      </c>
      <c r="M15264" s="17" t="str">
        <f t="shared" si="731"/>
        <v/>
      </c>
      <c r="N15264" s="11" t="str">
        <f t="shared" si="732"/>
        <v/>
      </c>
    </row>
    <row r="15265" spans="9:14" x14ac:dyDescent="0.25">
      <c r="I15265" s="11" t="b">
        <f t="shared" si="733"/>
        <v>0</v>
      </c>
      <c r="M15265" s="17" t="str">
        <f t="shared" si="731"/>
        <v/>
      </c>
      <c r="N15265" s="11" t="str">
        <f t="shared" si="732"/>
        <v/>
      </c>
    </row>
    <row r="15266" spans="9:14" x14ac:dyDescent="0.25">
      <c r="I15266" s="11" t="b">
        <f t="shared" si="733"/>
        <v>0</v>
      </c>
      <c r="M15266" s="17" t="str">
        <f t="shared" si="731"/>
        <v/>
      </c>
      <c r="N15266" s="11" t="str">
        <f t="shared" si="732"/>
        <v/>
      </c>
    </row>
    <row r="15267" spans="9:14" x14ac:dyDescent="0.25">
      <c r="I15267" s="11" t="b">
        <f t="shared" si="733"/>
        <v>0</v>
      </c>
      <c r="M15267" s="17" t="str">
        <f t="shared" si="731"/>
        <v/>
      </c>
      <c r="N15267" s="11" t="str">
        <f t="shared" si="732"/>
        <v/>
      </c>
    </row>
    <row r="15268" spans="9:14" x14ac:dyDescent="0.25">
      <c r="I15268" s="11" t="b">
        <f t="shared" si="733"/>
        <v>0</v>
      </c>
      <c r="M15268" s="17" t="str">
        <f t="shared" si="731"/>
        <v/>
      </c>
      <c r="N15268" s="11" t="str">
        <f t="shared" si="732"/>
        <v/>
      </c>
    </row>
    <row r="15269" spans="9:14" x14ac:dyDescent="0.25">
      <c r="I15269" s="11" t="b">
        <f t="shared" si="733"/>
        <v>0</v>
      </c>
      <c r="M15269" s="17" t="str">
        <f t="shared" si="731"/>
        <v/>
      </c>
      <c r="N15269" s="11" t="str">
        <f t="shared" si="732"/>
        <v/>
      </c>
    </row>
    <row r="15270" spans="9:14" x14ac:dyDescent="0.25">
      <c r="I15270" s="11" t="b">
        <f t="shared" si="733"/>
        <v>0</v>
      </c>
      <c r="M15270" s="17" t="str">
        <f t="shared" si="731"/>
        <v/>
      </c>
      <c r="N15270" s="11" t="str">
        <f t="shared" si="732"/>
        <v/>
      </c>
    </row>
    <row r="15271" spans="9:14" x14ac:dyDescent="0.25">
      <c r="I15271" s="11" t="b">
        <f t="shared" si="733"/>
        <v>0</v>
      </c>
      <c r="M15271" s="17" t="str">
        <f t="shared" si="731"/>
        <v/>
      </c>
      <c r="N15271" s="11" t="str">
        <f t="shared" si="732"/>
        <v/>
      </c>
    </row>
    <row r="15272" spans="9:14" x14ac:dyDescent="0.25">
      <c r="I15272" s="11" t="b">
        <f t="shared" si="733"/>
        <v>0</v>
      </c>
      <c r="M15272" s="17" t="str">
        <f t="shared" si="731"/>
        <v/>
      </c>
      <c r="N15272" s="11" t="str">
        <f t="shared" si="732"/>
        <v/>
      </c>
    </row>
    <row r="15273" spans="9:14" x14ac:dyDescent="0.25">
      <c r="I15273" s="11" t="b">
        <f t="shared" si="733"/>
        <v>0</v>
      </c>
      <c r="M15273" s="17" t="str">
        <f t="shared" si="731"/>
        <v/>
      </c>
      <c r="N15273" s="11" t="str">
        <f t="shared" si="732"/>
        <v/>
      </c>
    </row>
    <row r="15274" spans="9:14" x14ac:dyDescent="0.25">
      <c r="I15274" s="11" t="b">
        <f t="shared" si="733"/>
        <v>0</v>
      </c>
      <c r="M15274" s="17" t="str">
        <f t="shared" si="731"/>
        <v/>
      </c>
      <c r="N15274" s="11" t="str">
        <f t="shared" si="732"/>
        <v/>
      </c>
    </row>
    <row r="15275" spans="9:14" x14ac:dyDescent="0.25">
      <c r="I15275" s="11" t="b">
        <f t="shared" si="733"/>
        <v>0</v>
      </c>
      <c r="M15275" s="17" t="str">
        <f t="shared" si="731"/>
        <v/>
      </c>
      <c r="N15275" s="11" t="str">
        <f t="shared" si="732"/>
        <v/>
      </c>
    </row>
    <row r="15276" spans="9:14" x14ac:dyDescent="0.25">
      <c r="I15276" s="11" t="b">
        <f t="shared" si="733"/>
        <v>0</v>
      </c>
      <c r="M15276" s="17" t="str">
        <f t="shared" si="731"/>
        <v/>
      </c>
      <c r="N15276" s="11" t="str">
        <f t="shared" si="732"/>
        <v/>
      </c>
    </row>
    <row r="15277" spans="9:14" x14ac:dyDescent="0.25">
      <c r="I15277" s="11" t="b">
        <f t="shared" si="733"/>
        <v>0</v>
      </c>
      <c r="M15277" s="17" t="str">
        <f t="shared" si="731"/>
        <v/>
      </c>
      <c r="N15277" s="11" t="str">
        <f t="shared" si="732"/>
        <v/>
      </c>
    </row>
    <row r="15278" spans="9:14" x14ac:dyDescent="0.25">
      <c r="I15278" s="11" t="b">
        <f t="shared" si="733"/>
        <v>0</v>
      </c>
      <c r="M15278" s="17" t="str">
        <f t="shared" si="731"/>
        <v/>
      </c>
      <c r="N15278" s="11" t="str">
        <f t="shared" si="732"/>
        <v/>
      </c>
    </row>
    <row r="15279" spans="9:14" x14ac:dyDescent="0.25">
      <c r="I15279" s="11" t="b">
        <f t="shared" si="733"/>
        <v>0</v>
      </c>
      <c r="M15279" s="17" t="str">
        <f t="shared" si="731"/>
        <v/>
      </c>
      <c r="N15279" s="11" t="str">
        <f t="shared" si="732"/>
        <v/>
      </c>
    </row>
    <row r="15280" spans="9:14" x14ac:dyDescent="0.25">
      <c r="I15280" s="11" t="b">
        <f t="shared" si="733"/>
        <v>0</v>
      </c>
      <c r="M15280" s="17" t="str">
        <f t="shared" si="731"/>
        <v/>
      </c>
      <c r="N15280" s="11" t="str">
        <f t="shared" si="732"/>
        <v/>
      </c>
    </row>
    <row r="15281" spans="9:14" x14ac:dyDescent="0.25">
      <c r="I15281" s="11" t="b">
        <f t="shared" si="733"/>
        <v>0</v>
      </c>
      <c r="M15281" s="17" t="str">
        <f t="shared" si="731"/>
        <v/>
      </c>
      <c r="N15281" s="11" t="str">
        <f t="shared" si="732"/>
        <v/>
      </c>
    </row>
    <row r="15282" spans="9:14" x14ac:dyDescent="0.25">
      <c r="I15282" s="11" t="b">
        <f t="shared" si="733"/>
        <v>0</v>
      </c>
      <c r="M15282" s="17" t="str">
        <f t="shared" si="731"/>
        <v/>
      </c>
      <c r="N15282" s="11" t="str">
        <f t="shared" si="732"/>
        <v/>
      </c>
    </row>
    <row r="15283" spans="9:14" x14ac:dyDescent="0.25">
      <c r="I15283" s="11" t="b">
        <f t="shared" si="733"/>
        <v>0</v>
      </c>
      <c r="M15283" s="17" t="str">
        <f t="shared" si="731"/>
        <v/>
      </c>
      <c r="N15283" s="11" t="str">
        <f t="shared" si="732"/>
        <v/>
      </c>
    </row>
    <row r="15284" spans="9:14" x14ac:dyDescent="0.25">
      <c r="I15284" s="11" t="b">
        <f t="shared" si="733"/>
        <v>0</v>
      </c>
      <c r="M15284" s="17" t="str">
        <f t="shared" si="731"/>
        <v/>
      </c>
      <c r="N15284" s="11" t="str">
        <f t="shared" si="732"/>
        <v/>
      </c>
    </row>
    <row r="15285" spans="9:14" x14ac:dyDescent="0.25">
      <c r="I15285" s="11" t="b">
        <f t="shared" si="733"/>
        <v>0</v>
      </c>
      <c r="M15285" s="17" t="str">
        <f t="shared" si="731"/>
        <v/>
      </c>
      <c r="N15285" s="11" t="str">
        <f t="shared" si="732"/>
        <v/>
      </c>
    </row>
    <row r="15286" spans="9:14" x14ac:dyDescent="0.25">
      <c r="I15286" s="11" t="b">
        <f t="shared" si="733"/>
        <v>0</v>
      </c>
      <c r="M15286" s="17" t="str">
        <f t="shared" si="731"/>
        <v/>
      </c>
      <c r="N15286" s="11" t="str">
        <f t="shared" si="732"/>
        <v/>
      </c>
    </row>
    <row r="15287" spans="9:14" x14ac:dyDescent="0.25">
      <c r="I15287" s="11" t="b">
        <f t="shared" si="733"/>
        <v>0</v>
      </c>
      <c r="M15287" s="17" t="str">
        <f t="shared" si="731"/>
        <v/>
      </c>
      <c r="N15287" s="11" t="str">
        <f t="shared" si="732"/>
        <v/>
      </c>
    </row>
    <row r="15288" spans="9:14" x14ac:dyDescent="0.25">
      <c r="I15288" s="11" t="b">
        <f t="shared" si="733"/>
        <v>0</v>
      </c>
      <c r="M15288" s="17" t="str">
        <f t="shared" si="731"/>
        <v/>
      </c>
      <c r="N15288" s="11" t="str">
        <f t="shared" si="732"/>
        <v/>
      </c>
    </row>
    <row r="15289" spans="9:14" x14ac:dyDescent="0.25">
      <c r="I15289" s="11" t="b">
        <f t="shared" si="733"/>
        <v>0</v>
      </c>
      <c r="M15289" s="17" t="str">
        <f t="shared" si="731"/>
        <v/>
      </c>
      <c r="N15289" s="11" t="str">
        <f t="shared" si="732"/>
        <v/>
      </c>
    </row>
    <row r="15290" spans="9:14" x14ac:dyDescent="0.25">
      <c r="I15290" s="11" t="b">
        <f t="shared" si="733"/>
        <v>0</v>
      </c>
      <c r="M15290" s="17" t="str">
        <f t="shared" si="731"/>
        <v/>
      </c>
      <c r="N15290" s="11" t="str">
        <f t="shared" si="732"/>
        <v/>
      </c>
    </row>
    <row r="15291" spans="9:14" x14ac:dyDescent="0.25">
      <c r="I15291" s="11" t="b">
        <f t="shared" si="733"/>
        <v>0</v>
      </c>
      <c r="M15291" s="17" t="str">
        <f t="shared" si="731"/>
        <v/>
      </c>
      <c r="N15291" s="11" t="str">
        <f t="shared" si="732"/>
        <v/>
      </c>
    </row>
    <row r="15292" spans="9:14" x14ac:dyDescent="0.25">
      <c r="I15292" s="11" t="b">
        <f t="shared" si="733"/>
        <v>0</v>
      </c>
      <c r="M15292" s="17" t="str">
        <f t="shared" si="731"/>
        <v/>
      </c>
      <c r="N15292" s="11" t="str">
        <f t="shared" si="732"/>
        <v/>
      </c>
    </row>
    <row r="15293" spans="9:14" x14ac:dyDescent="0.25">
      <c r="I15293" s="11" t="b">
        <f t="shared" si="733"/>
        <v>0</v>
      </c>
      <c r="M15293" s="17" t="str">
        <f t="shared" si="731"/>
        <v/>
      </c>
      <c r="N15293" s="11" t="str">
        <f t="shared" si="732"/>
        <v/>
      </c>
    </row>
    <row r="15294" spans="9:14" x14ac:dyDescent="0.25">
      <c r="I15294" s="11" t="b">
        <f t="shared" si="733"/>
        <v>0</v>
      </c>
      <c r="M15294" s="17" t="str">
        <f t="shared" si="731"/>
        <v/>
      </c>
      <c r="N15294" s="11" t="str">
        <f t="shared" si="732"/>
        <v/>
      </c>
    </row>
    <row r="15295" spans="9:14" x14ac:dyDescent="0.25">
      <c r="I15295" s="11" t="b">
        <f t="shared" si="733"/>
        <v>0</v>
      </c>
      <c r="M15295" s="17" t="str">
        <f t="shared" si="731"/>
        <v/>
      </c>
      <c r="N15295" s="11" t="str">
        <f t="shared" si="732"/>
        <v/>
      </c>
    </row>
    <row r="15296" spans="9:14" x14ac:dyDescent="0.25">
      <c r="I15296" s="11" t="b">
        <f t="shared" si="733"/>
        <v>0</v>
      </c>
      <c r="M15296" s="17" t="str">
        <f t="shared" si="731"/>
        <v/>
      </c>
      <c r="N15296" s="11" t="str">
        <f t="shared" si="732"/>
        <v/>
      </c>
    </row>
    <row r="15297" spans="9:14" x14ac:dyDescent="0.25">
      <c r="I15297" s="11" t="b">
        <f t="shared" si="733"/>
        <v>0</v>
      </c>
      <c r="M15297" s="17" t="str">
        <f t="shared" ref="M15297:M15360" si="734">IF(B15297=0, "",M15296+ J15297-K15297)</f>
        <v/>
      </c>
      <c r="N15297" s="11" t="str">
        <f t="shared" ref="N15297:N15360" si="735">IF(B15297=0, "", MONTH(B15297))</f>
        <v/>
      </c>
    </row>
    <row r="15298" spans="9:14" x14ac:dyDescent="0.25">
      <c r="I15298" s="11" t="b">
        <f t="shared" si="733"/>
        <v>0</v>
      </c>
      <c r="M15298" s="17" t="str">
        <f t="shared" si="734"/>
        <v/>
      </c>
      <c r="N15298" s="11" t="str">
        <f t="shared" si="735"/>
        <v/>
      </c>
    </row>
    <row r="15299" spans="9:14" x14ac:dyDescent="0.25">
      <c r="I15299" s="11" t="b">
        <f t="shared" si="733"/>
        <v>0</v>
      </c>
      <c r="M15299" s="17" t="str">
        <f t="shared" si="734"/>
        <v/>
      </c>
      <c r="N15299" s="11" t="str">
        <f t="shared" si="735"/>
        <v/>
      </c>
    </row>
    <row r="15300" spans="9:14" x14ac:dyDescent="0.25">
      <c r="I15300" s="11" t="b">
        <f t="shared" si="733"/>
        <v>0</v>
      </c>
      <c r="M15300" s="17" t="str">
        <f t="shared" si="734"/>
        <v/>
      </c>
      <c r="N15300" s="11" t="str">
        <f t="shared" si="735"/>
        <v/>
      </c>
    </row>
    <row r="15301" spans="9:14" x14ac:dyDescent="0.25">
      <c r="I15301" s="11" t="b">
        <f t="shared" si="733"/>
        <v>0</v>
      </c>
      <c r="M15301" s="17" t="str">
        <f t="shared" si="734"/>
        <v/>
      </c>
      <c r="N15301" s="11" t="str">
        <f t="shared" si="735"/>
        <v/>
      </c>
    </row>
    <row r="15302" spans="9:14" x14ac:dyDescent="0.25">
      <c r="I15302" s="11" t="b">
        <f t="shared" si="733"/>
        <v>0</v>
      </c>
      <c r="M15302" s="17" t="str">
        <f t="shared" si="734"/>
        <v/>
      </c>
      <c r="N15302" s="11" t="str">
        <f t="shared" si="735"/>
        <v/>
      </c>
    </row>
    <row r="15303" spans="9:14" x14ac:dyDescent="0.25">
      <c r="I15303" s="11" t="b">
        <f t="shared" si="733"/>
        <v>0</v>
      </c>
      <c r="M15303" s="17" t="str">
        <f t="shared" si="734"/>
        <v/>
      </c>
      <c r="N15303" s="11" t="str">
        <f t="shared" si="735"/>
        <v/>
      </c>
    </row>
    <row r="15304" spans="9:14" x14ac:dyDescent="0.25">
      <c r="I15304" s="11" t="b">
        <f t="shared" si="733"/>
        <v>0</v>
      </c>
      <c r="M15304" s="17" t="str">
        <f t="shared" si="734"/>
        <v/>
      </c>
      <c r="N15304" s="11" t="str">
        <f t="shared" si="735"/>
        <v/>
      </c>
    </row>
    <row r="15305" spans="9:14" x14ac:dyDescent="0.25">
      <c r="I15305" s="11" t="b">
        <f t="shared" si="733"/>
        <v>0</v>
      </c>
      <c r="M15305" s="17" t="str">
        <f t="shared" si="734"/>
        <v/>
      </c>
      <c r="N15305" s="11" t="str">
        <f t="shared" si="735"/>
        <v/>
      </c>
    </row>
    <row r="15306" spans="9:14" x14ac:dyDescent="0.25">
      <c r="I15306" s="11" t="b">
        <f t="shared" si="733"/>
        <v>0</v>
      </c>
      <c r="M15306" s="17" t="str">
        <f t="shared" si="734"/>
        <v/>
      </c>
      <c r="N15306" s="11" t="str">
        <f t="shared" si="735"/>
        <v/>
      </c>
    </row>
    <row r="15307" spans="9:14" x14ac:dyDescent="0.25">
      <c r="I15307" s="11" t="b">
        <f t="shared" si="733"/>
        <v>0</v>
      </c>
      <c r="M15307" s="17" t="str">
        <f t="shared" si="734"/>
        <v/>
      </c>
      <c r="N15307" s="11" t="str">
        <f t="shared" si="735"/>
        <v/>
      </c>
    </row>
    <row r="15308" spans="9:14" x14ac:dyDescent="0.25">
      <c r="I15308" s="11" t="b">
        <f t="shared" si="733"/>
        <v>0</v>
      </c>
      <c r="M15308" s="17" t="str">
        <f t="shared" si="734"/>
        <v/>
      </c>
      <c r="N15308" s="11" t="str">
        <f t="shared" si="735"/>
        <v/>
      </c>
    </row>
    <row r="15309" spans="9:14" x14ac:dyDescent="0.25">
      <c r="I15309" s="11" t="b">
        <f t="shared" si="733"/>
        <v>0</v>
      </c>
      <c r="M15309" s="17" t="str">
        <f t="shared" si="734"/>
        <v/>
      </c>
      <c r="N15309" s="11" t="str">
        <f t="shared" si="735"/>
        <v/>
      </c>
    </row>
    <row r="15310" spans="9:14" x14ac:dyDescent="0.25">
      <c r="I15310" s="11" t="b">
        <f t="shared" si="733"/>
        <v>0</v>
      </c>
      <c r="M15310" s="17" t="str">
        <f t="shared" si="734"/>
        <v/>
      </c>
      <c r="N15310" s="11" t="str">
        <f t="shared" si="735"/>
        <v/>
      </c>
    </row>
    <row r="15311" spans="9:14" x14ac:dyDescent="0.25">
      <c r="I15311" s="11" t="b">
        <f t="shared" si="733"/>
        <v>0</v>
      </c>
      <c r="M15311" s="17" t="str">
        <f t="shared" si="734"/>
        <v/>
      </c>
      <c r="N15311" s="11" t="str">
        <f t="shared" si="735"/>
        <v/>
      </c>
    </row>
    <row r="15312" spans="9:14" x14ac:dyDescent="0.25">
      <c r="I15312" s="11" t="b">
        <f t="shared" si="733"/>
        <v>0</v>
      </c>
      <c r="M15312" s="17" t="str">
        <f t="shared" si="734"/>
        <v/>
      </c>
      <c r="N15312" s="11" t="str">
        <f t="shared" si="735"/>
        <v/>
      </c>
    </row>
    <row r="15313" spans="9:14" x14ac:dyDescent="0.25">
      <c r="I15313" s="11" t="b">
        <f t="shared" si="733"/>
        <v>0</v>
      </c>
      <c r="M15313" s="17" t="str">
        <f t="shared" si="734"/>
        <v/>
      </c>
      <c r="N15313" s="11" t="str">
        <f t="shared" si="735"/>
        <v/>
      </c>
    </row>
    <row r="15314" spans="9:14" x14ac:dyDescent="0.25">
      <c r="I15314" s="11" t="b">
        <f t="shared" si="733"/>
        <v>0</v>
      </c>
      <c r="M15314" s="17" t="str">
        <f t="shared" si="734"/>
        <v/>
      </c>
      <c r="N15314" s="11" t="str">
        <f t="shared" si="735"/>
        <v/>
      </c>
    </row>
    <row r="15315" spans="9:14" x14ac:dyDescent="0.25">
      <c r="I15315" s="11" t="b">
        <f t="shared" si="733"/>
        <v>0</v>
      </c>
      <c r="M15315" s="17" t="str">
        <f t="shared" si="734"/>
        <v/>
      </c>
      <c r="N15315" s="11" t="str">
        <f t="shared" si="735"/>
        <v/>
      </c>
    </row>
    <row r="15316" spans="9:14" x14ac:dyDescent="0.25">
      <c r="I15316" s="11" t="b">
        <f t="shared" si="733"/>
        <v>0</v>
      </c>
      <c r="M15316" s="17" t="str">
        <f t="shared" si="734"/>
        <v/>
      </c>
      <c r="N15316" s="11" t="str">
        <f t="shared" si="735"/>
        <v/>
      </c>
    </row>
    <row r="15317" spans="9:14" x14ac:dyDescent="0.25">
      <c r="I15317" s="11" t="b">
        <f t="shared" si="733"/>
        <v>0</v>
      </c>
      <c r="M15317" s="17" t="str">
        <f t="shared" si="734"/>
        <v/>
      </c>
      <c r="N15317" s="11" t="str">
        <f t="shared" si="735"/>
        <v/>
      </c>
    </row>
    <row r="15318" spans="9:14" x14ac:dyDescent="0.25">
      <c r="I15318" s="11" t="b">
        <f t="shared" si="733"/>
        <v>0</v>
      </c>
      <c r="M15318" s="17" t="str">
        <f t="shared" si="734"/>
        <v/>
      </c>
      <c r="N15318" s="11" t="str">
        <f t="shared" si="735"/>
        <v/>
      </c>
    </row>
    <row r="15319" spans="9:14" x14ac:dyDescent="0.25">
      <c r="I15319" s="11" t="b">
        <f t="shared" si="733"/>
        <v>0</v>
      </c>
      <c r="M15319" s="17" t="str">
        <f t="shared" si="734"/>
        <v/>
      </c>
      <c r="N15319" s="11" t="str">
        <f t="shared" si="735"/>
        <v/>
      </c>
    </row>
    <row r="15320" spans="9:14" x14ac:dyDescent="0.25">
      <c r="I15320" s="11" t="b">
        <f t="shared" si="733"/>
        <v>0</v>
      </c>
      <c r="M15320" s="17" t="str">
        <f t="shared" si="734"/>
        <v/>
      </c>
      <c r="N15320" s="11" t="str">
        <f t="shared" si="735"/>
        <v/>
      </c>
    </row>
    <row r="15321" spans="9:14" x14ac:dyDescent="0.25">
      <c r="I15321" s="11" t="b">
        <f t="shared" si="733"/>
        <v>0</v>
      </c>
      <c r="M15321" s="17" t="str">
        <f t="shared" si="734"/>
        <v/>
      </c>
      <c r="N15321" s="11" t="str">
        <f t="shared" si="735"/>
        <v/>
      </c>
    </row>
    <row r="15322" spans="9:14" x14ac:dyDescent="0.25">
      <c r="I15322" s="11" t="b">
        <f t="shared" si="733"/>
        <v>0</v>
      </c>
      <c r="M15322" s="17" t="str">
        <f t="shared" si="734"/>
        <v/>
      </c>
      <c r="N15322" s="11" t="str">
        <f t="shared" si="735"/>
        <v/>
      </c>
    </row>
    <row r="15323" spans="9:14" x14ac:dyDescent="0.25">
      <c r="I15323" s="11" t="b">
        <f t="shared" si="733"/>
        <v>0</v>
      </c>
      <c r="M15323" s="17" t="str">
        <f t="shared" si="734"/>
        <v/>
      </c>
      <c r="N15323" s="11" t="str">
        <f t="shared" si="735"/>
        <v/>
      </c>
    </row>
    <row r="15324" spans="9:14" x14ac:dyDescent="0.25">
      <c r="I15324" s="11" t="b">
        <f t="shared" si="733"/>
        <v>0</v>
      </c>
      <c r="M15324" s="17" t="str">
        <f t="shared" si="734"/>
        <v/>
      </c>
      <c r="N15324" s="11" t="str">
        <f t="shared" si="735"/>
        <v/>
      </c>
    </row>
    <row r="15325" spans="9:14" x14ac:dyDescent="0.25">
      <c r="I15325" s="11" t="b">
        <f t="shared" ref="I15325:I15388" si="736">IF(AND(G15325="MERCADO PAGO",A15325="FATURAMENTO"),1,IF(AND(OR(G15325="MERCADO PAGO",G15325="pix mercado pago",G15325= "débito automático mercado pago", G15325= "boleto mercado pago"),A15325="DESPESAS"),4,IF(AND(G15325="SAFRA",A15325="FATURAMENTO"),2,IF(AND(OR(G15325="SAFRA",G15325="PIX SAFRA", G15325="DÉBITO AUTOMÁTICO SAFRA", G15325= "BOLETO SAFRA", G15325= "transferência safra"), A15325="DESPESAS"),5,IF(AND(G15325="espécie",A15325="FATURAMENTO"),3,IF(AND(G15325="espécie",A15325="DESPESAS"),6))))))</f>
        <v>0</v>
      </c>
      <c r="M15325" s="17" t="str">
        <f t="shared" si="734"/>
        <v/>
      </c>
      <c r="N15325" s="11" t="str">
        <f t="shared" si="735"/>
        <v/>
      </c>
    </row>
    <row r="15326" spans="9:14" x14ac:dyDescent="0.25">
      <c r="I15326" s="11" t="b">
        <f t="shared" si="736"/>
        <v>0</v>
      </c>
      <c r="M15326" s="17" t="str">
        <f t="shared" si="734"/>
        <v/>
      </c>
      <c r="N15326" s="11" t="str">
        <f t="shared" si="735"/>
        <v/>
      </c>
    </row>
    <row r="15327" spans="9:14" x14ac:dyDescent="0.25">
      <c r="I15327" s="11" t="b">
        <f t="shared" si="736"/>
        <v>0</v>
      </c>
      <c r="M15327" s="17" t="str">
        <f t="shared" si="734"/>
        <v/>
      </c>
      <c r="N15327" s="11" t="str">
        <f t="shared" si="735"/>
        <v/>
      </c>
    </row>
    <row r="15328" spans="9:14" x14ac:dyDescent="0.25">
      <c r="I15328" s="11" t="b">
        <f t="shared" si="736"/>
        <v>0</v>
      </c>
      <c r="M15328" s="17" t="str">
        <f t="shared" si="734"/>
        <v/>
      </c>
      <c r="N15328" s="11" t="str">
        <f t="shared" si="735"/>
        <v/>
      </c>
    </row>
    <row r="15329" spans="9:14" x14ac:dyDescent="0.25">
      <c r="I15329" s="11" t="b">
        <f t="shared" si="736"/>
        <v>0</v>
      </c>
      <c r="M15329" s="17" t="str">
        <f t="shared" si="734"/>
        <v/>
      </c>
      <c r="N15329" s="11" t="str">
        <f t="shared" si="735"/>
        <v/>
      </c>
    </row>
    <row r="15330" spans="9:14" x14ac:dyDescent="0.25">
      <c r="I15330" s="11" t="b">
        <f t="shared" si="736"/>
        <v>0</v>
      </c>
      <c r="M15330" s="17" t="str">
        <f t="shared" si="734"/>
        <v/>
      </c>
      <c r="N15330" s="11" t="str">
        <f t="shared" si="735"/>
        <v/>
      </c>
    </row>
    <row r="15331" spans="9:14" x14ac:dyDescent="0.25">
      <c r="I15331" s="11" t="b">
        <f t="shared" si="736"/>
        <v>0</v>
      </c>
      <c r="M15331" s="17" t="str">
        <f t="shared" si="734"/>
        <v/>
      </c>
      <c r="N15331" s="11" t="str">
        <f t="shared" si="735"/>
        <v/>
      </c>
    </row>
    <row r="15332" spans="9:14" x14ac:dyDescent="0.25">
      <c r="I15332" s="11" t="b">
        <f t="shared" si="736"/>
        <v>0</v>
      </c>
      <c r="M15332" s="17" t="str">
        <f t="shared" si="734"/>
        <v/>
      </c>
      <c r="N15332" s="11" t="str">
        <f t="shared" si="735"/>
        <v/>
      </c>
    </row>
    <row r="15333" spans="9:14" x14ac:dyDescent="0.25">
      <c r="I15333" s="11" t="b">
        <f t="shared" si="736"/>
        <v>0</v>
      </c>
      <c r="M15333" s="17" t="str">
        <f t="shared" si="734"/>
        <v/>
      </c>
      <c r="N15333" s="11" t="str">
        <f t="shared" si="735"/>
        <v/>
      </c>
    </row>
    <row r="15334" spans="9:14" x14ac:dyDescent="0.25">
      <c r="I15334" s="11" t="b">
        <f t="shared" si="736"/>
        <v>0</v>
      </c>
      <c r="M15334" s="17" t="str">
        <f t="shared" si="734"/>
        <v/>
      </c>
      <c r="N15334" s="11" t="str">
        <f t="shared" si="735"/>
        <v/>
      </c>
    </row>
    <row r="15335" spans="9:14" x14ac:dyDescent="0.25">
      <c r="I15335" s="11" t="b">
        <f t="shared" si="736"/>
        <v>0</v>
      </c>
      <c r="M15335" s="17" t="str">
        <f t="shared" si="734"/>
        <v/>
      </c>
      <c r="N15335" s="11" t="str">
        <f t="shared" si="735"/>
        <v/>
      </c>
    </row>
    <row r="15336" spans="9:14" x14ac:dyDescent="0.25">
      <c r="I15336" s="11" t="b">
        <f t="shared" si="736"/>
        <v>0</v>
      </c>
      <c r="M15336" s="17" t="str">
        <f t="shared" si="734"/>
        <v/>
      </c>
      <c r="N15336" s="11" t="str">
        <f t="shared" si="735"/>
        <v/>
      </c>
    </row>
    <row r="15337" spans="9:14" x14ac:dyDescent="0.25">
      <c r="I15337" s="11" t="b">
        <f t="shared" si="736"/>
        <v>0</v>
      </c>
      <c r="M15337" s="17" t="str">
        <f t="shared" si="734"/>
        <v/>
      </c>
      <c r="N15337" s="11" t="str">
        <f t="shared" si="735"/>
        <v/>
      </c>
    </row>
    <row r="15338" spans="9:14" x14ac:dyDescent="0.25">
      <c r="I15338" s="11" t="b">
        <f t="shared" si="736"/>
        <v>0</v>
      </c>
      <c r="M15338" s="17" t="str">
        <f t="shared" si="734"/>
        <v/>
      </c>
      <c r="N15338" s="11" t="str">
        <f t="shared" si="735"/>
        <v/>
      </c>
    </row>
    <row r="15339" spans="9:14" x14ac:dyDescent="0.25">
      <c r="I15339" s="11" t="b">
        <f t="shared" si="736"/>
        <v>0</v>
      </c>
      <c r="M15339" s="17" t="str">
        <f t="shared" si="734"/>
        <v/>
      </c>
      <c r="N15339" s="11" t="str">
        <f t="shared" si="735"/>
        <v/>
      </c>
    </row>
    <row r="15340" spans="9:14" x14ac:dyDescent="0.25">
      <c r="I15340" s="11" t="b">
        <f t="shared" si="736"/>
        <v>0</v>
      </c>
      <c r="M15340" s="17" t="str">
        <f t="shared" si="734"/>
        <v/>
      </c>
      <c r="N15340" s="11" t="str">
        <f t="shared" si="735"/>
        <v/>
      </c>
    </row>
    <row r="15341" spans="9:14" x14ac:dyDescent="0.25">
      <c r="I15341" s="11" t="b">
        <f t="shared" si="736"/>
        <v>0</v>
      </c>
      <c r="M15341" s="17" t="str">
        <f t="shared" si="734"/>
        <v/>
      </c>
      <c r="N15341" s="11" t="str">
        <f t="shared" si="735"/>
        <v/>
      </c>
    </row>
    <row r="15342" spans="9:14" x14ac:dyDescent="0.25">
      <c r="I15342" s="11" t="b">
        <f t="shared" si="736"/>
        <v>0</v>
      </c>
      <c r="M15342" s="17" t="str">
        <f t="shared" si="734"/>
        <v/>
      </c>
      <c r="N15342" s="11" t="str">
        <f t="shared" si="735"/>
        <v/>
      </c>
    </row>
    <row r="15343" spans="9:14" x14ac:dyDescent="0.25">
      <c r="I15343" s="11" t="b">
        <f t="shared" si="736"/>
        <v>0</v>
      </c>
      <c r="M15343" s="17" t="str">
        <f t="shared" si="734"/>
        <v/>
      </c>
      <c r="N15343" s="11" t="str">
        <f t="shared" si="735"/>
        <v/>
      </c>
    </row>
    <row r="15344" spans="9:14" x14ac:dyDescent="0.25">
      <c r="I15344" s="11" t="b">
        <f t="shared" si="736"/>
        <v>0</v>
      </c>
      <c r="M15344" s="17" t="str">
        <f t="shared" si="734"/>
        <v/>
      </c>
      <c r="N15344" s="11" t="str">
        <f t="shared" si="735"/>
        <v/>
      </c>
    </row>
    <row r="15345" spans="9:14" x14ac:dyDescent="0.25">
      <c r="I15345" s="11" t="b">
        <f t="shared" si="736"/>
        <v>0</v>
      </c>
      <c r="M15345" s="17" t="str">
        <f t="shared" si="734"/>
        <v/>
      </c>
      <c r="N15345" s="11" t="str">
        <f t="shared" si="735"/>
        <v/>
      </c>
    </row>
    <row r="15346" spans="9:14" x14ac:dyDescent="0.25">
      <c r="I15346" s="11" t="b">
        <f t="shared" si="736"/>
        <v>0</v>
      </c>
      <c r="M15346" s="17" t="str">
        <f t="shared" si="734"/>
        <v/>
      </c>
      <c r="N15346" s="11" t="str">
        <f t="shared" si="735"/>
        <v/>
      </c>
    </row>
    <row r="15347" spans="9:14" x14ac:dyDescent="0.25">
      <c r="I15347" s="11" t="b">
        <f t="shared" si="736"/>
        <v>0</v>
      </c>
      <c r="M15347" s="17" t="str">
        <f t="shared" si="734"/>
        <v/>
      </c>
      <c r="N15347" s="11" t="str">
        <f t="shared" si="735"/>
        <v/>
      </c>
    </row>
    <row r="15348" spans="9:14" x14ac:dyDescent="0.25">
      <c r="I15348" s="11" t="b">
        <f t="shared" si="736"/>
        <v>0</v>
      </c>
      <c r="M15348" s="17" t="str">
        <f t="shared" si="734"/>
        <v/>
      </c>
      <c r="N15348" s="11" t="str">
        <f t="shared" si="735"/>
        <v/>
      </c>
    </row>
    <row r="15349" spans="9:14" x14ac:dyDescent="0.25">
      <c r="I15349" s="11" t="b">
        <f t="shared" si="736"/>
        <v>0</v>
      </c>
      <c r="M15349" s="17" t="str">
        <f t="shared" si="734"/>
        <v/>
      </c>
      <c r="N15349" s="11" t="str">
        <f t="shared" si="735"/>
        <v/>
      </c>
    </row>
    <row r="15350" spans="9:14" x14ac:dyDescent="0.25">
      <c r="I15350" s="11" t="b">
        <f t="shared" si="736"/>
        <v>0</v>
      </c>
      <c r="M15350" s="17" t="str">
        <f t="shared" si="734"/>
        <v/>
      </c>
      <c r="N15350" s="11" t="str">
        <f t="shared" si="735"/>
        <v/>
      </c>
    </row>
    <row r="15351" spans="9:14" x14ac:dyDescent="0.25">
      <c r="I15351" s="11" t="b">
        <f t="shared" si="736"/>
        <v>0</v>
      </c>
      <c r="M15351" s="17" t="str">
        <f t="shared" si="734"/>
        <v/>
      </c>
      <c r="N15351" s="11" t="str">
        <f t="shared" si="735"/>
        <v/>
      </c>
    </row>
    <row r="15352" spans="9:14" x14ac:dyDescent="0.25">
      <c r="I15352" s="11" t="b">
        <f t="shared" si="736"/>
        <v>0</v>
      </c>
      <c r="M15352" s="17" t="str">
        <f t="shared" si="734"/>
        <v/>
      </c>
      <c r="N15352" s="11" t="str">
        <f t="shared" si="735"/>
        <v/>
      </c>
    </row>
    <row r="15353" spans="9:14" x14ac:dyDescent="0.25">
      <c r="I15353" s="11" t="b">
        <f t="shared" si="736"/>
        <v>0</v>
      </c>
      <c r="M15353" s="17" t="str">
        <f t="shared" si="734"/>
        <v/>
      </c>
      <c r="N15353" s="11" t="str">
        <f t="shared" si="735"/>
        <v/>
      </c>
    </row>
    <row r="15354" spans="9:14" x14ac:dyDescent="0.25">
      <c r="I15354" s="11" t="b">
        <f t="shared" si="736"/>
        <v>0</v>
      </c>
      <c r="M15354" s="17" t="str">
        <f t="shared" si="734"/>
        <v/>
      </c>
      <c r="N15354" s="11" t="str">
        <f t="shared" si="735"/>
        <v/>
      </c>
    </row>
    <row r="15355" spans="9:14" x14ac:dyDescent="0.25">
      <c r="I15355" s="11" t="b">
        <f t="shared" si="736"/>
        <v>0</v>
      </c>
      <c r="M15355" s="17" t="str">
        <f t="shared" si="734"/>
        <v/>
      </c>
      <c r="N15355" s="11" t="str">
        <f t="shared" si="735"/>
        <v/>
      </c>
    </row>
    <row r="15356" spans="9:14" x14ac:dyDescent="0.25">
      <c r="I15356" s="11" t="b">
        <f t="shared" si="736"/>
        <v>0</v>
      </c>
      <c r="M15356" s="17" t="str">
        <f t="shared" si="734"/>
        <v/>
      </c>
      <c r="N15356" s="11" t="str">
        <f t="shared" si="735"/>
        <v/>
      </c>
    </row>
    <row r="15357" spans="9:14" x14ac:dyDescent="0.25">
      <c r="I15357" s="11" t="b">
        <f t="shared" si="736"/>
        <v>0</v>
      </c>
      <c r="M15357" s="17" t="str">
        <f t="shared" si="734"/>
        <v/>
      </c>
      <c r="N15357" s="11" t="str">
        <f t="shared" si="735"/>
        <v/>
      </c>
    </row>
    <row r="15358" spans="9:14" x14ac:dyDescent="0.25">
      <c r="I15358" s="11" t="b">
        <f t="shared" si="736"/>
        <v>0</v>
      </c>
      <c r="M15358" s="17" t="str">
        <f t="shared" si="734"/>
        <v/>
      </c>
      <c r="N15358" s="11" t="str">
        <f t="shared" si="735"/>
        <v/>
      </c>
    </row>
    <row r="15359" spans="9:14" x14ac:dyDescent="0.25">
      <c r="I15359" s="11" t="b">
        <f t="shared" si="736"/>
        <v>0</v>
      </c>
      <c r="M15359" s="17" t="str">
        <f t="shared" si="734"/>
        <v/>
      </c>
      <c r="N15359" s="11" t="str">
        <f t="shared" si="735"/>
        <v/>
      </c>
    </row>
    <row r="15360" spans="9:14" x14ac:dyDescent="0.25">
      <c r="I15360" s="11" t="b">
        <f t="shared" si="736"/>
        <v>0</v>
      </c>
      <c r="M15360" s="17" t="str">
        <f t="shared" si="734"/>
        <v/>
      </c>
      <c r="N15360" s="11" t="str">
        <f t="shared" si="735"/>
        <v/>
      </c>
    </row>
    <row r="15361" spans="9:14" x14ac:dyDescent="0.25">
      <c r="I15361" s="11" t="b">
        <f t="shared" si="736"/>
        <v>0</v>
      </c>
      <c r="M15361" s="17" t="str">
        <f t="shared" ref="M15361:M15424" si="737">IF(B15361=0, "",M15360+ J15361-K15361)</f>
        <v/>
      </c>
      <c r="N15361" s="11" t="str">
        <f t="shared" ref="N15361:N15424" si="738">IF(B15361=0, "", MONTH(B15361))</f>
        <v/>
      </c>
    </row>
    <row r="15362" spans="9:14" x14ac:dyDescent="0.25">
      <c r="I15362" s="11" t="b">
        <f t="shared" si="736"/>
        <v>0</v>
      </c>
      <c r="M15362" s="17" t="str">
        <f t="shared" si="737"/>
        <v/>
      </c>
      <c r="N15362" s="11" t="str">
        <f t="shared" si="738"/>
        <v/>
      </c>
    </row>
    <row r="15363" spans="9:14" x14ac:dyDescent="0.25">
      <c r="I15363" s="11" t="b">
        <f t="shared" si="736"/>
        <v>0</v>
      </c>
      <c r="M15363" s="17" t="str">
        <f t="shared" si="737"/>
        <v/>
      </c>
      <c r="N15363" s="11" t="str">
        <f t="shared" si="738"/>
        <v/>
      </c>
    </row>
    <row r="15364" spans="9:14" x14ac:dyDescent="0.25">
      <c r="I15364" s="11" t="b">
        <f t="shared" si="736"/>
        <v>0</v>
      </c>
      <c r="M15364" s="17" t="str">
        <f t="shared" si="737"/>
        <v/>
      </c>
      <c r="N15364" s="11" t="str">
        <f t="shared" si="738"/>
        <v/>
      </c>
    </row>
    <row r="15365" spans="9:14" x14ac:dyDescent="0.25">
      <c r="I15365" s="11" t="b">
        <f t="shared" si="736"/>
        <v>0</v>
      </c>
      <c r="M15365" s="17" t="str">
        <f t="shared" si="737"/>
        <v/>
      </c>
      <c r="N15365" s="11" t="str">
        <f t="shared" si="738"/>
        <v/>
      </c>
    </row>
    <row r="15366" spans="9:14" x14ac:dyDescent="0.25">
      <c r="I15366" s="11" t="b">
        <f t="shared" si="736"/>
        <v>0</v>
      </c>
      <c r="M15366" s="17" t="str">
        <f t="shared" si="737"/>
        <v/>
      </c>
      <c r="N15366" s="11" t="str">
        <f t="shared" si="738"/>
        <v/>
      </c>
    </row>
    <row r="15367" spans="9:14" x14ac:dyDescent="0.25">
      <c r="I15367" s="11" t="b">
        <f t="shared" si="736"/>
        <v>0</v>
      </c>
      <c r="M15367" s="17" t="str">
        <f t="shared" si="737"/>
        <v/>
      </c>
      <c r="N15367" s="11" t="str">
        <f t="shared" si="738"/>
        <v/>
      </c>
    </row>
    <row r="15368" spans="9:14" x14ac:dyDescent="0.25">
      <c r="I15368" s="11" t="b">
        <f t="shared" si="736"/>
        <v>0</v>
      </c>
      <c r="M15368" s="17" t="str">
        <f t="shared" si="737"/>
        <v/>
      </c>
      <c r="N15368" s="11" t="str">
        <f t="shared" si="738"/>
        <v/>
      </c>
    </row>
    <row r="15369" spans="9:14" x14ac:dyDescent="0.25">
      <c r="I15369" s="11" t="b">
        <f t="shared" si="736"/>
        <v>0</v>
      </c>
      <c r="M15369" s="17" t="str">
        <f t="shared" si="737"/>
        <v/>
      </c>
      <c r="N15369" s="11" t="str">
        <f t="shared" si="738"/>
        <v/>
      </c>
    </row>
    <row r="15370" spans="9:14" x14ac:dyDescent="0.25">
      <c r="I15370" s="11" t="b">
        <f t="shared" si="736"/>
        <v>0</v>
      </c>
      <c r="M15370" s="17" t="str">
        <f t="shared" si="737"/>
        <v/>
      </c>
      <c r="N15370" s="11" t="str">
        <f t="shared" si="738"/>
        <v/>
      </c>
    </row>
    <row r="15371" spans="9:14" x14ac:dyDescent="0.25">
      <c r="I15371" s="11" t="b">
        <f t="shared" si="736"/>
        <v>0</v>
      </c>
      <c r="M15371" s="17" t="str">
        <f t="shared" si="737"/>
        <v/>
      </c>
      <c r="N15371" s="11" t="str">
        <f t="shared" si="738"/>
        <v/>
      </c>
    </row>
    <row r="15372" spans="9:14" x14ac:dyDescent="0.25">
      <c r="I15372" s="11" t="b">
        <f t="shared" si="736"/>
        <v>0</v>
      </c>
      <c r="M15372" s="17" t="str">
        <f t="shared" si="737"/>
        <v/>
      </c>
      <c r="N15372" s="11" t="str">
        <f t="shared" si="738"/>
        <v/>
      </c>
    </row>
    <row r="15373" spans="9:14" x14ac:dyDescent="0.25">
      <c r="I15373" s="11" t="b">
        <f t="shared" si="736"/>
        <v>0</v>
      </c>
      <c r="M15373" s="17" t="str">
        <f t="shared" si="737"/>
        <v/>
      </c>
      <c r="N15373" s="11" t="str">
        <f t="shared" si="738"/>
        <v/>
      </c>
    </row>
    <row r="15374" spans="9:14" x14ac:dyDescent="0.25">
      <c r="I15374" s="11" t="b">
        <f t="shared" si="736"/>
        <v>0</v>
      </c>
      <c r="M15374" s="17" t="str">
        <f t="shared" si="737"/>
        <v/>
      </c>
      <c r="N15374" s="11" t="str">
        <f t="shared" si="738"/>
        <v/>
      </c>
    </row>
    <row r="15375" spans="9:14" x14ac:dyDescent="0.25">
      <c r="I15375" s="11" t="b">
        <f t="shared" si="736"/>
        <v>0</v>
      </c>
      <c r="M15375" s="17" t="str">
        <f t="shared" si="737"/>
        <v/>
      </c>
      <c r="N15375" s="11" t="str">
        <f t="shared" si="738"/>
        <v/>
      </c>
    </row>
    <row r="15376" spans="9:14" x14ac:dyDescent="0.25">
      <c r="I15376" s="11" t="b">
        <f t="shared" si="736"/>
        <v>0</v>
      </c>
      <c r="M15376" s="17" t="str">
        <f t="shared" si="737"/>
        <v/>
      </c>
      <c r="N15376" s="11" t="str">
        <f t="shared" si="738"/>
        <v/>
      </c>
    </row>
    <row r="15377" spans="9:14" x14ac:dyDescent="0.25">
      <c r="I15377" s="11" t="b">
        <f t="shared" si="736"/>
        <v>0</v>
      </c>
      <c r="M15377" s="17" t="str">
        <f t="shared" si="737"/>
        <v/>
      </c>
      <c r="N15377" s="11" t="str">
        <f t="shared" si="738"/>
        <v/>
      </c>
    </row>
    <row r="15378" spans="9:14" x14ac:dyDescent="0.25">
      <c r="I15378" s="11" t="b">
        <f t="shared" si="736"/>
        <v>0</v>
      </c>
      <c r="M15378" s="17" t="str">
        <f t="shared" si="737"/>
        <v/>
      </c>
      <c r="N15378" s="11" t="str">
        <f t="shared" si="738"/>
        <v/>
      </c>
    </row>
    <row r="15379" spans="9:14" x14ac:dyDescent="0.25">
      <c r="I15379" s="11" t="b">
        <f t="shared" si="736"/>
        <v>0</v>
      </c>
      <c r="M15379" s="17" t="str">
        <f t="shared" si="737"/>
        <v/>
      </c>
      <c r="N15379" s="11" t="str">
        <f t="shared" si="738"/>
        <v/>
      </c>
    </row>
    <row r="15380" spans="9:14" x14ac:dyDescent="0.25">
      <c r="I15380" s="11" t="b">
        <f t="shared" si="736"/>
        <v>0</v>
      </c>
      <c r="M15380" s="17" t="str">
        <f t="shared" si="737"/>
        <v/>
      </c>
      <c r="N15380" s="11" t="str">
        <f t="shared" si="738"/>
        <v/>
      </c>
    </row>
    <row r="15381" spans="9:14" x14ac:dyDescent="0.25">
      <c r="I15381" s="11" t="b">
        <f t="shared" si="736"/>
        <v>0</v>
      </c>
      <c r="M15381" s="17" t="str">
        <f t="shared" si="737"/>
        <v/>
      </c>
      <c r="N15381" s="11" t="str">
        <f t="shared" si="738"/>
        <v/>
      </c>
    </row>
    <row r="15382" spans="9:14" x14ac:dyDescent="0.25">
      <c r="I15382" s="11" t="b">
        <f t="shared" si="736"/>
        <v>0</v>
      </c>
      <c r="M15382" s="17" t="str">
        <f t="shared" si="737"/>
        <v/>
      </c>
      <c r="N15382" s="11" t="str">
        <f t="shared" si="738"/>
        <v/>
      </c>
    </row>
    <row r="15383" spans="9:14" x14ac:dyDescent="0.25">
      <c r="I15383" s="11" t="b">
        <f t="shared" si="736"/>
        <v>0</v>
      </c>
      <c r="M15383" s="17" t="str">
        <f t="shared" si="737"/>
        <v/>
      </c>
      <c r="N15383" s="11" t="str">
        <f t="shared" si="738"/>
        <v/>
      </c>
    </row>
    <row r="15384" spans="9:14" x14ac:dyDescent="0.25">
      <c r="I15384" s="11" t="b">
        <f t="shared" si="736"/>
        <v>0</v>
      </c>
      <c r="M15384" s="17" t="str">
        <f t="shared" si="737"/>
        <v/>
      </c>
      <c r="N15384" s="11" t="str">
        <f t="shared" si="738"/>
        <v/>
      </c>
    </row>
    <row r="15385" spans="9:14" x14ac:dyDescent="0.25">
      <c r="I15385" s="11" t="b">
        <f t="shared" si="736"/>
        <v>0</v>
      </c>
      <c r="M15385" s="17" t="str">
        <f t="shared" si="737"/>
        <v/>
      </c>
      <c r="N15385" s="11" t="str">
        <f t="shared" si="738"/>
        <v/>
      </c>
    </row>
    <row r="15386" spans="9:14" x14ac:dyDescent="0.25">
      <c r="I15386" s="11" t="b">
        <f t="shared" si="736"/>
        <v>0</v>
      </c>
      <c r="M15386" s="17" t="str">
        <f t="shared" si="737"/>
        <v/>
      </c>
      <c r="N15386" s="11" t="str">
        <f t="shared" si="738"/>
        <v/>
      </c>
    </row>
    <row r="15387" spans="9:14" x14ac:dyDescent="0.25">
      <c r="I15387" s="11" t="b">
        <f t="shared" si="736"/>
        <v>0</v>
      </c>
      <c r="M15387" s="17" t="str">
        <f t="shared" si="737"/>
        <v/>
      </c>
      <c r="N15387" s="11" t="str">
        <f t="shared" si="738"/>
        <v/>
      </c>
    </row>
    <row r="15388" spans="9:14" x14ac:dyDescent="0.25">
      <c r="I15388" s="11" t="b">
        <f t="shared" si="736"/>
        <v>0</v>
      </c>
      <c r="M15388" s="17" t="str">
        <f t="shared" si="737"/>
        <v/>
      </c>
      <c r="N15388" s="11" t="str">
        <f t="shared" si="738"/>
        <v/>
      </c>
    </row>
    <row r="15389" spans="9:14" x14ac:dyDescent="0.25">
      <c r="I15389" s="11" t="b">
        <f t="shared" ref="I15389:I15452" si="739">IF(AND(G15389="MERCADO PAGO",A15389="FATURAMENTO"),1,IF(AND(OR(G15389="MERCADO PAGO",G15389="pix mercado pago",G15389= "débito automático mercado pago", G15389= "boleto mercado pago"),A15389="DESPESAS"),4,IF(AND(G15389="SAFRA",A15389="FATURAMENTO"),2,IF(AND(OR(G15389="SAFRA",G15389="PIX SAFRA", G15389="DÉBITO AUTOMÁTICO SAFRA", G15389= "BOLETO SAFRA", G15389= "transferência safra"), A15389="DESPESAS"),5,IF(AND(G15389="espécie",A15389="FATURAMENTO"),3,IF(AND(G15389="espécie",A15389="DESPESAS"),6))))))</f>
        <v>0</v>
      </c>
      <c r="M15389" s="17" t="str">
        <f t="shared" si="737"/>
        <v/>
      </c>
      <c r="N15389" s="11" t="str">
        <f t="shared" si="738"/>
        <v/>
      </c>
    </row>
    <row r="15390" spans="9:14" x14ac:dyDescent="0.25">
      <c r="I15390" s="11" t="b">
        <f t="shared" si="739"/>
        <v>0</v>
      </c>
      <c r="M15390" s="17" t="str">
        <f t="shared" si="737"/>
        <v/>
      </c>
      <c r="N15390" s="11" t="str">
        <f t="shared" si="738"/>
        <v/>
      </c>
    </row>
    <row r="15391" spans="9:14" x14ac:dyDescent="0.25">
      <c r="I15391" s="11" t="b">
        <f t="shared" si="739"/>
        <v>0</v>
      </c>
      <c r="M15391" s="17" t="str">
        <f t="shared" si="737"/>
        <v/>
      </c>
      <c r="N15391" s="11" t="str">
        <f t="shared" si="738"/>
        <v/>
      </c>
    </row>
    <row r="15392" spans="9:14" x14ac:dyDescent="0.25">
      <c r="I15392" s="11" t="b">
        <f t="shared" si="739"/>
        <v>0</v>
      </c>
      <c r="M15392" s="17" t="str">
        <f t="shared" si="737"/>
        <v/>
      </c>
      <c r="N15392" s="11" t="str">
        <f t="shared" si="738"/>
        <v/>
      </c>
    </row>
    <row r="15393" spans="9:14" x14ac:dyDescent="0.25">
      <c r="I15393" s="11" t="b">
        <f t="shared" si="739"/>
        <v>0</v>
      </c>
      <c r="M15393" s="17" t="str">
        <f t="shared" si="737"/>
        <v/>
      </c>
      <c r="N15393" s="11" t="str">
        <f t="shared" si="738"/>
        <v/>
      </c>
    </row>
    <row r="15394" spans="9:14" x14ac:dyDescent="0.25">
      <c r="I15394" s="11" t="b">
        <f t="shared" si="739"/>
        <v>0</v>
      </c>
      <c r="M15394" s="17" t="str">
        <f t="shared" si="737"/>
        <v/>
      </c>
      <c r="N15394" s="11" t="str">
        <f t="shared" si="738"/>
        <v/>
      </c>
    </row>
    <row r="15395" spans="9:14" x14ac:dyDescent="0.25">
      <c r="I15395" s="11" t="b">
        <f t="shared" si="739"/>
        <v>0</v>
      </c>
      <c r="M15395" s="17" t="str">
        <f t="shared" si="737"/>
        <v/>
      </c>
      <c r="N15395" s="11" t="str">
        <f t="shared" si="738"/>
        <v/>
      </c>
    </row>
    <row r="15396" spans="9:14" x14ac:dyDescent="0.25">
      <c r="I15396" s="11" t="b">
        <f t="shared" si="739"/>
        <v>0</v>
      </c>
      <c r="M15396" s="17" t="str">
        <f t="shared" si="737"/>
        <v/>
      </c>
      <c r="N15396" s="11" t="str">
        <f t="shared" si="738"/>
        <v/>
      </c>
    </row>
    <row r="15397" spans="9:14" x14ac:dyDescent="0.25">
      <c r="I15397" s="11" t="b">
        <f t="shared" si="739"/>
        <v>0</v>
      </c>
      <c r="M15397" s="17" t="str">
        <f t="shared" si="737"/>
        <v/>
      </c>
      <c r="N15397" s="11" t="str">
        <f t="shared" si="738"/>
        <v/>
      </c>
    </row>
    <row r="15398" spans="9:14" x14ac:dyDescent="0.25">
      <c r="I15398" s="11" t="b">
        <f t="shared" si="739"/>
        <v>0</v>
      </c>
      <c r="M15398" s="17" t="str">
        <f t="shared" si="737"/>
        <v/>
      </c>
      <c r="N15398" s="11" t="str">
        <f t="shared" si="738"/>
        <v/>
      </c>
    </row>
    <row r="15399" spans="9:14" x14ac:dyDescent="0.25">
      <c r="I15399" s="11" t="b">
        <f t="shared" si="739"/>
        <v>0</v>
      </c>
      <c r="M15399" s="17" t="str">
        <f t="shared" si="737"/>
        <v/>
      </c>
      <c r="N15399" s="11" t="str">
        <f t="shared" si="738"/>
        <v/>
      </c>
    </row>
    <row r="15400" spans="9:14" x14ac:dyDescent="0.25">
      <c r="I15400" s="11" t="b">
        <f t="shared" si="739"/>
        <v>0</v>
      </c>
      <c r="M15400" s="17" t="str">
        <f t="shared" si="737"/>
        <v/>
      </c>
      <c r="N15400" s="11" t="str">
        <f t="shared" si="738"/>
        <v/>
      </c>
    </row>
    <row r="15401" spans="9:14" x14ac:dyDescent="0.25">
      <c r="I15401" s="11" t="b">
        <f t="shared" si="739"/>
        <v>0</v>
      </c>
      <c r="M15401" s="17" t="str">
        <f t="shared" si="737"/>
        <v/>
      </c>
      <c r="N15401" s="11" t="str">
        <f t="shared" si="738"/>
        <v/>
      </c>
    </row>
    <row r="15402" spans="9:14" x14ac:dyDescent="0.25">
      <c r="I15402" s="11" t="b">
        <f t="shared" si="739"/>
        <v>0</v>
      </c>
      <c r="M15402" s="17" t="str">
        <f t="shared" si="737"/>
        <v/>
      </c>
      <c r="N15402" s="11" t="str">
        <f t="shared" si="738"/>
        <v/>
      </c>
    </row>
    <row r="15403" spans="9:14" x14ac:dyDescent="0.25">
      <c r="I15403" s="11" t="b">
        <f t="shared" si="739"/>
        <v>0</v>
      </c>
      <c r="M15403" s="17" t="str">
        <f t="shared" si="737"/>
        <v/>
      </c>
      <c r="N15403" s="11" t="str">
        <f t="shared" si="738"/>
        <v/>
      </c>
    </row>
    <row r="15404" spans="9:14" x14ac:dyDescent="0.25">
      <c r="I15404" s="11" t="b">
        <f t="shared" si="739"/>
        <v>0</v>
      </c>
      <c r="M15404" s="17" t="str">
        <f t="shared" si="737"/>
        <v/>
      </c>
      <c r="N15404" s="11" t="str">
        <f t="shared" si="738"/>
        <v/>
      </c>
    </row>
    <row r="15405" spans="9:14" x14ac:dyDescent="0.25">
      <c r="I15405" s="11" t="b">
        <f t="shared" si="739"/>
        <v>0</v>
      </c>
      <c r="M15405" s="17" t="str">
        <f t="shared" si="737"/>
        <v/>
      </c>
      <c r="N15405" s="11" t="str">
        <f t="shared" si="738"/>
        <v/>
      </c>
    </row>
    <row r="15406" spans="9:14" x14ac:dyDescent="0.25">
      <c r="I15406" s="11" t="b">
        <f t="shared" si="739"/>
        <v>0</v>
      </c>
      <c r="M15406" s="17" t="str">
        <f t="shared" si="737"/>
        <v/>
      </c>
      <c r="N15406" s="11" t="str">
        <f t="shared" si="738"/>
        <v/>
      </c>
    </row>
    <row r="15407" spans="9:14" x14ac:dyDescent="0.25">
      <c r="I15407" s="11" t="b">
        <f t="shared" si="739"/>
        <v>0</v>
      </c>
      <c r="M15407" s="17" t="str">
        <f t="shared" si="737"/>
        <v/>
      </c>
      <c r="N15407" s="11" t="str">
        <f t="shared" si="738"/>
        <v/>
      </c>
    </row>
    <row r="15408" spans="9:14" x14ac:dyDescent="0.25">
      <c r="I15408" s="11" t="b">
        <f t="shared" si="739"/>
        <v>0</v>
      </c>
      <c r="M15408" s="17" t="str">
        <f t="shared" si="737"/>
        <v/>
      </c>
      <c r="N15408" s="11" t="str">
        <f t="shared" si="738"/>
        <v/>
      </c>
    </row>
    <row r="15409" spans="9:14" x14ac:dyDescent="0.25">
      <c r="I15409" s="11" t="b">
        <f t="shared" si="739"/>
        <v>0</v>
      </c>
      <c r="M15409" s="17" t="str">
        <f t="shared" si="737"/>
        <v/>
      </c>
      <c r="N15409" s="11" t="str">
        <f t="shared" si="738"/>
        <v/>
      </c>
    </row>
    <row r="15410" spans="9:14" x14ac:dyDescent="0.25">
      <c r="I15410" s="11" t="b">
        <f t="shared" si="739"/>
        <v>0</v>
      </c>
      <c r="M15410" s="17" t="str">
        <f t="shared" si="737"/>
        <v/>
      </c>
      <c r="N15410" s="11" t="str">
        <f t="shared" si="738"/>
        <v/>
      </c>
    </row>
    <row r="15411" spans="9:14" x14ac:dyDescent="0.25">
      <c r="I15411" s="11" t="b">
        <f t="shared" si="739"/>
        <v>0</v>
      </c>
      <c r="M15411" s="17" t="str">
        <f t="shared" si="737"/>
        <v/>
      </c>
      <c r="N15411" s="11" t="str">
        <f t="shared" si="738"/>
        <v/>
      </c>
    </row>
    <row r="15412" spans="9:14" x14ac:dyDescent="0.25">
      <c r="I15412" s="11" t="b">
        <f t="shared" si="739"/>
        <v>0</v>
      </c>
      <c r="M15412" s="17" t="str">
        <f t="shared" si="737"/>
        <v/>
      </c>
      <c r="N15412" s="11" t="str">
        <f t="shared" si="738"/>
        <v/>
      </c>
    </row>
    <row r="15413" spans="9:14" x14ac:dyDescent="0.25">
      <c r="I15413" s="11" t="b">
        <f t="shared" si="739"/>
        <v>0</v>
      </c>
      <c r="M15413" s="17" t="str">
        <f t="shared" si="737"/>
        <v/>
      </c>
      <c r="N15413" s="11" t="str">
        <f t="shared" si="738"/>
        <v/>
      </c>
    </row>
    <row r="15414" spans="9:14" x14ac:dyDescent="0.25">
      <c r="I15414" s="11" t="b">
        <f t="shared" si="739"/>
        <v>0</v>
      </c>
      <c r="M15414" s="17" t="str">
        <f t="shared" si="737"/>
        <v/>
      </c>
      <c r="N15414" s="11" t="str">
        <f t="shared" si="738"/>
        <v/>
      </c>
    </row>
    <row r="15415" spans="9:14" x14ac:dyDescent="0.25">
      <c r="I15415" s="11" t="b">
        <f t="shared" si="739"/>
        <v>0</v>
      </c>
      <c r="M15415" s="17" t="str">
        <f t="shared" si="737"/>
        <v/>
      </c>
      <c r="N15415" s="11" t="str">
        <f t="shared" si="738"/>
        <v/>
      </c>
    </row>
    <row r="15416" spans="9:14" x14ac:dyDescent="0.25">
      <c r="I15416" s="11" t="b">
        <f t="shared" si="739"/>
        <v>0</v>
      </c>
      <c r="M15416" s="17" t="str">
        <f t="shared" si="737"/>
        <v/>
      </c>
      <c r="N15416" s="11" t="str">
        <f t="shared" si="738"/>
        <v/>
      </c>
    </row>
    <row r="15417" spans="9:14" x14ac:dyDescent="0.25">
      <c r="I15417" s="11" t="b">
        <f t="shared" si="739"/>
        <v>0</v>
      </c>
      <c r="M15417" s="17" t="str">
        <f t="shared" si="737"/>
        <v/>
      </c>
      <c r="N15417" s="11" t="str">
        <f t="shared" si="738"/>
        <v/>
      </c>
    </row>
    <row r="15418" spans="9:14" x14ac:dyDescent="0.25">
      <c r="I15418" s="11" t="b">
        <f t="shared" si="739"/>
        <v>0</v>
      </c>
      <c r="M15418" s="17" t="str">
        <f t="shared" si="737"/>
        <v/>
      </c>
      <c r="N15418" s="11" t="str">
        <f t="shared" si="738"/>
        <v/>
      </c>
    </row>
    <row r="15419" spans="9:14" x14ac:dyDescent="0.25">
      <c r="I15419" s="11" t="b">
        <f t="shared" si="739"/>
        <v>0</v>
      </c>
      <c r="M15419" s="17" t="str">
        <f t="shared" si="737"/>
        <v/>
      </c>
      <c r="N15419" s="11" t="str">
        <f t="shared" si="738"/>
        <v/>
      </c>
    </row>
    <row r="15420" spans="9:14" x14ac:dyDescent="0.25">
      <c r="I15420" s="11" t="b">
        <f t="shared" si="739"/>
        <v>0</v>
      </c>
      <c r="M15420" s="17" t="str">
        <f t="shared" si="737"/>
        <v/>
      </c>
      <c r="N15420" s="11" t="str">
        <f t="shared" si="738"/>
        <v/>
      </c>
    </row>
    <row r="15421" spans="9:14" x14ac:dyDescent="0.25">
      <c r="I15421" s="11" t="b">
        <f t="shared" si="739"/>
        <v>0</v>
      </c>
      <c r="M15421" s="17" t="str">
        <f t="shared" si="737"/>
        <v/>
      </c>
      <c r="N15421" s="11" t="str">
        <f t="shared" si="738"/>
        <v/>
      </c>
    </row>
    <row r="15422" spans="9:14" x14ac:dyDescent="0.25">
      <c r="I15422" s="11" t="b">
        <f t="shared" si="739"/>
        <v>0</v>
      </c>
      <c r="M15422" s="17" t="str">
        <f t="shared" si="737"/>
        <v/>
      </c>
      <c r="N15422" s="11" t="str">
        <f t="shared" si="738"/>
        <v/>
      </c>
    </row>
    <row r="15423" spans="9:14" x14ac:dyDescent="0.25">
      <c r="I15423" s="11" t="b">
        <f t="shared" si="739"/>
        <v>0</v>
      </c>
      <c r="M15423" s="17" t="str">
        <f t="shared" si="737"/>
        <v/>
      </c>
      <c r="N15423" s="11" t="str">
        <f t="shared" si="738"/>
        <v/>
      </c>
    </row>
    <row r="15424" spans="9:14" x14ac:dyDescent="0.25">
      <c r="I15424" s="11" t="b">
        <f t="shared" si="739"/>
        <v>0</v>
      </c>
      <c r="M15424" s="17" t="str">
        <f t="shared" si="737"/>
        <v/>
      </c>
      <c r="N15424" s="11" t="str">
        <f t="shared" si="738"/>
        <v/>
      </c>
    </row>
    <row r="15425" spans="9:14" x14ac:dyDescent="0.25">
      <c r="I15425" s="11" t="b">
        <f t="shared" si="739"/>
        <v>0</v>
      </c>
      <c r="M15425" s="17" t="str">
        <f t="shared" ref="M15425:M15488" si="740">IF(B15425=0, "",M15424+ J15425-K15425)</f>
        <v/>
      </c>
      <c r="N15425" s="11" t="str">
        <f t="shared" ref="N15425:N15488" si="741">IF(B15425=0, "", MONTH(B15425))</f>
        <v/>
      </c>
    </row>
    <row r="15426" spans="9:14" x14ac:dyDescent="0.25">
      <c r="I15426" s="11" t="b">
        <f t="shared" si="739"/>
        <v>0</v>
      </c>
      <c r="M15426" s="17" t="str">
        <f t="shared" si="740"/>
        <v/>
      </c>
      <c r="N15426" s="11" t="str">
        <f t="shared" si="741"/>
        <v/>
      </c>
    </row>
    <row r="15427" spans="9:14" x14ac:dyDescent="0.25">
      <c r="I15427" s="11" t="b">
        <f t="shared" si="739"/>
        <v>0</v>
      </c>
      <c r="M15427" s="17" t="str">
        <f t="shared" si="740"/>
        <v/>
      </c>
      <c r="N15427" s="11" t="str">
        <f t="shared" si="741"/>
        <v/>
      </c>
    </row>
    <row r="15428" spans="9:14" x14ac:dyDescent="0.25">
      <c r="I15428" s="11" t="b">
        <f t="shared" si="739"/>
        <v>0</v>
      </c>
      <c r="M15428" s="17" t="str">
        <f t="shared" si="740"/>
        <v/>
      </c>
      <c r="N15428" s="11" t="str">
        <f t="shared" si="741"/>
        <v/>
      </c>
    </row>
    <row r="15429" spans="9:14" x14ac:dyDescent="0.25">
      <c r="I15429" s="11" t="b">
        <f t="shared" si="739"/>
        <v>0</v>
      </c>
      <c r="M15429" s="17" t="str">
        <f t="shared" si="740"/>
        <v/>
      </c>
      <c r="N15429" s="11" t="str">
        <f t="shared" si="741"/>
        <v/>
      </c>
    </row>
    <row r="15430" spans="9:14" x14ac:dyDescent="0.25">
      <c r="I15430" s="11" t="b">
        <f t="shared" si="739"/>
        <v>0</v>
      </c>
      <c r="M15430" s="17" t="str">
        <f t="shared" si="740"/>
        <v/>
      </c>
      <c r="N15430" s="11" t="str">
        <f t="shared" si="741"/>
        <v/>
      </c>
    </row>
    <row r="15431" spans="9:14" x14ac:dyDescent="0.25">
      <c r="I15431" s="11" t="b">
        <f t="shared" si="739"/>
        <v>0</v>
      </c>
      <c r="M15431" s="17" t="str">
        <f t="shared" si="740"/>
        <v/>
      </c>
      <c r="N15431" s="11" t="str">
        <f t="shared" si="741"/>
        <v/>
      </c>
    </row>
    <row r="15432" spans="9:14" x14ac:dyDescent="0.25">
      <c r="I15432" s="11" t="b">
        <f t="shared" si="739"/>
        <v>0</v>
      </c>
      <c r="M15432" s="17" t="str">
        <f t="shared" si="740"/>
        <v/>
      </c>
      <c r="N15432" s="11" t="str">
        <f t="shared" si="741"/>
        <v/>
      </c>
    </row>
    <row r="15433" spans="9:14" x14ac:dyDescent="0.25">
      <c r="I15433" s="11" t="b">
        <f t="shared" si="739"/>
        <v>0</v>
      </c>
      <c r="M15433" s="17" t="str">
        <f t="shared" si="740"/>
        <v/>
      </c>
      <c r="N15433" s="11" t="str">
        <f t="shared" si="741"/>
        <v/>
      </c>
    </row>
    <row r="15434" spans="9:14" x14ac:dyDescent="0.25">
      <c r="I15434" s="11" t="b">
        <f t="shared" si="739"/>
        <v>0</v>
      </c>
      <c r="M15434" s="17" t="str">
        <f t="shared" si="740"/>
        <v/>
      </c>
      <c r="N15434" s="11" t="str">
        <f t="shared" si="741"/>
        <v/>
      </c>
    </row>
    <row r="15435" spans="9:14" x14ac:dyDescent="0.25">
      <c r="I15435" s="11" t="b">
        <f t="shared" si="739"/>
        <v>0</v>
      </c>
      <c r="M15435" s="17" t="str">
        <f t="shared" si="740"/>
        <v/>
      </c>
      <c r="N15435" s="11" t="str">
        <f t="shared" si="741"/>
        <v/>
      </c>
    </row>
    <row r="15436" spans="9:14" x14ac:dyDescent="0.25">
      <c r="I15436" s="11" t="b">
        <f t="shared" si="739"/>
        <v>0</v>
      </c>
      <c r="M15436" s="17" t="str">
        <f t="shared" si="740"/>
        <v/>
      </c>
      <c r="N15436" s="11" t="str">
        <f t="shared" si="741"/>
        <v/>
      </c>
    </row>
    <row r="15437" spans="9:14" x14ac:dyDescent="0.25">
      <c r="I15437" s="11" t="b">
        <f t="shared" si="739"/>
        <v>0</v>
      </c>
      <c r="M15437" s="17" t="str">
        <f t="shared" si="740"/>
        <v/>
      </c>
      <c r="N15437" s="11" t="str">
        <f t="shared" si="741"/>
        <v/>
      </c>
    </row>
    <row r="15438" spans="9:14" x14ac:dyDescent="0.25">
      <c r="I15438" s="11" t="b">
        <f t="shared" si="739"/>
        <v>0</v>
      </c>
      <c r="M15438" s="17" t="str">
        <f t="shared" si="740"/>
        <v/>
      </c>
      <c r="N15438" s="11" t="str">
        <f t="shared" si="741"/>
        <v/>
      </c>
    </row>
    <row r="15439" spans="9:14" x14ac:dyDescent="0.25">
      <c r="I15439" s="11" t="b">
        <f t="shared" si="739"/>
        <v>0</v>
      </c>
      <c r="M15439" s="17" t="str">
        <f t="shared" si="740"/>
        <v/>
      </c>
      <c r="N15439" s="11" t="str">
        <f t="shared" si="741"/>
        <v/>
      </c>
    </row>
    <row r="15440" spans="9:14" x14ac:dyDescent="0.25">
      <c r="I15440" s="11" t="b">
        <f t="shared" si="739"/>
        <v>0</v>
      </c>
      <c r="M15440" s="17" t="str">
        <f t="shared" si="740"/>
        <v/>
      </c>
      <c r="N15440" s="11" t="str">
        <f t="shared" si="741"/>
        <v/>
      </c>
    </row>
    <row r="15441" spans="9:14" x14ac:dyDescent="0.25">
      <c r="I15441" s="11" t="b">
        <f t="shared" si="739"/>
        <v>0</v>
      </c>
      <c r="M15441" s="17" t="str">
        <f t="shared" si="740"/>
        <v/>
      </c>
      <c r="N15441" s="11" t="str">
        <f t="shared" si="741"/>
        <v/>
      </c>
    </row>
    <row r="15442" spans="9:14" x14ac:dyDescent="0.25">
      <c r="I15442" s="11" t="b">
        <f t="shared" si="739"/>
        <v>0</v>
      </c>
      <c r="M15442" s="17" t="str">
        <f t="shared" si="740"/>
        <v/>
      </c>
      <c r="N15442" s="11" t="str">
        <f t="shared" si="741"/>
        <v/>
      </c>
    </row>
    <row r="15443" spans="9:14" x14ac:dyDescent="0.25">
      <c r="I15443" s="11" t="b">
        <f t="shared" si="739"/>
        <v>0</v>
      </c>
      <c r="M15443" s="17" t="str">
        <f t="shared" si="740"/>
        <v/>
      </c>
      <c r="N15443" s="11" t="str">
        <f t="shared" si="741"/>
        <v/>
      </c>
    </row>
    <row r="15444" spans="9:14" x14ac:dyDescent="0.25">
      <c r="I15444" s="11" t="b">
        <f t="shared" si="739"/>
        <v>0</v>
      </c>
      <c r="M15444" s="17" t="str">
        <f t="shared" si="740"/>
        <v/>
      </c>
      <c r="N15444" s="11" t="str">
        <f t="shared" si="741"/>
        <v/>
      </c>
    </row>
    <row r="15445" spans="9:14" x14ac:dyDescent="0.25">
      <c r="I15445" s="11" t="b">
        <f t="shared" si="739"/>
        <v>0</v>
      </c>
      <c r="M15445" s="17" t="str">
        <f t="shared" si="740"/>
        <v/>
      </c>
      <c r="N15445" s="11" t="str">
        <f t="shared" si="741"/>
        <v/>
      </c>
    </row>
    <row r="15446" spans="9:14" x14ac:dyDescent="0.25">
      <c r="I15446" s="11" t="b">
        <f t="shared" si="739"/>
        <v>0</v>
      </c>
      <c r="M15446" s="17" t="str">
        <f t="shared" si="740"/>
        <v/>
      </c>
      <c r="N15446" s="11" t="str">
        <f t="shared" si="741"/>
        <v/>
      </c>
    </row>
    <row r="15447" spans="9:14" x14ac:dyDescent="0.25">
      <c r="I15447" s="11" t="b">
        <f t="shared" si="739"/>
        <v>0</v>
      </c>
      <c r="M15447" s="17" t="str">
        <f t="shared" si="740"/>
        <v/>
      </c>
      <c r="N15447" s="11" t="str">
        <f t="shared" si="741"/>
        <v/>
      </c>
    </row>
    <row r="15448" spans="9:14" x14ac:dyDescent="0.25">
      <c r="I15448" s="11" t="b">
        <f t="shared" si="739"/>
        <v>0</v>
      </c>
      <c r="M15448" s="17" t="str">
        <f t="shared" si="740"/>
        <v/>
      </c>
      <c r="N15448" s="11" t="str">
        <f t="shared" si="741"/>
        <v/>
      </c>
    </row>
    <row r="15449" spans="9:14" x14ac:dyDescent="0.25">
      <c r="I15449" s="11" t="b">
        <f t="shared" si="739"/>
        <v>0</v>
      </c>
      <c r="M15449" s="17" t="str">
        <f t="shared" si="740"/>
        <v/>
      </c>
      <c r="N15449" s="11" t="str">
        <f t="shared" si="741"/>
        <v/>
      </c>
    </row>
    <row r="15450" spans="9:14" x14ac:dyDescent="0.25">
      <c r="I15450" s="11" t="b">
        <f t="shared" si="739"/>
        <v>0</v>
      </c>
      <c r="M15450" s="17" t="str">
        <f t="shared" si="740"/>
        <v/>
      </c>
      <c r="N15450" s="11" t="str">
        <f t="shared" si="741"/>
        <v/>
      </c>
    </row>
    <row r="15451" spans="9:14" x14ac:dyDescent="0.25">
      <c r="I15451" s="11" t="b">
        <f t="shared" si="739"/>
        <v>0</v>
      </c>
      <c r="M15451" s="17" t="str">
        <f t="shared" si="740"/>
        <v/>
      </c>
      <c r="N15451" s="11" t="str">
        <f t="shared" si="741"/>
        <v/>
      </c>
    </row>
    <row r="15452" spans="9:14" x14ac:dyDescent="0.25">
      <c r="I15452" s="11" t="b">
        <f t="shared" si="739"/>
        <v>0</v>
      </c>
      <c r="M15452" s="17" t="str">
        <f t="shared" si="740"/>
        <v/>
      </c>
      <c r="N15452" s="11" t="str">
        <f t="shared" si="741"/>
        <v/>
      </c>
    </row>
    <row r="15453" spans="9:14" x14ac:dyDescent="0.25">
      <c r="I15453" s="11" t="b">
        <f t="shared" ref="I15453:I15516" si="742">IF(AND(G15453="MERCADO PAGO",A15453="FATURAMENTO"),1,IF(AND(OR(G15453="MERCADO PAGO",G15453="pix mercado pago",G15453= "débito automático mercado pago", G15453= "boleto mercado pago"),A15453="DESPESAS"),4,IF(AND(G15453="SAFRA",A15453="FATURAMENTO"),2,IF(AND(OR(G15453="SAFRA",G15453="PIX SAFRA", G15453="DÉBITO AUTOMÁTICO SAFRA", G15453= "BOLETO SAFRA", G15453= "transferência safra"), A15453="DESPESAS"),5,IF(AND(G15453="espécie",A15453="FATURAMENTO"),3,IF(AND(G15453="espécie",A15453="DESPESAS"),6))))))</f>
        <v>0</v>
      </c>
      <c r="M15453" s="17" t="str">
        <f t="shared" si="740"/>
        <v/>
      </c>
      <c r="N15453" s="11" t="str">
        <f t="shared" si="741"/>
        <v/>
      </c>
    </row>
    <row r="15454" spans="9:14" x14ac:dyDescent="0.25">
      <c r="I15454" s="11" t="b">
        <f t="shared" si="742"/>
        <v>0</v>
      </c>
      <c r="M15454" s="17" t="str">
        <f t="shared" si="740"/>
        <v/>
      </c>
      <c r="N15454" s="11" t="str">
        <f t="shared" si="741"/>
        <v/>
      </c>
    </row>
    <row r="15455" spans="9:14" x14ac:dyDescent="0.25">
      <c r="I15455" s="11" t="b">
        <f t="shared" si="742"/>
        <v>0</v>
      </c>
      <c r="M15455" s="17" t="str">
        <f t="shared" si="740"/>
        <v/>
      </c>
      <c r="N15455" s="11" t="str">
        <f t="shared" si="741"/>
        <v/>
      </c>
    </row>
    <row r="15456" spans="9:14" x14ac:dyDescent="0.25">
      <c r="I15456" s="11" t="b">
        <f t="shared" si="742"/>
        <v>0</v>
      </c>
      <c r="M15456" s="17" t="str">
        <f t="shared" si="740"/>
        <v/>
      </c>
      <c r="N15456" s="11" t="str">
        <f t="shared" si="741"/>
        <v/>
      </c>
    </row>
    <row r="15457" spans="9:14" x14ac:dyDescent="0.25">
      <c r="I15457" s="11" t="b">
        <f t="shared" si="742"/>
        <v>0</v>
      </c>
      <c r="M15457" s="17" t="str">
        <f t="shared" si="740"/>
        <v/>
      </c>
      <c r="N15457" s="11" t="str">
        <f t="shared" si="741"/>
        <v/>
      </c>
    </row>
    <row r="15458" spans="9:14" x14ac:dyDescent="0.25">
      <c r="I15458" s="11" t="b">
        <f t="shared" si="742"/>
        <v>0</v>
      </c>
      <c r="M15458" s="17" t="str">
        <f t="shared" si="740"/>
        <v/>
      </c>
      <c r="N15458" s="11" t="str">
        <f t="shared" si="741"/>
        <v/>
      </c>
    </row>
    <row r="15459" spans="9:14" x14ac:dyDescent="0.25">
      <c r="I15459" s="11" t="b">
        <f t="shared" si="742"/>
        <v>0</v>
      </c>
      <c r="M15459" s="17" t="str">
        <f t="shared" si="740"/>
        <v/>
      </c>
      <c r="N15459" s="11" t="str">
        <f t="shared" si="741"/>
        <v/>
      </c>
    </row>
    <row r="15460" spans="9:14" x14ac:dyDescent="0.25">
      <c r="I15460" s="11" t="b">
        <f t="shared" si="742"/>
        <v>0</v>
      </c>
      <c r="M15460" s="17" t="str">
        <f t="shared" si="740"/>
        <v/>
      </c>
      <c r="N15460" s="11" t="str">
        <f t="shared" si="741"/>
        <v/>
      </c>
    </row>
    <row r="15461" spans="9:14" x14ac:dyDescent="0.25">
      <c r="I15461" s="11" t="b">
        <f t="shared" si="742"/>
        <v>0</v>
      </c>
      <c r="M15461" s="17" t="str">
        <f t="shared" si="740"/>
        <v/>
      </c>
      <c r="N15461" s="11" t="str">
        <f t="shared" si="741"/>
        <v/>
      </c>
    </row>
    <row r="15462" spans="9:14" x14ac:dyDescent="0.25">
      <c r="I15462" s="11" t="b">
        <f t="shared" si="742"/>
        <v>0</v>
      </c>
      <c r="M15462" s="17" t="str">
        <f t="shared" si="740"/>
        <v/>
      </c>
      <c r="N15462" s="11" t="str">
        <f t="shared" si="741"/>
        <v/>
      </c>
    </row>
    <row r="15463" spans="9:14" x14ac:dyDescent="0.25">
      <c r="I15463" s="11" t="b">
        <f t="shared" si="742"/>
        <v>0</v>
      </c>
      <c r="M15463" s="17" t="str">
        <f t="shared" si="740"/>
        <v/>
      </c>
      <c r="N15463" s="11" t="str">
        <f t="shared" si="741"/>
        <v/>
      </c>
    </row>
    <row r="15464" spans="9:14" x14ac:dyDescent="0.25">
      <c r="I15464" s="11" t="b">
        <f t="shared" si="742"/>
        <v>0</v>
      </c>
      <c r="M15464" s="17" t="str">
        <f t="shared" si="740"/>
        <v/>
      </c>
      <c r="N15464" s="11" t="str">
        <f t="shared" si="741"/>
        <v/>
      </c>
    </row>
    <row r="15465" spans="9:14" x14ac:dyDescent="0.25">
      <c r="I15465" s="11" t="b">
        <f t="shared" si="742"/>
        <v>0</v>
      </c>
      <c r="M15465" s="17" t="str">
        <f t="shared" si="740"/>
        <v/>
      </c>
      <c r="N15465" s="11" t="str">
        <f t="shared" si="741"/>
        <v/>
      </c>
    </row>
    <row r="15466" spans="9:14" x14ac:dyDescent="0.25">
      <c r="I15466" s="11" t="b">
        <f t="shared" si="742"/>
        <v>0</v>
      </c>
      <c r="M15466" s="17" t="str">
        <f t="shared" si="740"/>
        <v/>
      </c>
      <c r="N15466" s="11" t="str">
        <f t="shared" si="741"/>
        <v/>
      </c>
    </row>
    <row r="15467" spans="9:14" x14ac:dyDescent="0.25">
      <c r="I15467" s="11" t="b">
        <f t="shared" si="742"/>
        <v>0</v>
      </c>
      <c r="M15467" s="17" t="str">
        <f t="shared" si="740"/>
        <v/>
      </c>
      <c r="N15467" s="11" t="str">
        <f t="shared" si="741"/>
        <v/>
      </c>
    </row>
    <row r="15468" spans="9:14" x14ac:dyDescent="0.25">
      <c r="I15468" s="11" t="b">
        <f t="shared" si="742"/>
        <v>0</v>
      </c>
      <c r="M15468" s="17" t="str">
        <f t="shared" si="740"/>
        <v/>
      </c>
      <c r="N15468" s="11" t="str">
        <f t="shared" si="741"/>
        <v/>
      </c>
    </row>
    <row r="15469" spans="9:14" x14ac:dyDescent="0.25">
      <c r="I15469" s="11" t="b">
        <f t="shared" si="742"/>
        <v>0</v>
      </c>
      <c r="M15469" s="17" t="str">
        <f t="shared" si="740"/>
        <v/>
      </c>
      <c r="N15469" s="11" t="str">
        <f t="shared" si="741"/>
        <v/>
      </c>
    </row>
    <row r="15470" spans="9:14" x14ac:dyDescent="0.25">
      <c r="I15470" s="11" t="b">
        <f t="shared" si="742"/>
        <v>0</v>
      </c>
      <c r="M15470" s="17" t="str">
        <f t="shared" si="740"/>
        <v/>
      </c>
      <c r="N15470" s="11" t="str">
        <f t="shared" si="741"/>
        <v/>
      </c>
    </row>
    <row r="15471" spans="9:14" x14ac:dyDescent="0.25">
      <c r="I15471" s="11" t="b">
        <f t="shared" si="742"/>
        <v>0</v>
      </c>
      <c r="M15471" s="17" t="str">
        <f t="shared" si="740"/>
        <v/>
      </c>
      <c r="N15471" s="11" t="str">
        <f t="shared" si="741"/>
        <v/>
      </c>
    </row>
    <row r="15472" spans="9:14" x14ac:dyDescent="0.25">
      <c r="I15472" s="11" t="b">
        <f t="shared" si="742"/>
        <v>0</v>
      </c>
      <c r="M15472" s="17" t="str">
        <f t="shared" si="740"/>
        <v/>
      </c>
      <c r="N15472" s="11" t="str">
        <f t="shared" si="741"/>
        <v/>
      </c>
    </row>
    <row r="15473" spans="9:14" x14ac:dyDescent="0.25">
      <c r="I15473" s="11" t="b">
        <f t="shared" si="742"/>
        <v>0</v>
      </c>
      <c r="M15473" s="17" t="str">
        <f t="shared" si="740"/>
        <v/>
      </c>
      <c r="N15473" s="11" t="str">
        <f t="shared" si="741"/>
        <v/>
      </c>
    </row>
    <row r="15474" spans="9:14" x14ac:dyDescent="0.25">
      <c r="I15474" s="11" t="b">
        <f t="shared" si="742"/>
        <v>0</v>
      </c>
      <c r="M15474" s="17" t="str">
        <f t="shared" si="740"/>
        <v/>
      </c>
      <c r="N15474" s="11" t="str">
        <f t="shared" si="741"/>
        <v/>
      </c>
    </row>
    <row r="15475" spans="9:14" x14ac:dyDescent="0.25">
      <c r="I15475" s="11" t="b">
        <f t="shared" si="742"/>
        <v>0</v>
      </c>
      <c r="M15475" s="17" t="str">
        <f t="shared" si="740"/>
        <v/>
      </c>
      <c r="N15475" s="11" t="str">
        <f t="shared" si="741"/>
        <v/>
      </c>
    </row>
    <row r="15476" spans="9:14" x14ac:dyDescent="0.25">
      <c r="I15476" s="11" t="b">
        <f t="shared" si="742"/>
        <v>0</v>
      </c>
      <c r="M15476" s="17" t="str">
        <f t="shared" si="740"/>
        <v/>
      </c>
      <c r="N15476" s="11" t="str">
        <f t="shared" si="741"/>
        <v/>
      </c>
    </row>
    <row r="15477" spans="9:14" x14ac:dyDescent="0.25">
      <c r="I15477" s="11" t="b">
        <f t="shared" si="742"/>
        <v>0</v>
      </c>
      <c r="M15477" s="17" t="str">
        <f t="shared" si="740"/>
        <v/>
      </c>
      <c r="N15477" s="11" t="str">
        <f t="shared" si="741"/>
        <v/>
      </c>
    </row>
    <row r="15478" spans="9:14" x14ac:dyDescent="0.25">
      <c r="I15478" s="11" t="b">
        <f t="shared" si="742"/>
        <v>0</v>
      </c>
      <c r="M15478" s="17" t="str">
        <f t="shared" si="740"/>
        <v/>
      </c>
      <c r="N15478" s="11" t="str">
        <f t="shared" si="741"/>
        <v/>
      </c>
    </row>
    <row r="15479" spans="9:14" x14ac:dyDescent="0.25">
      <c r="I15479" s="11" t="b">
        <f t="shared" si="742"/>
        <v>0</v>
      </c>
      <c r="M15479" s="17" t="str">
        <f t="shared" si="740"/>
        <v/>
      </c>
      <c r="N15479" s="11" t="str">
        <f t="shared" si="741"/>
        <v/>
      </c>
    </row>
    <row r="15480" spans="9:14" x14ac:dyDescent="0.25">
      <c r="I15480" s="11" t="b">
        <f t="shared" si="742"/>
        <v>0</v>
      </c>
      <c r="M15480" s="17" t="str">
        <f t="shared" si="740"/>
        <v/>
      </c>
      <c r="N15480" s="11" t="str">
        <f t="shared" si="741"/>
        <v/>
      </c>
    </row>
    <row r="15481" spans="9:14" x14ac:dyDescent="0.25">
      <c r="I15481" s="11" t="b">
        <f t="shared" si="742"/>
        <v>0</v>
      </c>
      <c r="M15481" s="17" t="str">
        <f t="shared" si="740"/>
        <v/>
      </c>
      <c r="N15481" s="11" t="str">
        <f t="shared" si="741"/>
        <v/>
      </c>
    </row>
    <row r="15482" spans="9:14" x14ac:dyDescent="0.25">
      <c r="I15482" s="11" t="b">
        <f t="shared" si="742"/>
        <v>0</v>
      </c>
      <c r="M15482" s="17" t="str">
        <f t="shared" si="740"/>
        <v/>
      </c>
      <c r="N15482" s="11" t="str">
        <f t="shared" si="741"/>
        <v/>
      </c>
    </row>
    <row r="15483" spans="9:14" x14ac:dyDescent="0.25">
      <c r="I15483" s="11" t="b">
        <f t="shared" si="742"/>
        <v>0</v>
      </c>
      <c r="M15483" s="17" t="str">
        <f t="shared" si="740"/>
        <v/>
      </c>
      <c r="N15483" s="11" t="str">
        <f t="shared" si="741"/>
        <v/>
      </c>
    </row>
    <row r="15484" spans="9:14" x14ac:dyDescent="0.25">
      <c r="I15484" s="11" t="b">
        <f t="shared" si="742"/>
        <v>0</v>
      </c>
      <c r="M15484" s="17" t="str">
        <f t="shared" si="740"/>
        <v/>
      </c>
      <c r="N15484" s="11" t="str">
        <f t="shared" si="741"/>
        <v/>
      </c>
    </row>
    <row r="15485" spans="9:14" x14ac:dyDescent="0.25">
      <c r="I15485" s="11" t="b">
        <f t="shared" si="742"/>
        <v>0</v>
      </c>
      <c r="M15485" s="17" t="str">
        <f t="shared" si="740"/>
        <v/>
      </c>
      <c r="N15485" s="11" t="str">
        <f t="shared" si="741"/>
        <v/>
      </c>
    </row>
    <row r="15486" spans="9:14" x14ac:dyDescent="0.25">
      <c r="I15486" s="11" t="b">
        <f t="shared" si="742"/>
        <v>0</v>
      </c>
      <c r="M15486" s="17" t="str">
        <f t="shared" si="740"/>
        <v/>
      </c>
      <c r="N15486" s="11" t="str">
        <f t="shared" si="741"/>
        <v/>
      </c>
    </row>
    <row r="15487" spans="9:14" x14ac:dyDescent="0.25">
      <c r="I15487" s="11" t="b">
        <f t="shared" si="742"/>
        <v>0</v>
      </c>
      <c r="M15487" s="17" t="str">
        <f t="shared" si="740"/>
        <v/>
      </c>
      <c r="N15487" s="11" t="str">
        <f t="shared" si="741"/>
        <v/>
      </c>
    </row>
    <row r="15488" spans="9:14" x14ac:dyDescent="0.25">
      <c r="I15488" s="11" t="b">
        <f t="shared" si="742"/>
        <v>0</v>
      </c>
      <c r="M15488" s="17" t="str">
        <f t="shared" si="740"/>
        <v/>
      </c>
      <c r="N15488" s="11" t="str">
        <f t="shared" si="741"/>
        <v/>
      </c>
    </row>
    <row r="15489" spans="9:14" x14ac:dyDescent="0.25">
      <c r="I15489" s="11" t="b">
        <f t="shared" si="742"/>
        <v>0</v>
      </c>
      <c r="M15489" s="17" t="str">
        <f t="shared" ref="M15489:M15552" si="743">IF(B15489=0, "",M15488+ J15489-K15489)</f>
        <v/>
      </c>
      <c r="N15489" s="11" t="str">
        <f t="shared" ref="N15489:N15552" si="744">IF(B15489=0, "", MONTH(B15489))</f>
        <v/>
      </c>
    </row>
    <row r="15490" spans="9:14" x14ac:dyDescent="0.25">
      <c r="I15490" s="11" t="b">
        <f t="shared" si="742"/>
        <v>0</v>
      </c>
      <c r="M15490" s="17" t="str">
        <f t="shared" si="743"/>
        <v/>
      </c>
      <c r="N15490" s="11" t="str">
        <f t="shared" si="744"/>
        <v/>
      </c>
    </row>
    <row r="15491" spans="9:14" x14ac:dyDescent="0.25">
      <c r="I15491" s="11" t="b">
        <f t="shared" si="742"/>
        <v>0</v>
      </c>
      <c r="M15491" s="17" t="str">
        <f t="shared" si="743"/>
        <v/>
      </c>
      <c r="N15491" s="11" t="str">
        <f t="shared" si="744"/>
        <v/>
      </c>
    </row>
    <row r="15492" spans="9:14" x14ac:dyDescent="0.25">
      <c r="I15492" s="11" t="b">
        <f t="shared" si="742"/>
        <v>0</v>
      </c>
      <c r="M15492" s="17" t="str">
        <f t="shared" si="743"/>
        <v/>
      </c>
      <c r="N15492" s="11" t="str">
        <f t="shared" si="744"/>
        <v/>
      </c>
    </row>
    <row r="15493" spans="9:14" x14ac:dyDescent="0.25">
      <c r="I15493" s="11" t="b">
        <f t="shared" si="742"/>
        <v>0</v>
      </c>
      <c r="M15493" s="17" t="str">
        <f t="shared" si="743"/>
        <v/>
      </c>
      <c r="N15493" s="11" t="str">
        <f t="shared" si="744"/>
        <v/>
      </c>
    </row>
    <row r="15494" spans="9:14" x14ac:dyDescent="0.25">
      <c r="I15494" s="11" t="b">
        <f t="shared" si="742"/>
        <v>0</v>
      </c>
      <c r="M15494" s="17" t="str">
        <f t="shared" si="743"/>
        <v/>
      </c>
      <c r="N15494" s="11" t="str">
        <f t="shared" si="744"/>
        <v/>
      </c>
    </row>
    <row r="15495" spans="9:14" x14ac:dyDescent="0.25">
      <c r="I15495" s="11" t="b">
        <f t="shared" si="742"/>
        <v>0</v>
      </c>
      <c r="M15495" s="17" t="str">
        <f t="shared" si="743"/>
        <v/>
      </c>
      <c r="N15495" s="11" t="str">
        <f t="shared" si="744"/>
        <v/>
      </c>
    </row>
    <row r="15496" spans="9:14" x14ac:dyDescent="0.25">
      <c r="I15496" s="11" t="b">
        <f t="shared" si="742"/>
        <v>0</v>
      </c>
      <c r="M15496" s="17" t="str">
        <f t="shared" si="743"/>
        <v/>
      </c>
      <c r="N15496" s="11" t="str">
        <f t="shared" si="744"/>
        <v/>
      </c>
    </row>
    <row r="15497" spans="9:14" x14ac:dyDescent="0.25">
      <c r="I15497" s="11" t="b">
        <f t="shared" si="742"/>
        <v>0</v>
      </c>
      <c r="M15497" s="17" t="str">
        <f t="shared" si="743"/>
        <v/>
      </c>
      <c r="N15497" s="11" t="str">
        <f t="shared" si="744"/>
        <v/>
      </c>
    </row>
    <row r="15498" spans="9:14" x14ac:dyDescent="0.25">
      <c r="I15498" s="11" t="b">
        <f t="shared" si="742"/>
        <v>0</v>
      </c>
      <c r="M15498" s="17" t="str">
        <f t="shared" si="743"/>
        <v/>
      </c>
      <c r="N15498" s="11" t="str">
        <f t="shared" si="744"/>
        <v/>
      </c>
    </row>
    <row r="15499" spans="9:14" x14ac:dyDescent="0.25">
      <c r="I15499" s="11" t="b">
        <f t="shared" si="742"/>
        <v>0</v>
      </c>
      <c r="M15499" s="17" t="str">
        <f t="shared" si="743"/>
        <v/>
      </c>
      <c r="N15499" s="11" t="str">
        <f t="shared" si="744"/>
        <v/>
      </c>
    </row>
    <row r="15500" spans="9:14" x14ac:dyDescent="0.25">
      <c r="I15500" s="11" t="b">
        <f t="shared" si="742"/>
        <v>0</v>
      </c>
      <c r="M15500" s="17" t="str">
        <f t="shared" si="743"/>
        <v/>
      </c>
      <c r="N15500" s="11" t="str">
        <f t="shared" si="744"/>
        <v/>
      </c>
    </row>
    <row r="15501" spans="9:14" x14ac:dyDescent="0.25">
      <c r="I15501" s="11" t="b">
        <f t="shared" si="742"/>
        <v>0</v>
      </c>
      <c r="M15501" s="17" t="str">
        <f t="shared" si="743"/>
        <v/>
      </c>
      <c r="N15501" s="11" t="str">
        <f t="shared" si="744"/>
        <v/>
      </c>
    </row>
    <row r="15502" spans="9:14" x14ac:dyDescent="0.25">
      <c r="I15502" s="11" t="b">
        <f t="shared" si="742"/>
        <v>0</v>
      </c>
      <c r="M15502" s="17" t="str">
        <f t="shared" si="743"/>
        <v/>
      </c>
      <c r="N15502" s="11" t="str">
        <f t="shared" si="744"/>
        <v/>
      </c>
    </row>
    <row r="15503" spans="9:14" x14ac:dyDescent="0.25">
      <c r="I15503" s="11" t="b">
        <f t="shared" si="742"/>
        <v>0</v>
      </c>
      <c r="M15503" s="17" t="str">
        <f t="shared" si="743"/>
        <v/>
      </c>
      <c r="N15503" s="11" t="str">
        <f t="shared" si="744"/>
        <v/>
      </c>
    </row>
    <row r="15504" spans="9:14" x14ac:dyDescent="0.25">
      <c r="I15504" s="11" t="b">
        <f t="shared" si="742"/>
        <v>0</v>
      </c>
      <c r="M15504" s="17" t="str">
        <f t="shared" si="743"/>
        <v/>
      </c>
      <c r="N15504" s="11" t="str">
        <f t="shared" si="744"/>
        <v/>
      </c>
    </row>
    <row r="15505" spans="9:14" x14ac:dyDescent="0.25">
      <c r="I15505" s="11" t="b">
        <f t="shared" si="742"/>
        <v>0</v>
      </c>
      <c r="M15505" s="17" t="str">
        <f t="shared" si="743"/>
        <v/>
      </c>
      <c r="N15505" s="11" t="str">
        <f t="shared" si="744"/>
        <v/>
      </c>
    </row>
    <row r="15506" spans="9:14" x14ac:dyDescent="0.25">
      <c r="I15506" s="11" t="b">
        <f t="shared" si="742"/>
        <v>0</v>
      </c>
      <c r="M15506" s="17" t="str">
        <f t="shared" si="743"/>
        <v/>
      </c>
      <c r="N15506" s="11" t="str">
        <f t="shared" si="744"/>
        <v/>
      </c>
    </row>
    <row r="15507" spans="9:14" x14ac:dyDescent="0.25">
      <c r="I15507" s="11" t="b">
        <f t="shared" si="742"/>
        <v>0</v>
      </c>
      <c r="M15507" s="17" t="str">
        <f t="shared" si="743"/>
        <v/>
      </c>
      <c r="N15507" s="11" t="str">
        <f t="shared" si="744"/>
        <v/>
      </c>
    </row>
    <row r="15508" spans="9:14" x14ac:dyDescent="0.25">
      <c r="I15508" s="11" t="b">
        <f t="shared" si="742"/>
        <v>0</v>
      </c>
      <c r="M15508" s="17" t="str">
        <f t="shared" si="743"/>
        <v/>
      </c>
      <c r="N15508" s="11" t="str">
        <f t="shared" si="744"/>
        <v/>
      </c>
    </row>
    <row r="15509" spans="9:14" x14ac:dyDescent="0.25">
      <c r="I15509" s="11" t="b">
        <f t="shared" si="742"/>
        <v>0</v>
      </c>
      <c r="M15509" s="17" t="str">
        <f t="shared" si="743"/>
        <v/>
      </c>
      <c r="N15509" s="11" t="str">
        <f t="shared" si="744"/>
        <v/>
      </c>
    </row>
    <row r="15510" spans="9:14" x14ac:dyDescent="0.25">
      <c r="I15510" s="11" t="b">
        <f t="shared" si="742"/>
        <v>0</v>
      </c>
      <c r="M15510" s="17" t="str">
        <f t="shared" si="743"/>
        <v/>
      </c>
      <c r="N15510" s="11" t="str">
        <f t="shared" si="744"/>
        <v/>
      </c>
    </row>
    <row r="15511" spans="9:14" x14ac:dyDescent="0.25">
      <c r="I15511" s="11" t="b">
        <f t="shared" si="742"/>
        <v>0</v>
      </c>
      <c r="M15511" s="17" t="str">
        <f t="shared" si="743"/>
        <v/>
      </c>
      <c r="N15511" s="11" t="str">
        <f t="shared" si="744"/>
        <v/>
      </c>
    </row>
    <row r="15512" spans="9:14" x14ac:dyDescent="0.25">
      <c r="I15512" s="11" t="b">
        <f t="shared" si="742"/>
        <v>0</v>
      </c>
      <c r="M15512" s="17" t="str">
        <f t="shared" si="743"/>
        <v/>
      </c>
      <c r="N15512" s="11" t="str">
        <f t="shared" si="744"/>
        <v/>
      </c>
    </row>
    <row r="15513" spans="9:14" x14ac:dyDescent="0.25">
      <c r="I15513" s="11" t="b">
        <f t="shared" si="742"/>
        <v>0</v>
      </c>
      <c r="M15513" s="17" t="str">
        <f t="shared" si="743"/>
        <v/>
      </c>
      <c r="N15513" s="11" t="str">
        <f t="shared" si="744"/>
        <v/>
      </c>
    </row>
    <row r="15514" spans="9:14" x14ac:dyDescent="0.25">
      <c r="I15514" s="11" t="b">
        <f t="shared" si="742"/>
        <v>0</v>
      </c>
      <c r="M15514" s="17" t="str">
        <f t="shared" si="743"/>
        <v/>
      </c>
      <c r="N15514" s="11" t="str">
        <f t="shared" si="744"/>
        <v/>
      </c>
    </row>
    <row r="15515" spans="9:14" x14ac:dyDescent="0.25">
      <c r="I15515" s="11" t="b">
        <f t="shared" si="742"/>
        <v>0</v>
      </c>
      <c r="M15515" s="17" t="str">
        <f t="shared" si="743"/>
        <v/>
      </c>
      <c r="N15515" s="11" t="str">
        <f t="shared" si="744"/>
        <v/>
      </c>
    </row>
    <row r="15516" spans="9:14" x14ac:dyDescent="0.25">
      <c r="I15516" s="11" t="b">
        <f t="shared" si="742"/>
        <v>0</v>
      </c>
      <c r="M15516" s="17" t="str">
        <f t="shared" si="743"/>
        <v/>
      </c>
      <c r="N15516" s="11" t="str">
        <f t="shared" si="744"/>
        <v/>
      </c>
    </row>
    <row r="15517" spans="9:14" x14ac:dyDescent="0.25">
      <c r="I15517" s="11" t="b">
        <f t="shared" ref="I15517:I15580" si="745">IF(AND(G15517="MERCADO PAGO",A15517="FATURAMENTO"),1,IF(AND(OR(G15517="MERCADO PAGO",G15517="pix mercado pago",G15517= "débito automático mercado pago", G15517= "boleto mercado pago"),A15517="DESPESAS"),4,IF(AND(G15517="SAFRA",A15517="FATURAMENTO"),2,IF(AND(OR(G15517="SAFRA",G15517="PIX SAFRA", G15517="DÉBITO AUTOMÁTICO SAFRA", G15517= "BOLETO SAFRA", G15517= "transferência safra"), A15517="DESPESAS"),5,IF(AND(G15517="espécie",A15517="FATURAMENTO"),3,IF(AND(G15517="espécie",A15517="DESPESAS"),6))))))</f>
        <v>0</v>
      </c>
      <c r="M15517" s="17" t="str">
        <f t="shared" si="743"/>
        <v/>
      </c>
      <c r="N15517" s="11" t="str">
        <f t="shared" si="744"/>
        <v/>
      </c>
    </row>
    <row r="15518" spans="9:14" x14ac:dyDescent="0.25">
      <c r="I15518" s="11" t="b">
        <f t="shared" si="745"/>
        <v>0</v>
      </c>
      <c r="M15518" s="17" t="str">
        <f t="shared" si="743"/>
        <v/>
      </c>
      <c r="N15518" s="11" t="str">
        <f t="shared" si="744"/>
        <v/>
      </c>
    </row>
    <row r="15519" spans="9:14" x14ac:dyDescent="0.25">
      <c r="I15519" s="11" t="b">
        <f t="shared" si="745"/>
        <v>0</v>
      </c>
      <c r="M15519" s="17" t="str">
        <f t="shared" si="743"/>
        <v/>
      </c>
      <c r="N15519" s="11" t="str">
        <f t="shared" si="744"/>
        <v/>
      </c>
    </row>
    <row r="15520" spans="9:14" x14ac:dyDescent="0.25">
      <c r="I15520" s="11" t="b">
        <f t="shared" si="745"/>
        <v>0</v>
      </c>
      <c r="M15520" s="17" t="str">
        <f t="shared" si="743"/>
        <v/>
      </c>
      <c r="N15520" s="11" t="str">
        <f t="shared" si="744"/>
        <v/>
      </c>
    </row>
    <row r="15521" spans="9:14" x14ac:dyDescent="0.25">
      <c r="I15521" s="11" t="b">
        <f t="shared" si="745"/>
        <v>0</v>
      </c>
      <c r="M15521" s="17" t="str">
        <f t="shared" si="743"/>
        <v/>
      </c>
      <c r="N15521" s="11" t="str">
        <f t="shared" si="744"/>
        <v/>
      </c>
    </row>
    <row r="15522" spans="9:14" x14ac:dyDescent="0.25">
      <c r="I15522" s="11" t="b">
        <f t="shared" si="745"/>
        <v>0</v>
      </c>
      <c r="M15522" s="17" t="str">
        <f t="shared" si="743"/>
        <v/>
      </c>
      <c r="N15522" s="11" t="str">
        <f t="shared" si="744"/>
        <v/>
      </c>
    </row>
    <row r="15523" spans="9:14" x14ac:dyDescent="0.25">
      <c r="I15523" s="11" t="b">
        <f t="shared" si="745"/>
        <v>0</v>
      </c>
      <c r="M15523" s="17" t="str">
        <f t="shared" si="743"/>
        <v/>
      </c>
      <c r="N15523" s="11" t="str">
        <f t="shared" si="744"/>
        <v/>
      </c>
    </row>
    <row r="15524" spans="9:14" x14ac:dyDescent="0.25">
      <c r="I15524" s="11" t="b">
        <f t="shared" si="745"/>
        <v>0</v>
      </c>
      <c r="M15524" s="17" t="str">
        <f t="shared" si="743"/>
        <v/>
      </c>
      <c r="N15524" s="11" t="str">
        <f t="shared" si="744"/>
        <v/>
      </c>
    </row>
    <row r="15525" spans="9:14" x14ac:dyDescent="0.25">
      <c r="I15525" s="11" t="b">
        <f t="shared" si="745"/>
        <v>0</v>
      </c>
      <c r="M15525" s="17" t="str">
        <f t="shared" si="743"/>
        <v/>
      </c>
      <c r="N15525" s="11" t="str">
        <f t="shared" si="744"/>
        <v/>
      </c>
    </row>
    <row r="15526" spans="9:14" x14ac:dyDescent="0.25">
      <c r="I15526" s="11" t="b">
        <f t="shared" si="745"/>
        <v>0</v>
      </c>
      <c r="M15526" s="17" t="str">
        <f t="shared" si="743"/>
        <v/>
      </c>
      <c r="N15526" s="11" t="str">
        <f t="shared" si="744"/>
        <v/>
      </c>
    </row>
    <row r="15527" spans="9:14" x14ac:dyDescent="0.25">
      <c r="I15527" s="11" t="b">
        <f t="shared" si="745"/>
        <v>0</v>
      </c>
      <c r="M15527" s="17" t="str">
        <f t="shared" si="743"/>
        <v/>
      </c>
      <c r="N15527" s="11" t="str">
        <f t="shared" si="744"/>
        <v/>
      </c>
    </row>
    <row r="15528" spans="9:14" x14ac:dyDescent="0.25">
      <c r="I15528" s="11" t="b">
        <f t="shared" si="745"/>
        <v>0</v>
      </c>
      <c r="M15528" s="17" t="str">
        <f t="shared" si="743"/>
        <v/>
      </c>
      <c r="N15528" s="11" t="str">
        <f t="shared" si="744"/>
        <v/>
      </c>
    </row>
    <row r="15529" spans="9:14" x14ac:dyDescent="0.25">
      <c r="I15529" s="11" t="b">
        <f t="shared" si="745"/>
        <v>0</v>
      </c>
      <c r="M15529" s="17" t="str">
        <f t="shared" si="743"/>
        <v/>
      </c>
      <c r="N15529" s="11" t="str">
        <f t="shared" si="744"/>
        <v/>
      </c>
    </row>
    <row r="15530" spans="9:14" x14ac:dyDescent="0.25">
      <c r="I15530" s="11" t="b">
        <f t="shared" si="745"/>
        <v>0</v>
      </c>
      <c r="M15530" s="17" t="str">
        <f t="shared" si="743"/>
        <v/>
      </c>
      <c r="N15530" s="11" t="str">
        <f t="shared" si="744"/>
        <v/>
      </c>
    </row>
    <row r="15531" spans="9:14" x14ac:dyDescent="0.25">
      <c r="I15531" s="11" t="b">
        <f t="shared" si="745"/>
        <v>0</v>
      </c>
      <c r="M15531" s="17" t="str">
        <f t="shared" si="743"/>
        <v/>
      </c>
      <c r="N15531" s="11" t="str">
        <f t="shared" si="744"/>
        <v/>
      </c>
    </row>
    <row r="15532" spans="9:14" x14ac:dyDescent="0.25">
      <c r="I15532" s="11" t="b">
        <f t="shared" si="745"/>
        <v>0</v>
      </c>
      <c r="M15532" s="17" t="str">
        <f t="shared" si="743"/>
        <v/>
      </c>
      <c r="N15532" s="11" t="str">
        <f t="shared" si="744"/>
        <v/>
      </c>
    </row>
    <row r="15533" spans="9:14" x14ac:dyDescent="0.25">
      <c r="I15533" s="11" t="b">
        <f t="shared" si="745"/>
        <v>0</v>
      </c>
      <c r="M15533" s="17" t="str">
        <f t="shared" si="743"/>
        <v/>
      </c>
      <c r="N15533" s="11" t="str">
        <f t="shared" si="744"/>
        <v/>
      </c>
    </row>
    <row r="15534" spans="9:14" x14ac:dyDescent="0.25">
      <c r="I15534" s="11" t="b">
        <f t="shared" si="745"/>
        <v>0</v>
      </c>
      <c r="M15534" s="17" t="str">
        <f t="shared" si="743"/>
        <v/>
      </c>
      <c r="N15534" s="11" t="str">
        <f t="shared" si="744"/>
        <v/>
      </c>
    </row>
    <row r="15535" spans="9:14" x14ac:dyDescent="0.25">
      <c r="I15535" s="11" t="b">
        <f t="shared" si="745"/>
        <v>0</v>
      </c>
      <c r="M15535" s="17" t="str">
        <f t="shared" si="743"/>
        <v/>
      </c>
      <c r="N15535" s="11" t="str">
        <f t="shared" si="744"/>
        <v/>
      </c>
    </row>
    <row r="15536" spans="9:14" x14ac:dyDescent="0.25">
      <c r="I15536" s="11" t="b">
        <f t="shared" si="745"/>
        <v>0</v>
      </c>
      <c r="M15536" s="17" t="str">
        <f t="shared" si="743"/>
        <v/>
      </c>
      <c r="N15536" s="11" t="str">
        <f t="shared" si="744"/>
        <v/>
      </c>
    </row>
    <row r="15537" spans="9:14" x14ac:dyDescent="0.25">
      <c r="I15537" s="11" t="b">
        <f t="shared" si="745"/>
        <v>0</v>
      </c>
      <c r="M15537" s="17" t="str">
        <f t="shared" si="743"/>
        <v/>
      </c>
      <c r="N15537" s="11" t="str">
        <f t="shared" si="744"/>
        <v/>
      </c>
    </row>
    <row r="15538" spans="9:14" x14ac:dyDescent="0.25">
      <c r="I15538" s="11" t="b">
        <f t="shared" si="745"/>
        <v>0</v>
      </c>
      <c r="M15538" s="17" t="str">
        <f t="shared" si="743"/>
        <v/>
      </c>
      <c r="N15538" s="11" t="str">
        <f t="shared" si="744"/>
        <v/>
      </c>
    </row>
    <row r="15539" spans="9:14" x14ac:dyDescent="0.25">
      <c r="I15539" s="11" t="b">
        <f t="shared" si="745"/>
        <v>0</v>
      </c>
      <c r="M15539" s="17" t="str">
        <f t="shared" si="743"/>
        <v/>
      </c>
      <c r="N15539" s="11" t="str">
        <f t="shared" si="744"/>
        <v/>
      </c>
    </row>
    <row r="15540" spans="9:14" x14ac:dyDescent="0.25">
      <c r="I15540" s="11" t="b">
        <f t="shared" si="745"/>
        <v>0</v>
      </c>
      <c r="M15540" s="17" t="str">
        <f t="shared" si="743"/>
        <v/>
      </c>
      <c r="N15540" s="11" t="str">
        <f t="shared" si="744"/>
        <v/>
      </c>
    </row>
    <row r="15541" spans="9:14" x14ac:dyDescent="0.25">
      <c r="I15541" s="11" t="b">
        <f t="shared" si="745"/>
        <v>0</v>
      </c>
      <c r="M15541" s="17" t="str">
        <f t="shared" si="743"/>
        <v/>
      </c>
      <c r="N15541" s="11" t="str">
        <f t="shared" si="744"/>
        <v/>
      </c>
    </row>
    <row r="15542" spans="9:14" x14ac:dyDescent="0.25">
      <c r="I15542" s="11" t="b">
        <f t="shared" si="745"/>
        <v>0</v>
      </c>
      <c r="M15542" s="17" t="str">
        <f t="shared" si="743"/>
        <v/>
      </c>
      <c r="N15542" s="11" t="str">
        <f t="shared" si="744"/>
        <v/>
      </c>
    </row>
    <row r="15543" spans="9:14" x14ac:dyDescent="0.25">
      <c r="I15543" s="11" t="b">
        <f t="shared" si="745"/>
        <v>0</v>
      </c>
      <c r="M15543" s="17" t="str">
        <f t="shared" si="743"/>
        <v/>
      </c>
      <c r="N15543" s="11" t="str">
        <f t="shared" si="744"/>
        <v/>
      </c>
    </row>
    <row r="15544" spans="9:14" x14ac:dyDescent="0.25">
      <c r="I15544" s="11" t="b">
        <f t="shared" si="745"/>
        <v>0</v>
      </c>
      <c r="M15544" s="17" t="str">
        <f t="shared" si="743"/>
        <v/>
      </c>
      <c r="N15544" s="11" t="str">
        <f t="shared" si="744"/>
        <v/>
      </c>
    </row>
    <row r="15545" spans="9:14" x14ac:dyDescent="0.25">
      <c r="I15545" s="11" t="b">
        <f t="shared" si="745"/>
        <v>0</v>
      </c>
      <c r="M15545" s="17" t="str">
        <f t="shared" si="743"/>
        <v/>
      </c>
      <c r="N15545" s="11" t="str">
        <f t="shared" si="744"/>
        <v/>
      </c>
    </row>
    <row r="15546" spans="9:14" x14ac:dyDescent="0.25">
      <c r="I15546" s="11" t="b">
        <f t="shared" si="745"/>
        <v>0</v>
      </c>
      <c r="M15546" s="17" t="str">
        <f t="shared" si="743"/>
        <v/>
      </c>
      <c r="N15546" s="11" t="str">
        <f t="shared" si="744"/>
        <v/>
      </c>
    </row>
    <row r="15547" spans="9:14" x14ac:dyDescent="0.25">
      <c r="I15547" s="11" t="b">
        <f t="shared" si="745"/>
        <v>0</v>
      </c>
      <c r="M15547" s="17" t="str">
        <f t="shared" si="743"/>
        <v/>
      </c>
      <c r="N15547" s="11" t="str">
        <f t="shared" si="744"/>
        <v/>
      </c>
    </row>
    <row r="15548" spans="9:14" x14ac:dyDescent="0.25">
      <c r="I15548" s="11" t="b">
        <f t="shared" si="745"/>
        <v>0</v>
      </c>
      <c r="M15548" s="17" t="str">
        <f t="shared" si="743"/>
        <v/>
      </c>
      <c r="N15548" s="11" t="str">
        <f t="shared" si="744"/>
        <v/>
      </c>
    </row>
    <row r="15549" spans="9:14" x14ac:dyDescent="0.25">
      <c r="I15549" s="11" t="b">
        <f t="shared" si="745"/>
        <v>0</v>
      </c>
      <c r="M15549" s="17" t="str">
        <f t="shared" si="743"/>
        <v/>
      </c>
      <c r="N15549" s="11" t="str">
        <f t="shared" si="744"/>
        <v/>
      </c>
    </row>
    <row r="15550" spans="9:14" x14ac:dyDescent="0.25">
      <c r="I15550" s="11" t="b">
        <f t="shared" si="745"/>
        <v>0</v>
      </c>
      <c r="M15550" s="17" t="str">
        <f t="shared" si="743"/>
        <v/>
      </c>
      <c r="N15550" s="11" t="str">
        <f t="shared" si="744"/>
        <v/>
      </c>
    </row>
    <row r="15551" spans="9:14" x14ac:dyDescent="0.25">
      <c r="I15551" s="11" t="b">
        <f t="shared" si="745"/>
        <v>0</v>
      </c>
      <c r="M15551" s="17" t="str">
        <f t="shared" si="743"/>
        <v/>
      </c>
      <c r="N15551" s="11" t="str">
        <f t="shared" si="744"/>
        <v/>
      </c>
    </row>
    <row r="15552" spans="9:14" x14ac:dyDescent="0.25">
      <c r="I15552" s="11" t="b">
        <f t="shared" si="745"/>
        <v>0</v>
      </c>
      <c r="M15552" s="17" t="str">
        <f t="shared" si="743"/>
        <v/>
      </c>
      <c r="N15552" s="11" t="str">
        <f t="shared" si="744"/>
        <v/>
      </c>
    </row>
    <row r="15553" spans="9:14" x14ac:dyDescent="0.25">
      <c r="I15553" s="11" t="b">
        <f t="shared" si="745"/>
        <v>0</v>
      </c>
      <c r="M15553" s="17" t="str">
        <f t="shared" ref="M15553:M15616" si="746">IF(B15553=0, "",M15552+ J15553-K15553)</f>
        <v/>
      </c>
      <c r="N15553" s="11" t="str">
        <f t="shared" ref="N15553:N15616" si="747">IF(B15553=0, "", MONTH(B15553))</f>
        <v/>
      </c>
    </row>
    <row r="15554" spans="9:14" x14ac:dyDescent="0.25">
      <c r="I15554" s="11" t="b">
        <f t="shared" si="745"/>
        <v>0</v>
      </c>
      <c r="M15554" s="17" t="str">
        <f t="shared" si="746"/>
        <v/>
      </c>
      <c r="N15554" s="11" t="str">
        <f t="shared" si="747"/>
        <v/>
      </c>
    </row>
    <row r="15555" spans="9:14" x14ac:dyDescent="0.25">
      <c r="I15555" s="11" t="b">
        <f t="shared" si="745"/>
        <v>0</v>
      </c>
      <c r="M15555" s="17" t="str">
        <f t="shared" si="746"/>
        <v/>
      </c>
      <c r="N15555" s="11" t="str">
        <f t="shared" si="747"/>
        <v/>
      </c>
    </row>
    <row r="15556" spans="9:14" x14ac:dyDescent="0.25">
      <c r="I15556" s="11" t="b">
        <f t="shared" si="745"/>
        <v>0</v>
      </c>
      <c r="M15556" s="17" t="str">
        <f t="shared" si="746"/>
        <v/>
      </c>
      <c r="N15556" s="11" t="str">
        <f t="shared" si="747"/>
        <v/>
      </c>
    </row>
    <row r="15557" spans="9:14" x14ac:dyDescent="0.25">
      <c r="I15557" s="11" t="b">
        <f t="shared" si="745"/>
        <v>0</v>
      </c>
      <c r="M15557" s="17" t="str">
        <f t="shared" si="746"/>
        <v/>
      </c>
      <c r="N15557" s="11" t="str">
        <f t="shared" si="747"/>
        <v/>
      </c>
    </row>
    <row r="15558" spans="9:14" x14ac:dyDescent="0.25">
      <c r="I15558" s="11" t="b">
        <f t="shared" si="745"/>
        <v>0</v>
      </c>
      <c r="M15558" s="17" t="str">
        <f t="shared" si="746"/>
        <v/>
      </c>
      <c r="N15558" s="11" t="str">
        <f t="shared" si="747"/>
        <v/>
      </c>
    </row>
    <row r="15559" spans="9:14" x14ac:dyDescent="0.25">
      <c r="I15559" s="11" t="b">
        <f t="shared" si="745"/>
        <v>0</v>
      </c>
      <c r="M15559" s="17" t="str">
        <f t="shared" si="746"/>
        <v/>
      </c>
      <c r="N15559" s="11" t="str">
        <f t="shared" si="747"/>
        <v/>
      </c>
    </row>
    <row r="15560" spans="9:14" x14ac:dyDescent="0.25">
      <c r="I15560" s="11" t="b">
        <f t="shared" si="745"/>
        <v>0</v>
      </c>
      <c r="M15560" s="17" t="str">
        <f t="shared" si="746"/>
        <v/>
      </c>
      <c r="N15560" s="11" t="str">
        <f t="shared" si="747"/>
        <v/>
      </c>
    </row>
    <row r="15561" spans="9:14" x14ac:dyDescent="0.25">
      <c r="I15561" s="11" t="b">
        <f t="shared" si="745"/>
        <v>0</v>
      </c>
      <c r="M15561" s="17" t="str">
        <f t="shared" si="746"/>
        <v/>
      </c>
      <c r="N15561" s="11" t="str">
        <f t="shared" si="747"/>
        <v/>
      </c>
    </row>
    <row r="15562" spans="9:14" x14ac:dyDescent="0.25">
      <c r="I15562" s="11" t="b">
        <f t="shared" si="745"/>
        <v>0</v>
      </c>
      <c r="M15562" s="17" t="str">
        <f t="shared" si="746"/>
        <v/>
      </c>
      <c r="N15562" s="11" t="str">
        <f t="shared" si="747"/>
        <v/>
      </c>
    </row>
    <row r="15563" spans="9:14" x14ac:dyDescent="0.25">
      <c r="I15563" s="11" t="b">
        <f t="shared" si="745"/>
        <v>0</v>
      </c>
      <c r="M15563" s="17" t="str">
        <f t="shared" si="746"/>
        <v/>
      </c>
      <c r="N15563" s="11" t="str">
        <f t="shared" si="747"/>
        <v/>
      </c>
    </row>
    <row r="15564" spans="9:14" x14ac:dyDescent="0.25">
      <c r="I15564" s="11" t="b">
        <f t="shared" si="745"/>
        <v>0</v>
      </c>
      <c r="M15564" s="17" t="str">
        <f t="shared" si="746"/>
        <v/>
      </c>
      <c r="N15564" s="11" t="str">
        <f t="shared" si="747"/>
        <v/>
      </c>
    </row>
    <row r="15565" spans="9:14" x14ac:dyDescent="0.25">
      <c r="I15565" s="11" t="b">
        <f t="shared" si="745"/>
        <v>0</v>
      </c>
      <c r="M15565" s="17" t="str">
        <f t="shared" si="746"/>
        <v/>
      </c>
      <c r="N15565" s="11" t="str">
        <f t="shared" si="747"/>
        <v/>
      </c>
    </row>
    <row r="15566" spans="9:14" x14ac:dyDescent="0.25">
      <c r="I15566" s="11" t="b">
        <f t="shared" si="745"/>
        <v>0</v>
      </c>
      <c r="M15566" s="17" t="str">
        <f t="shared" si="746"/>
        <v/>
      </c>
      <c r="N15566" s="11" t="str">
        <f t="shared" si="747"/>
        <v/>
      </c>
    </row>
    <row r="15567" spans="9:14" x14ac:dyDescent="0.25">
      <c r="I15567" s="11" t="b">
        <f t="shared" si="745"/>
        <v>0</v>
      </c>
      <c r="M15567" s="17" t="str">
        <f t="shared" si="746"/>
        <v/>
      </c>
      <c r="N15567" s="11" t="str">
        <f t="shared" si="747"/>
        <v/>
      </c>
    </row>
    <row r="15568" spans="9:14" x14ac:dyDescent="0.25">
      <c r="I15568" s="11" t="b">
        <f t="shared" si="745"/>
        <v>0</v>
      </c>
      <c r="M15568" s="17" t="str">
        <f t="shared" si="746"/>
        <v/>
      </c>
      <c r="N15568" s="11" t="str">
        <f t="shared" si="747"/>
        <v/>
      </c>
    </row>
    <row r="15569" spans="9:14" x14ac:dyDescent="0.25">
      <c r="I15569" s="11" t="b">
        <f t="shared" si="745"/>
        <v>0</v>
      </c>
      <c r="M15569" s="17" t="str">
        <f t="shared" si="746"/>
        <v/>
      </c>
      <c r="N15569" s="11" t="str">
        <f t="shared" si="747"/>
        <v/>
      </c>
    </row>
    <row r="15570" spans="9:14" x14ac:dyDescent="0.25">
      <c r="I15570" s="11" t="b">
        <f t="shared" si="745"/>
        <v>0</v>
      </c>
      <c r="M15570" s="17" t="str">
        <f t="shared" si="746"/>
        <v/>
      </c>
      <c r="N15570" s="11" t="str">
        <f t="shared" si="747"/>
        <v/>
      </c>
    </row>
    <row r="15571" spans="9:14" x14ac:dyDescent="0.25">
      <c r="I15571" s="11" t="b">
        <f t="shared" si="745"/>
        <v>0</v>
      </c>
      <c r="M15571" s="17" t="str">
        <f t="shared" si="746"/>
        <v/>
      </c>
      <c r="N15571" s="11" t="str">
        <f t="shared" si="747"/>
        <v/>
      </c>
    </row>
    <row r="15572" spans="9:14" x14ac:dyDescent="0.25">
      <c r="I15572" s="11" t="b">
        <f t="shared" si="745"/>
        <v>0</v>
      </c>
      <c r="M15572" s="17" t="str">
        <f t="shared" si="746"/>
        <v/>
      </c>
      <c r="N15572" s="11" t="str">
        <f t="shared" si="747"/>
        <v/>
      </c>
    </row>
    <row r="15573" spans="9:14" x14ac:dyDescent="0.25">
      <c r="I15573" s="11" t="b">
        <f t="shared" si="745"/>
        <v>0</v>
      </c>
      <c r="M15573" s="17" t="str">
        <f t="shared" si="746"/>
        <v/>
      </c>
      <c r="N15573" s="11" t="str">
        <f t="shared" si="747"/>
        <v/>
      </c>
    </row>
    <row r="15574" spans="9:14" x14ac:dyDescent="0.25">
      <c r="I15574" s="11" t="b">
        <f t="shared" si="745"/>
        <v>0</v>
      </c>
      <c r="M15574" s="17" t="str">
        <f t="shared" si="746"/>
        <v/>
      </c>
      <c r="N15574" s="11" t="str">
        <f t="shared" si="747"/>
        <v/>
      </c>
    </row>
    <row r="15575" spans="9:14" x14ac:dyDescent="0.25">
      <c r="I15575" s="11" t="b">
        <f t="shared" si="745"/>
        <v>0</v>
      </c>
      <c r="M15575" s="17" t="str">
        <f t="shared" si="746"/>
        <v/>
      </c>
      <c r="N15575" s="11" t="str">
        <f t="shared" si="747"/>
        <v/>
      </c>
    </row>
    <row r="15576" spans="9:14" x14ac:dyDescent="0.25">
      <c r="I15576" s="11" t="b">
        <f t="shared" si="745"/>
        <v>0</v>
      </c>
      <c r="M15576" s="17" t="str">
        <f t="shared" si="746"/>
        <v/>
      </c>
      <c r="N15576" s="11" t="str">
        <f t="shared" si="747"/>
        <v/>
      </c>
    </row>
    <row r="15577" spans="9:14" x14ac:dyDescent="0.25">
      <c r="I15577" s="11" t="b">
        <f t="shared" si="745"/>
        <v>0</v>
      </c>
      <c r="M15577" s="17" t="str">
        <f t="shared" si="746"/>
        <v/>
      </c>
      <c r="N15577" s="11" t="str">
        <f t="shared" si="747"/>
        <v/>
      </c>
    </row>
    <row r="15578" spans="9:14" x14ac:dyDescent="0.25">
      <c r="I15578" s="11" t="b">
        <f t="shared" si="745"/>
        <v>0</v>
      </c>
      <c r="M15578" s="17" t="str">
        <f t="shared" si="746"/>
        <v/>
      </c>
      <c r="N15578" s="11" t="str">
        <f t="shared" si="747"/>
        <v/>
      </c>
    </row>
    <row r="15579" spans="9:14" x14ac:dyDescent="0.25">
      <c r="I15579" s="11" t="b">
        <f t="shared" si="745"/>
        <v>0</v>
      </c>
      <c r="M15579" s="17" t="str">
        <f t="shared" si="746"/>
        <v/>
      </c>
      <c r="N15579" s="11" t="str">
        <f t="shared" si="747"/>
        <v/>
      </c>
    </row>
    <row r="15580" spans="9:14" x14ac:dyDescent="0.25">
      <c r="I15580" s="11" t="b">
        <f t="shared" si="745"/>
        <v>0</v>
      </c>
      <c r="M15580" s="17" t="str">
        <f t="shared" si="746"/>
        <v/>
      </c>
      <c r="N15580" s="11" t="str">
        <f t="shared" si="747"/>
        <v/>
      </c>
    </row>
    <row r="15581" spans="9:14" x14ac:dyDescent="0.25">
      <c r="I15581" s="11" t="b">
        <f t="shared" ref="I15581:I15644" si="748">IF(AND(G15581="MERCADO PAGO",A15581="FATURAMENTO"),1,IF(AND(OR(G15581="MERCADO PAGO",G15581="pix mercado pago",G15581= "débito automático mercado pago", G15581= "boleto mercado pago"),A15581="DESPESAS"),4,IF(AND(G15581="SAFRA",A15581="FATURAMENTO"),2,IF(AND(OR(G15581="SAFRA",G15581="PIX SAFRA", G15581="DÉBITO AUTOMÁTICO SAFRA", G15581= "BOLETO SAFRA", G15581= "transferência safra"), A15581="DESPESAS"),5,IF(AND(G15581="espécie",A15581="FATURAMENTO"),3,IF(AND(G15581="espécie",A15581="DESPESAS"),6))))))</f>
        <v>0</v>
      </c>
      <c r="M15581" s="17" t="str">
        <f t="shared" si="746"/>
        <v/>
      </c>
      <c r="N15581" s="11" t="str">
        <f t="shared" si="747"/>
        <v/>
      </c>
    </row>
    <row r="15582" spans="9:14" x14ac:dyDescent="0.25">
      <c r="I15582" s="11" t="b">
        <f t="shared" si="748"/>
        <v>0</v>
      </c>
      <c r="M15582" s="17" t="str">
        <f t="shared" si="746"/>
        <v/>
      </c>
      <c r="N15582" s="11" t="str">
        <f t="shared" si="747"/>
        <v/>
      </c>
    </row>
    <row r="15583" spans="9:14" x14ac:dyDescent="0.25">
      <c r="I15583" s="11" t="b">
        <f t="shared" si="748"/>
        <v>0</v>
      </c>
      <c r="M15583" s="17" t="str">
        <f t="shared" si="746"/>
        <v/>
      </c>
      <c r="N15583" s="11" t="str">
        <f t="shared" si="747"/>
        <v/>
      </c>
    </row>
    <row r="15584" spans="9:14" x14ac:dyDescent="0.25">
      <c r="I15584" s="11" t="b">
        <f t="shared" si="748"/>
        <v>0</v>
      </c>
      <c r="M15584" s="17" t="str">
        <f t="shared" si="746"/>
        <v/>
      </c>
      <c r="N15584" s="11" t="str">
        <f t="shared" si="747"/>
        <v/>
      </c>
    </row>
    <row r="15585" spans="9:14" x14ac:dyDescent="0.25">
      <c r="I15585" s="11" t="b">
        <f t="shared" si="748"/>
        <v>0</v>
      </c>
      <c r="M15585" s="17" t="str">
        <f t="shared" si="746"/>
        <v/>
      </c>
      <c r="N15585" s="11" t="str">
        <f t="shared" si="747"/>
        <v/>
      </c>
    </row>
    <row r="15586" spans="9:14" x14ac:dyDescent="0.25">
      <c r="I15586" s="11" t="b">
        <f t="shared" si="748"/>
        <v>0</v>
      </c>
      <c r="M15586" s="17" t="str">
        <f t="shared" si="746"/>
        <v/>
      </c>
      <c r="N15586" s="11" t="str">
        <f t="shared" si="747"/>
        <v/>
      </c>
    </row>
    <row r="15587" spans="9:14" x14ac:dyDescent="0.25">
      <c r="I15587" s="11" t="b">
        <f t="shared" si="748"/>
        <v>0</v>
      </c>
      <c r="M15587" s="17" t="str">
        <f t="shared" si="746"/>
        <v/>
      </c>
      <c r="N15587" s="11" t="str">
        <f t="shared" si="747"/>
        <v/>
      </c>
    </row>
    <row r="15588" spans="9:14" x14ac:dyDescent="0.25">
      <c r="I15588" s="11" t="b">
        <f t="shared" si="748"/>
        <v>0</v>
      </c>
      <c r="M15588" s="17" t="str">
        <f t="shared" si="746"/>
        <v/>
      </c>
      <c r="N15588" s="11" t="str">
        <f t="shared" si="747"/>
        <v/>
      </c>
    </row>
    <row r="15589" spans="9:14" x14ac:dyDescent="0.25">
      <c r="I15589" s="11" t="b">
        <f t="shared" si="748"/>
        <v>0</v>
      </c>
      <c r="M15589" s="17" t="str">
        <f t="shared" si="746"/>
        <v/>
      </c>
      <c r="N15589" s="11" t="str">
        <f t="shared" si="747"/>
        <v/>
      </c>
    </row>
    <row r="15590" spans="9:14" x14ac:dyDescent="0.25">
      <c r="I15590" s="11" t="b">
        <f t="shared" si="748"/>
        <v>0</v>
      </c>
      <c r="M15590" s="17" t="str">
        <f t="shared" si="746"/>
        <v/>
      </c>
      <c r="N15590" s="11" t="str">
        <f t="shared" si="747"/>
        <v/>
      </c>
    </row>
    <row r="15591" spans="9:14" x14ac:dyDescent="0.25">
      <c r="I15591" s="11" t="b">
        <f t="shared" si="748"/>
        <v>0</v>
      </c>
      <c r="M15591" s="17" t="str">
        <f t="shared" si="746"/>
        <v/>
      </c>
      <c r="N15591" s="11" t="str">
        <f t="shared" si="747"/>
        <v/>
      </c>
    </row>
    <row r="15592" spans="9:14" x14ac:dyDescent="0.25">
      <c r="I15592" s="11" t="b">
        <f t="shared" si="748"/>
        <v>0</v>
      </c>
      <c r="M15592" s="17" t="str">
        <f t="shared" si="746"/>
        <v/>
      </c>
      <c r="N15592" s="11" t="str">
        <f t="shared" si="747"/>
        <v/>
      </c>
    </row>
    <row r="15593" spans="9:14" x14ac:dyDescent="0.25">
      <c r="I15593" s="11" t="b">
        <f t="shared" si="748"/>
        <v>0</v>
      </c>
      <c r="M15593" s="17" t="str">
        <f t="shared" si="746"/>
        <v/>
      </c>
      <c r="N15593" s="11" t="str">
        <f t="shared" si="747"/>
        <v/>
      </c>
    </row>
    <row r="15594" spans="9:14" x14ac:dyDescent="0.25">
      <c r="I15594" s="11" t="b">
        <f t="shared" si="748"/>
        <v>0</v>
      </c>
      <c r="M15594" s="17" t="str">
        <f t="shared" si="746"/>
        <v/>
      </c>
      <c r="N15594" s="11" t="str">
        <f t="shared" si="747"/>
        <v/>
      </c>
    </row>
    <row r="15595" spans="9:14" x14ac:dyDescent="0.25">
      <c r="I15595" s="11" t="b">
        <f t="shared" si="748"/>
        <v>0</v>
      </c>
      <c r="M15595" s="17" t="str">
        <f t="shared" si="746"/>
        <v/>
      </c>
      <c r="N15595" s="11" t="str">
        <f t="shared" si="747"/>
        <v/>
      </c>
    </row>
    <row r="15596" spans="9:14" x14ac:dyDescent="0.25">
      <c r="I15596" s="11" t="b">
        <f t="shared" si="748"/>
        <v>0</v>
      </c>
      <c r="M15596" s="17" t="str">
        <f t="shared" si="746"/>
        <v/>
      </c>
      <c r="N15596" s="11" t="str">
        <f t="shared" si="747"/>
        <v/>
      </c>
    </row>
    <row r="15597" spans="9:14" x14ac:dyDescent="0.25">
      <c r="I15597" s="11" t="b">
        <f t="shared" si="748"/>
        <v>0</v>
      </c>
      <c r="M15597" s="17" t="str">
        <f t="shared" si="746"/>
        <v/>
      </c>
      <c r="N15597" s="11" t="str">
        <f t="shared" si="747"/>
        <v/>
      </c>
    </row>
    <row r="15598" spans="9:14" x14ac:dyDescent="0.25">
      <c r="I15598" s="11" t="b">
        <f t="shared" si="748"/>
        <v>0</v>
      </c>
      <c r="M15598" s="17" t="str">
        <f t="shared" si="746"/>
        <v/>
      </c>
      <c r="N15598" s="11" t="str">
        <f t="shared" si="747"/>
        <v/>
      </c>
    </row>
    <row r="15599" spans="9:14" x14ac:dyDescent="0.25">
      <c r="I15599" s="11" t="b">
        <f t="shared" si="748"/>
        <v>0</v>
      </c>
      <c r="M15599" s="17" t="str">
        <f t="shared" si="746"/>
        <v/>
      </c>
      <c r="N15599" s="11" t="str">
        <f t="shared" si="747"/>
        <v/>
      </c>
    </row>
    <row r="15600" spans="9:14" x14ac:dyDescent="0.25">
      <c r="I15600" s="11" t="b">
        <f t="shared" si="748"/>
        <v>0</v>
      </c>
      <c r="M15600" s="17" t="str">
        <f t="shared" si="746"/>
        <v/>
      </c>
      <c r="N15600" s="11" t="str">
        <f t="shared" si="747"/>
        <v/>
      </c>
    </row>
    <row r="15601" spans="9:14" x14ac:dyDescent="0.25">
      <c r="I15601" s="11" t="b">
        <f t="shared" si="748"/>
        <v>0</v>
      </c>
      <c r="M15601" s="17" t="str">
        <f t="shared" si="746"/>
        <v/>
      </c>
      <c r="N15601" s="11" t="str">
        <f t="shared" si="747"/>
        <v/>
      </c>
    </row>
    <row r="15602" spans="9:14" x14ac:dyDescent="0.25">
      <c r="I15602" s="11" t="b">
        <f t="shared" si="748"/>
        <v>0</v>
      </c>
      <c r="M15602" s="17" t="str">
        <f t="shared" si="746"/>
        <v/>
      </c>
      <c r="N15602" s="11" t="str">
        <f t="shared" si="747"/>
        <v/>
      </c>
    </row>
    <row r="15603" spans="9:14" x14ac:dyDescent="0.25">
      <c r="I15603" s="11" t="b">
        <f t="shared" si="748"/>
        <v>0</v>
      </c>
      <c r="M15603" s="17" t="str">
        <f t="shared" si="746"/>
        <v/>
      </c>
      <c r="N15603" s="11" t="str">
        <f t="shared" si="747"/>
        <v/>
      </c>
    </row>
    <row r="15604" spans="9:14" x14ac:dyDescent="0.25">
      <c r="I15604" s="11" t="b">
        <f t="shared" si="748"/>
        <v>0</v>
      </c>
      <c r="M15604" s="17" t="str">
        <f t="shared" si="746"/>
        <v/>
      </c>
      <c r="N15604" s="11" t="str">
        <f t="shared" si="747"/>
        <v/>
      </c>
    </row>
    <row r="15605" spans="9:14" x14ac:dyDescent="0.25">
      <c r="I15605" s="11" t="b">
        <f t="shared" si="748"/>
        <v>0</v>
      </c>
      <c r="M15605" s="17" t="str">
        <f t="shared" si="746"/>
        <v/>
      </c>
      <c r="N15605" s="11" t="str">
        <f t="shared" si="747"/>
        <v/>
      </c>
    </row>
    <row r="15606" spans="9:14" x14ac:dyDescent="0.25">
      <c r="I15606" s="11" t="b">
        <f t="shared" si="748"/>
        <v>0</v>
      </c>
      <c r="M15606" s="17" t="str">
        <f t="shared" si="746"/>
        <v/>
      </c>
      <c r="N15606" s="11" t="str">
        <f t="shared" si="747"/>
        <v/>
      </c>
    </row>
    <row r="15607" spans="9:14" x14ac:dyDescent="0.25">
      <c r="I15607" s="11" t="b">
        <f t="shared" si="748"/>
        <v>0</v>
      </c>
      <c r="M15607" s="17" t="str">
        <f t="shared" si="746"/>
        <v/>
      </c>
      <c r="N15607" s="11" t="str">
        <f t="shared" si="747"/>
        <v/>
      </c>
    </row>
    <row r="15608" spans="9:14" x14ac:dyDescent="0.25">
      <c r="I15608" s="11" t="b">
        <f t="shared" si="748"/>
        <v>0</v>
      </c>
      <c r="M15608" s="17" t="str">
        <f t="shared" si="746"/>
        <v/>
      </c>
      <c r="N15608" s="11" t="str">
        <f t="shared" si="747"/>
        <v/>
      </c>
    </row>
    <row r="15609" spans="9:14" x14ac:dyDescent="0.25">
      <c r="I15609" s="11" t="b">
        <f t="shared" si="748"/>
        <v>0</v>
      </c>
      <c r="M15609" s="17" t="str">
        <f t="shared" si="746"/>
        <v/>
      </c>
      <c r="N15609" s="11" t="str">
        <f t="shared" si="747"/>
        <v/>
      </c>
    </row>
    <row r="15610" spans="9:14" x14ac:dyDescent="0.25">
      <c r="I15610" s="11" t="b">
        <f t="shared" si="748"/>
        <v>0</v>
      </c>
      <c r="M15610" s="17" t="str">
        <f t="shared" si="746"/>
        <v/>
      </c>
      <c r="N15610" s="11" t="str">
        <f t="shared" si="747"/>
        <v/>
      </c>
    </row>
    <row r="15611" spans="9:14" x14ac:dyDescent="0.25">
      <c r="I15611" s="11" t="b">
        <f t="shared" si="748"/>
        <v>0</v>
      </c>
      <c r="M15611" s="17" t="str">
        <f t="shared" si="746"/>
        <v/>
      </c>
      <c r="N15611" s="11" t="str">
        <f t="shared" si="747"/>
        <v/>
      </c>
    </row>
    <row r="15612" spans="9:14" x14ac:dyDescent="0.25">
      <c r="I15612" s="11" t="b">
        <f t="shared" si="748"/>
        <v>0</v>
      </c>
      <c r="M15612" s="17" t="str">
        <f t="shared" si="746"/>
        <v/>
      </c>
      <c r="N15612" s="11" t="str">
        <f t="shared" si="747"/>
        <v/>
      </c>
    </row>
    <row r="15613" spans="9:14" x14ac:dyDescent="0.25">
      <c r="I15613" s="11" t="b">
        <f t="shared" si="748"/>
        <v>0</v>
      </c>
      <c r="M15613" s="17" t="str">
        <f t="shared" si="746"/>
        <v/>
      </c>
      <c r="N15613" s="11" t="str">
        <f t="shared" si="747"/>
        <v/>
      </c>
    </row>
    <row r="15614" spans="9:14" x14ac:dyDescent="0.25">
      <c r="I15614" s="11" t="b">
        <f t="shared" si="748"/>
        <v>0</v>
      </c>
      <c r="M15614" s="17" t="str">
        <f t="shared" si="746"/>
        <v/>
      </c>
      <c r="N15614" s="11" t="str">
        <f t="shared" si="747"/>
        <v/>
      </c>
    </row>
    <row r="15615" spans="9:14" x14ac:dyDescent="0.25">
      <c r="I15615" s="11" t="b">
        <f t="shared" si="748"/>
        <v>0</v>
      </c>
      <c r="M15615" s="17" t="str">
        <f t="shared" si="746"/>
        <v/>
      </c>
      <c r="N15615" s="11" t="str">
        <f t="shared" si="747"/>
        <v/>
      </c>
    </row>
    <row r="15616" spans="9:14" x14ac:dyDescent="0.25">
      <c r="I15616" s="11" t="b">
        <f t="shared" si="748"/>
        <v>0</v>
      </c>
      <c r="M15616" s="17" t="str">
        <f t="shared" si="746"/>
        <v/>
      </c>
      <c r="N15616" s="11" t="str">
        <f t="shared" si="747"/>
        <v/>
      </c>
    </row>
    <row r="15617" spans="9:14" x14ac:dyDescent="0.25">
      <c r="I15617" s="11" t="b">
        <f t="shared" si="748"/>
        <v>0</v>
      </c>
      <c r="M15617" s="17" t="str">
        <f t="shared" ref="M15617:M15680" si="749">IF(B15617=0, "",M15616+ J15617-K15617)</f>
        <v/>
      </c>
      <c r="N15617" s="11" t="str">
        <f t="shared" ref="N15617:N15680" si="750">IF(B15617=0, "", MONTH(B15617))</f>
        <v/>
      </c>
    </row>
    <row r="15618" spans="9:14" x14ac:dyDescent="0.25">
      <c r="I15618" s="11" t="b">
        <f t="shared" si="748"/>
        <v>0</v>
      </c>
      <c r="M15618" s="17" t="str">
        <f t="shared" si="749"/>
        <v/>
      </c>
      <c r="N15618" s="11" t="str">
        <f t="shared" si="750"/>
        <v/>
      </c>
    </row>
    <row r="15619" spans="9:14" x14ac:dyDescent="0.25">
      <c r="I15619" s="11" t="b">
        <f t="shared" si="748"/>
        <v>0</v>
      </c>
      <c r="M15619" s="17" t="str">
        <f t="shared" si="749"/>
        <v/>
      </c>
      <c r="N15619" s="11" t="str">
        <f t="shared" si="750"/>
        <v/>
      </c>
    </row>
    <row r="15620" spans="9:14" x14ac:dyDescent="0.25">
      <c r="I15620" s="11" t="b">
        <f t="shared" si="748"/>
        <v>0</v>
      </c>
      <c r="M15620" s="17" t="str">
        <f t="shared" si="749"/>
        <v/>
      </c>
      <c r="N15620" s="11" t="str">
        <f t="shared" si="750"/>
        <v/>
      </c>
    </row>
    <row r="15621" spans="9:14" x14ac:dyDescent="0.25">
      <c r="I15621" s="11" t="b">
        <f t="shared" si="748"/>
        <v>0</v>
      </c>
      <c r="M15621" s="17" t="str">
        <f t="shared" si="749"/>
        <v/>
      </c>
      <c r="N15621" s="11" t="str">
        <f t="shared" si="750"/>
        <v/>
      </c>
    </row>
    <row r="15622" spans="9:14" x14ac:dyDescent="0.25">
      <c r="I15622" s="11" t="b">
        <f t="shared" si="748"/>
        <v>0</v>
      </c>
      <c r="M15622" s="17" t="str">
        <f t="shared" si="749"/>
        <v/>
      </c>
      <c r="N15622" s="11" t="str">
        <f t="shared" si="750"/>
        <v/>
      </c>
    </row>
    <row r="15623" spans="9:14" x14ac:dyDescent="0.25">
      <c r="I15623" s="11" t="b">
        <f t="shared" si="748"/>
        <v>0</v>
      </c>
      <c r="M15623" s="17" t="str">
        <f t="shared" si="749"/>
        <v/>
      </c>
      <c r="N15623" s="11" t="str">
        <f t="shared" si="750"/>
        <v/>
      </c>
    </row>
    <row r="15624" spans="9:14" x14ac:dyDescent="0.25">
      <c r="I15624" s="11" t="b">
        <f t="shared" si="748"/>
        <v>0</v>
      </c>
      <c r="M15624" s="17" t="str">
        <f t="shared" si="749"/>
        <v/>
      </c>
      <c r="N15624" s="11" t="str">
        <f t="shared" si="750"/>
        <v/>
      </c>
    </row>
    <row r="15625" spans="9:14" x14ac:dyDescent="0.25">
      <c r="I15625" s="11" t="b">
        <f t="shared" si="748"/>
        <v>0</v>
      </c>
      <c r="M15625" s="17" t="str">
        <f t="shared" si="749"/>
        <v/>
      </c>
      <c r="N15625" s="11" t="str">
        <f t="shared" si="750"/>
        <v/>
      </c>
    </row>
    <row r="15626" spans="9:14" x14ac:dyDescent="0.25">
      <c r="I15626" s="11" t="b">
        <f t="shared" si="748"/>
        <v>0</v>
      </c>
      <c r="M15626" s="17" t="str">
        <f t="shared" si="749"/>
        <v/>
      </c>
      <c r="N15626" s="11" t="str">
        <f t="shared" si="750"/>
        <v/>
      </c>
    </row>
    <row r="15627" spans="9:14" x14ac:dyDescent="0.25">
      <c r="I15627" s="11" t="b">
        <f t="shared" si="748"/>
        <v>0</v>
      </c>
      <c r="M15627" s="17" t="str">
        <f t="shared" si="749"/>
        <v/>
      </c>
      <c r="N15627" s="11" t="str">
        <f t="shared" si="750"/>
        <v/>
      </c>
    </row>
    <row r="15628" spans="9:14" x14ac:dyDescent="0.25">
      <c r="I15628" s="11" t="b">
        <f t="shared" si="748"/>
        <v>0</v>
      </c>
      <c r="M15628" s="17" t="str">
        <f t="shared" si="749"/>
        <v/>
      </c>
      <c r="N15628" s="11" t="str">
        <f t="shared" si="750"/>
        <v/>
      </c>
    </row>
    <row r="15629" spans="9:14" x14ac:dyDescent="0.25">
      <c r="I15629" s="11" t="b">
        <f t="shared" si="748"/>
        <v>0</v>
      </c>
      <c r="M15629" s="17" t="str">
        <f t="shared" si="749"/>
        <v/>
      </c>
      <c r="N15629" s="11" t="str">
        <f t="shared" si="750"/>
        <v/>
      </c>
    </row>
    <row r="15630" spans="9:14" x14ac:dyDescent="0.25">
      <c r="I15630" s="11" t="b">
        <f t="shared" si="748"/>
        <v>0</v>
      </c>
      <c r="M15630" s="17" t="str">
        <f t="shared" si="749"/>
        <v/>
      </c>
      <c r="N15630" s="11" t="str">
        <f t="shared" si="750"/>
        <v/>
      </c>
    </row>
    <row r="15631" spans="9:14" x14ac:dyDescent="0.25">
      <c r="I15631" s="11" t="b">
        <f t="shared" si="748"/>
        <v>0</v>
      </c>
      <c r="M15631" s="17" t="str">
        <f t="shared" si="749"/>
        <v/>
      </c>
      <c r="N15631" s="11" t="str">
        <f t="shared" si="750"/>
        <v/>
      </c>
    </row>
    <row r="15632" spans="9:14" x14ac:dyDescent="0.25">
      <c r="I15632" s="11" t="b">
        <f t="shared" si="748"/>
        <v>0</v>
      </c>
      <c r="M15632" s="17" t="str">
        <f t="shared" si="749"/>
        <v/>
      </c>
      <c r="N15632" s="11" t="str">
        <f t="shared" si="750"/>
        <v/>
      </c>
    </row>
    <row r="15633" spans="9:14" x14ac:dyDescent="0.25">
      <c r="I15633" s="11" t="b">
        <f t="shared" si="748"/>
        <v>0</v>
      </c>
      <c r="M15633" s="17" t="str">
        <f t="shared" si="749"/>
        <v/>
      </c>
      <c r="N15633" s="11" t="str">
        <f t="shared" si="750"/>
        <v/>
      </c>
    </row>
    <row r="15634" spans="9:14" x14ac:dyDescent="0.25">
      <c r="I15634" s="11" t="b">
        <f t="shared" si="748"/>
        <v>0</v>
      </c>
      <c r="M15634" s="17" t="str">
        <f t="shared" si="749"/>
        <v/>
      </c>
      <c r="N15634" s="11" t="str">
        <f t="shared" si="750"/>
        <v/>
      </c>
    </row>
    <row r="15635" spans="9:14" x14ac:dyDescent="0.25">
      <c r="I15635" s="11" t="b">
        <f t="shared" si="748"/>
        <v>0</v>
      </c>
      <c r="M15635" s="17" t="str">
        <f t="shared" si="749"/>
        <v/>
      </c>
      <c r="N15635" s="11" t="str">
        <f t="shared" si="750"/>
        <v/>
      </c>
    </row>
    <row r="15636" spans="9:14" x14ac:dyDescent="0.25">
      <c r="I15636" s="11" t="b">
        <f t="shared" si="748"/>
        <v>0</v>
      </c>
      <c r="M15636" s="17" t="str">
        <f t="shared" si="749"/>
        <v/>
      </c>
      <c r="N15636" s="11" t="str">
        <f t="shared" si="750"/>
        <v/>
      </c>
    </row>
    <row r="15637" spans="9:14" x14ac:dyDescent="0.25">
      <c r="I15637" s="11" t="b">
        <f t="shared" si="748"/>
        <v>0</v>
      </c>
      <c r="M15637" s="17" t="str">
        <f t="shared" si="749"/>
        <v/>
      </c>
      <c r="N15637" s="11" t="str">
        <f t="shared" si="750"/>
        <v/>
      </c>
    </row>
    <row r="15638" spans="9:14" x14ac:dyDescent="0.25">
      <c r="I15638" s="11" t="b">
        <f t="shared" si="748"/>
        <v>0</v>
      </c>
      <c r="M15638" s="17" t="str">
        <f t="shared" si="749"/>
        <v/>
      </c>
      <c r="N15638" s="11" t="str">
        <f t="shared" si="750"/>
        <v/>
      </c>
    </row>
    <row r="15639" spans="9:14" x14ac:dyDescent="0.25">
      <c r="I15639" s="11" t="b">
        <f t="shared" si="748"/>
        <v>0</v>
      </c>
      <c r="M15639" s="17" t="str">
        <f t="shared" si="749"/>
        <v/>
      </c>
      <c r="N15639" s="11" t="str">
        <f t="shared" si="750"/>
        <v/>
      </c>
    </row>
    <row r="15640" spans="9:14" x14ac:dyDescent="0.25">
      <c r="I15640" s="11" t="b">
        <f t="shared" si="748"/>
        <v>0</v>
      </c>
      <c r="M15640" s="17" t="str">
        <f t="shared" si="749"/>
        <v/>
      </c>
      <c r="N15640" s="11" t="str">
        <f t="shared" si="750"/>
        <v/>
      </c>
    </row>
    <row r="15641" spans="9:14" x14ac:dyDescent="0.25">
      <c r="I15641" s="11" t="b">
        <f t="shared" si="748"/>
        <v>0</v>
      </c>
      <c r="M15641" s="17" t="str">
        <f t="shared" si="749"/>
        <v/>
      </c>
      <c r="N15641" s="11" t="str">
        <f t="shared" si="750"/>
        <v/>
      </c>
    </row>
    <row r="15642" spans="9:14" x14ac:dyDescent="0.25">
      <c r="I15642" s="11" t="b">
        <f t="shared" si="748"/>
        <v>0</v>
      </c>
      <c r="M15642" s="17" t="str">
        <f t="shared" si="749"/>
        <v/>
      </c>
      <c r="N15642" s="11" t="str">
        <f t="shared" si="750"/>
        <v/>
      </c>
    </row>
    <row r="15643" spans="9:14" x14ac:dyDescent="0.25">
      <c r="I15643" s="11" t="b">
        <f t="shared" si="748"/>
        <v>0</v>
      </c>
      <c r="M15643" s="17" t="str">
        <f t="shared" si="749"/>
        <v/>
      </c>
      <c r="N15643" s="11" t="str">
        <f t="shared" si="750"/>
        <v/>
      </c>
    </row>
    <row r="15644" spans="9:14" x14ac:dyDescent="0.25">
      <c r="I15644" s="11" t="b">
        <f t="shared" si="748"/>
        <v>0</v>
      </c>
      <c r="M15644" s="17" t="str">
        <f t="shared" si="749"/>
        <v/>
      </c>
      <c r="N15644" s="11" t="str">
        <f t="shared" si="750"/>
        <v/>
      </c>
    </row>
    <row r="15645" spans="9:14" x14ac:dyDescent="0.25">
      <c r="I15645" s="11" t="b">
        <f t="shared" ref="I15645:I15708" si="751">IF(AND(G15645="MERCADO PAGO",A15645="FATURAMENTO"),1,IF(AND(OR(G15645="MERCADO PAGO",G15645="pix mercado pago",G15645= "débito automático mercado pago", G15645= "boleto mercado pago"),A15645="DESPESAS"),4,IF(AND(G15645="SAFRA",A15645="FATURAMENTO"),2,IF(AND(OR(G15645="SAFRA",G15645="PIX SAFRA", G15645="DÉBITO AUTOMÁTICO SAFRA", G15645= "BOLETO SAFRA", G15645= "transferência safra"), A15645="DESPESAS"),5,IF(AND(G15645="espécie",A15645="FATURAMENTO"),3,IF(AND(G15645="espécie",A15645="DESPESAS"),6))))))</f>
        <v>0</v>
      </c>
      <c r="M15645" s="17" t="str">
        <f t="shared" si="749"/>
        <v/>
      </c>
      <c r="N15645" s="11" t="str">
        <f t="shared" si="750"/>
        <v/>
      </c>
    </row>
    <row r="15646" spans="9:14" x14ac:dyDescent="0.25">
      <c r="I15646" s="11" t="b">
        <f t="shared" si="751"/>
        <v>0</v>
      </c>
      <c r="M15646" s="17" t="str">
        <f t="shared" si="749"/>
        <v/>
      </c>
      <c r="N15646" s="11" t="str">
        <f t="shared" si="750"/>
        <v/>
      </c>
    </row>
    <row r="15647" spans="9:14" x14ac:dyDescent="0.25">
      <c r="I15647" s="11" t="b">
        <f t="shared" si="751"/>
        <v>0</v>
      </c>
      <c r="M15647" s="17" t="str">
        <f t="shared" si="749"/>
        <v/>
      </c>
      <c r="N15647" s="11" t="str">
        <f t="shared" si="750"/>
        <v/>
      </c>
    </row>
    <row r="15648" spans="9:14" x14ac:dyDescent="0.25">
      <c r="I15648" s="11" t="b">
        <f t="shared" si="751"/>
        <v>0</v>
      </c>
      <c r="M15648" s="17" t="str">
        <f t="shared" si="749"/>
        <v/>
      </c>
      <c r="N15648" s="11" t="str">
        <f t="shared" si="750"/>
        <v/>
      </c>
    </row>
    <row r="15649" spans="9:14" x14ac:dyDescent="0.25">
      <c r="I15649" s="11" t="b">
        <f t="shared" si="751"/>
        <v>0</v>
      </c>
      <c r="M15649" s="17" t="str">
        <f t="shared" si="749"/>
        <v/>
      </c>
      <c r="N15649" s="11" t="str">
        <f t="shared" si="750"/>
        <v/>
      </c>
    </row>
    <row r="15650" spans="9:14" x14ac:dyDescent="0.25">
      <c r="I15650" s="11" t="b">
        <f t="shared" si="751"/>
        <v>0</v>
      </c>
      <c r="M15650" s="17" t="str">
        <f t="shared" si="749"/>
        <v/>
      </c>
      <c r="N15650" s="11" t="str">
        <f t="shared" si="750"/>
        <v/>
      </c>
    </row>
    <row r="15651" spans="9:14" x14ac:dyDescent="0.25">
      <c r="I15651" s="11" t="b">
        <f t="shared" si="751"/>
        <v>0</v>
      </c>
      <c r="M15651" s="17" t="str">
        <f t="shared" si="749"/>
        <v/>
      </c>
      <c r="N15651" s="11" t="str">
        <f t="shared" si="750"/>
        <v/>
      </c>
    </row>
    <row r="15652" spans="9:14" x14ac:dyDescent="0.25">
      <c r="I15652" s="11" t="b">
        <f t="shared" si="751"/>
        <v>0</v>
      </c>
      <c r="M15652" s="17" t="str">
        <f t="shared" si="749"/>
        <v/>
      </c>
      <c r="N15652" s="11" t="str">
        <f t="shared" si="750"/>
        <v/>
      </c>
    </row>
    <row r="15653" spans="9:14" x14ac:dyDescent="0.25">
      <c r="I15653" s="11" t="b">
        <f t="shared" si="751"/>
        <v>0</v>
      </c>
      <c r="M15653" s="17" t="str">
        <f t="shared" si="749"/>
        <v/>
      </c>
      <c r="N15653" s="11" t="str">
        <f t="shared" si="750"/>
        <v/>
      </c>
    </row>
    <row r="15654" spans="9:14" x14ac:dyDescent="0.25">
      <c r="I15654" s="11" t="b">
        <f t="shared" si="751"/>
        <v>0</v>
      </c>
      <c r="M15654" s="17" t="str">
        <f t="shared" si="749"/>
        <v/>
      </c>
      <c r="N15654" s="11" t="str">
        <f t="shared" si="750"/>
        <v/>
      </c>
    </row>
    <row r="15655" spans="9:14" x14ac:dyDescent="0.25">
      <c r="I15655" s="11" t="b">
        <f t="shared" si="751"/>
        <v>0</v>
      </c>
      <c r="M15655" s="17" t="str">
        <f t="shared" si="749"/>
        <v/>
      </c>
      <c r="N15655" s="11" t="str">
        <f t="shared" si="750"/>
        <v/>
      </c>
    </row>
    <row r="15656" spans="9:14" x14ac:dyDescent="0.25">
      <c r="I15656" s="11" t="b">
        <f t="shared" si="751"/>
        <v>0</v>
      </c>
      <c r="M15656" s="17" t="str">
        <f t="shared" si="749"/>
        <v/>
      </c>
      <c r="N15656" s="11" t="str">
        <f t="shared" si="750"/>
        <v/>
      </c>
    </row>
    <row r="15657" spans="9:14" x14ac:dyDescent="0.25">
      <c r="I15657" s="11" t="b">
        <f t="shared" si="751"/>
        <v>0</v>
      </c>
      <c r="M15657" s="17" t="str">
        <f t="shared" si="749"/>
        <v/>
      </c>
      <c r="N15657" s="11" t="str">
        <f t="shared" si="750"/>
        <v/>
      </c>
    </row>
    <row r="15658" spans="9:14" x14ac:dyDescent="0.25">
      <c r="I15658" s="11" t="b">
        <f t="shared" si="751"/>
        <v>0</v>
      </c>
      <c r="M15658" s="17" t="str">
        <f t="shared" si="749"/>
        <v/>
      </c>
      <c r="N15658" s="11" t="str">
        <f t="shared" si="750"/>
        <v/>
      </c>
    </row>
    <row r="15659" spans="9:14" x14ac:dyDescent="0.25">
      <c r="I15659" s="11" t="b">
        <f t="shared" si="751"/>
        <v>0</v>
      </c>
      <c r="M15659" s="17" t="str">
        <f t="shared" si="749"/>
        <v/>
      </c>
      <c r="N15659" s="11" t="str">
        <f t="shared" si="750"/>
        <v/>
      </c>
    </row>
    <row r="15660" spans="9:14" x14ac:dyDescent="0.25">
      <c r="I15660" s="11" t="b">
        <f t="shared" si="751"/>
        <v>0</v>
      </c>
      <c r="M15660" s="17" t="str">
        <f t="shared" si="749"/>
        <v/>
      </c>
      <c r="N15660" s="11" t="str">
        <f t="shared" si="750"/>
        <v/>
      </c>
    </row>
    <row r="15661" spans="9:14" x14ac:dyDescent="0.25">
      <c r="I15661" s="11" t="b">
        <f t="shared" si="751"/>
        <v>0</v>
      </c>
      <c r="M15661" s="17" t="str">
        <f t="shared" si="749"/>
        <v/>
      </c>
      <c r="N15661" s="11" t="str">
        <f t="shared" si="750"/>
        <v/>
      </c>
    </row>
    <row r="15662" spans="9:14" x14ac:dyDescent="0.25">
      <c r="I15662" s="11" t="b">
        <f t="shared" si="751"/>
        <v>0</v>
      </c>
      <c r="M15662" s="17" t="str">
        <f t="shared" si="749"/>
        <v/>
      </c>
      <c r="N15662" s="11" t="str">
        <f t="shared" si="750"/>
        <v/>
      </c>
    </row>
    <row r="15663" spans="9:14" x14ac:dyDescent="0.25">
      <c r="I15663" s="11" t="b">
        <f t="shared" si="751"/>
        <v>0</v>
      </c>
      <c r="M15663" s="17" t="str">
        <f t="shared" si="749"/>
        <v/>
      </c>
      <c r="N15663" s="11" t="str">
        <f t="shared" si="750"/>
        <v/>
      </c>
    </row>
    <row r="15664" spans="9:14" x14ac:dyDescent="0.25">
      <c r="I15664" s="11" t="b">
        <f t="shared" si="751"/>
        <v>0</v>
      </c>
      <c r="M15664" s="17" t="str">
        <f t="shared" si="749"/>
        <v/>
      </c>
      <c r="N15664" s="11" t="str">
        <f t="shared" si="750"/>
        <v/>
      </c>
    </row>
    <row r="15665" spans="9:14" x14ac:dyDescent="0.25">
      <c r="I15665" s="11" t="b">
        <f t="shared" si="751"/>
        <v>0</v>
      </c>
      <c r="M15665" s="17" t="str">
        <f t="shared" si="749"/>
        <v/>
      </c>
      <c r="N15665" s="11" t="str">
        <f t="shared" si="750"/>
        <v/>
      </c>
    </row>
    <row r="15666" spans="9:14" x14ac:dyDescent="0.25">
      <c r="I15666" s="11" t="b">
        <f t="shared" si="751"/>
        <v>0</v>
      </c>
      <c r="M15666" s="17" t="str">
        <f t="shared" si="749"/>
        <v/>
      </c>
      <c r="N15666" s="11" t="str">
        <f t="shared" si="750"/>
        <v/>
      </c>
    </row>
    <row r="15667" spans="9:14" x14ac:dyDescent="0.25">
      <c r="I15667" s="11" t="b">
        <f t="shared" si="751"/>
        <v>0</v>
      </c>
      <c r="M15667" s="17" t="str">
        <f t="shared" si="749"/>
        <v/>
      </c>
      <c r="N15667" s="11" t="str">
        <f t="shared" si="750"/>
        <v/>
      </c>
    </row>
    <row r="15668" spans="9:14" x14ac:dyDescent="0.25">
      <c r="I15668" s="11" t="b">
        <f t="shared" si="751"/>
        <v>0</v>
      </c>
      <c r="M15668" s="17" t="str">
        <f t="shared" si="749"/>
        <v/>
      </c>
      <c r="N15668" s="11" t="str">
        <f t="shared" si="750"/>
        <v/>
      </c>
    </row>
    <row r="15669" spans="9:14" x14ac:dyDescent="0.25">
      <c r="I15669" s="11" t="b">
        <f t="shared" si="751"/>
        <v>0</v>
      </c>
      <c r="M15669" s="17" t="str">
        <f t="shared" si="749"/>
        <v/>
      </c>
      <c r="N15669" s="11" t="str">
        <f t="shared" si="750"/>
        <v/>
      </c>
    </row>
    <row r="15670" spans="9:14" x14ac:dyDescent="0.25">
      <c r="I15670" s="11" t="b">
        <f t="shared" si="751"/>
        <v>0</v>
      </c>
      <c r="M15670" s="17" t="str">
        <f t="shared" si="749"/>
        <v/>
      </c>
      <c r="N15670" s="11" t="str">
        <f t="shared" si="750"/>
        <v/>
      </c>
    </row>
    <row r="15671" spans="9:14" x14ac:dyDescent="0.25">
      <c r="I15671" s="11" t="b">
        <f t="shared" si="751"/>
        <v>0</v>
      </c>
      <c r="M15671" s="17" t="str">
        <f t="shared" si="749"/>
        <v/>
      </c>
      <c r="N15671" s="11" t="str">
        <f t="shared" si="750"/>
        <v/>
      </c>
    </row>
    <row r="15672" spans="9:14" x14ac:dyDescent="0.25">
      <c r="I15672" s="11" t="b">
        <f t="shared" si="751"/>
        <v>0</v>
      </c>
      <c r="M15672" s="17" t="str">
        <f t="shared" si="749"/>
        <v/>
      </c>
      <c r="N15672" s="11" t="str">
        <f t="shared" si="750"/>
        <v/>
      </c>
    </row>
    <row r="15673" spans="9:14" x14ac:dyDescent="0.25">
      <c r="I15673" s="11" t="b">
        <f t="shared" si="751"/>
        <v>0</v>
      </c>
      <c r="M15673" s="17" t="str">
        <f t="shared" si="749"/>
        <v/>
      </c>
      <c r="N15673" s="11" t="str">
        <f t="shared" si="750"/>
        <v/>
      </c>
    </row>
    <row r="15674" spans="9:14" x14ac:dyDescent="0.25">
      <c r="I15674" s="11" t="b">
        <f t="shared" si="751"/>
        <v>0</v>
      </c>
      <c r="M15674" s="17" t="str">
        <f t="shared" si="749"/>
        <v/>
      </c>
      <c r="N15674" s="11" t="str">
        <f t="shared" si="750"/>
        <v/>
      </c>
    </row>
    <row r="15675" spans="9:14" x14ac:dyDescent="0.25">
      <c r="I15675" s="11" t="b">
        <f t="shared" si="751"/>
        <v>0</v>
      </c>
      <c r="M15675" s="17" t="str">
        <f t="shared" si="749"/>
        <v/>
      </c>
      <c r="N15675" s="11" t="str">
        <f t="shared" si="750"/>
        <v/>
      </c>
    </row>
    <row r="15676" spans="9:14" x14ac:dyDescent="0.25">
      <c r="I15676" s="11" t="b">
        <f t="shared" si="751"/>
        <v>0</v>
      </c>
      <c r="M15676" s="17" t="str">
        <f t="shared" si="749"/>
        <v/>
      </c>
      <c r="N15676" s="11" t="str">
        <f t="shared" si="750"/>
        <v/>
      </c>
    </row>
    <row r="15677" spans="9:14" x14ac:dyDescent="0.25">
      <c r="I15677" s="11" t="b">
        <f t="shared" si="751"/>
        <v>0</v>
      </c>
      <c r="M15677" s="17" t="str">
        <f t="shared" si="749"/>
        <v/>
      </c>
      <c r="N15677" s="11" t="str">
        <f t="shared" si="750"/>
        <v/>
      </c>
    </row>
    <row r="15678" spans="9:14" x14ac:dyDescent="0.25">
      <c r="I15678" s="11" t="b">
        <f t="shared" si="751"/>
        <v>0</v>
      </c>
      <c r="M15678" s="17" t="str">
        <f t="shared" si="749"/>
        <v/>
      </c>
      <c r="N15678" s="11" t="str">
        <f t="shared" si="750"/>
        <v/>
      </c>
    </row>
    <row r="15679" spans="9:14" x14ac:dyDescent="0.25">
      <c r="I15679" s="11" t="b">
        <f t="shared" si="751"/>
        <v>0</v>
      </c>
      <c r="M15679" s="17" t="str">
        <f t="shared" si="749"/>
        <v/>
      </c>
      <c r="N15679" s="11" t="str">
        <f t="shared" si="750"/>
        <v/>
      </c>
    </row>
    <row r="15680" spans="9:14" x14ac:dyDescent="0.25">
      <c r="I15680" s="11" t="b">
        <f t="shared" si="751"/>
        <v>0</v>
      </c>
      <c r="M15680" s="17" t="str">
        <f t="shared" si="749"/>
        <v/>
      </c>
      <c r="N15680" s="11" t="str">
        <f t="shared" si="750"/>
        <v/>
      </c>
    </row>
    <row r="15681" spans="9:14" x14ac:dyDescent="0.25">
      <c r="I15681" s="11" t="b">
        <f t="shared" si="751"/>
        <v>0</v>
      </c>
      <c r="M15681" s="17" t="str">
        <f t="shared" ref="M15681:M15744" si="752">IF(B15681=0, "",M15680+ J15681-K15681)</f>
        <v/>
      </c>
      <c r="N15681" s="11" t="str">
        <f t="shared" ref="N15681:N15744" si="753">IF(B15681=0, "", MONTH(B15681))</f>
        <v/>
      </c>
    </row>
    <row r="15682" spans="9:14" x14ac:dyDescent="0.25">
      <c r="I15682" s="11" t="b">
        <f t="shared" si="751"/>
        <v>0</v>
      </c>
      <c r="M15682" s="17" t="str">
        <f t="shared" si="752"/>
        <v/>
      </c>
      <c r="N15682" s="11" t="str">
        <f t="shared" si="753"/>
        <v/>
      </c>
    </row>
    <row r="15683" spans="9:14" x14ac:dyDescent="0.25">
      <c r="I15683" s="11" t="b">
        <f t="shared" si="751"/>
        <v>0</v>
      </c>
      <c r="M15683" s="17" t="str">
        <f t="shared" si="752"/>
        <v/>
      </c>
      <c r="N15683" s="11" t="str">
        <f t="shared" si="753"/>
        <v/>
      </c>
    </row>
    <row r="15684" spans="9:14" x14ac:dyDescent="0.25">
      <c r="I15684" s="11" t="b">
        <f t="shared" si="751"/>
        <v>0</v>
      </c>
      <c r="M15684" s="17" t="str">
        <f t="shared" si="752"/>
        <v/>
      </c>
      <c r="N15684" s="11" t="str">
        <f t="shared" si="753"/>
        <v/>
      </c>
    </row>
    <row r="15685" spans="9:14" x14ac:dyDescent="0.25">
      <c r="I15685" s="11" t="b">
        <f t="shared" si="751"/>
        <v>0</v>
      </c>
      <c r="M15685" s="17" t="str">
        <f t="shared" si="752"/>
        <v/>
      </c>
      <c r="N15685" s="11" t="str">
        <f t="shared" si="753"/>
        <v/>
      </c>
    </row>
    <row r="15686" spans="9:14" x14ac:dyDescent="0.25">
      <c r="I15686" s="11" t="b">
        <f t="shared" si="751"/>
        <v>0</v>
      </c>
      <c r="M15686" s="17" t="str">
        <f t="shared" si="752"/>
        <v/>
      </c>
      <c r="N15686" s="11" t="str">
        <f t="shared" si="753"/>
        <v/>
      </c>
    </row>
    <row r="15687" spans="9:14" x14ac:dyDescent="0.25">
      <c r="I15687" s="11" t="b">
        <f t="shared" si="751"/>
        <v>0</v>
      </c>
      <c r="M15687" s="17" t="str">
        <f t="shared" si="752"/>
        <v/>
      </c>
      <c r="N15687" s="11" t="str">
        <f t="shared" si="753"/>
        <v/>
      </c>
    </row>
    <row r="15688" spans="9:14" x14ac:dyDescent="0.25">
      <c r="I15688" s="11" t="b">
        <f t="shared" si="751"/>
        <v>0</v>
      </c>
      <c r="M15688" s="17" t="str">
        <f t="shared" si="752"/>
        <v/>
      </c>
      <c r="N15688" s="11" t="str">
        <f t="shared" si="753"/>
        <v/>
      </c>
    </row>
    <row r="15689" spans="9:14" x14ac:dyDescent="0.25">
      <c r="I15689" s="11" t="b">
        <f t="shared" si="751"/>
        <v>0</v>
      </c>
      <c r="M15689" s="17" t="str">
        <f t="shared" si="752"/>
        <v/>
      </c>
      <c r="N15689" s="11" t="str">
        <f t="shared" si="753"/>
        <v/>
      </c>
    </row>
    <row r="15690" spans="9:14" x14ac:dyDescent="0.25">
      <c r="I15690" s="11" t="b">
        <f t="shared" si="751"/>
        <v>0</v>
      </c>
      <c r="M15690" s="17" t="str">
        <f t="shared" si="752"/>
        <v/>
      </c>
      <c r="N15690" s="11" t="str">
        <f t="shared" si="753"/>
        <v/>
      </c>
    </row>
    <row r="15691" spans="9:14" x14ac:dyDescent="0.25">
      <c r="I15691" s="11" t="b">
        <f t="shared" si="751"/>
        <v>0</v>
      </c>
      <c r="M15691" s="17" t="str">
        <f t="shared" si="752"/>
        <v/>
      </c>
      <c r="N15691" s="11" t="str">
        <f t="shared" si="753"/>
        <v/>
      </c>
    </row>
    <row r="15692" spans="9:14" x14ac:dyDescent="0.25">
      <c r="I15692" s="11" t="b">
        <f t="shared" si="751"/>
        <v>0</v>
      </c>
      <c r="M15692" s="17" t="str">
        <f t="shared" si="752"/>
        <v/>
      </c>
      <c r="N15692" s="11" t="str">
        <f t="shared" si="753"/>
        <v/>
      </c>
    </row>
    <row r="15693" spans="9:14" x14ac:dyDescent="0.25">
      <c r="I15693" s="11" t="b">
        <f t="shared" si="751"/>
        <v>0</v>
      </c>
      <c r="M15693" s="17" t="str">
        <f t="shared" si="752"/>
        <v/>
      </c>
      <c r="N15693" s="11" t="str">
        <f t="shared" si="753"/>
        <v/>
      </c>
    </row>
    <row r="15694" spans="9:14" x14ac:dyDescent="0.25">
      <c r="I15694" s="11" t="b">
        <f t="shared" si="751"/>
        <v>0</v>
      </c>
      <c r="M15694" s="17" t="str">
        <f t="shared" si="752"/>
        <v/>
      </c>
      <c r="N15694" s="11" t="str">
        <f t="shared" si="753"/>
        <v/>
      </c>
    </row>
    <row r="15695" spans="9:14" x14ac:dyDescent="0.25">
      <c r="I15695" s="11" t="b">
        <f t="shared" si="751"/>
        <v>0</v>
      </c>
      <c r="M15695" s="17" t="str">
        <f t="shared" si="752"/>
        <v/>
      </c>
      <c r="N15695" s="11" t="str">
        <f t="shared" si="753"/>
        <v/>
      </c>
    </row>
    <row r="15696" spans="9:14" x14ac:dyDescent="0.25">
      <c r="I15696" s="11" t="b">
        <f t="shared" si="751"/>
        <v>0</v>
      </c>
      <c r="M15696" s="17" t="str">
        <f t="shared" si="752"/>
        <v/>
      </c>
      <c r="N15696" s="11" t="str">
        <f t="shared" si="753"/>
        <v/>
      </c>
    </row>
    <row r="15697" spans="9:14" x14ac:dyDescent="0.25">
      <c r="I15697" s="11" t="b">
        <f t="shared" si="751"/>
        <v>0</v>
      </c>
      <c r="M15697" s="17" t="str">
        <f t="shared" si="752"/>
        <v/>
      </c>
      <c r="N15697" s="11" t="str">
        <f t="shared" si="753"/>
        <v/>
      </c>
    </row>
    <row r="15698" spans="9:14" x14ac:dyDescent="0.25">
      <c r="I15698" s="11" t="b">
        <f t="shared" si="751"/>
        <v>0</v>
      </c>
      <c r="M15698" s="17" t="str">
        <f t="shared" si="752"/>
        <v/>
      </c>
      <c r="N15698" s="11" t="str">
        <f t="shared" si="753"/>
        <v/>
      </c>
    </row>
    <row r="15699" spans="9:14" x14ac:dyDescent="0.25">
      <c r="I15699" s="11" t="b">
        <f t="shared" si="751"/>
        <v>0</v>
      </c>
      <c r="M15699" s="17" t="str">
        <f t="shared" si="752"/>
        <v/>
      </c>
      <c r="N15699" s="11" t="str">
        <f t="shared" si="753"/>
        <v/>
      </c>
    </row>
    <row r="15700" spans="9:14" x14ac:dyDescent="0.25">
      <c r="I15700" s="11" t="b">
        <f t="shared" si="751"/>
        <v>0</v>
      </c>
      <c r="M15700" s="17" t="str">
        <f t="shared" si="752"/>
        <v/>
      </c>
      <c r="N15700" s="11" t="str">
        <f t="shared" si="753"/>
        <v/>
      </c>
    </row>
    <row r="15701" spans="9:14" x14ac:dyDescent="0.25">
      <c r="I15701" s="11" t="b">
        <f t="shared" si="751"/>
        <v>0</v>
      </c>
      <c r="M15701" s="17" t="str">
        <f t="shared" si="752"/>
        <v/>
      </c>
      <c r="N15701" s="11" t="str">
        <f t="shared" si="753"/>
        <v/>
      </c>
    </row>
    <row r="15702" spans="9:14" x14ac:dyDescent="0.25">
      <c r="I15702" s="11" t="b">
        <f t="shared" si="751"/>
        <v>0</v>
      </c>
      <c r="M15702" s="17" t="str">
        <f t="shared" si="752"/>
        <v/>
      </c>
      <c r="N15702" s="11" t="str">
        <f t="shared" si="753"/>
        <v/>
      </c>
    </row>
    <row r="15703" spans="9:14" x14ac:dyDescent="0.25">
      <c r="I15703" s="11" t="b">
        <f t="shared" si="751"/>
        <v>0</v>
      </c>
      <c r="M15703" s="17" t="str">
        <f t="shared" si="752"/>
        <v/>
      </c>
      <c r="N15703" s="11" t="str">
        <f t="shared" si="753"/>
        <v/>
      </c>
    </row>
    <row r="15704" spans="9:14" x14ac:dyDescent="0.25">
      <c r="I15704" s="11" t="b">
        <f t="shared" si="751"/>
        <v>0</v>
      </c>
      <c r="M15704" s="17" t="str">
        <f t="shared" si="752"/>
        <v/>
      </c>
      <c r="N15704" s="11" t="str">
        <f t="shared" si="753"/>
        <v/>
      </c>
    </row>
    <row r="15705" spans="9:14" x14ac:dyDescent="0.25">
      <c r="I15705" s="11" t="b">
        <f t="shared" si="751"/>
        <v>0</v>
      </c>
      <c r="M15705" s="17" t="str">
        <f t="shared" si="752"/>
        <v/>
      </c>
      <c r="N15705" s="11" t="str">
        <f t="shared" si="753"/>
        <v/>
      </c>
    </row>
    <row r="15706" spans="9:14" x14ac:dyDescent="0.25">
      <c r="I15706" s="11" t="b">
        <f t="shared" si="751"/>
        <v>0</v>
      </c>
      <c r="M15706" s="17" t="str">
        <f t="shared" si="752"/>
        <v/>
      </c>
      <c r="N15706" s="11" t="str">
        <f t="shared" si="753"/>
        <v/>
      </c>
    </row>
    <row r="15707" spans="9:14" x14ac:dyDescent="0.25">
      <c r="I15707" s="11" t="b">
        <f t="shared" si="751"/>
        <v>0</v>
      </c>
      <c r="M15707" s="17" t="str">
        <f t="shared" si="752"/>
        <v/>
      </c>
      <c r="N15707" s="11" t="str">
        <f t="shared" si="753"/>
        <v/>
      </c>
    </row>
    <row r="15708" spans="9:14" x14ac:dyDescent="0.25">
      <c r="I15708" s="11" t="b">
        <f t="shared" si="751"/>
        <v>0</v>
      </c>
      <c r="M15708" s="17" t="str">
        <f t="shared" si="752"/>
        <v/>
      </c>
      <c r="N15708" s="11" t="str">
        <f t="shared" si="753"/>
        <v/>
      </c>
    </row>
    <row r="15709" spans="9:14" x14ac:dyDescent="0.25">
      <c r="I15709" s="11" t="b">
        <f t="shared" ref="I15709:I15772" si="754">IF(AND(G15709="MERCADO PAGO",A15709="FATURAMENTO"),1,IF(AND(OR(G15709="MERCADO PAGO",G15709="pix mercado pago",G15709= "débito automático mercado pago", G15709= "boleto mercado pago"),A15709="DESPESAS"),4,IF(AND(G15709="SAFRA",A15709="FATURAMENTO"),2,IF(AND(OR(G15709="SAFRA",G15709="PIX SAFRA", G15709="DÉBITO AUTOMÁTICO SAFRA", G15709= "BOLETO SAFRA", G15709= "transferência safra"), A15709="DESPESAS"),5,IF(AND(G15709="espécie",A15709="FATURAMENTO"),3,IF(AND(G15709="espécie",A15709="DESPESAS"),6))))))</f>
        <v>0</v>
      </c>
      <c r="M15709" s="17" t="str">
        <f t="shared" si="752"/>
        <v/>
      </c>
      <c r="N15709" s="11" t="str">
        <f t="shared" si="753"/>
        <v/>
      </c>
    </row>
    <row r="15710" spans="9:14" x14ac:dyDescent="0.25">
      <c r="I15710" s="11" t="b">
        <f t="shared" si="754"/>
        <v>0</v>
      </c>
      <c r="M15710" s="17" t="str">
        <f t="shared" si="752"/>
        <v/>
      </c>
      <c r="N15710" s="11" t="str">
        <f t="shared" si="753"/>
        <v/>
      </c>
    </row>
    <row r="15711" spans="9:14" x14ac:dyDescent="0.25">
      <c r="I15711" s="11" t="b">
        <f t="shared" si="754"/>
        <v>0</v>
      </c>
      <c r="M15711" s="17" t="str">
        <f t="shared" si="752"/>
        <v/>
      </c>
      <c r="N15711" s="11" t="str">
        <f t="shared" si="753"/>
        <v/>
      </c>
    </row>
    <row r="15712" spans="9:14" x14ac:dyDescent="0.25">
      <c r="I15712" s="11" t="b">
        <f t="shared" si="754"/>
        <v>0</v>
      </c>
      <c r="M15712" s="17" t="str">
        <f t="shared" si="752"/>
        <v/>
      </c>
      <c r="N15712" s="11" t="str">
        <f t="shared" si="753"/>
        <v/>
      </c>
    </row>
    <row r="15713" spans="9:14" x14ac:dyDescent="0.25">
      <c r="I15713" s="11" t="b">
        <f t="shared" si="754"/>
        <v>0</v>
      </c>
      <c r="M15713" s="17" t="str">
        <f t="shared" si="752"/>
        <v/>
      </c>
      <c r="N15713" s="11" t="str">
        <f t="shared" si="753"/>
        <v/>
      </c>
    </row>
    <row r="15714" spans="9:14" x14ac:dyDescent="0.25">
      <c r="I15714" s="11" t="b">
        <f t="shared" si="754"/>
        <v>0</v>
      </c>
      <c r="M15714" s="17" t="str">
        <f t="shared" si="752"/>
        <v/>
      </c>
      <c r="N15714" s="11" t="str">
        <f t="shared" si="753"/>
        <v/>
      </c>
    </row>
    <row r="15715" spans="9:14" x14ac:dyDescent="0.25">
      <c r="I15715" s="11" t="b">
        <f t="shared" si="754"/>
        <v>0</v>
      </c>
      <c r="M15715" s="17" t="str">
        <f t="shared" si="752"/>
        <v/>
      </c>
      <c r="N15715" s="11" t="str">
        <f t="shared" si="753"/>
        <v/>
      </c>
    </row>
    <row r="15716" spans="9:14" x14ac:dyDescent="0.25">
      <c r="I15716" s="11" t="b">
        <f t="shared" si="754"/>
        <v>0</v>
      </c>
      <c r="M15716" s="17" t="str">
        <f t="shared" si="752"/>
        <v/>
      </c>
      <c r="N15716" s="11" t="str">
        <f t="shared" si="753"/>
        <v/>
      </c>
    </row>
    <row r="15717" spans="9:14" x14ac:dyDescent="0.25">
      <c r="I15717" s="11" t="b">
        <f t="shared" si="754"/>
        <v>0</v>
      </c>
      <c r="M15717" s="17" t="str">
        <f t="shared" si="752"/>
        <v/>
      </c>
      <c r="N15717" s="11" t="str">
        <f t="shared" si="753"/>
        <v/>
      </c>
    </row>
    <row r="15718" spans="9:14" x14ac:dyDescent="0.25">
      <c r="I15718" s="11" t="b">
        <f t="shared" si="754"/>
        <v>0</v>
      </c>
      <c r="M15718" s="17" t="str">
        <f t="shared" si="752"/>
        <v/>
      </c>
      <c r="N15718" s="11" t="str">
        <f t="shared" si="753"/>
        <v/>
      </c>
    </row>
    <row r="15719" spans="9:14" x14ac:dyDescent="0.25">
      <c r="I15719" s="11" t="b">
        <f t="shared" si="754"/>
        <v>0</v>
      </c>
      <c r="M15719" s="17" t="str">
        <f t="shared" si="752"/>
        <v/>
      </c>
      <c r="N15719" s="11" t="str">
        <f t="shared" si="753"/>
        <v/>
      </c>
    </row>
    <row r="15720" spans="9:14" x14ac:dyDescent="0.25">
      <c r="I15720" s="11" t="b">
        <f t="shared" si="754"/>
        <v>0</v>
      </c>
      <c r="M15720" s="17" t="str">
        <f t="shared" si="752"/>
        <v/>
      </c>
      <c r="N15720" s="11" t="str">
        <f t="shared" si="753"/>
        <v/>
      </c>
    </row>
    <row r="15721" spans="9:14" x14ac:dyDescent="0.25">
      <c r="I15721" s="11" t="b">
        <f t="shared" si="754"/>
        <v>0</v>
      </c>
      <c r="M15721" s="17" t="str">
        <f t="shared" si="752"/>
        <v/>
      </c>
      <c r="N15721" s="11" t="str">
        <f t="shared" si="753"/>
        <v/>
      </c>
    </row>
    <row r="15722" spans="9:14" x14ac:dyDescent="0.25">
      <c r="I15722" s="11" t="b">
        <f t="shared" si="754"/>
        <v>0</v>
      </c>
      <c r="M15722" s="17" t="str">
        <f t="shared" si="752"/>
        <v/>
      </c>
      <c r="N15722" s="11" t="str">
        <f t="shared" si="753"/>
        <v/>
      </c>
    </row>
    <row r="15723" spans="9:14" x14ac:dyDescent="0.25">
      <c r="I15723" s="11" t="b">
        <f t="shared" si="754"/>
        <v>0</v>
      </c>
      <c r="M15723" s="17" t="str">
        <f t="shared" si="752"/>
        <v/>
      </c>
      <c r="N15723" s="11" t="str">
        <f t="shared" si="753"/>
        <v/>
      </c>
    </row>
    <row r="15724" spans="9:14" x14ac:dyDescent="0.25">
      <c r="I15724" s="11" t="b">
        <f t="shared" si="754"/>
        <v>0</v>
      </c>
      <c r="M15724" s="17" t="str">
        <f t="shared" si="752"/>
        <v/>
      </c>
      <c r="N15724" s="11" t="str">
        <f t="shared" si="753"/>
        <v/>
      </c>
    </row>
    <row r="15725" spans="9:14" x14ac:dyDescent="0.25">
      <c r="I15725" s="11" t="b">
        <f t="shared" si="754"/>
        <v>0</v>
      </c>
      <c r="M15725" s="17" t="str">
        <f t="shared" si="752"/>
        <v/>
      </c>
      <c r="N15725" s="11" t="str">
        <f t="shared" si="753"/>
        <v/>
      </c>
    </row>
    <row r="15726" spans="9:14" x14ac:dyDescent="0.25">
      <c r="I15726" s="11" t="b">
        <f t="shared" si="754"/>
        <v>0</v>
      </c>
      <c r="M15726" s="17" t="str">
        <f t="shared" si="752"/>
        <v/>
      </c>
      <c r="N15726" s="11" t="str">
        <f t="shared" si="753"/>
        <v/>
      </c>
    </row>
    <row r="15727" spans="9:14" x14ac:dyDescent="0.25">
      <c r="I15727" s="11" t="b">
        <f t="shared" si="754"/>
        <v>0</v>
      </c>
      <c r="M15727" s="17" t="str">
        <f t="shared" si="752"/>
        <v/>
      </c>
      <c r="N15727" s="11" t="str">
        <f t="shared" si="753"/>
        <v/>
      </c>
    </row>
    <row r="15728" spans="9:14" x14ac:dyDescent="0.25">
      <c r="I15728" s="11" t="b">
        <f t="shared" si="754"/>
        <v>0</v>
      </c>
      <c r="M15728" s="17" t="str">
        <f t="shared" si="752"/>
        <v/>
      </c>
      <c r="N15728" s="11" t="str">
        <f t="shared" si="753"/>
        <v/>
      </c>
    </row>
    <row r="15729" spans="9:14" x14ac:dyDescent="0.25">
      <c r="I15729" s="11" t="b">
        <f t="shared" si="754"/>
        <v>0</v>
      </c>
      <c r="M15729" s="17" t="str">
        <f t="shared" si="752"/>
        <v/>
      </c>
      <c r="N15729" s="11" t="str">
        <f t="shared" si="753"/>
        <v/>
      </c>
    </row>
    <row r="15730" spans="9:14" x14ac:dyDescent="0.25">
      <c r="I15730" s="11" t="b">
        <f t="shared" si="754"/>
        <v>0</v>
      </c>
      <c r="M15730" s="17" t="str">
        <f t="shared" si="752"/>
        <v/>
      </c>
      <c r="N15730" s="11" t="str">
        <f t="shared" si="753"/>
        <v/>
      </c>
    </row>
    <row r="15731" spans="9:14" x14ac:dyDescent="0.25">
      <c r="I15731" s="11" t="b">
        <f t="shared" si="754"/>
        <v>0</v>
      </c>
      <c r="M15731" s="17" t="str">
        <f t="shared" si="752"/>
        <v/>
      </c>
      <c r="N15731" s="11" t="str">
        <f t="shared" si="753"/>
        <v/>
      </c>
    </row>
    <row r="15732" spans="9:14" x14ac:dyDescent="0.25">
      <c r="I15732" s="11" t="b">
        <f t="shared" si="754"/>
        <v>0</v>
      </c>
      <c r="M15732" s="17" t="str">
        <f t="shared" si="752"/>
        <v/>
      </c>
      <c r="N15732" s="11" t="str">
        <f t="shared" si="753"/>
        <v/>
      </c>
    </row>
    <row r="15733" spans="9:14" x14ac:dyDescent="0.25">
      <c r="I15733" s="11" t="b">
        <f t="shared" si="754"/>
        <v>0</v>
      </c>
      <c r="M15733" s="17" t="str">
        <f t="shared" si="752"/>
        <v/>
      </c>
      <c r="N15733" s="11" t="str">
        <f t="shared" si="753"/>
        <v/>
      </c>
    </row>
    <row r="15734" spans="9:14" x14ac:dyDescent="0.25">
      <c r="I15734" s="11" t="b">
        <f t="shared" si="754"/>
        <v>0</v>
      </c>
      <c r="M15734" s="17" t="str">
        <f t="shared" si="752"/>
        <v/>
      </c>
      <c r="N15734" s="11" t="str">
        <f t="shared" si="753"/>
        <v/>
      </c>
    </row>
    <row r="15735" spans="9:14" x14ac:dyDescent="0.25">
      <c r="I15735" s="11" t="b">
        <f t="shared" si="754"/>
        <v>0</v>
      </c>
      <c r="M15735" s="17" t="str">
        <f t="shared" si="752"/>
        <v/>
      </c>
      <c r="N15735" s="11" t="str">
        <f t="shared" si="753"/>
        <v/>
      </c>
    </row>
    <row r="15736" spans="9:14" x14ac:dyDescent="0.25">
      <c r="I15736" s="11" t="b">
        <f t="shared" si="754"/>
        <v>0</v>
      </c>
      <c r="M15736" s="17" t="str">
        <f t="shared" si="752"/>
        <v/>
      </c>
      <c r="N15736" s="11" t="str">
        <f t="shared" si="753"/>
        <v/>
      </c>
    </row>
    <row r="15737" spans="9:14" x14ac:dyDescent="0.25">
      <c r="I15737" s="11" t="b">
        <f t="shared" si="754"/>
        <v>0</v>
      </c>
      <c r="M15737" s="17" t="str">
        <f t="shared" si="752"/>
        <v/>
      </c>
      <c r="N15737" s="11" t="str">
        <f t="shared" si="753"/>
        <v/>
      </c>
    </row>
    <row r="15738" spans="9:14" x14ac:dyDescent="0.25">
      <c r="I15738" s="11" t="b">
        <f t="shared" si="754"/>
        <v>0</v>
      </c>
      <c r="M15738" s="17" t="str">
        <f t="shared" si="752"/>
        <v/>
      </c>
      <c r="N15738" s="11" t="str">
        <f t="shared" si="753"/>
        <v/>
      </c>
    </row>
    <row r="15739" spans="9:14" x14ac:dyDescent="0.25">
      <c r="I15739" s="11" t="b">
        <f t="shared" si="754"/>
        <v>0</v>
      </c>
      <c r="M15739" s="17" t="str">
        <f t="shared" si="752"/>
        <v/>
      </c>
      <c r="N15739" s="11" t="str">
        <f t="shared" si="753"/>
        <v/>
      </c>
    </row>
    <row r="15740" spans="9:14" x14ac:dyDescent="0.25">
      <c r="I15740" s="11" t="b">
        <f t="shared" si="754"/>
        <v>0</v>
      </c>
      <c r="M15740" s="17" t="str">
        <f t="shared" si="752"/>
        <v/>
      </c>
      <c r="N15740" s="11" t="str">
        <f t="shared" si="753"/>
        <v/>
      </c>
    </row>
    <row r="15741" spans="9:14" x14ac:dyDescent="0.25">
      <c r="I15741" s="11" t="b">
        <f t="shared" si="754"/>
        <v>0</v>
      </c>
      <c r="M15741" s="17" t="str">
        <f t="shared" si="752"/>
        <v/>
      </c>
      <c r="N15741" s="11" t="str">
        <f t="shared" si="753"/>
        <v/>
      </c>
    </row>
    <row r="15742" spans="9:14" x14ac:dyDescent="0.25">
      <c r="I15742" s="11" t="b">
        <f t="shared" si="754"/>
        <v>0</v>
      </c>
      <c r="M15742" s="17" t="str">
        <f t="shared" si="752"/>
        <v/>
      </c>
      <c r="N15742" s="11" t="str">
        <f t="shared" si="753"/>
        <v/>
      </c>
    </row>
    <row r="15743" spans="9:14" x14ac:dyDescent="0.25">
      <c r="I15743" s="11" t="b">
        <f t="shared" si="754"/>
        <v>0</v>
      </c>
      <c r="M15743" s="17" t="str">
        <f t="shared" si="752"/>
        <v/>
      </c>
      <c r="N15743" s="11" t="str">
        <f t="shared" si="753"/>
        <v/>
      </c>
    </row>
    <row r="15744" spans="9:14" x14ac:dyDescent="0.25">
      <c r="I15744" s="11" t="b">
        <f t="shared" si="754"/>
        <v>0</v>
      </c>
      <c r="M15744" s="17" t="str">
        <f t="shared" si="752"/>
        <v/>
      </c>
      <c r="N15744" s="11" t="str">
        <f t="shared" si="753"/>
        <v/>
      </c>
    </row>
    <row r="15745" spans="9:14" x14ac:dyDescent="0.25">
      <c r="I15745" s="11" t="b">
        <f t="shared" si="754"/>
        <v>0</v>
      </c>
      <c r="M15745" s="17" t="str">
        <f t="shared" ref="M15745:M15808" si="755">IF(B15745=0, "",M15744+ J15745-K15745)</f>
        <v/>
      </c>
      <c r="N15745" s="11" t="str">
        <f t="shared" ref="N15745:N15808" si="756">IF(B15745=0, "", MONTH(B15745))</f>
        <v/>
      </c>
    </row>
    <row r="15746" spans="9:14" x14ac:dyDescent="0.25">
      <c r="I15746" s="11" t="b">
        <f t="shared" si="754"/>
        <v>0</v>
      </c>
      <c r="M15746" s="17" t="str">
        <f t="shared" si="755"/>
        <v/>
      </c>
      <c r="N15746" s="11" t="str">
        <f t="shared" si="756"/>
        <v/>
      </c>
    </row>
    <row r="15747" spans="9:14" x14ac:dyDescent="0.25">
      <c r="I15747" s="11" t="b">
        <f t="shared" si="754"/>
        <v>0</v>
      </c>
      <c r="M15747" s="17" t="str">
        <f t="shared" si="755"/>
        <v/>
      </c>
      <c r="N15747" s="11" t="str">
        <f t="shared" si="756"/>
        <v/>
      </c>
    </row>
    <row r="15748" spans="9:14" x14ac:dyDescent="0.25">
      <c r="I15748" s="11" t="b">
        <f t="shared" si="754"/>
        <v>0</v>
      </c>
      <c r="M15748" s="17" t="str">
        <f t="shared" si="755"/>
        <v/>
      </c>
      <c r="N15748" s="11" t="str">
        <f t="shared" si="756"/>
        <v/>
      </c>
    </row>
    <row r="15749" spans="9:14" x14ac:dyDescent="0.25">
      <c r="I15749" s="11" t="b">
        <f t="shared" si="754"/>
        <v>0</v>
      </c>
      <c r="M15749" s="17" t="str">
        <f t="shared" si="755"/>
        <v/>
      </c>
      <c r="N15749" s="11" t="str">
        <f t="shared" si="756"/>
        <v/>
      </c>
    </row>
    <row r="15750" spans="9:14" x14ac:dyDescent="0.25">
      <c r="I15750" s="11" t="b">
        <f t="shared" si="754"/>
        <v>0</v>
      </c>
      <c r="M15750" s="17" t="str">
        <f t="shared" si="755"/>
        <v/>
      </c>
      <c r="N15750" s="11" t="str">
        <f t="shared" si="756"/>
        <v/>
      </c>
    </row>
    <row r="15751" spans="9:14" x14ac:dyDescent="0.25">
      <c r="I15751" s="11" t="b">
        <f t="shared" si="754"/>
        <v>0</v>
      </c>
      <c r="M15751" s="17" t="str">
        <f t="shared" si="755"/>
        <v/>
      </c>
      <c r="N15751" s="11" t="str">
        <f t="shared" si="756"/>
        <v/>
      </c>
    </row>
    <row r="15752" spans="9:14" x14ac:dyDescent="0.25">
      <c r="I15752" s="11" t="b">
        <f t="shared" si="754"/>
        <v>0</v>
      </c>
      <c r="M15752" s="17" t="str">
        <f t="shared" si="755"/>
        <v/>
      </c>
      <c r="N15752" s="11" t="str">
        <f t="shared" si="756"/>
        <v/>
      </c>
    </row>
    <row r="15753" spans="9:14" x14ac:dyDescent="0.25">
      <c r="I15753" s="11" t="b">
        <f t="shared" si="754"/>
        <v>0</v>
      </c>
      <c r="M15753" s="17" t="str">
        <f t="shared" si="755"/>
        <v/>
      </c>
      <c r="N15753" s="11" t="str">
        <f t="shared" si="756"/>
        <v/>
      </c>
    </row>
    <row r="15754" spans="9:14" x14ac:dyDescent="0.25">
      <c r="I15754" s="11" t="b">
        <f t="shared" si="754"/>
        <v>0</v>
      </c>
      <c r="M15754" s="17" t="str">
        <f t="shared" si="755"/>
        <v/>
      </c>
      <c r="N15754" s="11" t="str">
        <f t="shared" si="756"/>
        <v/>
      </c>
    </row>
    <row r="15755" spans="9:14" x14ac:dyDescent="0.25">
      <c r="I15755" s="11" t="b">
        <f t="shared" si="754"/>
        <v>0</v>
      </c>
      <c r="M15755" s="17" t="str">
        <f t="shared" si="755"/>
        <v/>
      </c>
      <c r="N15755" s="11" t="str">
        <f t="shared" si="756"/>
        <v/>
      </c>
    </row>
    <row r="15756" spans="9:14" x14ac:dyDescent="0.25">
      <c r="I15756" s="11" t="b">
        <f t="shared" si="754"/>
        <v>0</v>
      </c>
      <c r="M15756" s="17" t="str">
        <f t="shared" si="755"/>
        <v/>
      </c>
      <c r="N15756" s="11" t="str">
        <f t="shared" si="756"/>
        <v/>
      </c>
    </row>
    <row r="15757" spans="9:14" x14ac:dyDescent="0.25">
      <c r="I15757" s="11" t="b">
        <f t="shared" si="754"/>
        <v>0</v>
      </c>
      <c r="M15757" s="17" t="str">
        <f t="shared" si="755"/>
        <v/>
      </c>
      <c r="N15757" s="11" t="str">
        <f t="shared" si="756"/>
        <v/>
      </c>
    </row>
    <row r="15758" spans="9:14" x14ac:dyDescent="0.25">
      <c r="I15758" s="11" t="b">
        <f t="shared" si="754"/>
        <v>0</v>
      </c>
      <c r="M15758" s="17" t="str">
        <f t="shared" si="755"/>
        <v/>
      </c>
      <c r="N15758" s="11" t="str">
        <f t="shared" si="756"/>
        <v/>
      </c>
    </row>
    <row r="15759" spans="9:14" x14ac:dyDescent="0.25">
      <c r="I15759" s="11" t="b">
        <f t="shared" si="754"/>
        <v>0</v>
      </c>
      <c r="M15759" s="17" t="str">
        <f t="shared" si="755"/>
        <v/>
      </c>
      <c r="N15759" s="11" t="str">
        <f t="shared" si="756"/>
        <v/>
      </c>
    </row>
    <row r="15760" spans="9:14" x14ac:dyDescent="0.25">
      <c r="I15760" s="11" t="b">
        <f t="shared" si="754"/>
        <v>0</v>
      </c>
      <c r="M15760" s="17" t="str">
        <f t="shared" si="755"/>
        <v/>
      </c>
      <c r="N15760" s="11" t="str">
        <f t="shared" si="756"/>
        <v/>
      </c>
    </row>
    <row r="15761" spans="9:14" x14ac:dyDescent="0.25">
      <c r="I15761" s="11" t="b">
        <f t="shared" si="754"/>
        <v>0</v>
      </c>
      <c r="M15761" s="17" t="str">
        <f t="shared" si="755"/>
        <v/>
      </c>
      <c r="N15761" s="11" t="str">
        <f t="shared" si="756"/>
        <v/>
      </c>
    </row>
    <row r="15762" spans="9:14" x14ac:dyDescent="0.25">
      <c r="I15762" s="11" t="b">
        <f t="shared" si="754"/>
        <v>0</v>
      </c>
      <c r="M15762" s="17" t="str">
        <f t="shared" si="755"/>
        <v/>
      </c>
      <c r="N15762" s="11" t="str">
        <f t="shared" si="756"/>
        <v/>
      </c>
    </row>
    <row r="15763" spans="9:14" x14ac:dyDescent="0.25">
      <c r="I15763" s="11" t="b">
        <f t="shared" si="754"/>
        <v>0</v>
      </c>
      <c r="M15763" s="17" t="str">
        <f t="shared" si="755"/>
        <v/>
      </c>
      <c r="N15763" s="11" t="str">
        <f t="shared" si="756"/>
        <v/>
      </c>
    </row>
    <row r="15764" spans="9:14" x14ac:dyDescent="0.25">
      <c r="I15764" s="11" t="b">
        <f t="shared" si="754"/>
        <v>0</v>
      </c>
      <c r="M15764" s="17" t="str">
        <f t="shared" si="755"/>
        <v/>
      </c>
      <c r="N15764" s="11" t="str">
        <f t="shared" si="756"/>
        <v/>
      </c>
    </row>
    <row r="15765" spans="9:14" x14ac:dyDescent="0.25">
      <c r="I15765" s="11" t="b">
        <f t="shared" si="754"/>
        <v>0</v>
      </c>
      <c r="M15765" s="17" t="str">
        <f t="shared" si="755"/>
        <v/>
      </c>
      <c r="N15765" s="11" t="str">
        <f t="shared" si="756"/>
        <v/>
      </c>
    </row>
    <row r="15766" spans="9:14" x14ac:dyDescent="0.25">
      <c r="I15766" s="11" t="b">
        <f t="shared" si="754"/>
        <v>0</v>
      </c>
      <c r="M15766" s="17" t="str">
        <f t="shared" si="755"/>
        <v/>
      </c>
      <c r="N15766" s="11" t="str">
        <f t="shared" si="756"/>
        <v/>
      </c>
    </row>
    <row r="15767" spans="9:14" x14ac:dyDescent="0.25">
      <c r="I15767" s="11" t="b">
        <f t="shared" si="754"/>
        <v>0</v>
      </c>
      <c r="M15767" s="17" t="str">
        <f t="shared" si="755"/>
        <v/>
      </c>
      <c r="N15767" s="11" t="str">
        <f t="shared" si="756"/>
        <v/>
      </c>
    </row>
    <row r="15768" spans="9:14" x14ac:dyDescent="0.25">
      <c r="I15768" s="11" t="b">
        <f t="shared" si="754"/>
        <v>0</v>
      </c>
      <c r="M15768" s="17" t="str">
        <f t="shared" si="755"/>
        <v/>
      </c>
      <c r="N15768" s="11" t="str">
        <f t="shared" si="756"/>
        <v/>
      </c>
    </row>
    <row r="15769" spans="9:14" x14ac:dyDescent="0.25">
      <c r="I15769" s="11" t="b">
        <f t="shared" si="754"/>
        <v>0</v>
      </c>
      <c r="M15769" s="17" t="str">
        <f t="shared" si="755"/>
        <v/>
      </c>
      <c r="N15769" s="11" t="str">
        <f t="shared" si="756"/>
        <v/>
      </c>
    </row>
    <row r="15770" spans="9:14" x14ac:dyDescent="0.25">
      <c r="I15770" s="11" t="b">
        <f t="shared" si="754"/>
        <v>0</v>
      </c>
      <c r="M15770" s="17" t="str">
        <f t="shared" si="755"/>
        <v/>
      </c>
      <c r="N15770" s="11" t="str">
        <f t="shared" si="756"/>
        <v/>
      </c>
    </row>
    <row r="15771" spans="9:14" x14ac:dyDescent="0.25">
      <c r="I15771" s="11" t="b">
        <f t="shared" si="754"/>
        <v>0</v>
      </c>
      <c r="M15771" s="17" t="str">
        <f t="shared" si="755"/>
        <v/>
      </c>
      <c r="N15771" s="11" t="str">
        <f t="shared" si="756"/>
        <v/>
      </c>
    </row>
    <row r="15772" spans="9:14" x14ac:dyDescent="0.25">
      <c r="I15772" s="11" t="b">
        <f t="shared" si="754"/>
        <v>0</v>
      </c>
      <c r="M15772" s="17" t="str">
        <f t="shared" si="755"/>
        <v/>
      </c>
      <c r="N15772" s="11" t="str">
        <f t="shared" si="756"/>
        <v/>
      </c>
    </row>
    <row r="15773" spans="9:14" x14ac:dyDescent="0.25">
      <c r="I15773" s="11" t="b">
        <f t="shared" ref="I15773:I15836" si="757">IF(AND(G15773="MERCADO PAGO",A15773="FATURAMENTO"),1,IF(AND(OR(G15773="MERCADO PAGO",G15773="pix mercado pago",G15773= "débito automático mercado pago", G15773= "boleto mercado pago"),A15773="DESPESAS"),4,IF(AND(G15773="SAFRA",A15773="FATURAMENTO"),2,IF(AND(OR(G15773="SAFRA",G15773="PIX SAFRA", G15773="DÉBITO AUTOMÁTICO SAFRA", G15773= "BOLETO SAFRA", G15773= "transferência safra"), A15773="DESPESAS"),5,IF(AND(G15773="espécie",A15773="FATURAMENTO"),3,IF(AND(G15773="espécie",A15773="DESPESAS"),6))))))</f>
        <v>0</v>
      </c>
      <c r="M15773" s="17" t="str">
        <f t="shared" si="755"/>
        <v/>
      </c>
      <c r="N15773" s="11" t="str">
        <f t="shared" si="756"/>
        <v/>
      </c>
    </row>
    <row r="15774" spans="9:14" x14ac:dyDescent="0.25">
      <c r="I15774" s="11" t="b">
        <f t="shared" si="757"/>
        <v>0</v>
      </c>
      <c r="M15774" s="17" t="str">
        <f t="shared" si="755"/>
        <v/>
      </c>
      <c r="N15774" s="11" t="str">
        <f t="shared" si="756"/>
        <v/>
      </c>
    </row>
    <row r="15775" spans="9:14" x14ac:dyDescent="0.25">
      <c r="I15775" s="11" t="b">
        <f t="shared" si="757"/>
        <v>0</v>
      </c>
      <c r="M15775" s="17" t="str">
        <f t="shared" si="755"/>
        <v/>
      </c>
      <c r="N15775" s="11" t="str">
        <f t="shared" si="756"/>
        <v/>
      </c>
    </row>
    <row r="15776" spans="9:14" x14ac:dyDescent="0.25">
      <c r="I15776" s="11" t="b">
        <f t="shared" si="757"/>
        <v>0</v>
      </c>
      <c r="M15776" s="17" t="str">
        <f t="shared" si="755"/>
        <v/>
      </c>
      <c r="N15776" s="11" t="str">
        <f t="shared" si="756"/>
        <v/>
      </c>
    </row>
    <row r="15777" spans="9:14" x14ac:dyDescent="0.25">
      <c r="I15777" s="11" t="b">
        <f t="shared" si="757"/>
        <v>0</v>
      </c>
      <c r="M15777" s="17" t="str">
        <f t="shared" si="755"/>
        <v/>
      </c>
      <c r="N15777" s="11" t="str">
        <f t="shared" si="756"/>
        <v/>
      </c>
    </row>
    <row r="15778" spans="9:14" x14ac:dyDescent="0.25">
      <c r="I15778" s="11" t="b">
        <f t="shared" si="757"/>
        <v>0</v>
      </c>
      <c r="M15778" s="17" t="str">
        <f t="shared" si="755"/>
        <v/>
      </c>
      <c r="N15778" s="11" t="str">
        <f t="shared" si="756"/>
        <v/>
      </c>
    </row>
    <row r="15779" spans="9:14" x14ac:dyDescent="0.25">
      <c r="I15779" s="11" t="b">
        <f t="shared" si="757"/>
        <v>0</v>
      </c>
      <c r="M15779" s="17" t="str">
        <f t="shared" si="755"/>
        <v/>
      </c>
      <c r="N15779" s="11" t="str">
        <f t="shared" si="756"/>
        <v/>
      </c>
    </row>
    <row r="15780" spans="9:14" x14ac:dyDescent="0.25">
      <c r="I15780" s="11" t="b">
        <f t="shared" si="757"/>
        <v>0</v>
      </c>
      <c r="M15780" s="17" t="str">
        <f t="shared" si="755"/>
        <v/>
      </c>
      <c r="N15780" s="11" t="str">
        <f t="shared" si="756"/>
        <v/>
      </c>
    </row>
    <row r="15781" spans="9:14" x14ac:dyDescent="0.25">
      <c r="I15781" s="11" t="b">
        <f t="shared" si="757"/>
        <v>0</v>
      </c>
      <c r="M15781" s="17" t="str">
        <f t="shared" si="755"/>
        <v/>
      </c>
      <c r="N15781" s="11" t="str">
        <f t="shared" si="756"/>
        <v/>
      </c>
    </row>
    <row r="15782" spans="9:14" x14ac:dyDescent="0.25">
      <c r="I15782" s="11" t="b">
        <f t="shared" si="757"/>
        <v>0</v>
      </c>
      <c r="M15782" s="17" t="str">
        <f t="shared" si="755"/>
        <v/>
      </c>
      <c r="N15782" s="11" t="str">
        <f t="shared" si="756"/>
        <v/>
      </c>
    </row>
    <row r="15783" spans="9:14" x14ac:dyDescent="0.25">
      <c r="I15783" s="11" t="b">
        <f t="shared" si="757"/>
        <v>0</v>
      </c>
      <c r="M15783" s="17" t="str">
        <f t="shared" si="755"/>
        <v/>
      </c>
      <c r="N15783" s="11" t="str">
        <f t="shared" si="756"/>
        <v/>
      </c>
    </row>
    <row r="15784" spans="9:14" x14ac:dyDescent="0.25">
      <c r="I15784" s="11" t="b">
        <f t="shared" si="757"/>
        <v>0</v>
      </c>
      <c r="M15784" s="17" t="str">
        <f t="shared" si="755"/>
        <v/>
      </c>
      <c r="N15784" s="11" t="str">
        <f t="shared" si="756"/>
        <v/>
      </c>
    </row>
    <row r="15785" spans="9:14" x14ac:dyDescent="0.25">
      <c r="I15785" s="11" t="b">
        <f t="shared" si="757"/>
        <v>0</v>
      </c>
      <c r="M15785" s="17" t="str">
        <f t="shared" si="755"/>
        <v/>
      </c>
      <c r="N15785" s="11" t="str">
        <f t="shared" si="756"/>
        <v/>
      </c>
    </row>
    <row r="15786" spans="9:14" x14ac:dyDescent="0.25">
      <c r="I15786" s="11" t="b">
        <f t="shared" si="757"/>
        <v>0</v>
      </c>
      <c r="M15786" s="17" t="str">
        <f t="shared" si="755"/>
        <v/>
      </c>
      <c r="N15786" s="11" t="str">
        <f t="shared" si="756"/>
        <v/>
      </c>
    </row>
    <row r="15787" spans="9:14" x14ac:dyDescent="0.25">
      <c r="I15787" s="11" t="b">
        <f t="shared" si="757"/>
        <v>0</v>
      </c>
      <c r="M15787" s="17" t="str">
        <f t="shared" si="755"/>
        <v/>
      </c>
      <c r="N15787" s="11" t="str">
        <f t="shared" si="756"/>
        <v/>
      </c>
    </row>
    <row r="15788" spans="9:14" x14ac:dyDescent="0.25">
      <c r="I15788" s="11" t="b">
        <f t="shared" si="757"/>
        <v>0</v>
      </c>
      <c r="M15788" s="17" t="str">
        <f t="shared" si="755"/>
        <v/>
      </c>
      <c r="N15788" s="11" t="str">
        <f t="shared" si="756"/>
        <v/>
      </c>
    </row>
    <row r="15789" spans="9:14" x14ac:dyDescent="0.25">
      <c r="I15789" s="11" t="b">
        <f t="shared" si="757"/>
        <v>0</v>
      </c>
      <c r="M15789" s="17" t="str">
        <f t="shared" si="755"/>
        <v/>
      </c>
      <c r="N15789" s="11" t="str">
        <f t="shared" si="756"/>
        <v/>
      </c>
    </row>
    <row r="15790" spans="9:14" x14ac:dyDescent="0.25">
      <c r="I15790" s="11" t="b">
        <f t="shared" si="757"/>
        <v>0</v>
      </c>
      <c r="M15790" s="17" t="str">
        <f t="shared" si="755"/>
        <v/>
      </c>
      <c r="N15790" s="11" t="str">
        <f t="shared" si="756"/>
        <v/>
      </c>
    </row>
    <row r="15791" spans="9:14" x14ac:dyDescent="0.25">
      <c r="I15791" s="11" t="b">
        <f t="shared" si="757"/>
        <v>0</v>
      </c>
      <c r="M15791" s="17" t="str">
        <f t="shared" si="755"/>
        <v/>
      </c>
      <c r="N15791" s="11" t="str">
        <f t="shared" si="756"/>
        <v/>
      </c>
    </row>
    <row r="15792" spans="9:14" x14ac:dyDescent="0.25">
      <c r="I15792" s="11" t="b">
        <f t="shared" si="757"/>
        <v>0</v>
      </c>
      <c r="M15792" s="17" t="str">
        <f t="shared" si="755"/>
        <v/>
      </c>
      <c r="N15792" s="11" t="str">
        <f t="shared" si="756"/>
        <v/>
      </c>
    </row>
    <row r="15793" spans="9:14" x14ac:dyDescent="0.25">
      <c r="I15793" s="11" t="b">
        <f t="shared" si="757"/>
        <v>0</v>
      </c>
      <c r="M15793" s="17" t="str">
        <f t="shared" si="755"/>
        <v/>
      </c>
      <c r="N15793" s="11" t="str">
        <f t="shared" si="756"/>
        <v/>
      </c>
    </row>
    <row r="15794" spans="9:14" x14ac:dyDescent="0.25">
      <c r="I15794" s="11" t="b">
        <f t="shared" si="757"/>
        <v>0</v>
      </c>
      <c r="M15794" s="17" t="str">
        <f t="shared" si="755"/>
        <v/>
      </c>
      <c r="N15794" s="11" t="str">
        <f t="shared" si="756"/>
        <v/>
      </c>
    </row>
    <row r="15795" spans="9:14" x14ac:dyDescent="0.25">
      <c r="I15795" s="11" t="b">
        <f t="shared" si="757"/>
        <v>0</v>
      </c>
      <c r="M15795" s="17" t="str">
        <f t="shared" si="755"/>
        <v/>
      </c>
      <c r="N15795" s="11" t="str">
        <f t="shared" si="756"/>
        <v/>
      </c>
    </row>
    <row r="15796" spans="9:14" x14ac:dyDescent="0.25">
      <c r="I15796" s="11" t="b">
        <f t="shared" si="757"/>
        <v>0</v>
      </c>
      <c r="M15796" s="17" t="str">
        <f t="shared" si="755"/>
        <v/>
      </c>
      <c r="N15796" s="11" t="str">
        <f t="shared" si="756"/>
        <v/>
      </c>
    </row>
    <row r="15797" spans="9:14" x14ac:dyDescent="0.25">
      <c r="I15797" s="11" t="b">
        <f t="shared" si="757"/>
        <v>0</v>
      </c>
      <c r="M15797" s="17" t="str">
        <f t="shared" si="755"/>
        <v/>
      </c>
      <c r="N15797" s="11" t="str">
        <f t="shared" si="756"/>
        <v/>
      </c>
    </row>
    <row r="15798" spans="9:14" x14ac:dyDescent="0.25">
      <c r="I15798" s="11" t="b">
        <f t="shared" si="757"/>
        <v>0</v>
      </c>
      <c r="M15798" s="17" t="str">
        <f t="shared" si="755"/>
        <v/>
      </c>
      <c r="N15798" s="11" t="str">
        <f t="shared" si="756"/>
        <v/>
      </c>
    </row>
    <row r="15799" spans="9:14" x14ac:dyDescent="0.25">
      <c r="I15799" s="11" t="b">
        <f t="shared" si="757"/>
        <v>0</v>
      </c>
      <c r="M15799" s="17" t="str">
        <f t="shared" si="755"/>
        <v/>
      </c>
      <c r="N15799" s="11" t="str">
        <f t="shared" si="756"/>
        <v/>
      </c>
    </row>
    <row r="15800" spans="9:14" x14ac:dyDescent="0.25">
      <c r="I15800" s="11" t="b">
        <f t="shared" si="757"/>
        <v>0</v>
      </c>
      <c r="M15800" s="17" t="str">
        <f t="shared" si="755"/>
        <v/>
      </c>
      <c r="N15800" s="11" t="str">
        <f t="shared" si="756"/>
        <v/>
      </c>
    </row>
    <row r="15801" spans="9:14" x14ac:dyDescent="0.25">
      <c r="I15801" s="11" t="b">
        <f t="shared" si="757"/>
        <v>0</v>
      </c>
      <c r="M15801" s="17" t="str">
        <f t="shared" si="755"/>
        <v/>
      </c>
      <c r="N15801" s="11" t="str">
        <f t="shared" si="756"/>
        <v/>
      </c>
    </row>
    <row r="15802" spans="9:14" x14ac:dyDescent="0.25">
      <c r="I15802" s="11" t="b">
        <f t="shared" si="757"/>
        <v>0</v>
      </c>
      <c r="M15802" s="17" t="str">
        <f t="shared" si="755"/>
        <v/>
      </c>
      <c r="N15802" s="11" t="str">
        <f t="shared" si="756"/>
        <v/>
      </c>
    </row>
    <row r="15803" spans="9:14" x14ac:dyDescent="0.25">
      <c r="I15803" s="11" t="b">
        <f t="shared" si="757"/>
        <v>0</v>
      </c>
      <c r="M15803" s="17" t="str">
        <f t="shared" si="755"/>
        <v/>
      </c>
      <c r="N15803" s="11" t="str">
        <f t="shared" si="756"/>
        <v/>
      </c>
    </row>
    <row r="15804" spans="9:14" x14ac:dyDescent="0.25">
      <c r="I15804" s="11" t="b">
        <f t="shared" si="757"/>
        <v>0</v>
      </c>
      <c r="M15804" s="17" t="str">
        <f t="shared" si="755"/>
        <v/>
      </c>
      <c r="N15804" s="11" t="str">
        <f t="shared" si="756"/>
        <v/>
      </c>
    </row>
    <row r="15805" spans="9:14" x14ac:dyDescent="0.25">
      <c r="I15805" s="11" t="b">
        <f t="shared" si="757"/>
        <v>0</v>
      </c>
      <c r="M15805" s="17" t="str">
        <f t="shared" si="755"/>
        <v/>
      </c>
      <c r="N15805" s="11" t="str">
        <f t="shared" si="756"/>
        <v/>
      </c>
    </row>
    <row r="15806" spans="9:14" x14ac:dyDescent="0.25">
      <c r="I15806" s="11" t="b">
        <f t="shared" si="757"/>
        <v>0</v>
      </c>
      <c r="M15806" s="17" t="str">
        <f t="shared" si="755"/>
        <v/>
      </c>
      <c r="N15806" s="11" t="str">
        <f t="shared" si="756"/>
        <v/>
      </c>
    </row>
    <row r="15807" spans="9:14" x14ac:dyDescent="0.25">
      <c r="I15807" s="11" t="b">
        <f t="shared" si="757"/>
        <v>0</v>
      </c>
      <c r="M15807" s="17" t="str">
        <f t="shared" si="755"/>
        <v/>
      </c>
      <c r="N15807" s="11" t="str">
        <f t="shared" si="756"/>
        <v/>
      </c>
    </row>
    <row r="15808" spans="9:14" x14ac:dyDescent="0.25">
      <c r="I15808" s="11" t="b">
        <f t="shared" si="757"/>
        <v>0</v>
      </c>
      <c r="M15808" s="17" t="str">
        <f t="shared" si="755"/>
        <v/>
      </c>
      <c r="N15808" s="11" t="str">
        <f t="shared" si="756"/>
        <v/>
      </c>
    </row>
    <row r="15809" spans="9:14" x14ac:dyDescent="0.25">
      <c r="I15809" s="11" t="b">
        <f t="shared" si="757"/>
        <v>0</v>
      </c>
      <c r="M15809" s="17" t="str">
        <f t="shared" ref="M15809:M15872" si="758">IF(B15809=0, "",M15808+ J15809-K15809)</f>
        <v/>
      </c>
      <c r="N15809" s="11" t="str">
        <f t="shared" ref="N15809:N15872" si="759">IF(B15809=0, "", MONTH(B15809))</f>
        <v/>
      </c>
    </row>
    <row r="15810" spans="9:14" x14ac:dyDescent="0.25">
      <c r="I15810" s="11" t="b">
        <f t="shared" si="757"/>
        <v>0</v>
      </c>
      <c r="M15810" s="17" t="str">
        <f t="shared" si="758"/>
        <v/>
      </c>
      <c r="N15810" s="11" t="str">
        <f t="shared" si="759"/>
        <v/>
      </c>
    </row>
    <row r="15811" spans="9:14" x14ac:dyDescent="0.25">
      <c r="I15811" s="11" t="b">
        <f t="shared" si="757"/>
        <v>0</v>
      </c>
      <c r="M15811" s="17" t="str">
        <f t="shared" si="758"/>
        <v/>
      </c>
      <c r="N15811" s="11" t="str">
        <f t="shared" si="759"/>
        <v/>
      </c>
    </row>
    <row r="15812" spans="9:14" x14ac:dyDescent="0.25">
      <c r="I15812" s="11" t="b">
        <f t="shared" si="757"/>
        <v>0</v>
      </c>
      <c r="M15812" s="17" t="str">
        <f t="shared" si="758"/>
        <v/>
      </c>
      <c r="N15812" s="11" t="str">
        <f t="shared" si="759"/>
        <v/>
      </c>
    </row>
    <row r="15813" spans="9:14" x14ac:dyDescent="0.25">
      <c r="I15813" s="11" t="b">
        <f t="shared" si="757"/>
        <v>0</v>
      </c>
      <c r="M15813" s="17" t="str">
        <f t="shared" si="758"/>
        <v/>
      </c>
      <c r="N15813" s="11" t="str">
        <f t="shared" si="759"/>
        <v/>
      </c>
    </row>
    <row r="15814" spans="9:14" x14ac:dyDescent="0.25">
      <c r="I15814" s="11" t="b">
        <f t="shared" si="757"/>
        <v>0</v>
      </c>
      <c r="M15814" s="17" t="str">
        <f t="shared" si="758"/>
        <v/>
      </c>
      <c r="N15814" s="11" t="str">
        <f t="shared" si="759"/>
        <v/>
      </c>
    </row>
    <row r="15815" spans="9:14" x14ac:dyDescent="0.25">
      <c r="I15815" s="11" t="b">
        <f t="shared" si="757"/>
        <v>0</v>
      </c>
      <c r="M15815" s="17" t="str">
        <f t="shared" si="758"/>
        <v/>
      </c>
      <c r="N15815" s="11" t="str">
        <f t="shared" si="759"/>
        <v/>
      </c>
    </row>
    <row r="15816" spans="9:14" x14ac:dyDescent="0.25">
      <c r="I15816" s="11" t="b">
        <f t="shared" si="757"/>
        <v>0</v>
      </c>
      <c r="M15816" s="17" t="str">
        <f t="shared" si="758"/>
        <v/>
      </c>
      <c r="N15816" s="11" t="str">
        <f t="shared" si="759"/>
        <v/>
      </c>
    </row>
    <row r="15817" spans="9:14" x14ac:dyDescent="0.25">
      <c r="I15817" s="11" t="b">
        <f t="shared" si="757"/>
        <v>0</v>
      </c>
      <c r="M15817" s="17" t="str">
        <f t="shared" si="758"/>
        <v/>
      </c>
      <c r="N15817" s="11" t="str">
        <f t="shared" si="759"/>
        <v/>
      </c>
    </row>
    <row r="15818" spans="9:14" x14ac:dyDescent="0.25">
      <c r="I15818" s="11" t="b">
        <f t="shared" si="757"/>
        <v>0</v>
      </c>
      <c r="M15818" s="17" t="str">
        <f t="shared" si="758"/>
        <v/>
      </c>
      <c r="N15818" s="11" t="str">
        <f t="shared" si="759"/>
        <v/>
      </c>
    </row>
    <row r="15819" spans="9:14" x14ac:dyDescent="0.25">
      <c r="I15819" s="11" t="b">
        <f t="shared" si="757"/>
        <v>0</v>
      </c>
      <c r="M15819" s="17" t="str">
        <f t="shared" si="758"/>
        <v/>
      </c>
      <c r="N15819" s="11" t="str">
        <f t="shared" si="759"/>
        <v/>
      </c>
    </row>
    <row r="15820" spans="9:14" x14ac:dyDescent="0.25">
      <c r="I15820" s="11" t="b">
        <f t="shared" si="757"/>
        <v>0</v>
      </c>
      <c r="M15820" s="17" t="str">
        <f t="shared" si="758"/>
        <v/>
      </c>
      <c r="N15820" s="11" t="str">
        <f t="shared" si="759"/>
        <v/>
      </c>
    </row>
    <row r="15821" spans="9:14" x14ac:dyDescent="0.25">
      <c r="I15821" s="11" t="b">
        <f t="shared" si="757"/>
        <v>0</v>
      </c>
      <c r="M15821" s="17" t="str">
        <f t="shared" si="758"/>
        <v/>
      </c>
      <c r="N15821" s="11" t="str">
        <f t="shared" si="759"/>
        <v/>
      </c>
    </row>
    <row r="15822" spans="9:14" x14ac:dyDescent="0.25">
      <c r="I15822" s="11" t="b">
        <f t="shared" si="757"/>
        <v>0</v>
      </c>
      <c r="M15822" s="17" t="str">
        <f t="shared" si="758"/>
        <v/>
      </c>
      <c r="N15822" s="11" t="str">
        <f t="shared" si="759"/>
        <v/>
      </c>
    </row>
    <row r="15823" spans="9:14" x14ac:dyDescent="0.25">
      <c r="I15823" s="11" t="b">
        <f t="shared" si="757"/>
        <v>0</v>
      </c>
      <c r="M15823" s="17" t="str">
        <f t="shared" si="758"/>
        <v/>
      </c>
      <c r="N15823" s="11" t="str">
        <f t="shared" si="759"/>
        <v/>
      </c>
    </row>
    <row r="15824" spans="9:14" x14ac:dyDescent="0.25">
      <c r="I15824" s="11" t="b">
        <f t="shared" si="757"/>
        <v>0</v>
      </c>
      <c r="M15824" s="17" t="str">
        <f t="shared" si="758"/>
        <v/>
      </c>
      <c r="N15824" s="11" t="str">
        <f t="shared" si="759"/>
        <v/>
      </c>
    </row>
    <row r="15825" spans="9:14" x14ac:dyDescent="0.25">
      <c r="I15825" s="11" t="b">
        <f t="shared" si="757"/>
        <v>0</v>
      </c>
      <c r="M15825" s="17" t="str">
        <f t="shared" si="758"/>
        <v/>
      </c>
      <c r="N15825" s="11" t="str">
        <f t="shared" si="759"/>
        <v/>
      </c>
    </row>
    <row r="15826" spans="9:14" x14ac:dyDescent="0.25">
      <c r="I15826" s="11" t="b">
        <f t="shared" si="757"/>
        <v>0</v>
      </c>
      <c r="M15826" s="17" t="str">
        <f t="shared" si="758"/>
        <v/>
      </c>
      <c r="N15826" s="11" t="str">
        <f t="shared" si="759"/>
        <v/>
      </c>
    </row>
    <row r="15827" spans="9:14" x14ac:dyDescent="0.25">
      <c r="I15827" s="11" t="b">
        <f t="shared" si="757"/>
        <v>0</v>
      </c>
      <c r="M15827" s="17" t="str">
        <f t="shared" si="758"/>
        <v/>
      </c>
      <c r="N15827" s="11" t="str">
        <f t="shared" si="759"/>
        <v/>
      </c>
    </row>
    <row r="15828" spans="9:14" x14ac:dyDescent="0.25">
      <c r="I15828" s="11" t="b">
        <f t="shared" si="757"/>
        <v>0</v>
      </c>
      <c r="M15828" s="17" t="str">
        <f t="shared" si="758"/>
        <v/>
      </c>
      <c r="N15828" s="11" t="str">
        <f t="shared" si="759"/>
        <v/>
      </c>
    </row>
    <row r="15829" spans="9:14" x14ac:dyDescent="0.25">
      <c r="I15829" s="11" t="b">
        <f t="shared" si="757"/>
        <v>0</v>
      </c>
      <c r="M15829" s="17" t="str">
        <f t="shared" si="758"/>
        <v/>
      </c>
      <c r="N15829" s="11" t="str">
        <f t="shared" si="759"/>
        <v/>
      </c>
    </row>
    <row r="15830" spans="9:14" x14ac:dyDescent="0.25">
      <c r="I15830" s="11" t="b">
        <f t="shared" si="757"/>
        <v>0</v>
      </c>
      <c r="M15830" s="17" t="str">
        <f t="shared" si="758"/>
        <v/>
      </c>
      <c r="N15830" s="11" t="str">
        <f t="shared" si="759"/>
        <v/>
      </c>
    </row>
    <row r="15831" spans="9:14" x14ac:dyDescent="0.25">
      <c r="I15831" s="11" t="b">
        <f t="shared" si="757"/>
        <v>0</v>
      </c>
      <c r="M15831" s="17" t="str">
        <f t="shared" si="758"/>
        <v/>
      </c>
      <c r="N15831" s="11" t="str">
        <f t="shared" si="759"/>
        <v/>
      </c>
    </row>
    <row r="15832" spans="9:14" x14ac:dyDescent="0.25">
      <c r="I15832" s="11" t="b">
        <f t="shared" si="757"/>
        <v>0</v>
      </c>
      <c r="M15832" s="17" t="str">
        <f t="shared" si="758"/>
        <v/>
      </c>
      <c r="N15832" s="11" t="str">
        <f t="shared" si="759"/>
        <v/>
      </c>
    </row>
    <row r="15833" spans="9:14" x14ac:dyDescent="0.25">
      <c r="I15833" s="11" t="b">
        <f t="shared" si="757"/>
        <v>0</v>
      </c>
      <c r="M15833" s="17" t="str">
        <f t="shared" si="758"/>
        <v/>
      </c>
      <c r="N15833" s="11" t="str">
        <f t="shared" si="759"/>
        <v/>
      </c>
    </row>
    <row r="15834" spans="9:14" x14ac:dyDescent="0.25">
      <c r="I15834" s="11" t="b">
        <f t="shared" si="757"/>
        <v>0</v>
      </c>
      <c r="M15834" s="17" t="str">
        <f t="shared" si="758"/>
        <v/>
      </c>
      <c r="N15834" s="11" t="str">
        <f t="shared" si="759"/>
        <v/>
      </c>
    </row>
    <row r="15835" spans="9:14" x14ac:dyDescent="0.25">
      <c r="I15835" s="11" t="b">
        <f t="shared" si="757"/>
        <v>0</v>
      </c>
      <c r="M15835" s="17" t="str">
        <f t="shared" si="758"/>
        <v/>
      </c>
      <c r="N15835" s="11" t="str">
        <f t="shared" si="759"/>
        <v/>
      </c>
    </row>
    <row r="15836" spans="9:14" x14ac:dyDescent="0.25">
      <c r="I15836" s="11" t="b">
        <f t="shared" si="757"/>
        <v>0</v>
      </c>
      <c r="M15836" s="17" t="str">
        <f t="shared" si="758"/>
        <v/>
      </c>
      <c r="N15836" s="11" t="str">
        <f t="shared" si="759"/>
        <v/>
      </c>
    </row>
    <row r="15837" spans="9:14" x14ac:dyDescent="0.25">
      <c r="I15837" s="11" t="b">
        <f t="shared" ref="I15837:I15900" si="760">IF(AND(G15837="MERCADO PAGO",A15837="FATURAMENTO"),1,IF(AND(OR(G15837="MERCADO PAGO",G15837="pix mercado pago",G15837= "débito automático mercado pago", G15837= "boleto mercado pago"),A15837="DESPESAS"),4,IF(AND(G15837="SAFRA",A15837="FATURAMENTO"),2,IF(AND(OR(G15837="SAFRA",G15837="PIX SAFRA", G15837="DÉBITO AUTOMÁTICO SAFRA", G15837= "BOLETO SAFRA", G15837= "transferência safra"), A15837="DESPESAS"),5,IF(AND(G15837="espécie",A15837="FATURAMENTO"),3,IF(AND(G15837="espécie",A15837="DESPESAS"),6))))))</f>
        <v>0</v>
      </c>
      <c r="M15837" s="17" t="str">
        <f t="shared" si="758"/>
        <v/>
      </c>
      <c r="N15837" s="11" t="str">
        <f t="shared" si="759"/>
        <v/>
      </c>
    </row>
    <row r="15838" spans="9:14" x14ac:dyDescent="0.25">
      <c r="I15838" s="11" t="b">
        <f t="shared" si="760"/>
        <v>0</v>
      </c>
      <c r="M15838" s="17" t="str">
        <f t="shared" si="758"/>
        <v/>
      </c>
      <c r="N15838" s="11" t="str">
        <f t="shared" si="759"/>
        <v/>
      </c>
    </row>
    <row r="15839" spans="9:14" x14ac:dyDescent="0.25">
      <c r="I15839" s="11" t="b">
        <f t="shared" si="760"/>
        <v>0</v>
      </c>
      <c r="M15839" s="17" t="str">
        <f t="shared" si="758"/>
        <v/>
      </c>
      <c r="N15839" s="11" t="str">
        <f t="shared" si="759"/>
        <v/>
      </c>
    </row>
    <row r="15840" spans="9:14" x14ac:dyDescent="0.25">
      <c r="I15840" s="11" t="b">
        <f t="shared" si="760"/>
        <v>0</v>
      </c>
      <c r="M15840" s="17" t="str">
        <f t="shared" si="758"/>
        <v/>
      </c>
      <c r="N15840" s="11" t="str">
        <f t="shared" si="759"/>
        <v/>
      </c>
    </row>
    <row r="15841" spans="9:14" x14ac:dyDescent="0.25">
      <c r="I15841" s="11" t="b">
        <f t="shared" si="760"/>
        <v>0</v>
      </c>
      <c r="M15841" s="17" t="str">
        <f t="shared" si="758"/>
        <v/>
      </c>
      <c r="N15841" s="11" t="str">
        <f t="shared" si="759"/>
        <v/>
      </c>
    </row>
    <row r="15842" spans="9:14" x14ac:dyDescent="0.25">
      <c r="I15842" s="11" t="b">
        <f t="shared" si="760"/>
        <v>0</v>
      </c>
      <c r="M15842" s="17" t="str">
        <f t="shared" si="758"/>
        <v/>
      </c>
      <c r="N15842" s="11" t="str">
        <f t="shared" si="759"/>
        <v/>
      </c>
    </row>
    <row r="15843" spans="9:14" x14ac:dyDescent="0.25">
      <c r="I15843" s="11" t="b">
        <f t="shared" si="760"/>
        <v>0</v>
      </c>
      <c r="M15843" s="17" t="str">
        <f t="shared" si="758"/>
        <v/>
      </c>
      <c r="N15843" s="11" t="str">
        <f t="shared" si="759"/>
        <v/>
      </c>
    </row>
    <row r="15844" spans="9:14" x14ac:dyDescent="0.25">
      <c r="I15844" s="11" t="b">
        <f t="shared" si="760"/>
        <v>0</v>
      </c>
      <c r="M15844" s="17" t="str">
        <f t="shared" si="758"/>
        <v/>
      </c>
      <c r="N15844" s="11" t="str">
        <f t="shared" si="759"/>
        <v/>
      </c>
    </row>
    <row r="15845" spans="9:14" x14ac:dyDescent="0.25">
      <c r="I15845" s="11" t="b">
        <f t="shared" si="760"/>
        <v>0</v>
      </c>
      <c r="M15845" s="17" t="str">
        <f t="shared" si="758"/>
        <v/>
      </c>
      <c r="N15845" s="11" t="str">
        <f t="shared" si="759"/>
        <v/>
      </c>
    </row>
    <row r="15846" spans="9:14" x14ac:dyDescent="0.25">
      <c r="I15846" s="11" t="b">
        <f t="shared" si="760"/>
        <v>0</v>
      </c>
      <c r="M15846" s="17" t="str">
        <f t="shared" si="758"/>
        <v/>
      </c>
      <c r="N15846" s="11" t="str">
        <f t="shared" si="759"/>
        <v/>
      </c>
    </row>
    <row r="15847" spans="9:14" x14ac:dyDescent="0.25">
      <c r="I15847" s="11" t="b">
        <f t="shared" si="760"/>
        <v>0</v>
      </c>
      <c r="M15847" s="17" t="str">
        <f t="shared" si="758"/>
        <v/>
      </c>
      <c r="N15847" s="11" t="str">
        <f t="shared" si="759"/>
        <v/>
      </c>
    </row>
    <row r="15848" spans="9:14" x14ac:dyDescent="0.25">
      <c r="I15848" s="11" t="b">
        <f t="shared" si="760"/>
        <v>0</v>
      </c>
      <c r="M15848" s="17" t="str">
        <f t="shared" si="758"/>
        <v/>
      </c>
      <c r="N15848" s="11" t="str">
        <f t="shared" si="759"/>
        <v/>
      </c>
    </row>
    <row r="15849" spans="9:14" x14ac:dyDescent="0.25">
      <c r="I15849" s="11" t="b">
        <f t="shared" si="760"/>
        <v>0</v>
      </c>
      <c r="M15849" s="17" t="str">
        <f t="shared" si="758"/>
        <v/>
      </c>
      <c r="N15849" s="11" t="str">
        <f t="shared" si="759"/>
        <v/>
      </c>
    </row>
    <row r="15850" spans="9:14" x14ac:dyDescent="0.25">
      <c r="I15850" s="11" t="b">
        <f t="shared" si="760"/>
        <v>0</v>
      </c>
      <c r="M15850" s="17" t="str">
        <f t="shared" si="758"/>
        <v/>
      </c>
      <c r="N15850" s="11" t="str">
        <f t="shared" si="759"/>
        <v/>
      </c>
    </row>
    <row r="15851" spans="9:14" x14ac:dyDescent="0.25">
      <c r="I15851" s="11" t="b">
        <f t="shared" si="760"/>
        <v>0</v>
      </c>
      <c r="M15851" s="17" t="str">
        <f t="shared" si="758"/>
        <v/>
      </c>
      <c r="N15851" s="11" t="str">
        <f t="shared" si="759"/>
        <v/>
      </c>
    </row>
    <row r="15852" spans="9:14" x14ac:dyDescent="0.25">
      <c r="I15852" s="11" t="b">
        <f t="shared" si="760"/>
        <v>0</v>
      </c>
      <c r="M15852" s="17" t="str">
        <f t="shared" si="758"/>
        <v/>
      </c>
      <c r="N15852" s="11" t="str">
        <f t="shared" si="759"/>
        <v/>
      </c>
    </row>
    <row r="15853" spans="9:14" x14ac:dyDescent="0.25">
      <c r="I15853" s="11" t="b">
        <f t="shared" si="760"/>
        <v>0</v>
      </c>
      <c r="M15853" s="17" t="str">
        <f t="shared" si="758"/>
        <v/>
      </c>
      <c r="N15853" s="11" t="str">
        <f t="shared" si="759"/>
        <v/>
      </c>
    </row>
    <row r="15854" spans="9:14" x14ac:dyDescent="0.25">
      <c r="I15854" s="11" t="b">
        <f t="shared" si="760"/>
        <v>0</v>
      </c>
      <c r="M15854" s="17" t="str">
        <f t="shared" si="758"/>
        <v/>
      </c>
      <c r="N15854" s="11" t="str">
        <f t="shared" si="759"/>
        <v/>
      </c>
    </row>
    <row r="15855" spans="9:14" x14ac:dyDescent="0.25">
      <c r="I15855" s="11" t="b">
        <f t="shared" si="760"/>
        <v>0</v>
      </c>
      <c r="M15855" s="17" t="str">
        <f t="shared" si="758"/>
        <v/>
      </c>
      <c r="N15855" s="11" t="str">
        <f t="shared" si="759"/>
        <v/>
      </c>
    </row>
    <row r="15856" spans="9:14" x14ac:dyDescent="0.25">
      <c r="I15856" s="11" t="b">
        <f t="shared" si="760"/>
        <v>0</v>
      </c>
      <c r="M15856" s="17" t="str">
        <f t="shared" si="758"/>
        <v/>
      </c>
      <c r="N15856" s="11" t="str">
        <f t="shared" si="759"/>
        <v/>
      </c>
    </row>
    <row r="15857" spans="9:14" x14ac:dyDescent="0.25">
      <c r="I15857" s="11" t="b">
        <f t="shared" si="760"/>
        <v>0</v>
      </c>
      <c r="M15857" s="17" t="str">
        <f t="shared" si="758"/>
        <v/>
      </c>
      <c r="N15857" s="11" t="str">
        <f t="shared" si="759"/>
        <v/>
      </c>
    </row>
    <row r="15858" spans="9:14" x14ac:dyDescent="0.25">
      <c r="I15858" s="11" t="b">
        <f t="shared" si="760"/>
        <v>0</v>
      </c>
      <c r="M15858" s="17" t="str">
        <f t="shared" si="758"/>
        <v/>
      </c>
      <c r="N15858" s="11" t="str">
        <f t="shared" si="759"/>
        <v/>
      </c>
    </row>
    <row r="15859" spans="9:14" x14ac:dyDescent="0.25">
      <c r="I15859" s="11" t="b">
        <f t="shared" si="760"/>
        <v>0</v>
      </c>
      <c r="M15859" s="17" t="str">
        <f t="shared" si="758"/>
        <v/>
      </c>
      <c r="N15859" s="11" t="str">
        <f t="shared" si="759"/>
        <v/>
      </c>
    </row>
    <row r="15860" spans="9:14" x14ac:dyDescent="0.25">
      <c r="I15860" s="11" t="b">
        <f t="shared" si="760"/>
        <v>0</v>
      </c>
      <c r="M15860" s="17" t="str">
        <f t="shared" si="758"/>
        <v/>
      </c>
      <c r="N15860" s="11" t="str">
        <f t="shared" si="759"/>
        <v/>
      </c>
    </row>
    <row r="15861" spans="9:14" x14ac:dyDescent="0.25">
      <c r="I15861" s="11" t="b">
        <f t="shared" si="760"/>
        <v>0</v>
      </c>
      <c r="M15861" s="17" t="str">
        <f t="shared" si="758"/>
        <v/>
      </c>
      <c r="N15861" s="11" t="str">
        <f t="shared" si="759"/>
        <v/>
      </c>
    </row>
    <row r="15862" spans="9:14" x14ac:dyDescent="0.25">
      <c r="I15862" s="11" t="b">
        <f t="shared" si="760"/>
        <v>0</v>
      </c>
      <c r="M15862" s="17" t="str">
        <f t="shared" si="758"/>
        <v/>
      </c>
      <c r="N15862" s="11" t="str">
        <f t="shared" si="759"/>
        <v/>
      </c>
    </row>
    <row r="15863" spans="9:14" x14ac:dyDescent="0.25">
      <c r="I15863" s="11" t="b">
        <f t="shared" si="760"/>
        <v>0</v>
      </c>
      <c r="M15863" s="17" t="str">
        <f t="shared" si="758"/>
        <v/>
      </c>
      <c r="N15863" s="11" t="str">
        <f t="shared" si="759"/>
        <v/>
      </c>
    </row>
    <row r="15864" spans="9:14" x14ac:dyDescent="0.25">
      <c r="I15864" s="11" t="b">
        <f t="shared" si="760"/>
        <v>0</v>
      </c>
      <c r="M15864" s="17" t="str">
        <f t="shared" si="758"/>
        <v/>
      </c>
      <c r="N15864" s="11" t="str">
        <f t="shared" si="759"/>
        <v/>
      </c>
    </row>
    <row r="15865" spans="9:14" x14ac:dyDescent="0.25">
      <c r="I15865" s="11" t="b">
        <f t="shared" si="760"/>
        <v>0</v>
      </c>
      <c r="M15865" s="17" t="str">
        <f t="shared" si="758"/>
        <v/>
      </c>
      <c r="N15865" s="11" t="str">
        <f t="shared" si="759"/>
        <v/>
      </c>
    </row>
    <row r="15866" spans="9:14" x14ac:dyDescent="0.25">
      <c r="I15866" s="11" t="b">
        <f t="shared" si="760"/>
        <v>0</v>
      </c>
      <c r="M15866" s="17" t="str">
        <f t="shared" si="758"/>
        <v/>
      </c>
      <c r="N15866" s="11" t="str">
        <f t="shared" si="759"/>
        <v/>
      </c>
    </row>
    <row r="15867" spans="9:14" x14ac:dyDescent="0.25">
      <c r="I15867" s="11" t="b">
        <f t="shared" si="760"/>
        <v>0</v>
      </c>
      <c r="M15867" s="17" t="str">
        <f t="shared" si="758"/>
        <v/>
      </c>
      <c r="N15867" s="11" t="str">
        <f t="shared" si="759"/>
        <v/>
      </c>
    </row>
    <row r="15868" spans="9:14" x14ac:dyDescent="0.25">
      <c r="I15868" s="11" t="b">
        <f t="shared" si="760"/>
        <v>0</v>
      </c>
      <c r="M15868" s="17" t="str">
        <f t="shared" si="758"/>
        <v/>
      </c>
      <c r="N15868" s="11" t="str">
        <f t="shared" si="759"/>
        <v/>
      </c>
    </row>
    <row r="15869" spans="9:14" x14ac:dyDescent="0.25">
      <c r="I15869" s="11" t="b">
        <f t="shared" si="760"/>
        <v>0</v>
      </c>
      <c r="M15869" s="17" t="str">
        <f t="shared" si="758"/>
        <v/>
      </c>
      <c r="N15869" s="11" t="str">
        <f t="shared" si="759"/>
        <v/>
      </c>
    </row>
    <row r="15870" spans="9:14" x14ac:dyDescent="0.25">
      <c r="I15870" s="11" t="b">
        <f t="shared" si="760"/>
        <v>0</v>
      </c>
      <c r="M15870" s="17" t="str">
        <f t="shared" si="758"/>
        <v/>
      </c>
      <c r="N15870" s="11" t="str">
        <f t="shared" si="759"/>
        <v/>
      </c>
    </row>
    <row r="15871" spans="9:14" x14ac:dyDescent="0.25">
      <c r="I15871" s="11" t="b">
        <f t="shared" si="760"/>
        <v>0</v>
      </c>
      <c r="M15871" s="17" t="str">
        <f t="shared" si="758"/>
        <v/>
      </c>
      <c r="N15871" s="11" t="str">
        <f t="shared" si="759"/>
        <v/>
      </c>
    </row>
    <row r="15872" spans="9:14" x14ac:dyDescent="0.25">
      <c r="I15872" s="11" t="b">
        <f t="shared" si="760"/>
        <v>0</v>
      </c>
      <c r="M15872" s="17" t="str">
        <f t="shared" si="758"/>
        <v/>
      </c>
      <c r="N15872" s="11" t="str">
        <f t="shared" si="759"/>
        <v/>
      </c>
    </row>
    <row r="15873" spans="9:14" x14ac:dyDescent="0.25">
      <c r="I15873" s="11" t="b">
        <f t="shared" si="760"/>
        <v>0</v>
      </c>
      <c r="M15873" s="17" t="str">
        <f t="shared" ref="M15873:M15936" si="761">IF(B15873=0, "",M15872+ J15873-K15873)</f>
        <v/>
      </c>
      <c r="N15873" s="11" t="str">
        <f t="shared" ref="N15873:N15936" si="762">IF(B15873=0, "", MONTH(B15873))</f>
        <v/>
      </c>
    </row>
    <row r="15874" spans="9:14" x14ac:dyDescent="0.25">
      <c r="I15874" s="11" t="b">
        <f t="shared" si="760"/>
        <v>0</v>
      </c>
      <c r="M15874" s="17" t="str">
        <f t="shared" si="761"/>
        <v/>
      </c>
      <c r="N15874" s="11" t="str">
        <f t="shared" si="762"/>
        <v/>
      </c>
    </row>
    <row r="15875" spans="9:14" x14ac:dyDescent="0.25">
      <c r="I15875" s="11" t="b">
        <f t="shared" si="760"/>
        <v>0</v>
      </c>
      <c r="M15875" s="17" t="str">
        <f t="shared" si="761"/>
        <v/>
      </c>
      <c r="N15875" s="11" t="str">
        <f t="shared" si="762"/>
        <v/>
      </c>
    </row>
    <row r="15876" spans="9:14" x14ac:dyDescent="0.25">
      <c r="I15876" s="11" t="b">
        <f t="shared" si="760"/>
        <v>0</v>
      </c>
      <c r="M15876" s="17" t="str">
        <f t="shared" si="761"/>
        <v/>
      </c>
      <c r="N15876" s="11" t="str">
        <f t="shared" si="762"/>
        <v/>
      </c>
    </row>
    <row r="15877" spans="9:14" x14ac:dyDescent="0.25">
      <c r="I15877" s="11" t="b">
        <f t="shared" si="760"/>
        <v>0</v>
      </c>
      <c r="M15877" s="17" t="str">
        <f t="shared" si="761"/>
        <v/>
      </c>
      <c r="N15877" s="11" t="str">
        <f t="shared" si="762"/>
        <v/>
      </c>
    </row>
    <row r="15878" spans="9:14" x14ac:dyDescent="0.25">
      <c r="I15878" s="11" t="b">
        <f t="shared" si="760"/>
        <v>0</v>
      </c>
      <c r="M15878" s="17" t="str">
        <f t="shared" si="761"/>
        <v/>
      </c>
      <c r="N15878" s="11" t="str">
        <f t="shared" si="762"/>
        <v/>
      </c>
    </row>
    <row r="15879" spans="9:14" x14ac:dyDescent="0.25">
      <c r="I15879" s="11" t="b">
        <f t="shared" si="760"/>
        <v>0</v>
      </c>
      <c r="M15879" s="17" t="str">
        <f t="shared" si="761"/>
        <v/>
      </c>
      <c r="N15879" s="11" t="str">
        <f t="shared" si="762"/>
        <v/>
      </c>
    </row>
    <row r="15880" spans="9:14" x14ac:dyDescent="0.25">
      <c r="I15880" s="11" t="b">
        <f t="shared" si="760"/>
        <v>0</v>
      </c>
      <c r="M15880" s="17" t="str">
        <f t="shared" si="761"/>
        <v/>
      </c>
      <c r="N15880" s="11" t="str">
        <f t="shared" si="762"/>
        <v/>
      </c>
    </row>
    <row r="15881" spans="9:14" x14ac:dyDescent="0.25">
      <c r="I15881" s="11" t="b">
        <f t="shared" si="760"/>
        <v>0</v>
      </c>
      <c r="M15881" s="17" t="str">
        <f t="shared" si="761"/>
        <v/>
      </c>
      <c r="N15881" s="11" t="str">
        <f t="shared" si="762"/>
        <v/>
      </c>
    </row>
    <row r="15882" spans="9:14" x14ac:dyDescent="0.25">
      <c r="I15882" s="11" t="b">
        <f t="shared" si="760"/>
        <v>0</v>
      </c>
      <c r="M15882" s="17" t="str">
        <f t="shared" si="761"/>
        <v/>
      </c>
      <c r="N15882" s="11" t="str">
        <f t="shared" si="762"/>
        <v/>
      </c>
    </row>
    <row r="15883" spans="9:14" x14ac:dyDescent="0.25">
      <c r="I15883" s="11" t="b">
        <f t="shared" si="760"/>
        <v>0</v>
      </c>
      <c r="M15883" s="17" t="str">
        <f t="shared" si="761"/>
        <v/>
      </c>
      <c r="N15883" s="11" t="str">
        <f t="shared" si="762"/>
        <v/>
      </c>
    </row>
    <row r="15884" spans="9:14" x14ac:dyDescent="0.25">
      <c r="I15884" s="11" t="b">
        <f t="shared" si="760"/>
        <v>0</v>
      </c>
      <c r="M15884" s="17" t="str">
        <f t="shared" si="761"/>
        <v/>
      </c>
      <c r="N15884" s="11" t="str">
        <f t="shared" si="762"/>
        <v/>
      </c>
    </row>
    <row r="15885" spans="9:14" x14ac:dyDescent="0.25">
      <c r="I15885" s="11" t="b">
        <f t="shared" si="760"/>
        <v>0</v>
      </c>
      <c r="M15885" s="17" t="str">
        <f t="shared" si="761"/>
        <v/>
      </c>
      <c r="N15885" s="11" t="str">
        <f t="shared" si="762"/>
        <v/>
      </c>
    </row>
    <row r="15886" spans="9:14" x14ac:dyDescent="0.25">
      <c r="I15886" s="11" t="b">
        <f t="shared" si="760"/>
        <v>0</v>
      </c>
      <c r="M15886" s="17" t="str">
        <f t="shared" si="761"/>
        <v/>
      </c>
      <c r="N15886" s="11" t="str">
        <f t="shared" si="762"/>
        <v/>
      </c>
    </row>
    <row r="15887" spans="9:14" x14ac:dyDescent="0.25">
      <c r="I15887" s="11" t="b">
        <f t="shared" si="760"/>
        <v>0</v>
      </c>
      <c r="M15887" s="17" t="str">
        <f t="shared" si="761"/>
        <v/>
      </c>
      <c r="N15887" s="11" t="str">
        <f t="shared" si="762"/>
        <v/>
      </c>
    </row>
    <row r="15888" spans="9:14" x14ac:dyDescent="0.25">
      <c r="I15888" s="11" t="b">
        <f t="shared" si="760"/>
        <v>0</v>
      </c>
      <c r="M15888" s="17" t="str">
        <f t="shared" si="761"/>
        <v/>
      </c>
      <c r="N15888" s="11" t="str">
        <f t="shared" si="762"/>
        <v/>
      </c>
    </row>
    <row r="15889" spans="9:14" x14ac:dyDescent="0.25">
      <c r="I15889" s="11" t="b">
        <f t="shared" si="760"/>
        <v>0</v>
      </c>
      <c r="M15889" s="17" t="str">
        <f t="shared" si="761"/>
        <v/>
      </c>
      <c r="N15889" s="11" t="str">
        <f t="shared" si="762"/>
        <v/>
      </c>
    </row>
    <row r="15890" spans="9:14" x14ac:dyDescent="0.25">
      <c r="I15890" s="11" t="b">
        <f t="shared" si="760"/>
        <v>0</v>
      </c>
      <c r="M15890" s="17" t="str">
        <f t="shared" si="761"/>
        <v/>
      </c>
      <c r="N15890" s="11" t="str">
        <f t="shared" si="762"/>
        <v/>
      </c>
    </row>
    <row r="15891" spans="9:14" x14ac:dyDescent="0.25">
      <c r="I15891" s="11" t="b">
        <f t="shared" si="760"/>
        <v>0</v>
      </c>
      <c r="M15891" s="17" t="str">
        <f t="shared" si="761"/>
        <v/>
      </c>
      <c r="N15891" s="11" t="str">
        <f t="shared" si="762"/>
        <v/>
      </c>
    </row>
    <row r="15892" spans="9:14" x14ac:dyDescent="0.25">
      <c r="I15892" s="11" t="b">
        <f t="shared" si="760"/>
        <v>0</v>
      </c>
      <c r="M15892" s="17" t="str">
        <f t="shared" si="761"/>
        <v/>
      </c>
      <c r="N15892" s="11" t="str">
        <f t="shared" si="762"/>
        <v/>
      </c>
    </row>
    <row r="15893" spans="9:14" x14ac:dyDescent="0.25">
      <c r="I15893" s="11" t="b">
        <f t="shared" si="760"/>
        <v>0</v>
      </c>
      <c r="M15893" s="17" t="str">
        <f t="shared" si="761"/>
        <v/>
      </c>
      <c r="N15893" s="11" t="str">
        <f t="shared" si="762"/>
        <v/>
      </c>
    </row>
    <row r="15894" spans="9:14" x14ac:dyDescent="0.25">
      <c r="I15894" s="11" t="b">
        <f t="shared" si="760"/>
        <v>0</v>
      </c>
      <c r="M15894" s="17" t="str">
        <f t="shared" si="761"/>
        <v/>
      </c>
      <c r="N15894" s="11" t="str">
        <f t="shared" si="762"/>
        <v/>
      </c>
    </row>
    <row r="15895" spans="9:14" x14ac:dyDescent="0.25">
      <c r="I15895" s="11" t="b">
        <f t="shared" si="760"/>
        <v>0</v>
      </c>
      <c r="M15895" s="17" t="str">
        <f t="shared" si="761"/>
        <v/>
      </c>
      <c r="N15895" s="11" t="str">
        <f t="shared" si="762"/>
        <v/>
      </c>
    </row>
    <row r="15896" spans="9:14" x14ac:dyDescent="0.25">
      <c r="I15896" s="11" t="b">
        <f t="shared" si="760"/>
        <v>0</v>
      </c>
      <c r="M15896" s="17" t="str">
        <f t="shared" si="761"/>
        <v/>
      </c>
      <c r="N15896" s="11" t="str">
        <f t="shared" si="762"/>
        <v/>
      </c>
    </row>
    <row r="15897" spans="9:14" x14ac:dyDescent="0.25">
      <c r="I15897" s="11" t="b">
        <f t="shared" si="760"/>
        <v>0</v>
      </c>
      <c r="M15897" s="17" t="str">
        <f t="shared" si="761"/>
        <v/>
      </c>
      <c r="N15897" s="11" t="str">
        <f t="shared" si="762"/>
        <v/>
      </c>
    </row>
    <row r="15898" spans="9:14" x14ac:dyDescent="0.25">
      <c r="I15898" s="11" t="b">
        <f t="shared" si="760"/>
        <v>0</v>
      </c>
      <c r="M15898" s="17" t="str">
        <f t="shared" si="761"/>
        <v/>
      </c>
      <c r="N15898" s="11" t="str">
        <f t="shared" si="762"/>
        <v/>
      </c>
    </row>
    <row r="15899" spans="9:14" x14ac:dyDescent="0.25">
      <c r="I15899" s="11" t="b">
        <f t="shared" si="760"/>
        <v>0</v>
      </c>
      <c r="M15899" s="17" t="str">
        <f t="shared" si="761"/>
        <v/>
      </c>
      <c r="N15899" s="11" t="str">
        <f t="shared" si="762"/>
        <v/>
      </c>
    </row>
    <row r="15900" spans="9:14" x14ac:dyDescent="0.25">
      <c r="I15900" s="11" t="b">
        <f t="shared" si="760"/>
        <v>0</v>
      </c>
      <c r="M15900" s="17" t="str">
        <f t="shared" si="761"/>
        <v/>
      </c>
      <c r="N15900" s="11" t="str">
        <f t="shared" si="762"/>
        <v/>
      </c>
    </row>
    <row r="15901" spans="9:14" x14ac:dyDescent="0.25">
      <c r="I15901" s="11" t="b">
        <f t="shared" ref="I15901:I15964" si="763">IF(AND(G15901="MERCADO PAGO",A15901="FATURAMENTO"),1,IF(AND(OR(G15901="MERCADO PAGO",G15901="pix mercado pago",G15901= "débito automático mercado pago", G15901= "boleto mercado pago"),A15901="DESPESAS"),4,IF(AND(G15901="SAFRA",A15901="FATURAMENTO"),2,IF(AND(OR(G15901="SAFRA",G15901="PIX SAFRA", G15901="DÉBITO AUTOMÁTICO SAFRA", G15901= "BOLETO SAFRA", G15901= "transferência safra"), A15901="DESPESAS"),5,IF(AND(G15901="espécie",A15901="FATURAMENTO"),3,IF(AND(G15901="espécie",A15901="DESPESAS"),6))))))</f>
        <v>0</v>
      </c>
      <c r="M15901" s="17" t="str">
        <f t="shared" si="761"/>
        <v/>
      </c>
      <c r="N15901" s="11" t="str">
        <f t="shared" si="762"/>
        <v/>
      </c>
    </row>
    <row r="15902" spans="9:14" x14ac:dyDescent="0.25">
      <c r="I15902" s="11" t="b">
        <f t="shared" si="763"/>
        <v>0</v>
      </c>
      <c r="M15902" s="17" t="str">
        <f t="shared" si="761"/>
        <v/>
      </c>
      <c r="N15902" s="11" t="str">
        <f t="shared" si="762"/>
        <v/>
      </c>
    </row>
    <row r="15903" spans="9:14" x14ac:dyDescent="0.25">
      <c r="I15903" s="11" t="b">
        <f t="shared" si="763"/>
        <v>0</v>
      </c>
      <c r="M15903" s="17" t="str">
        <f t="shared" si="761"/>
        <v/>
      </c>
      <c r="N15903" s="11" t="str">
        <f t="shared" si="762"/>
        <v/>
      </c>
    </row>
    <row r="15904" spans="9:14" x14ac:dyDescent="0.25">
      <c r="I15904" s="11" t="b">
        <f t="shared" si="763"/>
        <v>0</v>
      </c>
      <c r="M15904" s="17" t="str">
        <f t="shared" si="761"/>
        <v/>
      </c>
      <c r="N15904" s="11" t="str">
        <f t="shared" si="762"/>
        <v/>
      </c>
    </row>
    <row r="15905" spans="9:14" x14ac:dyDescent="0.25">
      <c r="I15905" s="11" t="b">
        <f t="shared" si="763"/>
        <v>0</v>
      </c>
      <c r="M15905" s="17" t="str">
        <f t="shared" si="761"/>
        <v/>
      </c>
      <c r="N15905" s="11" t="str">
        <f t="shared" si="762"/>
        <v/>
      </c>
    </row>
    <row r="15906" spans="9:14" x14ac:dyDescent="0.25">
      <c r="I15906" s="11" t="b">
        <f t="shared" si="763"/>
        <v>0</v>
      </c>
      <c r="M15906" s="17" t="str">
        <f t="shared" si="761"/>
        <v/>
      </c>
      <c r="N15906" s="11" t="str">
        <f t="shared" si="762"/>
        <v/>
      </c>
    </row>
    <row r="15907" spans="9:14" x14ac:dyDescent="0.25">
      <c r="I15907" s="11" t="b">
        <f t="shared" si="763"/>
        <v>0</v>
      </c>
      <c r="M15907" s="17" t="str">
        <f t="shared" si="761"/>
        <v/>
      </c>
      <c r="N15907" s="11" t="str">
        <f t="shared" si="762"/>
        <v/>
      </c>
    </row>
    <row r="15908" spans="9:14" x14ac:dyDescent="0.25">
      <c r="I15908" s="11" t="b">
        <f t="shared" si="763"/>
        <v>0</v>
      </c>
      <c r="M15908" s="17" t="str">
        <f t="shared" si="761"/>
        <v/>
      </c>
      <c r="N15908" s="11" t="str">
        <f t="shared" si="762"/>
        <v/>
      </c>
    </row>
    <row r="15909" spans="9:14" x14ac:dyDescent="0.25">
      <c r="I15909" s="11" t="b">
        <f t="shared" si="763"/>
        <v>0</v>
      </c>
      <c r="M15909" s="17" t="str">
        <f t="shared" si="761"/>
        <v/>
      </c>
      <c r="N15909" s="11" t="str">
        <f t="shared" si="762"/>
        <v/>
      </c>
    </row>
    <row r="15910" spans="9:14" x14ac:dyDescent="0.25">
      <c r="I15910" s="11" t="b">
        <f t="shared" si="763"/>
        <v>0</v>
      </c>
      <c r="M15910" s="17" t="str">
        <f t="shared" si="761"/>
        <v/>
      </c>
      <c r="N15910" s="11" t="str">
        <f t="shared" si="762"/>
        <v/>
      </c>
    </row>
    <row r="15911" spans="9:14" x14ac:dyDescent="0.25">
      <c r="I15911" s="11" t="b">
        <f t="shared" si="763"/>
        <v>0</v>
      </c>
      <c r="M15911" s="17" t="str">
        <f t="shared" si="761"/>
        <v/>
      </c>
      <c r="N15911" s="11" t="str">
        <f t="shared" si="762"/>
        <v/>
      </c>
    </row>
    <row r="15912" spans="9:14" x14ac:dyDescent="0.25">
      <c r="I15912" s="11" t="b">
        <f t="shared" si="763"/>
        <v>0</v>
      </c>
      <c r="M15912" s="17" t="str">
        <f t="shared" si="761"/>
        <v/>
      </c>
      <c r="N15912" s="11" t="str">
        <f t="shared" si="762"/>
        <v/>
      </c>
    </row>
    <row r="15913" spans="9:14" x14ac:dyDescent="0.25">
      <c r="I15913" s="11" t="b">
        <f t="shared" si="763"/>
        <v>0</v>
      </c>
      <c r="M15913" s="17" t="str">
        <f t="shared" si="761"/>
        <v/>
      </c>
      <c r="N15913" s="11" t="str">
        <f t="shared" si="762"/>
        <v/>
      </c>
    </row>
    <row r="15914" spans="9:14" x14ac:dyDescent="0.25">
      <c r="I15914" s="11" t="b">
        <f t="shared" si="763"/>
        <v>0</v>
      </c>
      <c r="M15914" s="17" t="str">
        <f t="shared" si="761"/>
        <v/>
      </c>
      <c r="N15914" s="11" t="str">
        <f t="shared" si="762"/>
        <v/>
      </c>
    </row>
    <row r="15915" spans="9:14" x14ac:dyDescent="0.25">
      <c r="I15915" s="11" t="b">
        <f t="shared" si="763"/>
        <v>0</v>
      </c>
      <c r="M15915" s="17" t="str">
        <f t="shared" si="761"/>
        <v/>
      </c>
      <c r="N15915" s="11" t="str">
        <f t="shared" si="762"/>
        <v/>
      </c>
    </row>
    <row r="15916" spans="9:14" x14ac:dyDescent="0.25">
      <c r="I15916" s="11" t="b">
        <f t="shared" si="763"/>
        <v>0</v>
      </c>
      <c r="M15916" s="17" t="str">
        <f t="shared" si="761"/>
        <v/>
      </c>
      <c r="N15916" s="11" t="str">
        <f t="shared" si="762"/>
        <v/>
      </c>
    </row>
    <row r="15917" spans="9:14" x14ac:dyDescent="0.25">
      <c r="I15917" s="11" t="b">
        <f t="shared" si="763"/>
        <v>0</v>
      </c>
      <c r="M15917" s="17" t="str">
        <f t="shared" si="761"/>
        <v/>
      </c>
      <c r="N15917" s="11" t="str">
        <f t="shared" si="762"/>
        <v/>
      </c>
    </row>
    <row r="15918" spans="9:14" x14ac:dyDescent="0.25">
      <c r="I15918" s="11" t="b">
        <f t="shared" si="763"/>
        <v>0</v>
      </c>
      <c r="M15918" s="17" t="str">
        <f t="shared" si="761"/>
        <v/>
      </c>
      <c r="N15918" s="11" t="str">
        <f t="shared" si="762"/>
        <v/>
      </c>
    </row>
    <row r="15919" spans="9:14" x14ac:dyDescent="0.25">
      <c r="I15919" s="11" t="b">
        <f t="shared" si="763"/>
        <v>0</v>
      </c>
      <c r="M15919" s="17" t="str">
        <f t="shared" si="761"/>
        <v/>
      </c>
      <c r="N15919" s="11" t="str">
        <f t="shared" si="762"/>
        <v/>
      </c>
    </row>
    <row r="15920" spans="9:14" x14ac:dyDescent="0.25">
      <c r="I15920" s="11" t="b">
        <f t="shared" si="763"/>
        <v>0</v>
      </c>
      <c r="M15920" s="17" t="str">
        <f t="shared" si="761"/>
        <v/>
      </c>
      <c r="N15920" s="11" t="str">
        <f t="shared" si="762"/>
        <v/>
      </c>
    </row>
    <row r="15921" spans="9:14" x14ac:dyDescent="0.25">
      <c r="I15921" s="11" t="b">
        <f t="shared" si="763"/>
        <v>0</v>
      </c>
      <c r="M15921" s="17" t="str">
        <f t="shared" si="761"/>
        <v/>
      </c>
      <c r="N15921" s="11" t="str">
        <f t="shared" si="762"/>
        <v/>
      </c>
    </row>
    <row r="15922" spans="9:14" x14ac:dyDescent="0.25">
      <c r="I15922" s="11" t="b">
        <f t="shared" si="763"/>
        <v>0</v>
      </c>
      <c r="M15922" s="17" t="str">
        <f t="shared" si="761"/>
        <v/>
      </c>
      <c r="N15922" s="11" t="str">
        <f t="shared" si="762"/>
        <v/>
      </c>
    </row>
    <row r="15923" spans="9:14" x14ac:dyDescent="0.25">
      <c r="I15923" s="11" t="b">
        <f t="shared" si="763"/>
        <v>0</v>
      </c>
      <c r="M15923" s="17" t="str">
        <f t="shared" si="761"/>
        <v/>
      </c>
      <c r="N15923" s="11" t="str">
        <f t="shared" si="762"/>
        <v/>
      </c>
    </row>
    <row r="15924" spans="9:14" x14ac:dyDescent="0.25">
      <c r="I15924" s="11" t="b">
        <f t="shared" si="763"/>
        <v>0</v>
      </c>
      <c r="M15924" s="17" t="str">
        <f t="shared" si="761"/>
        <v/>
      </c>
      <c r="N15924" s="11" t="str">
        <f t="shared" si="762"/>
        <v/>
      </c>
    </row>
    <row r="15925" spans="9:14" x14ac:dyDescent="0.25">
      <c r="I15925" s="11" t="b">
        <f t="shared" si="763"/>
        <v>0</v>
      </c>
      <c r="M15925" s="17" t="str">
        <f t="shared" si="761"/>
        <v/>
      </c>
      <c r="N15925" s="11" t="str">
        <f t="shared" si="762"/>
        <v/>
      </c>
    </row>
    <row r="15926" spans="9:14" x14ac:dyDescent="0.25">
      <c r="I15926" s="11" t="b">
        <f t="shared" si="763"/>
        <v>0</v>
      </c>
      <c r="M15926" s="17" t="str">
        <f t="shared" si="761"/>
        <v/>
      </c>
      <c r="N15926" s="11" t="str">
        <f t="shared" si="762"/>
        <v/>
      </c>
    </row>
    <row r="15927" spans="9:14" x14ac:dyDescent="0.25">
      <c r="I15927" s="11" t="b">
        <f t="shared" si="763"/>
        <v>0</v>
      </c>
      <c r="M15927" s="17" t="str">
        <f t="shared" si="761"/>
        <v/>
      </c>
      <c r="N15927" s="11" t="str">
        <f t="shared" si="762"/>
        <v/>
      </c>
    </row>
    <row r="15928" spans="9:14" x14ac:dyDescent="0.25">
      <c r="I15928" s="11" t="b">
        <f t="shared" si="763"/>
        <v>0</v>
      </c>
      <c r="M15928" s="17" t="str">
        <f t="shared" si="761"/>
        <v/>
      </c>
      <c r="N15928" s="11" t="str">
        <f t="shared" si="762"/>
        <v/>
      </c>
    </row>
    <row r="15929" spans="9:14" x14ac:dyDescent="0.25">
      <c r="I15929" s="11" t="b">
        <f t="shared" si="763"/>
        <v>0</v>
      </c>
      <c r="M15929" s="17" t="str">
        <f t="shared" si="761"/>
        <v/>
      </c>
      <c r="N15929" s="11" t="str">
        <f t="shared" si="762"/>
        <v/>
      </c>
    </row>
    <row r="15930" spans="9:14" x14ac:dyDescent="0.25">
      <c r="I15930" s="11" t="b">
        <f t="shared" si="763"/>
        <v>0</v>
      </c>
      <c r="M15930" s="17" t="str">
        <f t="shared" si="761"/>
        <v/>
      </c>
      <c r="N15930" s="11" t="str">
        <f t="shared" si="762"/>
        <v/>
      </c>
    </row>
    <row r="15931" spans="9:14" x14ac:dyDescent="0.25">
      <c r="I15931" s="11" t="b">
        <f t="shared" si="763"/>
        <v>0</v>
      </c>
      <c r="M15931" s="17" t="str">
        <f t="shared" si="761"/>
        <v/>
      </c>
      <c r="N15931" s="11" t="str">
        <f t="shared" si="762"/>
        <v/>
      </c>
    </row>
    <row r="15932" spans="9:14" x14ac:dyDescent="0.25">
      <c r="I15932" s="11" t="b">
        <f t="shared" si="763"/>
        <v>0</v>
      </c>
      <c r="M15932" s="17" t="str">
        <f t="shared" si="761"/>
        <v/>
      </c>
      <c r="N15932" s="11" t="str">
        <f t="shared" si="762"/>
        <v/>
      </c>
    </row>
    <row r="15933" spans="9:14" x14ac:dyDescent="0.25">
      <c r="I15933" s="11" t="b">
        <f t="shared" si="763"/>
        <v>0</v>
      </c>
      <c r="M15933" s="17" t="str">
        <f t="shared" si="761"/>
        <v/>
      </c>
      <c r="N15933" s="11" t="str">
        <f t="shared" si="762"/>
        <v/>
      </c>
    </row>
    <row r="15934" spans="9:14" x14ac:dyDescent="0.25">
      <c r="I15934" s="11" t="b">
        <f t="shared" si="763"/>
        <v>0</v>
      </c>
      <c r="M15934" s="17" t="str">
        <f t="shared" si="761"/>
        <v/>
      </c>
      <c r="N15934" s="11" t="str">
        <f t="shared" si="762"/>
        <v/>
      </c>
    </row>
    <row r="15935" spans="9:14" x14ac:dyDescent="0.25">
      <c r="I15935" s="11" t="b">
        <f t="shared" si="763"/>
        <v>0</v>
      </c>
      <c r="M15935" s="17" t="str">
        <f t="shared" si="761"/>
        <v/>
      </c>
      <c r="N15935" s="11" t="str">
        <f t="shared" si="762"/>
        <v/>
      </c>
    </row>
    <row r="15936" spans="9:14" x14ac:dyDescent="0.25">
      <c r="I15936" s="11" t="b">
        <f t="shared" si="763"/>
        <v>0</v>
      </c>
      <c r="M15936" s="17" t="str">
        <f t="shared" si="761"/>
        <v/>
      </c>
      <c r="N15936" s="11" t="str">
        <f t="shared" si="762"/>
        <v/>
      </c>
    </row>
    <row r="15937" spans="9:14" x14ac:dyDescent="0.25">
      <c r="I15937" s="11" t="b">
        <f t="shared" si="763"/>
        <v>0</v>
      </c>
      <c r="M15937" s="17" t="str">
        <f t="shared" ref="M15937:M16000" si="764">IF(B15937=0, "",M15936+ J15937-K15937)</f>
        <v/>
      </c>
      <c r="N15937" s="11" t="str">
        <f t="shared" ref="N15937:N16000" si="765">IF(B15937=0, "", MONTH(B15937))</f>
        <v/>
      </c>
    </row>
    <row r="15938" spans="9:14" x14ac:dyDescent="0.25">
      <c r="I15938" s="11" t="b">
        <f t="shared" si="763"/>
        <v>0</v>
      </c>
      <c r="M15938" s="17" t="str">
        <f t="shared" si="764"/>
        <v/>
      </c>
      <c r="N15938" s="11" t="str">
        <f t="shared" si="765"/>
        <v/>
      </c>
    </row>
    <row r="15939" spans="9:14" x14ac:dyDescent="0.25">
      <c r="I15939" s="11" t="b">
        <f t="shared" si="763"/>
        <v>0</v>
      </c>
      <c r="M15939" s="17" t="str">
        <f t="shared" si="764"/>
        <v/>
      </c>
      <c r="N15939" s="11" t="str">
        <f t="shared" si="765"/>
        <v/>
      </c>
    </row>
    <row r="15940" spans="9:14" x14ac:dyDescent="0.25">
      <c r="I15940" s="11" t="b">
        <f t="shared" si="763"/>
        <v>0</v>
      </c>
      <c r="M15940" s="17" t="str">
        <f t="shared" si="764"/>
        <v/>
      </c>
      <c r="N15940" s="11" t="str">
        <f t="shared" si="765"/>
        <v/>
      </c>
    </row>
    <row r="15941" spans="9:14" x14ac:dyDescent="0.25">
      <c r="I15941" s="11" t="b">
        <f t="shared" si="763"/>
        <v>0</v>
      </c>
      <c r="M15941" s="17" t="str">
        <f t="shared" si="764"/>
        <v/>
      </c>
      <c r="N15941" s="11" t="str">
        <f t="shared" si="765"/>
        <v/>
      </c>
    </row>
    <row r="15942" spans="9:14" x14ac:dyDescent="0.25">
      <c r="I15942" s="11" t="b">
        <f t="shared" si="763"/>
        <v>0</v>
      </c>
      <c r="M15942" s="17" t="str">
        <f t="shared" si="764"/>
        <v/>
      </c>
      <c r="N15942" s="11" t="str">
        <f t="shared" si="765"/>
        <v/>
      </c>
    </row>
    <row r="15943" spans="9:14" x14ac:dyDescent="0.25">
      <c r="I15943" s="11" t="b">
        <f t="shared" si="763"/>
        <v>0</v>
      </c>
      <c r="M15943" s="17" t="str">
        <f t="shared" si="764"/>
        <v/>
      </c>
      <c r="N15943" s="11" t="str">
        <f t="shared" si="765"/>
        <v/>
      </c>
    </row>
    <row r="15944" spans="9:14" x14ac:dyDescent="0.25">
      <c r="I15944" s="11" t="b">
        <f t="shared" si="763"/>
        <v>0</v>
      </c>
      <c r="M15944" s="17" t="str">
        <f t="shared" si="764"/>
        <v/>
      </c>
      <c r="N15944" s="11" t="str">
        <f t="shared" si="765"/>
        <v/>
      </c>
    </row>
    <row r="15945" spans="9:14" x14ac:dyDescent="0.25">
      <c r="I15945" s="11" t="b">
        <f t="shared" si="763"/>
        <v>0</v>
      </c>
      <c r="M15945" s="17" t="str">
        <f t="shared" si="764"/>
        <v/>
      </c>
      <c r="N15945" s="11" t="str">
        <f t="shared" si="765"/>
        <v/>
      </c>
    </row>
    <row r="15946" spans="9:14" x14ac:dyDescent="0.25">
      <c r="I15946" s="11" t="b">
        <f t="shared" si="763"/>
        <v>0</v>
      </c>
      <c r="M15946" s="17" t="str">
        <f t="shared" si="764"/>
        <v/>
      </c>
      <c r="N15946" s="11" t="str">
        <f t="shared" si="765"/>
        <v/>
      </c>
    </row>
    <row r="15947" spans="9:14" x14ac:dyDescent="0.25">
      <c r="I15947" s="11" t="b">
        <f t="shared" si="763"/>
        <v>0</v>
      </c>
      <c r="M15947" s="17" t="str">
        <f t="shared" si="764"/>
        <v/>
      </c>
      <c r="N15947" s="11" t="str">
        <f t="shared" si="765"/>
        <v/>
      </c>
    </row>
    <row r="15948" spans="9:14" x14ac:dyDescent="0.25">
      <c r="I15948" s="11" t="b">
        <f t="shared" si="763"/>
        <v>0</v>
      </c>
      <c r="M15948" s="17" t="str">
        <f t="shared" si="764"/>
        <v/>
      </c>
      <c r="N15948" s="11" t="str">
        <f t="shared" si="765"/>
        <v/>
      </c>
    </row>
    <row r="15949" spans="9:14" x14ac:dyDescent="0.25">
      <c r="I15949" s="11" t="b">
        <f t="shared" si="763"/>
        <v>0</v>
      </c>
      <c r="M15949" s="17" t="str">
        <f t="shared" si="764"/>
        <v/>
      </c>
      <c r="N15949" s="11" t="str">
        <f t="shared" si="765"/>
        <v/>
      </c>
    </row>
    <row r="15950" spans="9:14" x14ac:dyDescent="0.25">
      <c r="I15950" s="11" t="b">
        <f t="shared" si="763"/>
        <v>0</v>
      </c>
      <c r="M15950" s="17" t="str">
        <f t="shared" si="764"/>
        <v/>
      </c>
      <c r="N15950" s="11" t="str">
        <f t="shared" si="765"/>
        <v/>
      </c>
    </row>
    <row r="15951" spans="9:14" x14ac:dyDescent="0.25">
      <c r="I15951" s="11" t="b">
        <f t="shared" si="763"/>
        <v>0</v>
      </c>
      <c r="M15951" s="17" t="str">
        <f t="shared" si="764"/>
        <v/>
      </c>
      <c r="N15951" s="11" t="str">
        <f t="shared" si="765"/>
        <v/>
      </c>
    </row>
    <row r="15952" spans="9:14" x14ac:dyDescent="0.25">
      <c r="I15952" s="11" t="b">
        <f t="shared" si="763"/>
        <v>0</v>
      </c>
      <c r="M15952" s="17" t="str">
        <f t="shared" si="764"/>
        <v/>
      </c>
      <c r="N15952" s="11" t="str">
        <f t="shared" si="765"/>
        <v/>
      </c>
    </row>
    <row r="15953" spans="9:14" x14ac:dyDescent="0.25">
      <c r="I15953" s="11" t="b">
        <f t="shared" si="763"/>
        <v>0</v>
      </c>
      <c r="M15953" s="17" t="str">
        <f t="shared" si="764"/>
        <v/>
      </c>
      <c r="N15953" s="11" t="str">
        <f t="shared" si="765"/>
        <v/>
      </c>
    </row>
    <row r="15954" spans="9:14" x14ac:dyDescent="0.25">
      <c r="I15954" s="11" t="b">
        <f t="shared" si="763"/>
        <v>0</v>
      </c>
      <c r="M15954" s="17" t="str">
        <f t="shared" si="764"/>
        <v/>
      </c>
      <c r="N15954" s="11" t="str">
        <f t="shared" si="765"/>
        <v/>
      </c>
    </row>
    <row r="15955" spans="9:14" x14ac:dyDescent="0.25">
      <c r="I15955" s="11" t="b">
        <f t="shared" si="763"/>
        <v>0</v>
      </c>
      <c r="M15955" s="17" t="str">
        <f t="shared" si="764"/>
        <v/>
      </c>
      <c r="N15955" s="11" t="str">
        <f t="shared" si="765"/>
        <v/>
      </c>
    </row>
    <row r="15956" spans="9:14" x14ac:dyDescent="0.25">
      <c r="I15956" s="11" t="b">
        <f t="shared" si="763"/>
        <v>0</v>
      </c>
      <c r="M15956" s="17" t="str">
        <f t="shared" si="764"/>
        <v/>
      </c>
      <c r="N15956" s="11" t="str">
        <f t="shared" si="765"/>
        <v/>
      </c>
    </row>
    <row r="15957" spans="9:14" x14ac:dyDescent="0.25">
      <c r="I15957" s="11" t="b">
        <f t="shared" si="763"/>
        <v>0</v>
      </c>
      <c r="M15957" s="17" t="str">
        <f t="shared" si="764"/>
        <v/>
      </c>
      <c r="N15957" s="11" t="str">
        <f t="shared" si="765"/>
        <v/>
      </c>
    </row>
    <row r="15958" spans="9:14" x14ac:dyDescent="0.25">
      <c r="I15958" s="11" t="b">
        <f t="shared" si="763"/>
        <v>0</v>
      </c>
      <c r="M15958" s="17" t="str">
        <f t="shared" si="764"/>
        <v/>
      </c>
      <c r="N15958" s="11" t="str">
        <f t="shared" si="765"/>
        <v/>
      </c>
    </row>
    <row r="15959" spans="9:14" x14ac:dyDescent="0.25">
      <c r="I15959" s="11" t="b">
        <f t="shared" si="763"/>
        <v>0</v>
      </c>
      <c r="M15959" s="17" t="str">
        <f t="shared" si="764"/>
        <v/>
      </c>
      <c r="N15959" s="11" t="str">
        <f t="shared" si="765"/>
        <v/>
      </c>
    </row>
    <row r="15960" spans="9:14" x14ac:dyDescent="0.25">
      <c r="I15960" s="11" t="b">
        <f t="shared" si="763"/>
        <v>0</v>
      </c>
      <c r="M15960" s="17" t="str">
        <f t="shared" si="764"/>
        <v/>
      </c>
      <c r="N15960" s="11" t="str">
        <f t="shared" si="765"/>
        <v/>
      </c>
    </row>
    <row r="15961" spans="9:14" x14ac:dyDescent="0.25">
      <c r="I15961" s="11" t="b">
        <f t="shared" si="763"/>
        <v>0</v>
      </c>
      <c r="M15961" s="17" t="str">
        <f t="shared" si="764"/>
        <v/>
      </c>
      <c r="N15961" s="11" t="str">
        <f t="shared" si="765"/>
        <v/>
      </c>
    </row>
    <row r="15962" spans="9:14" x14ac:dyDescent="0.25">
      <c r="I15962" s="11" t="b">
        <f t="shared" si="763"/>
        <v>0</v>
      </c>
      <c r="M15962" s="17" t="str">
        <f t="shared" si="764"/>
        <v/>
      </c>
      <c r="N15962" s="11" t="str">
        <f t="shared" si="765"/>
        <v/>
      </c>
    </row>
    <row r="15963" spans="9:14" x14ac:dyDescent="0.25">
      <c r="I15963" s="11" t="b">
        <f t="shared" si="763"/>
        <v>0</v>
      </c>
      <c r="M15963" s="17" t="str">
        <f t="shared" si="764"/>
        <v/>
      </c>
      <c r="N15963" s="11" t="str">
        <f t="shared" si="765"/>
        <v/>
      </c>
    </row>
    <row r="15964" spans="9:14" x14ac:dyDescent="0.25">
      <c r="I15964" s="11" t="b">
        <f t="shared" si="763"/>
        <v>0</v>
      </c>
      <c r="M15964" s="17" t="str">
        <f t="shared" si="764"/>
        <v/>
      </c>
      <c r="N15964" s="11" t="str">
        <f t="shared" si="765"/>
        <v/>
      </c>
    </row>
    <row r="15965" spans="9:14" x14ac:dyDescent="0.25">
      <c r="I15965" s="11" t="b">
        <f t="shared" ref="I15965:I16028" si="766">IF(AND(G15965="MERCADO PAGO",A15965="FATURAMENTO"),1,IF(AND(OR(G15965="MERCADO PAGO",G15965="pix mercado pago",G15965= "débito automático mercado pago", G15965= "boleto mercado pago"),A15965="DESPESAS"),4,IF(AND(G15965="SAFRA",A15965="FATURAMENTO"),2,IF(AND(OR(G15965="SAFRA",G15965="PIX SAFRA", G15965="DÉBITO AUTOMÁTICO SAFRA", G15965= "BOLETO SAFRA", G15965= "transferência safra"), A15965="DESPESAS"),5,IF(AND(G15965="espécie",A15965="FATURAMENTO"),3,IF(AND(G15965="espécie",A15965="DESPESAS"),6))))))</f>
        <v>0</v>
      </c>
      <c r="M15965" s="17" t="str">
        <f t="shared" si="764"/>
        <v/>
      </c>
      <c r="N15965" s="11" t="str">
        <f t="shared" si="765"/>
        <v/>
      </c>
    </row>
    <row r="15966" spans="9:14" x14ac:dyDescent="0.25">
      <c r="I15966" s="11" t="b">
        <f t="shared" si="766"/>
        <v>0</v>
      </c>
      <c r="M15966" s="17" t="str">
        <f t="shared" si="764"/>
        <v/>
      </c>
      <c r="N15966" s="11" t="str">
        <f t="shared" si="765"/>
        <v/>
      </c>
    </row>
    <row r="15967" spans="9:14" x14ac:dyDescent="0.25">
      <c r="I15967" s="11" t="b">
        <f t="shared" si="766"/>
        <v>0</v>
      </c>
      <c r="M15967" s="17" t="str">
        <f t="shared" si="764"/>
        <v/>
      </c>
      <c r="N15967" s="11" t="str">
        <f t="shared" si="765"/>
        <v/>
      </c>
    </row>
    <row r="15968" spans="9:14" x14ac:dyDescent="0.25">
      <c r="I15968" s="11" t="b">
        <f t="shared" si="766"/>
        <v>0</v>
      </c>
      <c r="M15968" s="17" t="str">
        <f t="shared" si="764"/>
        <v/>
      </c>
      <c r="N15968" s="11" t="str">
        <f t="shared" si="765"/>
        <v/>
      </c>
    </row>
    <row r="15969" spans="9:14" x14ac:dyDescent="0.25">
      <c r="I15969" s="11" t="b">
        <f t="shared" si="766"/>
        <v>0</v>
      </c>
      <c r="M15969" s="17" t="str">
        <f t="shared" si="764"/>
        <v/>
      </c>
      <c r="N15969" s="11" t="str">
        <f t="shared" si="765"/>
        <v/>
      </c>
    </row>
    <row r="15970" spans="9:14" x14ac:dyDescent="0.25">
      <c r="I15970" s="11" t="b">
        <f t="shared" si="766"/>
        <v>0</v>
      </c>
      <c r="M15970" s="17" t="str">
        <f t="shared" si="764"/>
        <v/>
      </c>
      <c r="N15970" s="11" t="str">
        <f t="shared" si="765"/>
        <v/>
      </c>
    </row>
    <row r="15971" spans="9:14" x14ac:dyDescent="0.25">
      <c r="I15971" s="11" t="b">
        <f t="shared" si="766"/>
        <v>0</v>
      </c>
      <c r="M15971" s="17" t="str">
        <f t="shared" si="764"/>
        <v/>
      </c>
      <c r="N15971" s="11" t="str">
        <f t="shared" si="765"/>
        <v/>
      </c>
    </row>
    <row r="15972" spans="9:14" x14ac:dyDescent="0.25">
      <c r="I15972" s="11" t="b">
        <f t="shared" si="766"/>
        <v>0</v>
      </c>
      <c r="M15972" s="17" t="str">
        <f t="shared" si="764"/>
        <v/>
      </c>
      <c r="N15972" s="11" t="str">
        <f t="shared" si="765"/>
        <v/>
      </c>
    </row>
    <row r="15973" spans="9:14" x14ac:dyDescent="0.25">
      <c r="I15973" s="11" t="b">
        <f t="shared" si="766"/>
        <v>0</v>
      </c>
      <c r="M15973" s="17" t="str">
        <f t="shared" si="764"/>
        <v/>
      </c>
      <c r="N15973" s="11" t="str">
        <f t="shared" si="765"/>
        <v/>
      </c>
    </row>
    <row r="15974" spans="9:14" x14ac:dyDescent="0.25">
      <c r="I15974" s="11" t="b">
        <f t="shared" si="766"/>
        <v>0</v>
      </c>
      <c r="M15974" s="17" t="str">
        <f t="shared" si="764"/>
        <v/>
      </c>
      <c r="N15974" s="11" t="str">
        <f t="shared" si="765"/>
        <v/>
      </c>
    </row>
    <row r="15975" spans="9:14" x14ac:dyDescent="0.25">
      <c r="I15975" s="11" t="b">
        <f t="shared" si="766"/>
        <v>0</v>
      </c>
      <c r="M15975" s="17" t="str">
        <f t="shared" si="764"/>
        <v/>
      </c>
      <c r="N15975" s="11" t="str">
        <f t="shared" si="765"/>
        <v/>
      </c>
    </row>
    <row r="15976" spans="9:14" x14ac:dyDescent="0.25">
      <c r="I15976" s="11" t="b">
        <f t="shared" si="766"/>
        <v>0</v>
      </c>
      <c r="M15976" s="17" t="str">
        <f t="shared" si="764"/>
        <v/>
      </c>
      <c r="N15976" s="11" t="str">
        <f t="shared" si="765"/>
        <v/>
      </c>
    </row>
    <row r="15977" spans="9:14" x14ac:dyDescent="0.25">
      <c r="I15977" s="11" t="b">
        <f t="shared" si="766"/>
        <v>0</v>
      </c>
      <c r="M15977" s="17" t="str">
        <f t="shared" si="764"/>
        <v/>
      </c>
      <c r="N15977" s="11" t="str">
        <f t="shared" si="765"/>
        <v/>
      </c>
    </row>
    <row r="15978" spans="9:14" x14ac:dyDescent="0.25">
      <c r="I15978" s="11" t="b">
        <f t="shared" si="766"/>
        <v>0</v>
      </c>
      <c r="M15978" s="17" t="str">
        <f t="shared" si="764"/>
        <v/>
      </c>
      <c r="N15978" s="11" t="str">
        <f t="shared" si="765"/>
        <v/>
      </c>
    </row>
    <row r="15979" spans="9:14" x14ac:dyDescent="0.25">
      <c r="I15979" s="11" t="b">
        <f t="shared" si="766"/>
        <v>0</v>
      </c>
      <c r="M15979" s="17" t="str">
        <f t="shared" si="764"/>
        <v/>
      </c>
      <c r="N15979" s="11" t="str">
        <f t="shared" si="765"/>
        <v/>
      </c>
    </row>
    <row r="15980" spans="9:14" x14ac:dyDescent="0.25">
      <c r="I15980" s="11" t="b">
        <f t="shared" si="766"/>
        <v>0</v>
      </c>
      <c r="M15980" s="17" t="str">
        <f t="shared" si="764"/>
        <v/>
      </c>
      <c r="N15980" s="11" t="str">
        <f t="shared" si="765"/>
        <v/>
      </c>
    </row>
    <row r="15981" spans="9:14" x14ac:dyDescent="0.25">
      <c r="I15981" s="11" t="b">
        <f t="shared" si="766"/>
        <v>0</v>
      </c>
      <c r="M15981" s="17" t="str">
        <f t="shared" si="764"/>
        <v/>
      </c>
      <c r="N15981" s="11" t="str">
        <f t="shared" si="765"/>
        <v/>
      </c>
    </row>
    <row r="15982" spans="9:14" x14ac:dyDescent="0.25">
      <c r="I15982" s="11" t="b">
        <f t="shared" si="766"/>
        <v>0</v>
      </c>
      <c r="M15982" s="17" t="str">
        <f t="shared" si="764"/>
        <v/>
      </c>
      <c r="N15982" s="11" t="str">
        <f t="shared" si="765"/>
        <v/>
      </c>
    </row>
    <row r="15983" spans="9:14" x14ac:dyDescent="0.25">
      <c r="I15983" s="11" t="b">
        <f t="shared" si="766"/>
        <v>0</v>
      </c>
      <c r="M15983" s="17" t="str">
        <f t="shared" si="764"/>
        <v/>
      </c>
      <c r="N15983" s="11" t="str">
        <f t="shared" si="765"/>
        <v/>
      </c>
    </row>
    <row r="15984" spans="9:14" x14ac:dyDescent="0.25">
      <c r="I15984" s="11" t="b">
        <f t="shared" si="766"/>
        <v>0</v>
      </c>
      <c r="M15984" s="17" t="str">
        <f t="shared" si="764"/>
        <v/>
      </c>
      <c r="N15984" s="11" t="str">
        <f t="shared" si="765"/>
        <v/>
      </c>
    </row>
    <row r="15985" spans="9:14" x14ac:dyDescent="0.25">
      <c r="I15985" s="11" t="b">
        <f t="shared" si="766"/>
        <v>0</v>
      </c>
      <c r="M15985" s="17" t="str">
        <f t="shared" si="764"/>
        <v/>
      </c>
      <c r="N15985" s="11" t="str">
        <f t="shared" si="765"/>
        <v/>
      </c>
    </row>
    <row r="15986" spans="9:14" x14ac:dyDescent="0.25">
      <c r="I15986" s="11" t="b">
        <f t="shared" si="766"/>
        <v>0</v>
      </c>
      <c r="M15986" s="17" t="str">
        <f t="shared" si="764"/>
        <v/>
      </c>
      <c r="N15986" s="11" t="str">
        <f t="shared" si="765"/>
        <v/>
      </c>
    </row>
    <row r="15987" spans="9:14" x14ac:dyDescent="0.25">
      <c r="I15987" s="11" t="b">
        <f t="shared" si="766"/>
        <v>0</v>
      </c>
      <c r="M15987" s="17" t="str">
        <f t="shared" si="764"/>
        <v/>
      </c>
      <c r="N15987" s="11" t="str">
        <f t="shared" si="765"/>
        <v/>
      </c>
    </row>
    <row r="15988" spans="9:14" x14ac:dyDescent="0.25">
      <c r="I15988" s="11" t="b">
        <f t="shared" si="766"/>
        <v>0</v>
      </c>
      <c r="M15988" s="17" t="str">
        <f t="shared" si="764"/>
        <v/>
      </c>
      <c r="N15988" s="11" t="str">
        <f t="shared" si="765"/>
        <v/>
      </c>
    </row>
    <row r="15989" spans="9:14" x14ac:dyDescent="0.25">
      <c r="I15989" s="11" t="b">
        <f t="shared" si="766"/>
        <v>0</v>
      </c>
      <c r="M15989" s="17" t="str">
        <f t="shared" si="764"/>
        <v/>
      </c>
      <c r="N15989" s="11" t="str">
        <f t="shared" si="765"/>
        <v/>
      </c>
    </row>
    <row r="15990" spans="9:14" x14ac:dyDescent="0.25">
      <c r="I15990" s="11" t="b">
        <f t="shared" si="766"/>
        <v>0</v>
      </c>
      <c r="M15990" s="17" t="str">
        <f t="shared" si="764"/>
        <v/>
      </c>
      <c r="N15990" s="11" t="str">
        <f t="shared" si="765"/>
        <v/>
      </c>
    </row>
    <row r="15991" spans="9:14" x14ac:dyDescent="0.25">
      <c r="I15991" s="11" t="b">
        <f t="shared" si="766"/>
        <v>0</v>
      </c>
      <c r="M15991" s="17" t="str">
        <f t="shared" si="764"/>
        <v/>
      </c>
      <c r="N15991" s="11" t="str">
        <f t="shared" si="765"/>
        <v/>
      </c>
    </row>
    <row r="15992" spans="9:14" x14ac:dyDescent="0.25">
      <c r="I15992" s="11" t="b">
        <f t="shared" si="766"/>
        <v>0</v>
      </c>
      <c r="M15992" s="17" t="str">
        <f t="shared" si="764"/>
        <v/>
      </c>
      <c r="N15992" s="11" t="str">
        <f t="shared" si="765"/>
        <v/>
      </c>
    </row>
    <row r="15993" spans="9:14" x14ac:dyDescent="0.25">
      <c r="I15993" s="11" t="b">
        <f t="shared" si="766"/>
        <v>0</v>
      </c>
      <c r="M15993" s="17" t="str">
        <f t="shared" si="764"/>
        <v/>
      </c>
      <c r="N15993" s="11" t="str">
        <f t="shared" si="765"/>
        <v/>
      </c>
    </row>
    <row r="15994" spans="9:14" x14ac:dyDescent="0.25">
      <c r="I15994" s="11" t="b">
        <f t="shared" si="766"/>
        <v>0</v>
      </c>
      <c r="M15994" s="17" t="str">
        <f t="shared" si="764"/>
        <v/>
      </c>
      <c r="N15994" s="11" t="str">
        <f t="shared" si="765"/>
        <v/>
      </c>
    </row>
    <row r="15995" spans="9:14" x14ac:dyDescent="0.25">
      <c r="I15995" s="11" t="b">
        <f t="shared" si="766"/>
        <v>0</v>
      </c>
      <c r="M15995" s="17" t="str">
        <f t="shared" si="764"/>
        <v/>
      </c>
      <c r="N15995" s="11" t="str">
        <f t="shared" si="765"/>
        <v/>
      </c>
    </row>
    <row r="15996" spans="9:14" x14ac:dyDescent="0.25">
      <c r="I15996" s="11" t="b">
        <f t="shared" si="766"/>
        <v>0</v>
      </c>
      <c r="M15996" s="17" t="str">
        <f t="shared" si="764"/>
        <v/>
      </c>
      <c r="N15996" s="11" t="str">
        <f t="shared" si="765"/>
        <v/>
      </c>
    </row>
    <row r="15997" spans="9:14" x14ac:dyDescent="0.25">
      <c r="I15997" s="11" t="b">
        <f t="shared" si="766"/>
        <v>0</v>
      </c>
      <c r="M15997" s="17" t="str">
        <f t="shared" si="764"/>
        <v/>
      </c>
      <c r="N15997" s="11" t="str">
        <f t="shared" si="765"/>
        <v/>
      </c>
    </row>
    <row r="15998" spans="9:14" x14ac:dyDescent="0.25">
      <c r="I15998" s="11" t="b">
        <f t="shared" si="766"/>
        <v>0</v>
      </c>
      <c r="M15998" s="17" t="str">
        <f t="shared" si="764"/>
        <v/>
      </c>
      <c r="N15998" s="11" t="str">
        <f t="shared" si="765"/>
        <v/>
      </c>
    </row>
    <row r="15999" spans="9:14" x14ac:dyDescent="0.25">
      <c r="I15999" s="11" t="b">
        <f t="shared" si="766"/>
        <v>0</v>
      </c>
      <c r="M15999" s="17" t="str">
        <f t="shared" si="764"/>
        <v/>
      </c>
      <c r="N15999" s="11" t="str">
        <f t="shared" si="765"/>
        <v/>
      </c>
    </row>
    <row r="16000" spans="9:14" x14ac:dyDescent="0.25">
      <c r="I16000" s="11" t="b">
        <f t="shared" si="766"/>
        <v>0</v>
      </c>
      <c r="M16000" s="17" t="str">
        <f t="shared" si="764"/>
        <v/>
      </c>
      <c r="N16000" s="11" t="str">
        <f t="shared" si="765"/>
        <v/>
      </c>
    </row>
    <row r="16001" spans="9:14" x14ac:dyDescent="0.25">
      <c r="I16001" s="11" t="b">
        <f t="shared" si="766"/>
        <v>0</v>
      </c>
      <c r="M16001" s="17" t="str">
        <f t="shared" ref="M16001:M16064" si="767">IF(B16001=0, "",M16000+ J16001-K16001)</f>
        <v/>
      </c>
      <c r="N16001" s="11" t="str">
        <f t="shared" ref="N16001:N16064" si="768">IF(B16001=0, "", MONTH(B16001))</f>
        <v/>
      </c>
    </row>
    <row r="16002" spans="9:14" x14ac:dyDescent="0.25">
      <c r="I16002" s="11" t="b">
        <f t="shared" si="766"/>
        <v>0</v>
      </c>
      <c r="M16002" s="17" t="str">
        <f t="shared" si="767"/>
        <v/>
      </c>
      <c r="N16002" s="11" t="str">
        <f t="shared" si="768"/>
        <v/>
      </c>
    </row>
    <row r="16003" spans="9:14" x14ac:dyDescent="0.25">
      <c r="I16003" s="11" t="b">
        <f t="shared" si="766"/>
        <v>0</v>
      </c>
      <c r="M16003" s="17" t="str">
        <f t="shared" si="767"/>
        <v/>
      </c>
      <c r="N16003" s="11" t="str">
        <f t="shared" si="768"/>
        <v/>
      </c>
    </row>
    <row r="16004" spans="9:14" x14ac:dyDescent="0.25">
      <c r="I16004" s="11" t="b">
        <f t="shared" si="766"/>
        <v>0</v>
      </c>
      <c r="M16004" s="17" t="str">
        <f t="shared" si="767"/>
        <v/>
      </c>
      <c r="N16004" s="11" t="str">
        <f t="shared" si="768"/>
        <v/>
      </c>
    </row>
    <row r="16005" spans="9:14" x14ac:dyDescent="0.25">
      <c r="I16005" s="11" t="b">
        <f t="shared" si="766"/>
        <v>0</v>
      </c>
      <c r="M16005" s="17" t="str">
        <f t="shared" si="767"/>
        <v/>
      </c>
      <c r="N16005" s="11" t="str">
        <f t="shared" si="768"/>
        <v/>
      </c>
    </row>
    <row r="16006" spans="9:14" x14ac:dyDescent="0.25">
      <c r="I16006" s="11" t="b">
        <f t="shared" si="766"/>
        <v>0</v>
      </c>
      <c r="M16006" s="17" t="str">
        <f t="shared" si="767"/>
        <v/>
      </c>
      <c r="N16006" s="11" t="str">
        <f t="shared" si="768"/>
        <v/>
      </c>
    </row>
    <row r="16007" spans="9:14" x14ac:dyDescent="0.25">
      <c r="I16007" s="11" t="b">
        <f t="shared" si="766"/>
        <v>0</v>
      </c>
      <c r="M16007" s="17" t="str">
        <f t="shared" si="767"/>
        <v/>
      </c>
      <c r="N16007" s="11" t="str">
        <f t="shared" si="768"/>
        <v/>
      </c>
    </row>
    <row r="16008" spans="9:14" x14ac:dyDescent="0.25">
      <c r="I16008" s="11" t="b">
        <f t="shared" si="766"/>
        <v>0</v>
      </c>
      <c r="M16008" s="17" t="str">
        <f t="shared" si="767"/>
        <v/>
      </c>
      <c r="N16008" s="11" t="str">
        <f t="shared" si="768"/>
        <v/>
      </c>
    </row>
    <row r="16009" spans="9:14" x14ac:dyDescent="0.25">
      <c r="I16009" s="11" t="b">
        <f t="shared" si="766"/>
        <v>0</v>
      </c>
      <c r="M16009" s="17" t="str">
        <f t="shared" si="767"/>
        <v/>
      </c>
      <c r="N16009" s="11" t="str">
        <f t="shared" si="768"/>
        <v/>
      </c>
    </row>
    <row r="16010" spans="9:14" x14ac:dyDescent="0.25">
      <c r="I16010" s="11" t="b">
        <f t="shared" si="766"/>
        <v>0</v>
      </c>
      <c r="M16010" s="17" t="str">
        <f t="shared" si="767"/>
        <v/>
      </c>
      <c r="N16010" s="11" t="str">
        <f t="shared" si="768"/>
        <v/>
      </c>
    </row>
    <row r="16011" spans="9:14" x14ac:dyDescent="0.25">
      <c r="I16011" s="11" t="b">
        <f t="shared" si="766"/>
        <v>0</v>
      </c>
      <c r="M16011" s="17" t="str">
        <f t="shared" si="767"/>
        <v/>
      </c>
      <c r="N16011" s="11" t="str">
        <f t="shared" si="768"/>
        <v/>
      </c>
    </row>
    <row r="16012" spans="9:14" x14ac:dyDescent="0.25">
      <c r="I16012" s="11" t="b">
        <f t="shared" si="766"/>
        <v>0</v>
      </c>
      <c r="M16012" s="17" t="str">
        <f t="shared" si="767"/>
        <v/>
      </c>
      <c r="N16012" s="11" t="str">
        <f t="shared" si="768"/>
        <v/>
      </c>
    </row>
    <row r="16013" spans="9:14" x14ac:dyDescent="0.25">
      <c r="I16013" s="11" t="b">
        <f t="shared" si="766"/>
        <v>0</v>
      </c>
      <c r="M16013" s="17" t="str">
        <f t="shared" si="767"/>
        <v/>
      </c>
      <c r="N16013" s="11" t="str">
        <f t="shared" si="768"/>
        <v/>
      </c>
    </row>
    <row r="16014" spans="9:14" x14ac:dyDescent="0.25">
      <c r="I16014" s="11" t="b">
        <f t="shared" si="766"/>
        <v>0</v>
      </c>
      <c r="M16014" s="17" t="str">
        <f t="shared" si="767"/>
        <v/>
      </c>
      <c r="N16014" s="11" t="str">
        <f t="shared" si="768"/>
        <v/>
      </c>
    </row>
    <row r="16015" spans="9:14" x14ac:dyDescent="0.25">
      <c r="I16015" s="11" t="b">
        <f t="shared" si="766"/>
        <v>0</v>
      </c>
      <c r="M16015" s="17" t="str">
        <f t="shared" si="767"/>
        <v/>
      </c>
      <c r="N16015" s="11" t="str">
        <f t="shared" si="768"/>
        <v/>
      </c>
    </row>
    <row r="16016" spans="9:14" x14ac:dyDescent="0.25">
      <c r="I16016" s="11" t="b">
        <f t="shared" si="766"/>
        <v>0</v>
      </c>
      <c r="M16016" s="17" t="str">
        <f t="shared" si="767"/>
        <v/>
      </c>
      <c r="N16016" s="11" t="str">
        <f t="shared" si="768"/>
        <v/>
      </c>
    </row>
    <row r="16017" spans="9:14" x14ac:dyDescent="0.25">
      <c r="I16017" s="11" t="b">
        <f t="shared" si="766"/>
        <v>0</v>
      </c>
      <c r="M16017" s="17" t="str">
        <f t="shared" si="767"/>
        <v/>
      </c>
      <c r="N16017" s="11" t="str">
        <f t="shared" si="768"/>
        <v/>
      </c>
    </row>
    <row r="16018" spans="9:14" x14ac:dyDescent="0.25">
      <c r="I16018" s="11" t="b">
        <f t="shared" si="766"/>
        <v>0</v>
      </c>
      <c r="M16018" s="17" t="str">
        <f t="shared" si="767"/>
        <v/>
      </c>
      <c r="N16018" s="11" t="str">
        <f t="shared" si="768"/>
        <v/>
      </c>
    </row>
    <row r="16019" spans="9:14" x14ac:dyDescent="0.25">
      <c r="I16019" s="11" t="b">
        <f t="shared" si="766"/>
        <v>0</v>
      </c>
      <c r="M16019" s="17" t="str">
        <f t="shared" si="767"/>
        <v/>
      </c>
      <c r="N16019" s="11" t="str">
        <f t="shared" si="768"/>
        <v/>
      </c>
    </row>
    <row r="16020" spans="9:14" x14ac:dyDescent="0.25">
      <c r="I16020" s="11" t="b">
        <f t="shared" si="766"/>
        <v>0</v>
      </c>
      <c r="M16020" s="17" t="str">
        <f t="shared" si="767"/>
        <v/>
      </c>
      <c r="N16020" s="11" t="str">
        <f t="shared" si="768"/>
        <v/>
      </c>
    </row>
    <row r="16021" spans="9:14" x14ac:dyDescent="0.25">
      <c r="I16021" s="11" t="b">
        <f t="shared" si="766"/>
        <v>0</v>
      </c>
      <c r="M16021" s="17" t="str">
        <f t="shared" si="767"/>
        <v/>
      </c>
      <c r="N16021" s="11" t="str">
        <f t="shared" si="768"/>
        <v/>
      </c>
    </row>
    <row r="16022" spans="9:14" x14ac:dyDescent="0.25">
      <c r="I16022" s="11" t="b">
        <f t="shared" si="766"/>
        <v>0</v>
      </c>
      <c r="M16022" s="17" t="str">
        <f t="shared" si="767"/>
        <v/>
      </c>
      <c r="N16022" s="11" t="str">
        <f t="shared" si="768"/>
        <v/>
      </c>
    </row>
    <row r="16023" spans="9:14" x14ac:dyDescent="0.25">
      <c r="I16023" s="11" t="b">
        <f t="shared" si="766"/>
        <v>0</v>
      </c>
      <c r="M16023" s="17" t="str">
        <f t="shared" si="767"/>
        <v/>
      </c>
      <c r="N16023" s="11" t="str">
        <f t="shared" si="768"/>
        <v/>
      </c>
    </row>
    <row r="16024" spans="9:14" x14ac:dyDescent="0.25">
      <c r="I16024" s="11" t="b">
        <f t="shared" si="766"/>
        <v>0</v>
      </c>
      <c r="M16024" s="17" t="str">
        <f t="shared" si="767"/>
        <v/>
      </c>
      <c r="N16024" s="11" t="str">
        <f t="shared" si="768"/>
        <v/>
      </c>
    </row>
    <row r="16025" spans="9:14" x14ac:dyDescent="0.25">
      <c r="I16025" s="11" t="b">
        <f t="shared" si="766"/>
        <v>0</v>
      </c>
      <c r="M16025" s="17" t="str">
        <f t="shared" si="767"/>
        <v/>
      </c>
      <c r="N16025" s="11" t="str">
        <f t="shared" si="768"/>
        <v/>
      </c>
    </row>
    <row r="16026" spans="9:14" x14ac:dyDescent="0.25">
      <c r="I16026" s="11" t="b">
        <f t="shared" si="766"/>
        <v>0</v>
      </c>
      <c r="M16026" s="17" t="str">
        <f t="shared" si="767"/>
        <v/>
      </c>
      <c r="N16026" s="11" t="str">
        <f t="shared" si="768"/>
        <v/>
      </c>
    </row>
    <row r="16027" spans="9:14" x14ac:dyDescent="0.25">
      <c r="I16027" s="11" t="b">
        <f t="shared" si="766"/>
        <v>0</v>
      </c>
      <c r="M16027" s="17" t="str">
        <f t="shared" si="767"/>
        <v/>
      </c>
      <c r="N16027" s="11" t="str">
        <f t="shared" si="768"/>
        <v/>
      </c>
    </row>
    <row r="16028" spans="9:14" x14ac:dyDescent="0.25">
      <c r="I16028" s="11" t="b">
        <f t="shared" si="766"/>
        <v>0</v>
      </c>
      <c r="M16028" s="17" t="str">
        <f t="shared" si="767"/>
        <v/>
      </c>
      <c r="N16028" s="11" t="str">
        <f t="shared" si="768"/>
        <v/>
      </c>
    </row>
    <row r="16029" spans="9:14" x14ac:dyDescent="0.25">
      <c r="I16029" s="11" t="b">
        <f t="shared" ref="I16029:I16092" si="769">IF(AND(G16029="MERCADO PAGO",A16029="FATURAMENTO"),1,IF(AND(OR(G16029="MERCADO PAGO",G16029="pix mercado pago",G16029= "débito automático mercado pago", G16029= "boleto mercado pago"),A16029="DESPESAS"),4,IF(AND(G16029="SAFRA",A16029="FATURAMENTO"),2,IF(AND(OR(G16029="SAFRA",G16029="PIX SAFRA", G16029="DÉBITO AUTOMÁTICO SAFRA", G16029= "BOLETO SAFRA", G16029= "transferência safra"), A16029="DESPESAS"),5,IF(AND(G16029="espécie",A16029="FATURAMENTO"),3,IF(AND(G16029="espécie",A16029="DESPESAS"),6))))))</f>
        <v>0</v>
      </c>
      <c r="M16029" s="17" t="str">
        <f t="shared" si="767"/>
        <v/>
      </c>
      <c r="N16029" s="11" t="str">
        <f t="shared" si="768"/>
        <v/>
      </c>
    </row>
    <row r="16030" spans="9:14" x14ac:dyDescent="0.25">
      <c r="I16030" s="11" t="b">
        <f t="shared" si="769"/>
        <v>0</v>
      </c>
      <c r="M16030" s="17" t="str">
        <f t="shared" si="767"/>
        <v/>
      </c>
      <c r="N16030" s="11" t="str">
        <f t="shared" si="768"/>
        <v/>
      </c>
    </row>
    <row r="16031" spans="9:14" x14ac:dyDescent="0.25">
      <c r="I16031" s="11" t="b">
        <f t="shared" si="769"/>
        <v>0</v>
      </c>
      <c r="M16031" s="17" t="str">
        <f t="shared" si="767"/>
        <v/>
      </c>
      <c r="N16031" s="11" t="str">
        <f t="shared" si="768"/>
        <v/>
      </c>
    </row>
    <row r="16032" spans="9:14" x14ac:dyDescent="0.25">
      <c r="I16032" s="11" t="b">
        <f t="shared" si="769"/>
        <v>0</v>
      </c>
      <c r="M16032" s="17" t="str">
        <f t="shared" si="767"/>
        <v/>
      </c>
      <c r="N16032" s="11" t="str">
        <f t="shared" si="768"/>
        <v/>
      </c>
    </row>
    <row r="16033" spans="9:14" x14ac:dyDescent="0.25">
      <c r="I16033" s="11" t="b">
        <f t="shared" si="769"/>
        <v>0</v>
      </c>
      <c r="M16033" s="17" t="str">
        <f t="shared" si="767"/>
        <v/>
      </c>
      <c r="N16033" s="11" t="str">
        <f t="shared" si="768"/>
        <v/>
      </c>
    </row>
    <row r="16034" spans="9:14" x14ac:dyDescent="0.25">
      <c r="I16034" s="11" t="b">
        <f t="shared" si="769"/>
        <v>0</v>
      </c>
      <c r="M16034" s="17" t="str">
        <f t="shared" si="767"/>
        <v/>
      </c>
      <c r="N16034" s="11" t="str">
        <f t="shared" si="768"/>
        <v/>
      </c>
    </row>
    <row r="16035" spans="9:14" x14ac:dyDescent="0.25">
      <c r="I16035" s="11" t="b">
        <f t="shared" si="769"/>
        <v>0</v>
      </c>
      <c r="M16035" s="17" t="str">
        <f t="shared" si="767"/>
        <v/>
      </c>
      <c r="N16035" s="11" t="str">
        <f t="shared" si="768"/>
        <v/>
      </c>
    </row>
    <row r="16036" spans="9:14" x14ac:dyDescent="0.25">
      <c r="I16036" s="11" t="b">
        <f t="shared" si="769"/>
        <v>0</v>
      </c>
      <c r="M16036" s="17" t="str">
        <f t="shared" si="767"/>
        <v/>
      </c>
      <c r="N16036" s="11" t="str">
        <f t="shared" si="768"/>
        <v/>
      </c>
    </row>
    <row r="16037" spans="9:14" x14ac:dyDescent="0.25">
      <c r="I16037" s="11" t="b">
        <f t="shared" si="769"/>
        <v>0</v>
      </c>
      <c r="M16037" s="17" t="str">
        <f t="shared" si="767"/>
        <v/>
      </c>
      <c r="N16037" s="11" t="str">
        <f t="shared" si="768"/>
        <v/>
      </c>
    </row>
    <row r="16038" spans="9:14" x14ac:dyDescent="0.25">
      <c r="I16038" s="11" t="b">
        <f t="shared" si="769"/>
        <v>0</v>
      </c>
      <c r="M16038" s="17" t="str">
        <f t="shared" si="767"/>
        <v/>
      </c>
      <c r="N16038" s="11" t="str">
        <f t="shared" si="768"/>
        <v/>
      </c>
    </row>
    <row r="16039" spans="9:14" x14ac:dyDescent="0.25">
      <c r="I16039" s="11" t="b">
        <f t="shared" si="769"/>
        <v>0</v>
      </c>
      <c r="M16039" s="17" t="str">
        <f t="shared" si="767"/>
        <v/>
      </c>
      <c r="N16039" s="11" t="str">
        <f t="shared" si="768"/>
        <v/>
      </c>
    </row>
    <row r="16040" spans="9:14" x14ac:dyDescent="0.25">
      <c r="I16040" s="11" t="b">
        <f t="shared" si="769"/>
        <v>0</v>
      </c>
      <c r="M16040" s="17" t="str">
        <f t="shared" si="767"/>
        <v/>
      </c>
      <c r="N16040" s="11" t="str">
        <f t="shared" si="768"/>
        <v/>
      </c>
    </row>
    <row r="16041" spans="9:14" x14ac:dyDescent="0.25">
      <c r="I16041" s="11" t="b">
        <f t="shared" si="769"/>
        <v>0</v>
      </c>
      <c r="M16041" s="17" t="str">
        <f t="shared" si="767"/>
        <v/>
      </c>
      <c r="N16041" s="11" t="str">
        <f t="shared" si="768"/>
        <v/>
      </c>
    </row>
    <row r="16042" spans="9:14" x14ac:dyDescent="0.25">
      <c r="I16042" s="11" t="b">
        <f t="shared" si="769"/>
        <v>0</v>
      </c>
      <c r="M16042" s="17" t="str">
        <f t="shared" si="767"/>
        <v/>
      </c>
      <c r="N16042" s="11" t="str">
        <f t="shared" si="768"/>
        <v/>
      </c>
    </row>
    <row r="16043" spans="9:14" x14ac:dyDescent="0.25">
      <c r="I16043" s="11" t="b">
        <f t="shared" si="769"/>
        <v>0</v>
      </c>
      <c r="M16043" s="17" t="str">
        <f t="shared" si="767"/>
        <v/>
      </c>
      <c r="N16043" s="11" t="str">
        <f t="shared" si="768"/>
        <v/>
      </c>
    </row>
    <row r="16044" spans="9:14" x14ac:dyDescent="0.25">
      <c r="I16044" s="11" t="b">
        <f t="shared" si="769"/>
        <v>0</v>
      </c>
      <c r="M16044" s="17" t="str">
        <f t="shared" si="767"/>
        <v/>
      </c>
      <c r="N16044" s="11" t="str">
        <f t="shared" si="768"/>
        <v/>
      </c>
    </row>
    <row r="16045" spans="9:14" x14ac:dyDescent="0.25">
      <c r="I16045" s="11" t="b">
        <f t="shared" si="769"/>
        <v>0</v>
      </c>
      <c r="M16045" s="17" t="str">
        <f t="shared" si="767"/>
        <v/>
      </c>
      <c r="N16045" s="11" t="str">
        <f t="shared" si="768"/>
        <v/>
      </c>
    </row>
    <row r="16046" spans="9:14" x14ac:dyDescent="0.25">
      <c r="I16046" s="11" t="b">
        <f t="shared" si="769"/>
        <v>0</v>
      </c>
      <c r="M16046" s="17" t="str">
        <f t="shared" si="767"/>
        <v/>
      </c>
      <c r="N16046" s="11" t="str">
        <f t="shared" si="768"/>
        <v/>
      </c>
    </row>
    <row r="16047" spans="9:14" x14ac:dyDescent="0.25">
      <c r="I16047" s="11" t="b">
        <f t="shared" si="769"/>
        <v>0</v>
      </c>
      <c r="M16047" s="17" t="str">
        <f t="shared" si="767"/>
        <v/>
      </c>
      <c r="N16047" s="11" t="str">
        <f t="shared" si="768"/>
        <v/>
      </c>
    </row>
    <row r="16048" spans="9:14" x14ac:dyDescent="0.25">
      <c r="I16048" s="11" t="b">
        <f t="shared" si="769"/>
        <v>0</v>
      </c>
      <c r="M16048" s="17" t="str">
        <f t="shared" si="767"/>
        <v/>
      </c>
      <c r="N16048" s="11" t="str">
        <f t="shared" si="768"/>
        <v/>
      </c>
    </row>
    <row r="16049" spans="9:14" x14ac:dyDescent="0.25">
      <c r="I16049" s="11" t="b">
        <f t="shared" si="769"/>
        <v>0</v>
      </c>
      <c r="M16049" s="17" t="str">
        <f t="shared" si="767"/>
        <v/>
      </c>
      <c r="N16049" s="11" t="str">
        <f t="shared" si="768"/>
        <v/>
      </c>
    </row>
    <row r="16050" spans="9:14" x14ac:dyDescent="0.25">
      <c r="I16050" s="11" t="b">
        <f t="shared" si="769"/>
        <v>0</v>
      </c>
      <c r="M16050" s="17" t="str">
        <f t="shared" si="767"/>
        <v/>
      </c>
      <c r="N16050" s="11" t="str">
        <f t="shared" si="768"/>
        <v/>
      </c>
    </row>
    <row r="16051" spans="9:14" x14ac:dyDescent="0.25">
      <c r="I16051" s="11" t="b">
        <f t="shared" si="769"/>
        <v>0</v>
      </c>
      <c r="M16051" s="17" t="str">
        <f t="shared" si="767"/>
        <v/>
      </c>
      <c r="N16051" s="11" t="str">
        <f t="shared" si="768"/>
        <v/>
      </c>
    </row>
    <row r="16052" spans="9:14" x14ac:dyDescent="0.25">
      <c r="I16052" s="11" t="b">
        <f t="shared" si="769"/>
        <v>0</v>
      </c>
      <c r="M16052" s="17" t="str">
        <f t="shared" si="767"/>
        <v/>
      </c>
      <c r="N16052" s="11" t="str">
        <f t="shared" si="768"/>
        <v/>
      </c>
    </row>
    <row r="16053" spans="9:14" x14ac:dyDescent="0.25">
      <c r="I16053" s="11" t="b">
        <f t="shared" si="769"/>
        <v>0</v>
      </c>
      <c r="M16053" s="17" t="str">
        <f t="shared" si="767"/>
        <v/>
      </c>
      <c r="N16053" s="11" t="str">
        <f t="shared" si="768"/>
        <v/>
      </c>
    </row>
    <row r="16054" spans="9:14" x14ac:dyDescent="0.25">
      <c r="I16054" s="11" t="b">
        <f t="shared" si="769"/>
        <v>0</v>
      </c>
      <c r="M16054" s="17" t="str">
        <f t="shared" si="767"/>
        <v/>
      </c>
      <c r="N16054" s="11" t="str">
        <f t="shared" si="768"/>
        <v/>
      </c>
    </row>
    <row r="16055" spans="9:14" x14ac:dyDescent="0.25">
      <c r="I16055" s="11" t="b">
        <f t="shared" si="769"/>
        <v>0</v>
      </c>
      <c r="M16055" s="17" t="str">
        <f t="shared" si="767"/>
        <v/>
      </c>
      <c r="N16055" s="11" t="str">
        <f t="shared" si="768"/>
        <v/>
      </c>
    </row>
    <row r="16056" spans="9:14" x14ac:dyDescent="0.25">
      <c r="I16056" s="11" t="b">
        <f t="shared" si="769"/>
        <v>0</v>
      </c>
      <c r="M16056" s="17" t="str">
        <f t="shared" si="767"/>
        <v/>
      </c>
      <c r="N16056" s="11" t="str">
        <f t="shared" si="768"/>
        <v/>
      </c>
    </row>
    <row r="16057" spans="9:14" x14ac:dyDescent="0.25">
      <c r="I16057" s="11" t="b">
        <f t="shared" si="769"/>
        <v>0</v>
      </c>
      <c r="M16057" s="17" t="str">
        <f t="shared" si="767"/>
        <v/>
      </c>
      <c r="N16057" s="11" t="str">
        <f t="shared" si="768"/>
        <v/>
      </c>
    </row>
    <row r="16058" spans="9:14" x14ac:dyDescent="0.25">
      <c r="I16058" s="11" t="b">
        <f t="shared" si="769"/>
        <v>0</v>
      </c>
      <c r="M16058" s="17" t="str">
        <f t="shared" si="767"/>
        <v/>
      </c>
      <c r="N16058" s="11" t="str">
        <f t="shared" si="768"/>
        <v/>
      </c>
    </row>
    <row r="16059" spans="9:14" x14ac:dyDescent="0.25">
      <c r="I16059" s="11" t="b">
        <f t="shared" si="769"/>
        <v>0</v>
      </c>
      <c r="M16059" s="17" t="str">
        <f t="shared" si="767"/>
        <v/>
      </c>
      <c r="N16059" s="11" t="str">
        <f t="shared" si="768"/>
        <v/>
      </c>
    </row>
    <row r="16060" spans="9:14" x14ac:dyDescent="0.25">
      <c r="I16060" s="11" t="b">
        <f t="shared" si="769"/>
        <v>0</v>
      </c>
      <c r="M16060" s="17" t="str">
        <f t="shared" si="767"/>
        <v/>
      </c>
      <c r="N16060" s="11" t="str">
        <f t="shared" si="768"/>
        <v/>
      </c>
    </row>
    <row r="16061" spans="9:14" x14ac:dyDescent="0.25">
      <c r="I16061" s="11" t="b">
        <f t="shared" si="769"/>
        <v>0</v>
      </c>
      <c r="M16061" s="17" t="str">
        <f t="shared" si="767"/>
        <v/>
      </c>
      <c r="N16061" s="11" t="str">
        <f t="shared" si="768"/>
        <v/>
      </c>
    </row>
    <row r="16062" spans="9:14" x14ac:dyDescent="0.25">
      <c r="I16062" s="11" t="b">
        <f t="shared" si="769"/>
        <v>0</v>
      </c>
      <c r="M16062" s="17" t="str">
        <f t="shared" si="767"/>
        <v/>
      </c>
      <c r="N16062" s="11" t="str">
        <f t="shared" si="768"/>
        <v/>
      </c>
    </row>
    <row r="16063" spans="9:14" x14ac:dyDescent="0.25">
      <c r="I16063" s="11" t="b">
        <f t="shared" si="769"/>
        <v>0</v>
      </c>
      <c r="M16063" s="17" t="str">
        <f t="shared" si="767"/>
        <v/>
      </c>
      <c r="N16063" s="11" t="str">
        <f t="shared" si="768"/>
        <v/>
      </c>
    </row>
    <row r="16064" spans="9:14" x14ac:dyDescent="0.25">
      <c r="I16064" s="11" t="b">
        <f t="shared" si="769"/>
        <v>0</v>
      </c>
      <c r="M16064" s="17" t="str">
        <f t="shared" si="767"/>
        <v/>
      </c>
      <c r="N16064" s="11" t="str">
        <f t="shared" si="768"/>
        <v/>
      </c>
    </row>
    <row r="16065" spans="9:14" x14ac:dyDescent="0.25">
      <c r="I16065" s="11" t="b">
        <f t="shared" si="769"/>
        <v>0</v>
      </c>
      <c r="M16065" s="17" t="str">
        <f t="shared" ref="M16065:M16128" si="770">IF(B16065=0, "",M16064+ J16065-K16065)</f>
        <v/>
      </c>
      <c r="N16065" s="11" t="str">
        <f t="shared" ref="N16065:N16128" si="771">IF(B16065=0, "", MONTH(B16065))</f>
        <v/>
      </c>
    </row>
    <row r="16066" spans="9:14" x14ac:dyDescent="0.25">
      <c r="I16066" s="11" t="b">
        <f t="shared" si="769"/>
        <v>0</v>
      </c>
      <c r="M16066" s="17" t="str">
        <f t="shared" si="770"/>
        <v/>
      </c>
      <c r="N16066" s="11" t="str">
        <f t="shared" si="771"/>
        <v/>
      </c>
    </row>
    <row r="16067" spans="9:14" x14ac:dyDescent="0.25">
      <c r="I16067" s="11" t="b">
        <f t="shared" si="769"/>
        <v>0</v>
      </c>
      <c r="M16067" s="17" t="str">
        <f t="shared" si="770"/>
        <v/>
      </c>
      <c r="N16067" s="11" t="str">
        <f t="shared" si="771"/>
        <v/>
      </c>
    </row>
    <row r="16068" spans="9:14" x14ac:dyDescent="0.25">
      <c r="I16068" s="11" t="b">
        <f t="shared" si="769"/>
        <v>0</v>
      </c>
      <c r="M16068" s="17" t="str">
        <f t="shared" si="770"/>
        <v/>
      </c>
      <c r="N16068" s="11" t="str">
        <f t="shared" si="771"/>
        <v/>
      </c>
    </row>
    <row r="16069" spans="9:14" x14ac:dyDescent="0.25">
      <c r="I16069" s="11" t="b">
        <f t="shared" si="769"/>
        <v>0</v>
      </c>
      <c r="M16069" s="17" t="str">
        <f t="shared" si="770"/>
        <v/>
      </c>
      <c r="N16069" s="11" t="str">
        <f t="shared" si="771"/>
        <v/>
      </c>
    </row>
    <row r="16070" spans="9:14" x14ac:dyDescent="0.25">
      <c r="I16070" s="11" t="b">
        <f t="shared" si="769"/>
        <v>0</v>
      </c>
      <c r="M16070" s="17" t="str">
        <f t="shared" si="770"/>
        <v/>
      </c>
      <c r="N16070" s="11" t="str">
        <f t="shared" si="771"/>
        <v/>
      </c>
    </row>
    <row r="16071" spans="9:14" x14ac:dyDescent="0.25">
      <c r="I16071" s="11" t="b">
        <f t="shared" si="769"/>
        <v>0</v>
      </c>
      <c r="M16071" s="17" t="str">
        <f t="shared" si="770"/>
        <v/>
      </c>
      <c r="N16071" s="11" t="str">
        <f t="shared" si="771"/>
        <v/>
      </c>
    </row>
    <row r="16072" spans="9:14" x14ac:dyDescent="0.25">
      <c r="I16072" s="11" t="b">
        <f t="shared" si="769"/>
        <v>0</v>
      </c>
      <c r="M16072" s="17" t="str">
        <f t="shared" si="770"/>
        <v/>
      </c>
      <c r="N16072" s="11" t="str">
        <f t="shared" si="771"/>
        <v/>
      </c>
    </row>
    <row r="16073" spans="9:14" x14ac:dyDescent="0.25">
      <c r="I16073" s="11" t="b">
        <f t="shared" si="769"/>
        <v>0</v>
      </c>
      <c r="M16073" s="17" t="str">
        <f t="shared" si="770"/>
        <v/>
      </c>
      <c r="N16073" s="11" t="str">
        <f t="shared" si="771"/>
        <v/>
      </c>
    </row>
    <row r="16074" spans="9:14" x14ac:dyDescent="0.25">
      <c r="I16074" s="11" t="b">
        <f t="shared" si="769"/>
        <v>0</v>
      </c>
      <c r="M16074" s="17" t="str">
        <f t="shared" si="770"/>
        <v/>
      </c>
      <c r="N16074" s="11" t="str">
        <f t="shared" si="771"/>
        <v/>
      </c>
    </row>
    <row r="16075" spans="9:14" x14ac:dyDescent="0.25">
      <c r="I16075" s="11" t="b">
        <f t="shared" si="769"/>
        <v>0</v>
      </c>
      <c r="M16075" s="17" t="str">
        <f t="shared" si="770"/>
        <v/>
      </c>
      <c r="N16075" s="11" t="str">
        <f t="shared" si="771"/>
        <v/>
      </c>
    </row>
    <row r="16076" spans="9:14" x14ac:dyDescent="0.25">
      <c r="I16076" s="11" t="b">
        <f t="shared" si="769"/>
        <v>0</v>
      </c>
      <c r="M16076" s="17" t="str">
        <f t="shared" si="770"/>
        <v/>
      </c>
      <c r="N16076" s="11" t="str">
        <f t="shared" si="771"/>
        <v/>
      </c>
    </row>
    <row r="16077" spans="9:14" x14ac:dyDescent="0.25">
      <c r="I16077" s="11" t="b">
        <f t="shared" si="769"/>
        <v>0</v>
      </c>
      <c r="M16077" s="17" t="str">
        <f t="shared" si="770"/>
        <v/>
      </c>
      <c r="N16077" s="11" t="str">
        <f t="shared" si="771"/>
        <v/>
      </c>
    </row>
    <row r="16078" spans="9:14" x14ac:dyDescent="0.25">
      <c r="I16078" s="11" t="b">
        <f t="shared" si="769"/>
        <v>0</v>
      </c>
      <c r="M16078" s="17" t="str">
        <f t="shared" si="770"/>
        <v/>
      </c>
      <c r="N16078" s="11" t="str">
        <f t="shared" si="771"/>
        <v/>
      </c>
    </row>
    <row r="16079" spans="9:14" x14ac:dyDescent="0.25">
      <c r="I16079" s="11" t="b">
        <f t="shared" si="769"/>
        <v>0</v>
      </c>
      <c r="M16079" s="17" t="str">
        <f t="shared" si="770"/>
        <v/>
      </c>
      <c r="N16079" s="11" t="str">
        <f t="shared" si="771"/>
        <v/>
      </c>
    </row>
    <row r="16080" spans="9:14" x14ac:dyDescent="0.25">
      <c r="I16080" s="11" t="b">
        <f t="shared" si="769"/>
        <v>0</v>
      </c>
      <c r="M16080" s="17" t="str">
        <f t="shared" si="770"/>
        <v/>
      </c>
      <c r="N16080" s="11" t="str">
        <f t="shared" si="771"/>
        <v/>
      </c>
    </row>
    <row r="16081" spans="9:14" x14ac:dyDescent="0.25">
      <c r="I16081" s="11" t="b">
        <f t="shared" si="769"/>
        <v>0</v>
      </c>
      <c r="M16081" s="17" t="str">
        <f t="shared" si="770"/>
        <v/>
      </c>
      <c r="N16081" s="11" t="str">
        <f t="shared" si="771"/>
        <v/>
      </c>
    </row>
    <row r="16082" spans="9:14" x14ac:dyDescent="0.25">
      <c r="I16082" s="11" t="b">
        <f t="shared" si="769"/>
        <v>0</v>
      </c>
      <c r="M16082" s="17" t="str">
        <f t="shared" si="770"/>
        <v/>
      </c>
      <c r="N16082" s="11" t="str">
        <f t="shared" si="771"/>
        <v/>
      </c>
    </row>
    <row r="16083" spans="9:14" x14ac:dyDescent="0.25">
      <c r="I16083" s="11" t="b">
        <f t="shared" si="769"/>
        <v>0</v>
      </c>
      <c r="M16083" s="17" t="str">
        <f t="shared" si="770"/>
        <v/>
      </c>
      <c r="N16083" s="11" t="str">
        <f t="shared" si="771"/>
        <v/>
      </c>
    </row>
    <row r="16084" spans="9:14" x14ac:dyDescent="0.25">
      <c r="I16084" s="11" t="b">
        <f t="shared" si="769"/>
        <v>0</v>
      </c>
      <c r="M16084" s="17" t="str">
        <f t="shared" si="770"/>
        <v/>
      </c>
      <c r="N16084" s="11" t="str">
        <f t="shared" si="771"/>
        <v/>
      </c>
    </row>
    <row r="16085" spans="9:14" x14ac:dyDescent="0.25">
      <c r="I16085" s="11" t="b">
        <f t="shared" si="769"/>
        <v>0</v>
      </c>
      <c r="M16085" s="17" t="str">
        <f t="shared" si="770"/>
        <v/>
      </c>
      <c r="N16085" s="11" t="str">
        <f t="shared" si="771"/>
        <v/>
      </c>
    </row>
    <row r="16086" spans="9:14" x14ac:dyDescent="0.25">
      <c r="I16086" s="11" t="b">
        <f t="shared" si="769"/>
        <v>0</v>
      </c>
      <c r="M16086" s="17" t="str">
        <f t="shared" si="770"/>
        <v/>
      </c>
      <c r="N16086" s="11" t="str">
        <f t="shared" si="771"/>
        <v/>
      </c>
    </row>
    <row r="16087" spans="9:14" x14ac:dyDescent="0.25">
      <c r="I16087" s="11" t="b">
        <f t="shared" si="769"/>
        <v>0</v>
      </c>
      <c r="M16087" s="17" t="str">
        <f t="shared" si="770"/>
        <v/>
      </c>
      <c r="N16087" s="11" t="str">
        <f t="shared" si="771"/>
        <v/>
      </c>
    </row>
    <row r="16088" spans="9:14" x14ac:dyDescent="0.25">
      <c r="I16088" s="11" t="b">
        <f t="shared" si="769"/>
        <v>0</v>
      </c>
      <c r="M16088" s="17" t="str">
        <f t="shared" si="770"/>
        <v/>
      </c>
      <c r="N16088" s="11" t="str">
        <f t="shared" si="771"/>
        <v/>
      </c>
    </row>
    <row r="16089" spans="9:14" x14ac:dyDescent="0.25">
      <c r="I16089" s="11" t="b">
        <f t="shared" si="769"/>
        <v>0</v>
      </c>
      <c r="M16089" s="17" t="str">
        <f t="shared" si="770"/>
        <v/>
      </c>
      <c r="N16089" s="11" t="str">
        <f t="shared" si="771"/>
        <v/>
      </c>
    </row>
    <row r="16090" spans="9:14" x14ac:dyDescent="0.25">
      <c r="I16090" s="11" t="b">
        <f t="shared" si="769"/>
        <v>0</v>
      </c>
      <c r="M16090" s="17" t="str">
        <f t="shared" si="770"/>
        <v/>
      </c>
      <c r="N16090" s="11" t="str">
        <f t="shared" si="771"/>
        <v/>
      </c>
    </row>
    <row r="16091" spans="9:14" x14ac:dyDescent="0.25">
      <c r="I16091" s="11" t="b">
        <f t="shared" si="769"/>
        <v>0</v>
      </c>
      <c r="M16091" s="17" t="str">
        <f t="shared" si="770"/>
        <v/>
      </c>
      <c r="N16091" s="11" t="str">
        <f t="shared" si="771"/>
        <v/>
      </c>
    </row>
    <row r="16092" spans="9:14" x14ac:dyDescent="0.25">
      <c r="I16092" s="11" t="b">
        <f t="shared" si="769"/>
        <v>0</v>
      </c>
      <c r="M16092" s="17" t="str">
        <f t="shared" si="770"/>
        <v/>
      </c>
      <c r="N16092" s="11" t="str">
        <f t="shared" si="771"/>
        <v/>
      </c>
    </row>
    <row r="16093" spans="9:14" x14ac:dyDescent="0.25">
      <c r="I16093" s="11" t="b">
        <f t="shared" ref="I16093:I16156" si="772">IF(AND(G16093="MERCADO PAGO",A16093="FATURAMENTO"),1,IF(AND(OR(G16093="MERCADO PAGO",G16093="pix mercado pago",G16093= "débito automático mercado pago", G16093= "boleto mercado pago"),A16093="DESPESAS"),4,IF(AND(G16093="SAFRA",A16093="FATURAMENTO"),2,IF(AND(OR(G16093="SAFRA",G16093="PIX SAFRA", G16093="DÉBITO AUTOMÁTICO SAFRA", G16093= "BOLETO SAFRA", G16093= "transferência safra"), A16093="DESPESAS"),5,IF(AND(G16093="espécie",A16093="FATURAMENTO"),3,IF(AND(G16093="espécie",A16093="DESPESAS"),6))))))</f>
        <v>0</v>
      </c>
      <c r="M16093" s="17" t="str">
        <f t="shared" si="770"/>
        <v/>
      </c>
      <c r="N16093" s="11" t="str">
        <f t="shared" si="771"/>
        <v/>
      </c>
    </row>
    <row r="16094" spans="9:14" x14ac:dyDescent="0.25">
      <c r="I16094" s="11" t="b">
        <f t="shared" si="772"/>
        <v>0</v>
      </c>
      <c r="M16094" s="17" t="str">
        <f t="shared" si="770"/>
        <v/>
      </c>
      <c r="N16094" s="11" t="str">
        <f t="shared" si="771"/>
        <v/>
      </c>
    </row>
    <row r="16095" spans="9:14" x14ac:dyDescent="0.25">
      <c r="I16095" s="11" t="b">
        <f t="shared" si="772"/>
        <v>0</v>
      </c>
      <c r="M16095" s="17" t="str">
        <f t="shared" si="770"/>
        <v/>
      </c>
      <c r="N16095" s="11" t="str">
        <f t="shared" si="771"/>
        <v/>
      </c>
    </row>
    <row r="16096" spans="9:14" x14ac:dyDescent="0.25">
      <c r="I16096" s="11" t="b">
        <f t="shared" si="772"/>
        <v>0</v>
      </c>
      <c r="M16096" s="17" t="str">
        <f t="shared" si="770"/>
        <v/>
      </c>
      <c r="N16096" s="11" t="str">
        <f t="shared" si="771"/>
        <v/>
      </c>
    </row>
    <row r="16097" spans="9:14" x14ac:dyDescent="0.25">
      <c r="I16097" s="11" t="b">
        <f t="shared" si="772"/>
        <v>0</v>
      </c>
      <c r="M16097" s="17" t="str">
        <f t="shared" si="770"/>
        <v/>
      </c>
      <c r="N16097" s="11" t="str">
        <f t="shared" si="771"/>
        <v/>
      </c>
    </row>
    <row r="16098" spans="9:14" x14ac:dyDescent="0.25">
      <c r="I16098" s="11" t="b">
        <f t="shared" si="772"/>
        <v>0</v>
      </c>
      <c r="M16098" s="17" t="str">
        <f t="shared" si="770"/>
        <v/>
      </c>
      <c r="N16098" s="11" t="str">
        <f t="shared" si="771"/>
        <v/>
      </c>
    </row>
    <row r="16099" spans="9:14" x14ac:dyDescent="0.25">
      <c r="I16099" s="11" t="b">
        <f t="shared" si="772"/>
        <v>0</v>
      </c>
      <c r="M16099" s="17" t="str">
        <f t="shared" si="770"/>
        <v/>
      </c>
      <c r="N16099" s="11" t="str">
        <f t="shared" si="771"/>
        <v/>
      </c>
    </row>
    <row r="16100" spans="9:14" x14ac:dyDescent="0.25">
      <c r="I16100" s="11" t="b">
        <f t="shared" si="772"/>
        <v>0</v>
      </c>
      <c r="M16100" s="17" t="str">
        <f t="shared" si="770"/>
        <v/>
      </c>
      <c r="N16100" s="11" t="str">
        <f t="shared" si="771"/>
        <v/>
      </c>
    </row>
    <row r="16101" spans="9:14" x14ac:dyDescent="0.25">
      <c r="I16101" s="11" t="b">
        <f t="shared" si="772"/>
        <v>0</v>
      </c>
      <c r="M16101" s="17" t="str">
        <f t="shared" si="770"/>
        <v/>
      </c>
      <c r="N16101" s="11" t="str">
        <f t="shared" si="771"/>
        <v/>
      </c>
    </row>
    <row r="16102" spans="9:14" x14ac:dyDescent="0.25">
      <c r="I16102" s="11" t="b">
        <f t="shared" si="772"/>
        <v>0</v>
      </c>
      <c r="M16102" s="17" t="str">
        <f t="shared" si="770"/>
        <v/>
      </c>
      <c r="N16102" s="11" t="str">
        <f t="shared" si="771"/>
        <v/>
      </c>
    </row>
    <row r="16103" spans="9:14" x14ac:dyDescent="0.25">
      <c r="I16103" s="11" t="b">
        <f t="shared" si="772"/>
        <v>0</v>
      </c>
      <c r="M16103" s="17" t="str">
        <f t="shared" si="770"/>
        <v/>
      </c>
      <c r="N16103" s="11" t="str">
        <f t="shared" si="771"/>
        <v/>
      </c>
    </row>
    <row r="16104" spans="9:14" x14ac:dyDescent="0.25">
      <c r="I16104" s="11" t="b">
        <f t="shared" si="772"/>
        <v>0</v>
      </c>
      <c r="M16104" s="17" t="str">
        <f t="shared" si="770"/>
        <v/>
      </c>
      <c r="N16104" s="11" t="str">
        <f t="shared" si="771"/>
        <v/>
      </c>
    </row>
    <row r="16105" spans="9:14" x14ac:dyDescent="0.25">
      <c r="I16105" s="11" t="b">
        <f t="shared" si="772"/>
        <v>0</v>
      </c>
      <c r="M16105" s="17" t="str">
        <f t="shared" si="770"/>
        <v/>
      </c>
      <c r="N16105" s="11" t="str">
        <f t="shared" si="771"/>
        <v/>
      </c>
    </row>
    <row r="16106" spans="9:14" x14ac:dyDescent="0.25">
      <c r="I16106" s="11" t="b">
        <f t="shared" si="772"/>
        <v>0</v>
      </c>
      <c r="M16106" s="17" t="str">
        <f t="shared" si="770"/>
        <v/>
      </c>
      <c r="N16106" s="11" t="str">
        <f t="shared" si="771"/>
        <v/>
      </c>
    </row>
    <row r="16107" spans="9:14" x14ac:dyDescent="0.25">
      <c r="I16107" s="11" t="b">
        <f t="shared" si="772"/>
        <v>0</v>
      </c>
      <c r="M16107" s="17" t="str">
        <f t="shared" si="770"/>
        <v/>
      </c>
      <c r="N16107" s="11" t="str">
        <f t="shared" si="771"/>
        <v/>
      </c>
    </row>
    <row r="16108" spans="9:14" x14ac:dyDescent="0.25">
      <c r="I16108" s="11" t="b">
        <f t="shared" si="772"/>
        <v>0</v>
      </c>
      <c r="M16108" s="17" t="str">
        <f t="shared" si="770"/>
        <v/>
      </c>
      <c r="N16108" s="11" t="str">
        <f t="shared" si="771"/>
        <v/>
      </c>
    </row>
    <row r="16109" spans="9:14" x14ac:dyDescent="0.25">
      <c r="I16109" s="11" t="b">
        <f t="shared" si="772"/>
        <v>0</v>
      </c>
      <c r="M16109" s="17" t="str">
        <f t="shared" si="770"/>
        <v/>
      </c>
      <c r="N16109" s="11" t="str">
        <f t="shared" si="771"/>
        <v/>
      </c>
    </row>
    <row r="16110" spans="9:14" x14ac:dyDescent="0.25">
      <c r="I16110" s="11" t="b">
        <f t="shared" si="772"/>
        <v>0</v>
      </c>
      <c r="M16110" s="17" t="str">
        <f t="shared" si="770"/>
        <v/>
      </c>
      <c r="N16110" s="11" t="str">
        <f t="shared" si="771"/>
        <v/>
      </c>
    </row>
    <row r="16111" spans="9:14" x14ac:dyDescent="0.25">
      <c r="I16111" s="11" t="b">
        <f t="shared" si="772"/>
        <v>0</v>
      </c>
      <c r="M16111" s="17" t="str">
        <f t="shared" si="770"/>
        <v/>
      </c>
      <c r="N16111" s="11" t="str">
        <f t="shared" si="771"/>
        <v/>
      </c>
    </row>
    <row r="16112" spans="9:14" x14ac:dyDescent="0.25">
      <c r="I16112" s="11" t="b">
        <f t="shared" si="772"/>
        <v>0</v>
      </c>
      <c r="M16112" s="17" t="str">
        <f t="shared" si="770"/>
        <v/>
      </c>
      <c r="N16112" s="11" t="str">
        <f t="shared" si="771"/>
        <v/>
      </c>
    </row>
    <row r="16113" spans="9:14" x14ac:dyDescent="0.25">
      <c r="I16113" s="11" t="b">
        <f t="shared" si="772"/>
        <v>0</v>
      </c>
      <c r="M16113" s="17" t="str">
        <f t="shared" si="770"/>
        <v/>
      </c>
      <c r="N16113" s="11" t="str">
        <f t="shared" si="771"/>
        <v/>
      </c>
    </row>
    <row r="16114" spans="9:14" x14ac:dyDescent="0.25">
      <c r="I16114" s="11" t="b">
        <f t="shared" si="772"/>
        <v>0</v>
      </c>
      <c r="M16114" s="17" t="str">
        <f t="shared" si="770"/>
        <v/>
      </c>
      <c r="N16114" s="11" t="str">
        <f t="shared" si="771"/>
        <v/>
      </c>
    </row>
    <row r="16115" spans="9:14" x14ac:dyDescent="0.25">
      <c r="I16115" s="11" t="b">
        <f t="shared" si="772"/>
        <v>0</v>
      </c>
      <c r="M16115" s="17" t="str">
        <f t="shared" si="770"/>
        <v/>
      </c>
      <c r="N16115" s="11" t="str">
        <f t="shared" si="771"/>
        <v/>
      </c>
    </row>
    <row r="16116" spans="9:14" x14ac:dyDescent="0.25">
      <c r="I16116" s="11" t="b">
        <f t="shared" si="772"/>
        <v>0</v>
      </c>
      <c r="M16116" s="17" t="str">
        <f t="shared" si="770"/>
        <v/>
      </c>
      <c r="N16116" s="11" t="str">
        <f t="shared" si="771"/>
        <v/>
      </c>
    </row>
    <row r="16117" spans="9:14" x14ac:dyDescent="0.25">
      <c r="I16117" s="11" t="b">
        <f t="shared" si="772"/>
        <v>0</v>
      </c>
      <c r="M16117" s="17" t="str">
        <f t="shared" si="770"/>
        <v/>
      </c>
      <c r="N16117" s="11" t="str">
        <f t="shared" si="771"/>
        <v/>
      </c>
    </row>
    <row r="16118" spans="9:14" x14ac:dyDescent="0.25">
      <c r="I16118" s="11" t="b">
        <f t="shared" si="772"/>
        <v>0</v>
      </c>
      <c r="M16118" s="17" t="str">
        <f t="shared" si="770"/>
        <v/>
      </c>
      <c r="N16118" s="11" t="str">
        <f t="shared" si="771"/>
        <v/>
      </c>
    </row>
    <row r="16119" spans="9:14" x14ac:dyDescent="0.25">
      <c r="I16119" s="11" t="b">
        <f t="shared" si="772"/>
        <v>0</v>
      </c>
      <c r="M16119" s="17" t="str">
        <f t="shared" si="770"/>
        <v/>
      </c>
      <c r="N16119" s="11" t="str">
        <f t="shared" si="771"/>
        <v/>
      </c>
    </row>
    <row r="16120" spans="9:14" x14ac:dyDescent="0.25">
      <c r="I16120" s="11" t="b">
        <f t="shared" si="772"/>
        <v>0</v>
      </c>
      <c r="M16120" s="17" t="str">
        <f t="shared" si="770"/>
        <v/>
      </c>
      <c r="N16120" s="11" t="str">
        <f t="shared" si="771"/>
        <v/>
      </c>
    </row>
    <row r="16121" spans="9:14" x14ac:dyDescent="0.25">
      <c r="I16121" s="11" t="b">
        <f t="shared" si="772"/>
        <v>0</v>
      </c>
      <c r="M16121" s="17" t="str">
        <f t="shared" si="770"/>
        <v/>
      </c>
      <c r="N16121" s="11" t="str">
        <f t="shared" si="771"/>
        <v/>
      </c>
    </row>
    <row r="16122" spans="9:14" x14ac:dyDescent="0.25">
      <c r="I16122" s="11" t="b">
        <f t="shared" si="772"/>
        <v>0</v>
      </c>
      <c r="M16122" s="17" t="str">
        <f t="shared" si="770"/>
        <v/>
      </c>
      <c r="N16122" s="11" t="str">
        <f t="shared" si="771"/>
        <v/>
      </c>
    </row>
    <row r="16123" spans="9:14" x14ac:dyDescent="0.25">
      <c r="I16123" s="11" t="b">
        <f t="shared" si="772"/>
        <v>0</v>
      </c>
      <c r="M16123" s="17" t="str">
        <f t="shared" si="770"/>
        <v/>
      </c>
      <c r="N16123" s="11" t="str">
        <f t="shared" si="771"/>
        <v/>
      </c>
    </row>
    <row r="16124" spans="9:14" x14ac:dyDescent="0.25">
      <c r="I16124" s="11" t="b">
        <f t="shared" si="772"/>
        <v>0</v>
      </c>
      <c r="M16124" s="17" t="str">
        <f t="shared" si="770"/>
        <v/>
      </c>
      <c r="N16124" s="11" t="str">
        <f t="shared" si="771"/>
        <v/>
      </c>
    </row>
    <row r="16125" spans="9:14" x14ac:dyDescent="0.25">
      <c r="I16125" s="11" t="b">
        <f t="shared" si="772"/>
        <v>0</v>
      </c>
      <c r="M16125" s="17" t="str">
        <f t="shared" si="770"/>
        <v/>
      </c>
      <c r="N16125" s="11" t="str">
        <f t="shared" si="771"/>
        <v/>
      </c>
    </row>
    <row r="16126" spans="9:14" x14ac:dyDescent="0.25">
      <c r="I16126" s="11" t="b">
        <f t="shared" si="772"/>
        <v>0</v>
      </c>
      <c r="M16126" s="17" t="str">
        <f t="shared" si="770"/>
        <v/>
      </c>
      <c r="N16126" s="11" t="str">
        <f t="shared" si="771"/>
        <v/>
      </c>
    </row>
    <row r="16127" spans="9:14" x14ac:dyDescent="0.25">
      <c r="I16127" s="11" t="b">
        <f t="shared" si="772"/>
        <v>0</v>
      </c>
      <c r="M16127" s="17" t="str">
        <f t="shared" si="770"/>
        <v/>
      </c>
      <c r="N16127" s="11" t="str">
        <f t="shared" si="771"/>
        <v/>
      </c>
    </row>
    <row r="16128" spans="9:14" x14ac:dyDescent="0.25">
      <c r="I16128" s="11" t="b">
        <f t="shared" si="772"/>
        <v>0</v>
      </c>
      <c r="M16128" s="17" t="str">
        <f t="shared" si="770"/>
        <v/>
      </c>
      <c r="N16128" s="11" t="str">
        <f t="shared" si="771"/>
        <v/>
      </c>
    </row>
    <row r="16129" spans="9:14" x14ac:dyDescent="0.25">
      <c r="I16129" s="11" t="b">
        <f t="shared" si="772"/>
        <v>0</v>
      </c>
      <c r="M16129" s="17" t="str">
        <f t="shared" ref="M16129:M16192" si="773">IF(B16129=0, "",M16128+ J16129-K16129)</f>
        <v/>
      </c>
      <c r="N16129" s="11" t="str">
        <f t="shared" ref="N16129:N16192" si="774">IF(B16129=0, "", MONTH(B16129))</f>
        <v/>
      </c>
    </row>
    <row r="16130" spans="9:14" x14ac:dyDescent="0.25">
      <c r="I16130" s="11" t="b">
        <f t="shared" si="772"/>
        <v>0</v>
      </c>
      <c r="M16130" s="17" t="str">
        <f t="shared" si="773"/>
        <v/>
      </c>
      <c r="N16130" s="11" t="str">
        <f t="shared" si="774"/>
        <v/>
      </c>
    </row>
    <row r="16131" spans="9:14" x14ac:dyDescent="0.25">
      <c r="I16131" s="11" t="b">
        <f t="shared" si="772"/>
        <v>0</v>
      </c>
      <c r="M16131" s="17" t="str">
        <f t="shared" si="773"/>
        <v/>
      </c>
      <c r="N16131" s="11" t="str">
        <f t="shared" si="774"/>
        <v/>
      </c>
    </row>
    <row r="16132" spans="9:14" x14ac:dyDescent="0.25">
      <c r="I16132" s="11" t="b">
        <f t="shared" si="772"/>
        <v>0</v>
      </c>
      <c r="M16132" s="17" t="str">
        <f t="shared" si="773"/>
        <v/>
      </c>
      <c r="N16132" s="11" t="str">
        <f t="shared" si="774"/>
        <v/>
      </c>
    </row>
    <row r="16133" spans="9:14" x14ac:dyDescent="0.25">
      <c r="I16133" s="11" t="b">
        <f t="shared" si="772"/>
        <v>0</v>
      </c>
      <c r="M16133" s="17" t="str">
        <f t="shared" si="773"/>
        <v/>
      </c>
      <c r="N16133" s="11" t="str">
        <f t="shared" si="774"/>
        <v/>
      </c>
    </row>
    <row r="16134" spans="9:14" x14ac:dyDescent="0.25">
      <c r="I16134" s="11" t="b">
        <f t="shared" si="772"/>
        <v>0</v>
      </c>
      <c r="M16134" s="17" t="str">
        <f t="shared" si="773"/>
        <v/>
      </c>
      <c r="N16134" s="11" t="str">
        <f t="shared" si="774"/>
        <v/>
      </c>
    </row>
    <row r="16135" spans="9:14" x14ac:dyDescent="0.25">
      <c r="I16135" s="11" t="b">
        <f t="shared" si="772"/>
        <v>0</v>
      </c>
      <c r="M16135" s="17" t="str">
        <f t="shared" si="773"/>
        <v/>
      </c>
      <c r="N16135" s="11" t="str">
        <f t="shared" si="774"/>
        <v/>
      </c>
    </row>
    <row r="16136" spans="9:14" x14ac:dyDescent="0.25">
      <c r="I16136" s="11" t="b">
        <f t="shared" si="772"/>
        <v>0</v>
      </c>
      <c r="M16136" s="17" t="str">
        <f t="shared" si="773"/>
        <v/>
      </c>
      <c r="N16136" s="11" t="str">
        <f t="shared" si="774"/>
        <v/>
      </c>
    </row>
    <row r="16137" spans="9:14" x14ac:dyDescent="0.25">
      <c r="I16137" s="11" t="b">
        <f t="shared" si="772"/>
        <v>0</v>
      </c>
      <c r="M16137" s="17" t="str">
        <f t="shared" si="773"/>
        <v/>
      </c>
      <c r="N16137" s="11" t="str">
        <f t="shared" si="774"/>
        <v/>
      </c>
    </row>
    <row r="16138" spans="9:14" x14ac:dyDescent="0.25">
      <c r="I16138" s="11" t="b">
        <f t="shared" si="772"/>
        <v>0</v>
      </c>
      <c r="M16138" s="17" t="str">
        <f t="shared" si="773"/>
        <v/>
      </c>
      <c r="N16138" s="11" t="str">
        <f t="shared" si="774"/>
        <v/>
      </c>
    </row>
    <row r="16139" spans="9:14" x14ac:dyDescent="0.25">
      <c r="I16139" s="11" t="b">
        <f t="shared" si="772"/>
        <v>0</v>
      </c>
      <c r="M16139" s="17" t="str">
        <f t="shared" si="773"/>
        <v/>
      </c>
      <c r="N16139" s="11" t="str">
        <f t="shared" si="774"/>
        <v/>
      </c>
    </row>
    <row r="16140" spans="9:14" x14ac:dyDescent="0.25">
      <c r="I16140" s="11" t="b">
        <f t="shared" si="772"/>
        <v>0</v>
      </c>
      <c r="M16140" s="17" t="str">
        <f t="shared" si="773"/>
        <v/>
      </c>
      <c r="N16140" s="11" t="str">
        <f t="shared" si="774"/>
        <v/>
      </c>
    </row>
    <row r="16141" spans="9:14" x14ac:dyDescent="0.25">
      <c r="I16141" s="11" t="b">
        <f t="shared" si="772"/>
        <v>0</v>
      </c>
      <c r="M16141" s="17" t="str">
        <f t="shared" si="773"/>
        <v/>
      </c>
      <c r="N16141" s="11" t="str">
        <f t="shared" si="774"/>
        <v/>
      </c>
    </row>
    <row r="16142" spans="9:14" x14ac:dyDescent="0.25">
      <c r="I16142" s="11" t="b">
        <f t="shared" si="772"/>
        <v>0</v>
      </c>
      <c r="M16142" s="17" t="str">
        <f t="shared" si="773"/>
        <v/>
      </c>
      <c r="N16142" s="11" t="str">
        <f t="shared" si="774"/>
        <v/>
      </c>
    </row>
    <row r="16143" spans="9:14" x14ac:dyDescent="0.25">
      <c r="I16143" s="11" t="b">
        <f t="shared" si="772"/>
        <v>0</v>
      </c>
      <c r="M16143" s="17" t="str">
        <f t="shared" si="773"/>
        <v/>
      </c>
      <c r="N16143" s="11" t="str">
        <f t="shared" si="774"/>
        <v/>
      </c>
    </row>
    <row r="16144" spans="9:14" x14ac:dyDescent="0.25">
      <c r="I16144" s="11" t="b">
        <f t="shared" si="772"/>
        <v>0</v>
      </c>
      <c r="M16144" s="17" t="str">
        <f t="shared" si="773"/>
        <v/>
      </c>
      <c r="N16144" s="11" t="str">
        <f t="shared" si="774"/>
        <v/>
      </c>
    </row>
    <row r="16145" spans="9:14" x14ac:dyDescent="0.25">
      <c r="I16145" s="11" t="b">
        <f t="shared" si="772"/>
        <v>0</v>
      </c>
      <c r="M16145" s="17" t="str">
        <f t="shared" si="773"/>
        <v/>
      </c>
      <c r="N16145" s="11" t="str">
        <f t="shared" si="774"/>
        <v/>
      </c>
    </row>
    <row r="16146" spans="9:14" x14ac:dyDescent="0.25">
      <c r="I16146" s="11" t="b">
        <f t="shared" si="772"/>
        <v>0</v>
      </c>
      <c r="M16146" s="17" t="str">
        <f t="shared" si="773"/>
        <v/>
      </c>
      <c r="N16146" s="11" t="str">
        <f t="shared" si="774"/>
        <v/>
      </c>
    </row>
    <row r="16147" spans="9:14" x14ac:dyDescent="0.25">
      <c r="I16147" s="11" t="b">
        <f t="shared" si="772"/>
        <v>0</v>
      </c>
      <c r="M16147" s="17" t="str">
        <f t="shared" si="773"/>
        <v/>
      </c>
      <c r="N16147" s="11" t="str">
        <f t="shared" si="774"/>
        <v/>
      </c>
    </row>
    <row r="16148" spans="9:14" x14ac:dyDescent="0.25">
      <c r="I16148" s="11" t="b">
        <f t="shared" si="772"/>
        <v>0</v>
      </c>
      <c r="M16148" s="17" t="str">
        <f t="shared" si="773"/>
        <v/>
      </c>
      <c r="N16148" s="11" t="str">
        <f t="shared" si="774"/>
        <v/>
      </c>
    </row>
    <row r="16149" spans="9:14" x14ac:dyDescent="0.25">
      <c r="I16149" s="11" t="b">
        <f t="shared" si="772"/>
        <v>0</v>
      </c>
      <c r="M16149" s="17" t="str">
        <f t="shared" si="773"/>
        <v/>
      </c>
      <c r="N16149" s="11" t="str">
        <f t="shared" si="774"/>
        <v/>
      </c>
    </row>
    <row r="16150" spans="9:14" x14ac:dyDescent="0.25">
      <c r="I16150" s="11" t="b">
        <f t="shared" si="772"/>
        <v>0</v>
      </c>
      <c r="M16150" s="17" t="str">
        <f t="shared" si="773"/>
        <v/>
      </c>
      <c r="N16150" s="11" t="str">
        <f t="shared" si="774"/>
        <v/>
      </c>
    </row>
    <row r="16151" spans="9:14" x14ac:dyDescent="0.25">
      <c r="I16151" s="11" t="b">
        <f t="shared" si="772"/>
        <v>0</v>
      </c>
      <c r="M16151" s="17" t="str">
        <f t="shared" si="773"/>
        <v/>
      </c>
      <c r="N16151" s="11" t="str">
        <f t="shared" si="774"/>
        <v/>
      </c>
    </row>
    <row r="16152" spans="9:14" x14ac:dyDescent="0.25">
      <c r="I16152" s="11" t="b">
        <f t="shared" si="772"/>
        <v>0</v>
      </c>
      <c r="M16152" s="17" t="str">
        <f t="shared" si="773"/>
        <v/>
      </c>
      <c r="N16152" s="11" t="str">
        <f t="shared" si="774"/>
        <v/>
      </c>
    </row>
    <row r="16153" spans="9:14" x14ac:dyDescent="0.25">
      <c r="I16153" s="11" t="b">
        <f t="shared" si="772"/>
        <v>0</v>
      </c>
      <c r="M16153" s="17" t="str">
        <f t="shared" si="773"/>
        <v/>
      </c>
      <c r="N16153" s="11" t="str">
        <f t="shared" si="774"/>
        <v/>
      </c>
    </row>
    <row r="16154" spans="9:14" x14ac:dyDescent="0.25">
      <c r="I16154" s="11" t="b">
        <f t="shared" si="772"/>
        <v>0</v>
      </c>
      <c r="M16154" s="17" t="str">
        <f t="shared" si="773"/>
        <v/>
      </c>
      <c r="N16154" s="11" t="str">
        <f t="shared" si="774"/>
        <v/>
      </c>
    </row>
    <row r="16155" spans="9:14" x14ac:dyDescent="0.25">
      <c r="I16155" s="11" t="b">
        <f t="shared" si="772"/>
        <v>0</v>
      </c>
      <c r="M16155" s="17" t="str">
        <f t="shared" si="773"/>
        <v/>
      </c>
      <c r="N16155" s="11" t="str">
        <f t="shared" si="774"/>
        <v/>
      </c>
    </row>
    <row r="16156" spans="9:14" x14ac:dyDescent="0.25">
      <c r="I16156" s="11" t="b">
        <f t="shared" si="772"/>
        <v>0</v>
      </c>
      <c r="M16156" s="17" t="str">
        <f t="shared" si="773"/>
        <v/>
      </c>
      <c r="N16156" s="11" t="str">
        <f t="shared" si="774"/>
        <v/>
      </c>
    </row>
    <row r="16157" spans="9:14" x14ac:dyDescent="0.25">
      <c r="I16157" s="11" t="b">
        <f t="shared" ref="I16157:I16220" si="775">IF(AND(G16157="MERCADO PAGO",A16157="FATURAMENTO"),1,IF(AND(OR(G16157="MERCADO PAGO",G16157="pix mercado pago",G16157= "débito automático mercado pago", G16157= "boleto mercado pago"),A16157="DESPESAS"),4,IF(AND(G16157="SAFRA",A16157="FATURAMENTO"),2,IF(AND(OR(G16157="SAFRA",G16157="PIX SAFRA", G16157="DÉBITO AUTOMÁTICO SAFRA", G16157= "BOLETO SAFRA", G16157= "transferência safra"), A16157="DESPESAS"),5,IF(AND(G16157="espécie",A16157="FATURAMENTO"),3,IF(AND(G16157="espécie",A16157="DESPESAS"),6))))))</f>
        <v>0</v>
      </c>
      <c r="M16157" s="17" t="str">
        <f t="shared" si="773"/>
        <v/>
      </c>
      <c r="N16157" s="11" t="str">
        <f t="shared" si="774"/>
        <v/>
      </c>
    </row>
    <row r="16158" spans="9:14" x14ac:dyDescent="0.25">
      <c r="I16158" s="11" t="b">
        <f t="shared" si="775"/>
        <v>0</v>
      </c>
      <c r="M16158" s="17" t="str">
        <f t="shared" si="773"/>
        <v/>
      </c>
      <c r="N16158" s="11" t="str">
        <f t="shared" si="774"/>
        <v/>
      </c>
    </row>
    <row r="16159" spans="9:14" x14ac:dyDescent="0.25">
      <c r="I16159" s="11" t="b">
        <f t="shared" si="775"/>
        <v>0</v>
      </c>
      <c r="M16159" s="17" t="str">
        <f t="shared" si="773"/>
        <v/>
      </c>
      <c r="N16159" s="11" t="str">
        <f t="shared" si="774"/>
        <v/>
      </c>
    </row>
    <row r="16160" spans="9:14" x14ac:dyDescent="0.25">
      <c r="I16160" s="11" t="b">
        <f t="shared" si="775"/>
        <v>0</v>
      </c>
      <c r="M16160" s="17" t="str">
        <f t="shared" si="773"/>
        <v/>
      </c>
      <c r="N16160" s="11" t="str">
        <f t="shared" si="774"/>
        <v/>
      </c>
    </row>
    <row r="16161" spans="9:14" x14ac:dyDescent="0.25">
      <c r="I16161" s="11" t="b">
        <f t="shared" si="775"/>
        <v>0</v>
      </c>
      <c r="M16161" s="17" t="str">
        <f t="shared" si="773"/>
        <v/>
      </c>
      <c r="N16161" s="11" t="str">
        <f t="shared" si="774"/>
        <v/>
      </c>
    </row>
    <row r="16162" spans="9:14" x14ac:dyDescent="0.25">
      <c r="I16162" s="11" t="b">
        <f t="shared" si="775"/>
        <v>0</v>
      </c>
      <c r="M16162" s="17" t="str">
        <f t="shared" si="773"/>
        <v/>
      </c>
      <c r="N16162" s="11" t="str">
        <f t="shared" si="774"/>
        <v/>
      </c>
    </row>
    <row r="16163" spans="9:14" x14ac:dyDescent="0.25">
      <c r="I16163" s="11" t="b">
        <f t="shared" si="775"/>
        <v>0</v>
      </c>
      <c r="M16163" s="17" t="str">
        <f t="shared" si="773"/>
        <v/>
      </c>
      <c r="N16163" s="11" t="str">
        <f t="shared" si="774"/>
        <v/>
      </c>
    </row>
    <row r="16164" spans="9:14" x14ac:dyDescent="0.25">
      <c r="I16164" s="11" t="b">
        <f t="shared" si="775"/>
        <v>0</v>
      </c>
      <c r="M16164" s="17" t="str">
        <f t="shared" si="773"/>
        <v/>
      </c>
      <c r="N16164" s="11" t="str">
        <f t="shared" si="774"/>
        <v/>
      </c>
    </row>
    <row r="16165" spans="9:14" x14ac:dyDescent="0.25">
      <c r="I16165" s="11" t="b">
        <f t="shared" si="775"/>
        <v>0</v>
      </c>
      <c r="M16165" s="17" t="str">
        <f t="shared" si="773"/>
        <v/>
      </c>
      <c r="N16165" s="11" t="str">
        <f t="shared" si="774"/>
        <v/>
      </c>
    </row>
    <row r="16166" spans="9:14" x14ac:dyDescent="0.25">
      <c r="I16166" s="11" t="b">
        <f t="shared" si="775"/>
        <v>0</v>
      </c>
      <c r="M16166" s="17" t="str">
        <f t="shared" si="773"/>
        <v/>
      </c>
      <c r="N16166" s="11" t="str">
        <f t="shared" si="774"/>
        <v/>
      </c>
    </row>
    <row r="16167" spans="9:14" x14ac:dyDescent="0.25">
      <c r="I16167" s="11" t="b">
        <f t="shared" si="775"/>
        <v>0</v>
      </c>
      <c r="M16167" s="17" t="str">
        <f t="shared" si="773"/>
        <v/>
      </c>
      <c r="N16167" s="11" t="str">
        <f t="shared" si="774"/>
        <v/>
      </c>
    </row>
    <row r="16168" spans="9:14" x14ac:dyDescent="0.25">
      <c r="I16168" s="11" t="b">
        <f t="shared" si="775"/>
        <v>0</v>
      </c>
      <c r="M16168" s="17" t="str">
        <f t="shared" si="773"/>
        <v/>
      </c>
      <c r="N16168" s="11" t="str">
        <f t="shared" si="774"/>
        <v/>
      </c>
    </row>
    <row r="16169" spans="9:14" x14ac:dyDescent="0.25">
      <c r="I16169" s="11" t="b">
        <f t="shared" si="775"/>
        <v>0</v>
      </c>
      <c r="M16169" s="17" t="str">
        <f t="shared" si="773"/>
        <v/>
      </c>
      <c r="N16169" s="11" t="str">
        <f t="shared" si="774"/>
        <v/>
      </c>
    </row>
    <row r="16170" spans="9:14" x14ac:dyDescent="0.25">
      <c r="I16170" s="11" t="b">
        <f t="shared" si="775"/>
        <v>0</v>
      </c>
      <c r="M16170" s="17" t="str">
        <f t="shared" si="773"/>
        <v/>
      </c>
      <c r="N16170" s="11" t="str">
        <f t="shared" si="774"/>
        <v/>
      </c>
    </row>
    <row r="16171" spans="9:14" x14ac:dyDescent="0.25">
      <c r="I16171" s="11" t="b">
        <f t="shared" si="775"/>
        <v>0</v>
      </c>
      <c r="M16171" s="17" t="str">
        <f t="shared" si="773"/>
        <v/>
      </c>
      <c r="N16171" s="11" t="str">
        <f t="shared" si="774"/>
        <v/>
      </c>
    </row>
    <row r="16172" spans="9:14" x14ac:dyDescent="0.25">
      <c r="I16172" s="11" t="b">
        <f t="shared" si="775"/>
        <v>0</v>
      </c>
      <c r="M16172" s="17" t="str">
        <f t="shared" si="773"/>
        <v/>
      </c>
      <c r="N16172" s="11" t="str">
        <f t="shared" si="774"/>
        <v/>
      </c>
    </row>
    <row r="16173" spans="9:14" x14ac:dyDescent="0.25">
      <c r="I16173" s="11" t="b">
        <f t="shared" si="775"/>
        <v>0</v>
      </c>
      <c r="M16173" s="17" t="str">
        <f t="shared" si="773"/>
        <v/>
      </c>
      <c r="N16173" s="11" t="str">
        <f t="shared" si="774"/>
        <v/>
      </c>
    </row>
    <row r="16174" spans="9:14" x14ac:dyDescent="0.25">
      <c r="I16174" s="11" t="b">
        <f t="shared" si="775"/>
        <v>0</v>
      </c>
      <c r="M16174" s="17" t="str">
        <f t="shared" si="773"/>
        <v/>
      </c>
      <c r="N16174" s="11" t="str">
        <f t="shared" si="774"/>
        <v/>
      </c>
    </row>
    <row r="16175" spans="9:14" x14ac:dyDescent="0.25">
      <c r="I16175" s="11" t="b">
        <f t="shared" si="775"/>
        <v>0</v>
      </c>
      <c r="M16175" s="17" t="str">
        <f t="shared" si="773"/>
        <v/>
      </c>
      <c r="N16175" s="11" t="str">
        <f t="shared" si="774"/>
        <v/>
      </c>
    </row>
    <row r="16176" spans="9:14" x14ac:dyDescent="0.25">
      <c r="I16176" s="11" t="b">
        <f t="shared" si="775"/>
        <v>0</v>
      </c>
      <c r="M16176" s="17" t="str">
        <f t="shared" si="773"/>
        <v/>
      </c>
      <c r="N16176" s="11" t="str">
        <f t="shared" si="774"/>
        <v/>
      </c>
    </row>
    <row r="16177" spans="9:14" x14ac:dyDescent="0.25">
      <c r="I16177" s="11" t="b">
        <f t="shared" si="775"/>
        <v>0</v>
      </c>
      <c r="M16177" s="17" t="str">
        <f t="shared" si="773"/>
        <v/>
      </c>
      <c r="N16177" s="11" t="str">
        <f t="shared" si="774"/>
        <v/>
      </c>
    </row>
    <row r="16178" spans="9:14" x14ac:dyDescent="0.25">
      <c r="I16178" s="11" t="b">
        <f t="shared" si="775"/>
        <v>0</v>
      </c>
      <c r="M16178" s="17" t="str">
        <f t="shared" si="773"/>
        <v/>
      </c>
      <c r="N16178" s="11" t="str">
        <f t="shared" si="774"/>
        <v/>
      </c>
    </row>
    <row r="16179" spans="9:14" x14ac:dyDescent="0.25">
      <c r="I16179" s="11" t="b">
        <f t="shared" si="775"/>
        <v>0</v>
      </c>
      <c r="M16179" s="17" t="str">
        <f t="shared" si="773"/>
        <v/>
      </c>
      <c r="N16179" s="11" t="str">
        <f t="shared" si="774"/>
        <v/>
      </c>
    </row>
    <row r="16180" spans="9:14" x14ac:dyDescent="0.25">
      <c r="I16180" s="11" t="b">
        <f t="shared" si="775"/>
        <v>0</v>
      </c>
      <c r="M16180" s="17" t="str">
        <f t="shared" si="773"/>
        <v/>
      </c>
      <c r="N16180" s="11" t="str">
        <f t="shared" si="774"/>
        <v/>
      </c>
    </row>
    <row r="16181" spans="9:14" x14ac:dyDescent="0.25">
      <c r="I16181" s="11" t="b">
        <f t="shared" si="775"/>
        <v>0</v>
      </c>
      <c r="M16181" s="17" t="str">
        <f t="shared" si="773"/>
        <v/>
      </c>
      <c r="N16181" s="11" t="str">
        <f t="shared" si="774"/>
        <v/>
      </c>
    </row>
    <row r="16182" spans="9:14" x14ac:dyDescent="0.25">
      <c r="I16182" s="11" t="b">
        <f t="shared" si="775"/>
        <v>0</v>
      </c>
      <c r="M16182" s="17" t="str">
        <f t="shared" si="773"/>
        <v/>
      </c>
      <c r="N16182" s="11" t="str">
        <f t="shared" si="774"/>
        <v/>
      </c>
    </row>
    <row r="16183" spans="9:14" x14ac:dyDescent="0.25">
      <c r="I16183" s="11" t="b">
        <f t="shared" si="775"/>
        <v>0</v>
      </c>
      <c r="M16183" s="17" t="str">
        <f t="shared" si="773"/>
        <v/>
      </c>
      <c r="N16183" s="11" t="str">
        <f t="shared" si="774"/>
        <v/>
      </c>
    </row>
    <row r="16184" spans="9:14" x14ac:dyDescent="0.25">
      <c r="I16184" s="11" t="b">
        <f t="shared" si="775"/>
        <v>0</v>
      </c>
      <c r="M16184" s="17" t="str">
        <f t="shared" si="773"/>
        <v/>
      </c>
      <c r="N16184" s="11" t="str">
        <f t="shared" si="774"/>
        <v/>
      </c>
    </row>
    <row r="16185" spans="9:14" x14ac:dyDescent="0.25">
      <c r="I16185" s="11" t="b">
        <f t="shared" si="775"/>
        <v>0</v>
      </c>
      <c r="M16185" s="17" t="str">
        <f t="shared" si="773"/>
        <v/>
      </c>
      <c r="N16185" s="11" t="str">
        <f t="shared" si="774"/>
        <v/>
      </c>
    </row>
    <row r="16186" spans="9:14" x14ac:dyDescent="0.25">
      <c r="I16186" s="11" t="b">
        <f t="shared" si="775"/>
        <v>0</v>
      </c>
      <c r="M16186" s="17" t="str">
        <f t="shared" si="773"/>
        <v/>
      </c>
      <c r="N16186" s="11" t="str">
        <f t="shared" si="774"/>
        <v/>
      </c>
    </row>
    <row r="16187" spans="9:14" x14ac:dyDescent="0.25">
      <c r="I16187" s="11" t="b">
        <f t="shared" si="775"/>
        <v>0</v>
      </c>
      <c r="M16187" s="17" t="str">
        <f t="shared" si="773"/>
        <v/>
      </c>
      <c r="N16187" s="11" t="str">
        <f t="shared" si="774"/>
        <v/>
      </c>
    </row>
    <row r="16188" spans="9:14" x14ac:dyDescent="0.25">
      <c r="I16188" s="11" t="b">
        <f t="shared" si="775"/>
        <v>0</v>
      </c>
      <c r="M16188" s="17" t="str">
        <f t="shared" si="773"/>
        <v/>
      </c>
      <c r="N16188" s="11" t="str">
        <f t="shared" si="774"/>
        <v/>
      </c>
    </row>
    <row r="16189" spans="9:14" x14ac:dyDescent="0.25">
      <c r="I16189" s="11" t="b">
        <f t="shared" si="775"/>
        <v>0</v>
      </c>
      <c r="M16189" s="17" t="str">
        <f t="shared" si="773"/>
        <v/>
      </c>
      <c r="N16189" s="11" t="str">
        <f t="shared" si="774"/>
        <v/>
      </c>
    </row>
    <row r="16190" spans="9:14" x14ac:dyDescent="0.25">
      <c r="I16190" s="11" t="b">
        <f t="shared" si="775"/>
        <v>0</v>
      </c>
      <c r="M16190" s="17" t="str">
        <f t="shared" si="773"/>
        <v/>
      </c>
      <c r="N16190" s="11" t="str">
        <f t="shared" si="774"/>
        <v/>
      </c>
    </row>
    <row r="16191" spans="9:14" x14ac:dyDescent="0.25">
      <c r="I16191" s="11" t="b">
        <f t="shared" si="775"/>
        <v>0</v>
      </c>
      <c r="M16191" s="17" t="str">
        <f t="shared" si="773"/>
        <v/>
      </c>
      <c r="N16191" s="11" t="str">
        <f t="shared" si="774"/>
        <v/>
      </c>
    </row>
    <row r="16192" spans="9:14" x14ac:dyDescent="0.25">
      <c r="I16192" s="11" t="b">
        <f t="shared" si="775"/>
        <v>0</v>
      </c>
      <c r="M16192" s="17" t="str">
        <f t="shared" si="773"/>
        <v/>
      </c>
      <c r="N16192" s="11" t="str">
        <f t="shared" si="774"/>
        <v/>
      </c>
    </row>
    <row r="16193" spans="9:14" x14ac:dyDescent="0.25">
      <c r="I16193" s="11" t="b">
        <f t="shared" si="775"/>
        <v>0</v>
      </c>
      <c r="M16193" s="17" t="str">
        <f t="shared" ref="M16193:M16256" si="776">IF(B16193=0, "",M16192+ J16193-K16193)</f>
        <v/>
      </c>
      <c r="N16193" s="11" t="str">
        <f t="shared" ref="N16193:N16256" si="777">IF(B16193=0, "", MONTH(B16193))</f>
        <v/>
      </c>
    </row>
    <row r="16194" spans="9:14" x14ac:dyDescent="0.25">
      <c r="I16194" s="11" t="b">
        <f t="shared" si="775"/>
        <v>0</v>
      </c>
      <c r="M16194" s="17" t="str">
        <f t="shared" si="776"/>
        <v/>
      </c>
      <c r="N16194" s="11" t="str">
        <f t="shared" si="777"/>
        <v/>
      </c>
    </row>
    <row r="16195" spans="9:14" x14ac:dyDescent="0.25">
      <c r="I16195" s="11" t="b">
        <f t="shared" si="775"/>
        <v>0</v>
      </c>
      <c r="M16195" s="17" t="str">
        <f t="shared" si="776"/>
        <v/>
      </c>
      <c r="N16195" s="11" t="str">
        <f t="shared" si="777"/>
        <v/>
      </c>
    </row>
    <row r="16196" spans="9:14" x14ac:dyDescent="0.25">
      <c r="I16196" s="11" t="b">
        <f t="shared" si="775"/>
        <v>0</v>
      </c>
      <c r="M16196" s="17" t="str">
        <f t="shared" si="776"/>
        <v/>
      </c>
      <c r="N16196" s="11" t="str">
        <f t="shared" si="777"/>
        <v/>
      </c>
    </row>
    <row r="16197" spans="9:14" x14ac:dyDescent="0.25">
      <c r="I16197" s="11" t="b">
        <f t="shared" si="775"/>
        <v>0</v>
      </c>
      <c r="M16197" s="17" t="str">
        <f t="shared" si="776"/>
        <v/>
      </c>
      <c r="N16197" s="11" t="str">
        <f t="shared" si="777"/>
        <v/>
      </c>
    </row>
    <row r="16198" spans="9:14" x14ac:dyDescent="0.25">
      <c r="I16198" s="11" t="b">
        <f t="shared" si="775"/>
        <v>0</v>
      </c>
      <c r="M16198" s="17" t="str">
        <f t="shared" si="776"/>
        <v/>
      </c>
      <c r="N16198" s="11" t="str">
        <f t="shared" si="777"/>
        <v/>
      </c>
    </row>
    <row r="16199" spans="9:14" x14ac:dyDescent="0.25">
      <c r="I16199" s="11" t="b">
        <f t="shared" si="775"/>
        <v>0</v>
      </c>
      <c r="M16199" s="17" t="str">
        <f t="shared" si="776"/>
        <v/>
      </c>
      <c r="N16199" s="11" t="str">
        <f t="shared" si="777"/>
        <v/>
      </c>
    </row>
    <row r="16200" spans="9:14" x14ac:dyDescent="0.25">
      <c r="I16200" s="11" t="b">
        <f t="shared" si="775"/>
        <v>0</v>
      </c>
      <c r="M16200" s="17" t="str">
        <f t="shared" si="776"/>
        <v/>
      </c>
      <c r="N16200" s="11" t="str">
        <f t="shared" si="777"/>
        <v/>
      </c>
    </row>
    <row r="16201" spans="9:14" x14ac:dyDescent="0.25">
      <c r="I16201" s="11" t="b">
        <f t="shared" si="775"/>
        <v>0</v>
      </c>
      <c r="M16201" s="17" t="str">
        <f t="shared" si="776"/>
        <v/>
      </c>
      <c r="N16201" s="11" t="str">
        <f t="shared" si="777"/>
        <v/>
      </c>
    </row>
    <row r="16202" spans="9:14" x14ac:dyDescent="0.25">
      <c r="I16202" s="11" t="b">
        <f t="shared" si="775"/>
        <v>0</v>
      </c>
      <c r="M16202" s="17" t="str">
        <f t="shared" si="776"/>
        <v/>
      </c>
      <c r="N16202" s="11" t="str">
        <f t="shared" si="777"/>
        <v/>
      </c>
    </row>
    <row r="16203" spans="9:14" x14ac:dyDescent="0.25">
      <c r="I16203" s="11" t="b">
        <f t="shared" si="775"/>
        <v>0</v>
      </c>
      <c r="M16203" s="17" t="str">
        <f t="shared" si="776"/>
        <v/>
      </c>
      <c r="N16203" s="11" t="str">
        <f t="shared" si="777"/>
        <v/>
      </c>
    </row>
    <row r="16204" spans="9:14" x14ac:dyDescent="0.25">
      <c r="I16204" s="11" t="b">
        <f t="shared" si="775"/>
        <v>0</v>
      </c>
      <c r="M16204" s="17" t="str">
        <f t="shared" si="776"/>
        <v/>
      </c>
      <c r="N16204" s="11" t="str">
        <f t="shared" si="777"/>
        <v/>
      </c>
    </row>
    <row r="16205" spans="9:14" x14ac:dyDescent="0.25">
      <c r="I16205" s="11" t="b">
        <f t="shared" si="775"/>
        <v>0</v>
      </c>
      <c r="M16205" s="17" t="str">
        <f t="shared" si="776"/>
        <v/>
      </c>
      <c r="N16205" s="11" t="str">
        <f t="shared" si="777"/>
        <v/>
      </c>
    </row>
    <row r="16206" spans="9:14" x14ac:dyDescent="0.25">
      <c r="I16206" s="11" t="b">
        <f t="shared" si="775"/>
        <v>0</v>
      </c>
      <c r="M16206" s="17" t="str">
        <f t="shared" si="776"/>
        <v/>
      </c>
      <c r="N16206" s="11" t="str">
        <f t="shared" si="777"/>
        <v/>
      </c>
    </row>
    <row r="16207" spans="9:14" x14ac:dyDescent="0.25">
      <c r="I16207" s="11" t="b">
        <f t="shared" si="775"/>
        <v>0</v>
      </c>
      <c r="M16207" s="17" t="str">
        <f t="shared" si="776"/>
        <v/>
      </c>
      <c r="N16207" s="11" t="str">
        <f t="shared" si="777"/>
        <v/>
      </c>
    </row>
    <row r="16208" spans="9:14" x14ac:dyDescent="0.25">
      <c r="I16208" s="11" t="b">
        <f t="shared" si="775"/>
        <v>0</v>
      </c>
      <c r="M16208" s="17" t="str">
        <f t="shared" si="776"/>
        <v/>
      </c>
      <c r="N16208" s="11" t="str">
        <f t="shared" si="777"/>
        <v/>
      </c>
    </row>
    <row r="16209" spans="9:14" x14ac:dyDescent="0.25">
      <c r="I16209" s="11" t="b">
        <f t="shared" si="775"/>
        <v>0</v>
      </c>
      <c r="M16209" s="17" t="str">
        <f t="shared" si="776"/>
        <v/>
      </c>
      <c r="N16209" s="11" t="str">
        <f t="shared" si="777"/>
        <v/>
      </c>
    </row>
    <row r="16210" spans="9:14" x14ac:dyDescent="0.25">
      <c r="I16210" s="11" t="b">
        <f t="shared" si="775"/>
        <v>0</v>
      </c>
      <c r="M16210" s="17" t="str">
        <f t="shared" si="776"/>
        <v/>
      </c>
      <c r="N16210" s="11" t="str">
        <f t="shared" si="777"/>
        <v/>
      </c>
    </row>
    <row r="16211" spans="9:14" x14ac:dyDescent="0.25">
      <c r="I16211" s="11" t="b">
        <f t="shared" si="775"/>
        <v>0</v>
      </c>
      <c r="M16211" s="17" t="str">
        <f t="shared" si="776"/>
        <v/>
      </c>
      <c r="N16211" s="11" t="str">
        <f t="shared" si="777"/>
        <v/>
      </c>
    </row>
    <row r="16212" spans="9:14" x14ac:dyDescent="0.25">
      <c r="I16212" s="11" t="b">
        <f t="shared" si="775"/>
        <v>0</v>
      </c>
      <c r="M16212" s="17" t="str">
        <f t="shared" si="776"/>
        <v/>
      </c>
      <c r="N16212" s="11" t="str">
        <f t="shared" si="777"/>
        <v/>
      </c>
    </row>
    <row r="16213" spans="9:14" x14ac:dyDescent="0.25">
      <c r="I16213" s="11" t="b">
        <f t="shared" si="775"/>
        <v>0</v>
      </c>
      <c r="M16213" s="17" t="str">
        <f t="shared" si="776"/>
        <v/>
      </c>
      <c r="N16213" s="11" t="str">
        <f t="shared" si="777"/>
        <v/>
      </c>
    </row>
    <row r="16214" spans="9:14" x14ac:dyDescent="0.25">
      <c r="I16214" s="11" t="b">
        <f t="shared" si="775"/>
        <v>0</v>
      </c>
      <c r="M16214" s="17" t="str">
        <f t="shared" si="776"/>
        <v/>
      </c>
      <c r="N16214" s="11" t="str">
        <f t="shared" si="777"/>
        <v/>
      </c>
    </row>
    <row r="16215" spans="9:14" x14ac:dyDescent="0.25">
      <c r="I16215" s="11" t="b">
        <f t="shared" si="775"/>
        <v>0</v>
      </c>
      <c r="M16215" s="17" t="str">
        <f t="shared" si="776"/>
        <v/>
      </c>
      <c r="N16215" s="11" t="str">
        <f t="shared" si="777"/>
        <v/>
      </c>
    </row>
    <row r="16216" spans="9:14" x14ac:dyDescent="0.25">
      <c r="I16216" s="11" t="b">
        <f t="shared" si="775"/>
        <v>0</v>
      </c>
      <c r="M16216" s="17" t="str">
        <f t="shared" si="776"/>
        <v/>
      </c>
      <c r="N16216" s="11" t="str">
        <f t="shared" si="777"/>
        <v/>
      </c>
    </row>
    <row r="16217" spans="9:14" x14ac:dyDescent="0.25">
      <c r="I16217" s="11" t="b">
        <f t="shared" si="775"/>
        <v>0</v>
      </c>
      <c r="M16217" s="17" t="str">
        <f t="shared" si="776"/>
        <v/>
      </c>
      <c r="N16217" s="11" t="str">
        <f t="shared" si="777"/>
        <v/>
      </c>
    </row>
    <row r="16218" spans="9:14" x14ac:dyDescent="0.25">
      <c r="I16218" s="11" t="b">
        <f t="shared" si="775"/>
        <v>0</v>
      </c>
      <c r="M16218" s="17" t="str">
        <f t="shared" si="776"/>
        <v/>
      </c>
      <c r="N16218" s="11" t="str">
        <f t="shared" si="777"/>
        <v/>
      </c>
    </row>
    <row r="16219" spans="9:14" x14ac:dyDescent="0.25">
      <c r="I16219" s="11" t="b">
        <f t="shared" si="775"/>
        <v>0</v>
      </c>
      <c r="M16219" s="17" t="str">
        <f t="shared" si="776"/>
        <v/>
      </c>
      <c r="N16219" s="11" t="str">
        <f t="shared" si="777"/>
        <v/>
      </c>
    </row>
    <row r="16220" spans="9:14" x14ac:dyDescent="0.25">
      <c r="I16220" s="11" t="b">
        <f t="shared" si="775"/>
        <v>0</v>
      </c>
      <c r="M16220" s="17" t="str">
        <f t="shared" si="776"/>
        <v/>
      </c>
      <c r="N16220" s="11" t="str">
        <f t="shared" si="777"/>
        <v/>
      </c>
    </row>
    <row r="16221" spans="9:14" x14ac:dyDescent="0.25">
      <c r="I16221" s="11" t="b">
        <f t="shared" ref="I16221:I16284" si="778">IF(AND(G16221="MERCADO PAGO",A16221="FATURAMENTO"),1,IF(AND(OR(G16221="MERCADO PAGO",G16221="pix mercado pago",G16221= "débito automático mercado pago", G16221= "boleto mercado pago"),A16221="DESPESAS"),4,IF(AND(G16221="SAFRA",A16221="FATURAMENTO"),2,IF(AND(OR(G16221="SAFRA",G16221="PIX SAFRA", G16221="DÉBITO AUTOMÁTICO SAFRA", G16221= "BOLETO SAFRA", G16221= "transferência safra"), A16221="DESPESAS"),5,IF(AND(G16221="espécie",A16221="FATURAMENTO"),3,IF(AND(G16221="espécie",A16221="DESPESAS"),6))))))</f>
        <v>0</v>
      </c>
      <c r="M16221" s="17" t="str">
        <f t="shared" si="776"/>
        <v/>
      </c>
      <c r="N16221" s="11" t="str">
        <f t="shared" si="777"/>
        <v/>
      </c>
    </row>
    <row r="16222" spans="9:14" x14ac:dyDescent="0.25">
      <c r="I16222" s="11" t="b">
        <f t="shared" si="778"/>
        <v>0</v>
      </c>
      <c r="M16222" s="17" t="str">
        <f t="shared" si="776"/>
        <v/>
      </c>
      <c r="N16222" s="11" t="str">
        <f t="shared" si="777"/>
        <v/>
      </c>
    </row>
    <row r="16223" spans="9:14" x14ac:dyDescent="0.25">
      <c r="I16223" s="11" t="b">
        <f t="shared" si="778"/>
        <v>0</v>
      </c>
      <c r="M16223" s="17" t="str">
        <f t="shared" si="776"/>
        <v/>
      </c>
      <c r="N16223" s="11" t="str">
        <f t="shared" si="777"/>
        <v/>
      </c>
    </row>
    <row r="16224" spans="9:14" x14ac:dyDescent="0.25">
      <c r="I16224" s="11" t="b">
        <f t="shared" si="778"/>
        <v>0</v>
      </c>
      <c r="M16224" s="17" t="str">
        <f t="shared" si="776"/>
        <v/>
      </c>
      <c r="N16224" s="11" t="str">
        <f t="shared" si="777"/>
        <v/>
      </c>
    </row>
    <row r="16225" spans="9:14" x14ac:dyDescent="0.25">
      <c r="I16225" s="11" t="b">
        <f t="shared" si="778"/>
        <v>0</v>
      </c>
      <c r="M16225" s="17" t="str">
        <f t="shared" si="776"/>
        <v/>
      </c>
      <c r="N16225" s="11" t="str">
        <f t="shared" si="777"/>
        <v/>
      </c>
    </row>
    <row r="16226" spans="9:14" x14ac:dyDescent="0.25">
      <c r="I16226" s="11" t="b">
        <f t="shared" si="778"/>
        <v>0</v>
      </c>
      <c r="M16226" s="17" t="str">
        <f t="shared" si="776"/>
        <v/>
      </c>
      <c r="N16226" s="11" t="str">
        <f t="shared" si="777"/>
        <v/>
      </c>
    </row>
    <row r="16227" spans="9:14" x14ac:dyDescent="0.25">
      <c r="I16227" s="11" t="b">
        <f t="shared" si="778"/>
        <v>0</v>
      </c>
      <c r="M16227" s="17" t="str">
        <f t="shared" si="776"/>
        <v/>
      </c>
      <c r="N16227" s="11" t="str">
        <f t="shared" si="777"/>
        <v/>
      </c>
    </row>
    <row r="16228" spans="9:14" x14ac:dyDescent="0.25">
      <c r="I16228" s="11" t="b">
        <f t="shared" si="778"/>
        <v>0</v>
      </c>
      <c r="M16228" s="17" t="str">
        <f t="shared" si="776"/>
        <v/>
      </c>
      <c r="N16228" s="11" t="str">
        <f t="shared" si="777"/>
        <v/>
      </c>
    </row>
    <row r="16229" spans="9:14" x14ac:dyDescent="0.25">
      <c r="I16229" s="11" t="b">
        <f t="shared" si="778"/>
        <v>0</v>
      </c>
      <c r="M16229" s="17" t="str">
        <f t="shared" si="776"/>
        <v/>
      </c>
      <c r="N16229" s="11" t="str">
        <f t="shared" si="777"/>
        <v/>
      </c>
    </row>
    <row r="16230" spans="9:14" x14ac:dyDescent="0.25">
      <c r="I16230" s="11" t="b">
        <f t="shared" si="778"/>
        <v>0</v>
      </c>
      <c r="M16230" s="17" t="str">
        <f t="shared" si="776"/>
        <v/>
      </c>
      <c r="N16230" s="11" t="str">
        <f t="shared" si="777"/>
        <v/>
      </c>
    </row>
    <row r="16231" spans="9:14" x14ac:dyDescent="0.25">
      <c r="I16231" s="11" t="b">
        <f t="shared" si="778"/>
        <v>0</v>
      </c>
      <c r="M16231" s="17" t="str">
        <f t="shared" si="776"/>
        <v/>
      </c>
      <c r="N16231" s="11" t="str">
        <f t="shared" si="777"/>
        <v/>
      </c>
    </row>
    <row r="16232" spans="9:14" x14ac:dyDescent="0.25">
      <c r="I16232" s="11" t="b">
        <f t="shared" si="778"/>
        <v>0</v>
      </c>
      <c r="M16232" s="17" t="str">
        <f t="shared" si="776"/>
        <v/>
      </c>
      <c r="N16232" s="11" t="str">
        <f t="shared" si="777"/>
        <v/>
      </c>
    </row>
    <row r="16233" spans="9:14" x14ac:dyDescent="0.25">
      <c r="I16233" s="11" t="b">
        <f t="shared" si="778"/>
        <v>0</v>
      </c>
      <c r="M16233" s="17" t="str">
        <f t="shared" si="776"/>
        <v/>
      </c>
      <c r="N16233" s="11" t="str">
        <f t="shared" si="777"/>
        <v/>
      </c>
    </row>
    <row r="16234" spans="9:14" x14ac:dyDescent="0.25">
      <c r="I16234" s="11" t="b">
        <f t="shared" si="778"/>
        <v>0</v>
      </c>
      <c r="M16234" s="17" t="str">
        <f t="shared" si="776"/>
        <v/>
      </c>
      <c r="N16234" s="11" t="str">
        <f t="shared" si="777"/>
        <v/>
      </c>
    </row>
    <row r="16235" spans="9:14" x14ac:dyDescent="0.25">
      <c r="I16235" s="11" t="b">
        <f t="shared" si="778"/>
        <v>0</v>
      </c>
      <c r="M16235" s="17" t="str">
        <f t="shared" si="776"/>
        <v/>
      </c>
      <c r="N16235" s="11" t="str">
        <f t="shared" si="777"/>
        <v/>
      </c>
    </row>
    <row r="16236" spans="9:14" x14ac:dyDescent="0.25">
      <c r="I16236" s="11" t="b">
        <f t="shared" si="778"/>
        <v>0</v>
      </c>
      <c r="M16236" s="17" t="str">
        <f t="shared" si="776"/>
        <v/>
      </c>
      <c r="N16236" s="11" t="str">
        <f t="shared" si="777"/>
        <v/>
      </c>
    </row>
    <row r="16237" spans="9:14" x14ac:dyDescent="0.25">
      <c r="I16237" s="11" t="b">
        <f t="shared" si="778"/>
        <v>0</v>
      </c>
      <c r="M16237" s="17" t="str">
        <f t="shared" si="776"/>
        <v/>
      </c>
      <c r="N16237" s="11" t="str">
        <f t="shared" si="777"/>
        <v/>
      </c>
    </row>
    <row r="16238" spans="9:14" x14ac:dyDescent="0.25">
      <c r="I16238" s="11" t="b">
        <f t="shared" si="778"/>
        <v>0</v>
      </c>
      <c r="M16238" s="17" t="str">
        <f t="shared" si="776"/>
        <v/>
      </c>
      <c r="N16238" s="11" t="str">
        <f t="shared" si="777"/>
        <v/>
      </c>
    </row>
    <row r="16239" spans="9:14" x14ac:dyDescent="0.25">
      <c r="I16239" s="11" t="b">
        <f t="shared" si="778"/>
        <v>0</v>
      </c>
      <c r="M16239" s="17" t="str">
        <f t="shared" si="776"/>
        <v/>
      </c>
      <c r="N16239" s="11" t="str">
        <f t="shared" si="777"/>
        <v/>
      </c>
    </row>
    <row r="16240" spans="9:14" x14ac:dyDescent="0.25">
      <c r="I16240" s="11" t="b">
        <f t="shared" si="778"/>
        <v>0</v>
      </c>
      <c r="M16240" s="17" t="str">
        <f t="shared" si="776"/>
        <v/>
      </c>
      <c r="N16240" s="11" t="str">
        <f t="shared" si="777"/>
        <v/>
      </c>
    </row>
    <row r="16241" spans="9:14" x14ac:dyDescent="0.25">
      <c r="I16241" s="11" t="b">
        <f t="shared" si="778"/>
        <v>0</v>
      </c>
      <c r="M16241" s="17" t="str">
        <f t="shared" si="776"/>
        <v/>
      </c>
      <c r="N16241" s="11" t="str">
        <f t="shared" si="777"/>
        <v/>
      </c>
    </row>
    <row r="16242" spans="9:14" x14ac:dyDescent="0.25">
      <c r="I16242" s="11" t="b">
        <f t="shared" si="778"/>
        <v>0</v>
      </c>
      <c r="M16242" s="17" t="str">
        <f t="shared" si="776"/>
        <v/>
      </c>
      <c r="N16242" s="11" t="str">
        <f t="shared" si="777"/>
        <v/>
      </c>
    </row>
    <row r="16243" spans="9:14" x14ac:dyDescent="0.25">
      <c r="I16243" s="11" t="b">
        <f t="shared" si="778"/>
        <v>0</v>
      </c>
      <c r="M16243" s="17" t="str">
        <f t="shared" si="776"/>
        <v/>
      </c>
      <c r="N16243" s="11" t="str">
        <f t="shared" si="777"/>
        <v/>
      </c>
    </row>
    <row r="16244" spans="9:14" x14ac:dyDescent="0.25">
      <c r="I16244" s="11" t="b">
        <f t="shared" si="778"/>
        <v>0</v>
      </c>
      <c r="M16244" s="17" t="str">
        <f t="shared" si="776"/>
        <v/>
      </c>
      <c r="N16244" s="11" t="str">
        <f t="shared" si="777"/>
        <v/>
      </c>
    </row>
    <row r="16245" spans="9:14" x14ac:dyDescent="0.25">
      <c r="I16245" s="11" t="b">
        <f t="shared" si="778"/>
        <v>0</v>
      </c>
      <c r="M16245" s="17" t="str">
        <f t="shared" si="776"/>
        <v/>
      </c>
      <c r="N16245" s="11" t="str">
        <f t="shared" si="777"/>
        <v/>
      </c>
    </row>
    <row r="16246" spans="9:14" x14ac:dyDescent="0.25">
      <c r="I16246" s="11" t="b">
        <f t="shared" si="778"/>
        <v>0</v>
      </c>
      <c r="M16246" s="17" t="str">
        <f t="shared" si="776"/>
        <v/>
      </c>
      <c r="N16246" s="11" t="str">
        <f t="shared" si="777"/>
        <v/>
      </c>
    </row>
    <row r="16247" spans="9:14" x14ac:dyDescent="0.25">
      <c r="I16247" s="11" t="b">
        <f t="shared" si="778"/>
        <v>0</v>
      </c>
      <c r="M16247" s="17" t="str">
        <f t="shared" si="776"/>
        <v/>
      </c>
      <c r="N16247" s="11" t="str">
        <f t="shared" si="777"/>
        <v/>
      </c>
    </row>
    <row r="16248" spans="9:14" x14ac:dyDescent="0.25">
      <c r="I16248" s="11" t="b">
        <f t="shared" si="778"/>
        <v>0</v>
      </c>
      <c r="M16248" s="17" t="str">
        <f t="shared" si="776"/>
        <v/>
      </c>
      <c r="N16248" s="11" t="str">
        <f t="shared" si="777"/>
        <v/>
      </c>
    </row>
    <row r="16249" spans="9:14" x14ac:dyDescent="0.25">
      <c r="I16249" s="11" t="b">
        <f t="shared" si="778"/>
        <v>0</v>
      </c>
      <c r="M16249" s="17" t="str">
        <f t="shared" si="776"/>
        <v/>
      </c>
      <c r="N16249" s="11" t="str">
        <f t="shared" si="777"/>
        <v/>
      </c>
    </row>
    <row r="16250" spans="9:14" x14ac:dyDescent="0.25">
      <c r="I16250" s="11" t="b">
        <f t="shared" si="778"/>
        <v>0</v>
      </c>
      <c r="M16250" s="17" t="str">
        <f t="shared" si="776"/>
        <v/>
      </c>
      <c r="N16250" s="11" t="str">
        <f t="shared" si="777"/>
        <v/>
      </c>
    </row>
    <row r="16251" spans="9:14" x14ac:dyDescent="0.25">
      <c r="I16251" s="11" t="b">
        <f t="shared" si="778"/>
        <v>0</v>
      </c>
      <c r="M16251" s="17" t="str">
        <f t="shared" si="776"/>
        <v/>
      </c>
      <c r="N16251" s="11" t="str">
        <f t="shared" si="777"/>
        <v/>
      </c>
    </row>
    <row r="16252" spans="9:14" x14ac:dyDescent="0.25">
      <c r="I16252" s="11" t="b">
        <f t="shared" si="778"/>
        <v>0</v>
      </c>
      <c r="M16252" s="17" t="str">
        <f t="shared" si="776"/>
        <v/>
      </c>
      <c r="N16252" s="11" t="str">
        <f t="shared" si="777"/>
        <v/>
      </c>
    </row>
    <row r="16253" spans="9:14" x14ac:dyDescent="0.25">
      <c r="I16253" s="11" t="b">
        <f t="shared" si="778"/>
        <v>0</v>
      </c>
      <c r="M16253" s="17" t="str">
        <f t="shared" si="776"/>
        <v/>
      </c>
      <c r="N16253" s="11" t="str">
        <f t="shared" si="777"/>
        <v/>
      </c>
    </row>
    <row r="16254" spans="9:14" x14ac:dyDescent="0.25">
      <c r="I16254" s="11" t="b">
        <f t="shared" si="778"/>
        <v>0</v>
      </c>
      <c r="M16254" s="17" t="str">
        <f t="shared" si="776"/>
        <v/>
      </c>
      <c r="N16254" s="11" t="str">
        <f t="shared" si="777"/>
        <v/>
      </c>
    </row>
    <row r="16255" spans="9:14" x14ac:dyDescent="0.25">
      <c r="I16255" s="11" t="b">
        <f t="shared" si="778"/>
        <v>0</v>
      </c>
      <c r="M16255" s="17" t="str">
        <f t="shared" si="776"/>
        <v/>
      </c>
      <c r="N16255" s="11" t="str">
        <f t="shared" si="777"/>
        <v/>
      </c>
    </row>
    <row r="16256" spans="9:14" x14ac:dyDescent="0.25">
      <c r="I16256" s="11" t="b">
        <f t="shared" si="778"/>
        <v>0</v>
      </c>
      <c r="M16256" s="17" t="str">
        <f t="shared" si="776"/>
        <v/>
      </c>
      <c r="N16256" s="11" t="str">
        <f t="shared" si="777"/>
        <v/>
      </c>
    </row>
    <row r="16257" spans="9:14" x14ac:dyDescent="0.25">
      <c r="I16257" s="11" t="b">
        <f t="shared" si="778"/>
        <v>0</v>
      </c>
      <c r="M16257" s="17" t="str">
        <f t="shared" ref="M16257:M16320" si="779">IF(B16257=0, "",M16256+ J16257-K16257)</f>
        <v/>
      </c>
      <c r="N16257" s="11" t="str">
        <f t="shared" ref="N16257:N16320" si="780">IF(B16257=0, "", MONTH(B16257))</f>
        <v/>
      </c>
    </row>
    <row r="16258" spans="9:14" x14ac:dyDescent="0.25">
      <c r="I16258" s="11" t="b">
        <f t="shared" si="778"/>
        <v>0</v>
      </c>
      <c r="M16258" s="17" t="str">
        <f t="shared" si="779"/>
        <v/>
      </c>
      <c r="N16258" s="11" t="str">
        <f t="shared" si="780"/>
        <v/>
      </c>
    </row>
    <row r="16259" spans="9:14" x14ac:dyDescent="0.25">
      <c r="I16259" s="11" t="b">
        <f t="shared" si="778"/>
        <v>0</v>
      </c>
      <c r="M16259" s="17" t="str">
        <f t="shared" si="779"/>
        <v/>
      </c>
      <c r="N16259" s="11" t="str">
        <f t="shared" si="780"/>
        <v/>
      </c>
    </row>
    <row r="16260" spans="9:14" x14ac:dyDescent="0.25">
      <c r="I16260" s="11" t="b">
        <f t="shared" si="778"/>
        <v>0</v>
      </c>
      <c r="M16260" s="17" t="str">
        <f t="shared" si="779"/>
        <v/>
      </c>
      <c r="N16260" s="11" t="str">
        <f t="shared" si="780"/>
        <v/>
      </c>
    </row>
    <row r="16261" spans="9:14" x14ac:dyDescent="0.25">
      <c r="I16261" s="11" t="b">
        <f t="shared" si="778"/>
        <v>0</v>
      </c>
      <c r="M16261" s="17" t="str">
        <f t="shared" si="779"/>
        <v/>
      </c>
      <c r="N16261" s="11" t="str">
        <f t="shared" si="780"/>
        <v/>
      </c>
    </row>
    <row r="16262" spans="9:14" x14ac:dyDescent="0.25">
      <c r="I16262" s="11" t="b">
        <f t="shared" si="778"/>
        <v>0</v>
      </c>
      <c r="M16262" s="17" t="str">
        <f t="shared" si="779"/>
        <v/>
      </c>
      <c r="N16262" s="11" t="str">
        <f t="shared" si="780"/>
        <v/>
      </c>
    </row>
    <row r="16263" spans="9:14" x14ac:dyDescent="0.25">
      <c r="I16263" s="11" t="b">
        <f t="shared" si="778"/>
        <v>0</v>
      </c>
      <c r="M16263" s="17" t="str">
        <f t="shared" si="779"/>
        <v/>
      </c>
      <c r="N16263" s="11" t="str">
        <f t="shared" si="780"/>
        <v/>
      </c>
    </row>
    <row r="16264" spans="9:14" x14ac:dyDescent="0.25">
      <c r="I16264" s="11" t="b">
        <f t="shared" si="778"/>
        <v>0</v>
      </c>
      <c r="M16264" s="17" t="str">
        <f t="shared" si="779"/>
        <v/>
      </c>
      <c r="N16264" s="11" t="str">
        <f t="shared" si="780"/>
        <v/>
      </c>
    </row>
    <row r="16265" spans="9:14" x14ac:dyDescent="0.25">
      <c r="I16265" s="11" t="b">
        <f t="shared" si="778"/>
        <v>0</v>
      </c>
      <c r="M16265" s="17" t="str">
        <f t="shared" si="779"/>
        <v/>
      </c>
      <c r="N16265" s="11" t="str">
        <f t="shared" si="780"/>
        <v/>
      </c>
    </row>
    <row r="16266" spans="9:14" x14ac:dyDescent="0.25">
      <c r="I16266" s="11" t="b">
        <f t="shared" si="778"/>
        <v>0</v>
      </c>
      <c r="M16266" s="17" t="str">
        <f t="shared" si="779"/>
        <v/>
      </c>
      <c r="N16266" s="11" t="str">
        <f t="shared" si="780"/>
        <v/>
      </c>
    </row>
    <row r="16267" spans="9:14" x14ac:dyDescent="0.25">
      <c r="I16267" s="11" t="b">
        <f t="shared" si="778"/>
        <v>0</v>
      </c>
      <c r="M16267" s="17" t="str">
        <f t="shared" si="779"/>
        <v/>
      </c>
      <c r="N16267" s="11" t="str">
        <f t="shared" si="780"/>
        <v/>
      </c>
    </row>
    <row r="16268" spans="9:14" x14ac:dyDescent="0.25">
      <c r="I16268" s="11" t="b">
        <f t="shared" si="778"/>
        <v>0</v>
      </c>
      <c r="M16268" s="17" t="str">
        <f t="shared" si="779"/>
        <v/>
      </c>
      <c r="N16268" s="11" t="str">
        <f t="shared" si="780"/>
        <v/>
      </c>
    </row>
    <row r="16269" spans="9:14" x14ac:dyDescent="0.25">
      <c r="I16269" s="11" t="b">
        <f t="shared" si="778"/>
        <v>0</v>
      </c>
      <c r="M16269" s="17" t="str">
        <f t="shared" si="779"/>
        <v/>
      </c>
      <c r="N16269" s="11" t="str">
        <f t="shared" si="780"/>
        <v/>
      </c>
    </row>
    <row r="16270" spans="9:14" x14ac:dyDescent="0.25">
      <c r="I16270" s="11" t="b">
        <f t="shared" si="778"/>
        <v>0</v>
      </c>
      <c r="M16270" s="17" t="str">
        <f t="shared" si="779"/>
        <v/>
      </c>
      <c r="N16270" s="11" t="str">
        <f t="shared" si="780"/>
        <v/>
      </c>
    </row>
    <row r="16271" spans="9:14" x14ac:dyDescent="0.25">
      <c r="I16271" s="11" t="b">
        <f t="shared" si="778"/>
        <v>0</v>
      </c>
      <c r="M16271" s="17" t="str">
        <f t="shared" si="779"/>
        <v/>
      </c>
      <c r="N16271" s="11" t="str">
        <f t="shared" si="780"/>
        <v/>
      </c>
    </row>
    <row r="16272" spans="9:14" x14ac:dyDescent="0.25">
      <c r="I16272" s="11" t="b">
        <f t="shared" si="778"/>
        <v>0</v>
      </c>
      <c r="M16272" s="17" t="str">
        <f t="shared" si="779"/>
        <v/>
      </c>
      <c r="N16272" s="11" t="str">
        <f t="shared" si="780"/>
        <v/>
      </c>
    </row>
    <row r="16273" spans="9:14" x14ac:dyDescent="0.25">
      <c r="I16273" s="11" t="b">
        <f t="shared" si="778"/>
        <v>0</v>
      </c>
      <c r="M16273" s="17" t="str">
        <f t="shared" si="779"/>
        <v/>
      </c>
      <c r="N16273" s="11" t="str">
        <f t="shared" si="780"/>
        <v/>
      </c>
    </row>
    <row r="16274" spans="9:14" x14ac:dyDescent="0.25">
      <c r="I16274" s="11" t="b">
        <f t="shared" si="778"/>
        <v>0</v>
      </c>
      <c r="M16274" s="17" t="str">
        <f t="shared" si="779"/>
        <v/>
      </c>
      <c r="N16274" s="11" t="str">
        <f t="shared" si="780"/>
        <v/>
      </c>
    </row>
    <row r="16275" spans="9:14" x14ac:dyDescent="0.25">
      <c r="I16275" s="11" t="b">
        <f t="shared" si="778"/>
        <v>0</v>
      </c>
      <c r="M16275" s="17" t="str">
        <f t="shared" si="779"/>
        <v/>
      </c>
      <c r="N16275" s="11" t="str">
        <f t="shared" si="780"/>
        <v/>
      </c>
    </row>
    <row r="16276" spans="9:14" x14ac:dyDescent="0.25">
      <c r="I16276" s="11" t="b">
        <f t="shared" si="778"/>
        <v>0</v>
      </c>
      <c r="M16276" s="17" t="str">
        <f t="shared" si="779"/>
        <v/>
      </c>
      <c r="N16276" s="11" t="str">
        <f t="shared" si="780"/>
        <v/>
      </c>
    </row>
    <row r="16277" spans="9:14" x14ac:dyDescent="0.25">
      <c r="I16277" s="11" t="b">
        <f t="shared" si="778"/>
        <v>0</v>
      </c>
      <c r="M16277" s="17" t="str">
        <f t="shared" si="779"/>
        <v/>
      </c>
      <c r="N16277" s="11" t="str">
        <f t="shared" si="780"/>
        <v/>
      </c>
    </row>
    <row r="16278" spans="9:14" x14ac:dyDescent="0.25">
      <c r="I16278" s="11" t="b">
        <f t="shared" si="778"/>
        <v>0</v>
      </c>
      <c r="M16278" s="17" t="str">
        <f t="shared" si="779"/>
        <v/>
      </c>
      <c r="N16278" s="11" t="str">
        <f t="shared" si="780"/>
        <v/>
      </c>
    </row>
    <row r="16279" spans="9:14" x14ac:dyDescent="0.25">
      <c r="I16279" s="11" t="b">
        <f t="shared" si="778"/>
        <v>0</v>
      </c>
      <c r="M16279" s="17" t="str">
        <f t="shared" si="779"/>
        <v/>
      </c>
      <c r="N16279" s="11" t="str">
        <f t="shared" si="780"/>
        <v/>
      </c>
    </row>
    <row r="16280" spans="9:14" x14ac:dyDescent="0.25">
      <c r="I16280" s="11" t="b">
        <f t="shared" si="778"/>
        <v>0</v>
      </c>
      <c r="M16280" s="17" t="str">
        <f t="shared" si="779"/>
        <v/>
      </c>
      <c r="N16280" s="11" t="str">
        <f t="shared" si="780"/>
        <v/>
      </c>
    </row>
    <row r="16281" spans="9:14" x14ac:dyDescent="0.25">
      <c r="I16281" s="11" t="b">
        <f t="shared" si="778"/>
        <v>0</v>
      </c>
      <c r="M16281" s="17" t="str">
        <f t="shared" si="779"/>
        <v/>
      </c>
      <c r="N16281" s="11" t="str">
        <f t="shared" si="780"/>
        <v/>
      </c>
    </row>
    <row r="16282" spans="9:14" x14ac:dyDescent="0.25">
      <c r="I16282" s="11" t="b">
        <f t="shared" si="778"/>
        <v>0</v>
      </c>
      <c r="M16282" s="17" t="str">
        <f t="shared" si="779"/>
        <v/>
      </c>
      <c r="N16282" s="11" t="str">
        <f t="shared" si="780"/>
        <v/>
      </c>
    </row>
    <row r="16283" spans="9:14" x14ac:dyDescent="0.25">
      <c r="I16283" s="11" t="b">
        <f t="shared" si="778"/>
        <v>0</v>
      </c>
      <c r="M16283" s="17" t="str">
        <f t="shared" si="779"/>
        <v/>
      </c>
      <c r="N16283" s="11" t="str">
        <f t="shared" si="780"/>
        <v/>
      </c>
    </row>
    <row r="16284" spans="9:14" x14ac:dyDescent="0.25">
      <c r="I16284" s="11" t="b">
        <f t="shared" si="778"/>
        <v>0</v>
      </c>
      <c r="M16284" s="17" t="str">
        <f t="shared" si="779"/>
        <v/>
      </c>
      <c r="N16284" s="11" t="str">
        <f t="shared" si="780"/>
        <v/>
      </c>
    </row>
    <row r="16285" spans="9:14" x14ac:dyDescent="0.25">
      <c r="I16285" s="11" t="b">
        <f t="shared" ref="I16285:I16348" si="781">IF(AND(G16285="MERCADO PAGO",A16285="FATURAMENTO"),1,IF(AND(OR(G16285="MERCADO PAGO",G16285="pix mercado pago",G16285= "débito automático mercado pago", G16285= "boleto mercado pago"),A16285="DESPESAS"),4,IF(AND(G16285="SAFRA",A16285="FATURAMENTO"),2,IF(AND(OR(G16285="SAFRA",G16285="PIX SAFRA", G16285="DÉBITO AUTOMÁTICO SAFRA", G16285= "BOLETO SAFRA", G16285= "transferência safra"), A16285="DESPESAS"),5,IF(AND(G16285="espécie",A16285="FATURAMENTO"),3,IF(AND(G16285="espécie",A16285="DESPESAS"),6))))))</f>
        <v>0</v>
      </c>
      <c r="M16285" s="17" t="str">
        <f t="shared" si="779"/>
        <v/>
      </c>
      <c r="N16285" s="11" t="str">
        <f t="shared" si="780"/>
        <v/>
      </c>
    </row>
    <row r="16286" spans="9:14" x14ac:dyDescent="0.25">
      <c r="I16286" s="11" t="b">
        <f t="shared" si="781"/>
        <v>0</v>
      </c>
      <c r="M16286" s="17" t="str">
        <f t="shared" si="779"/>
        <v/>
      </c>
      <c r="N16286" s="11" t="str">
        <f t="shared" si="780"/>
        <v/>
      </c>
    </row>
    <row r="16287" spans="9:14" x14ac:dyDescent="0.25">
      <c r="I16287" s="11" t="b">
        <f t="shared" si="781"/>
        <v>0</v>
      </c>
      <c r="M16287" s="17" t="str">
        <f t="shared" si="779"/>
        <v/>
      </c>
      <c r="N16287" s="11" t="str">
        <f t="shared" si="780"/>
        <v/>
      </c>
    </row>
    <row r="16288" spans="9:14" x14ac:dyDescent="0.25">
      <c r="I16288" s="11" t="b">
        <f t="shared" si="781"/>
        <v>0</v>
      </c>
      <c r="M16288" s="17" t="str">
        <f t="shared" si="779"/>
        <v/>
      </c>
      <c r="N16288" s="11" t="str">
        <f t="shared" si="780"/>
        <v/>
      </c>
    </row>
    <row r="16289" spans="9:14" x14ac:dyDescent="0.25">
      <c r="I16289" s="11" t="b">
        <f t="shared" si="781"/>
        <v>0</v>
      </c>
      <c r="M16289" s="17" t="str">
        <f t="shared" si="779"/>
        <v/>
      </c>
      <c r="N16289" s="11" t="str">
        <f t="shared" si="780"/>
        <v/>
      </c>
    </row>
    <row r="16290" spans="9:14" x14ac:dyDescent="0.25">
      <c r="I16290" s="11" t="b">
        <f t="shared" si="781"/>
        <v>0</v>
      </c>
      <c r="M16290" s="17" t="str">
        <f t="shared" si="779"/>
        <v/>
      </c>
      <c r="N16290" s="11" t="str">
        <f t="shared" si="780"/>
        <v/>
      </c>
    </row>
    <row r="16291" spans="9:14" x14ac:dyDescent="0.25">
      <c r="I16291" s="11" t="b">
        <f t="shared" si="781"/>
        <v>0</v>
      </c>
      <c r="M16291" s="17" t="str">
        <f t="shared" si="779"/>
        <v/>
      </c>
      <c r="N16291" s="11" t="str">
        <f t="shared" si="780"/>
        <v/>
      </c>
    </row>
    <row r="16292" spans="9:14" x14ac:dyDescent="0.25">
      <c r="I16292" s="11" t="b">
        <f t="shared" si="781"/>
        <v>0</v>
      </c>
      <c r="M16292" s="17" t="str">
        <f t="shared" si="779"/>
        <v/>
      </c>
      <c r="N16292" s="11" t="str">
        <f t="shared" si="780"/>
        <v/>
      </c>
    </row>
    <row r="16293" spans="9:14" x14ac:dyDescent="0.25">
      <c r="I16293" s="11" t="b">
        <f t="shared" si="781"/>
        <v>0</v>
      </c>
      <c r="M16293" s="17" t="str">
        <f t="shared" si="779"/>
        <v/>
      </c>
      <c r="N16293" s="11" t="str">
        <f t="shared" si="780"/>
        <v/>
      </c>
    </row>
    <row r="16294" spans="9:14" x14ac:dyDescent="0.25">
      <c r="I16294" s="11" t="b">
        <f t="shared" si="781"/>
        <v>0</v>
      </c>
      <c r="M16294" s="17" t="str">
        <f t="shared" si="779"/>
        <v/>
      </c>
      <c r="N16294" s="11" t="str">
        <f t="shared" si="780"/>
        <v/>
      </c>
    </row>
    <row r="16295" spans="9:14" x14ac:dyDescent="0.25">
      <c r="I16295" s="11" t="b">
        <f t="shared" si="781"/>
        <v>0</v>
      </c>
      <c r="M16295" s="17" t="str">
        <f t="shared" si="779"/>
        <v/>
      </c>
      <c r="N16295" s="11" t="str">
        <f t="shared" si="780"/>
        <v/>
      </c>
    </row>
    <row r="16296" spans="9:14" x14ac:dyDescent="0.25">
      <c r="I16296" s="11" t="b">
        <f t="shared" si="781"/>
        <v>0</v>
      </c>
      <c r="M16296" s="17" t="str">
        <f t="shared" si="779"/>
        <v/>
      </c>
      <c r="N16296" s="11" t="str">
        <f t="shared" si="780"/>
        <v/>
      </c>
    </row>
    <row r="16297" spans="9:14" x14ac:dyDescent="0.25">
      <c r="I16297" s="11" t="b">
        <f t="shared" si="781"/>
        <v>0</v>
      </c>
      <c r="M16297" s="17" t="str">
        <f t="shared" si="779"/>
        <v/>
      </c>
      <c r="N16297" s="11" t="str">
        <f t="shared" si="780"/>
        <v/>
      </c>
    </row>
    <row r="16298" spans="9:14" x14ac:dyDescent="0.25">
      <c r="I16298" s="11" t="b">
        <f t="shared" si="781"/>
        <v>0</v>
      </c>
      <c r="M16298" s="17" t="str">
        <f t="shared" si="779"/>
        <v/>
      </c>
      <c r="N16298" s="11" t="str">
        <f t="shared" si="780"/>
        <v/>
      </c>
    </row>
    <row r="16299" spans="9:14" x14ac:dyDescent="0.25">
      <c r="I16299" s="11" t="b">
        <f t="shared" si="781"/>
        <v>0</v>
      </c>
      <c r="M16299" s="17" t="str">
        <f t="shared" si="779"/>
        <v/>
      </c>
      <c r="N16299" s="11" t="str">
        <f t="shared" si="780"/>
        <v/>
      </c>
    </row>
    <row r="16300" spans="9:14" x14ac:dyDescent="0.25">
      <c r="I16300" s="11" t="b">
        <f t="shared" si="781"/>
        <v>0</v>
      </c>
      <c r="M16300" s="17" t="str">
        <f t="shared" si="779"/>
        <v/>
      </c>
      <c r="N16300" s="11" t="str">
        <f t="shared" si="780"/>
        <v/>
      </c>
    </row>
    <row r="16301" spans="9:14" x14ac:dyDescent="0.25">
      <c r="I16301" s="11" t="b">
        <f t="shared" si="781"/>
        <v>0</v>
      </c>
      <c r="M16301" s="17" t="str">
        <f t="shared" si="779"/>
        <v/>
      </c>
      <c r="N16301" s="11" t="str">
        <f t="shared" si="780"/>
        <v/>
      </c>
    </row>
    <row r="16302" spans="9:14" x14ac:dyDescent="0.25">
      <c r="I16302" s="11" t="b">
        <f t="shared" si="781"/>
        <v>0</v>
      </c>
      <c r="M16302" s="17" t="str">
        <f t="shared" si="779"/>
        <v/>
      </c>
      <c r="N16302" s="11" t="str">
        <f t="shared" si="780"/>
        <v/>
      </c>
    </row>
    <row r="16303" spans="9:14" x14ac:dyDescent="0.25">
      <c r="I16303" s="11" t="b">
        <f t="shared" si="781"/>
        <v>0</v>
      </c>
      <c r="M16303" s="17" t="str">
        <f t="shared" si="779"/>
        <v/>
      </c>
      <c r="N16303" s="11" t="str">
        <f t="shared" si="780"/>
        <v/>
      </c>
    </row>
    <row r="16304" spans="9:14" x14ac:dyDescent="0.25">
      <c r="I16304" s="11" t="b">
        <f t="shared" si="781"/>
        <v>0</v>
      </c>
      <c r="M16304" s="17" t="str">
        <f t="shared" si="779"/>
        <v/>
      </c>
      <c r="N16304" s="11" t="str">
        <f t="shared" si="780"/>
        <v/>
      </c>
    </row>
    <row r="16305" spans="9:14" x14ac:dyDescent="0.25">
      <c r="I16305" s="11" t="b">
        <f t="shared" si="781"/>
        <v>0</v>
      </c>
      <c r="M16305" s="17" t="str">
        <f t="shared" si="779"/>
        <v/>
      </c>
      <c r="N16305" s="11" t="str">
        <f t="shared" si="780"/>
        <v/>
      </c>
    </row>
    <row r="16306" spans="9:14" x14ac:dyDescent="0.25">
      <c r="I16306" s="11" t="b">
        <f t="shared" si="781"/>
        <v>0</v>
      </c>
      <c r="M16306" s="17" t="str">
        <f t="shared" si="779"/>
        <v/>
      </c>
      <c r="N16306" s="11" t="str">
        <f t="shared" si="780"/>
        <v/>
      </c>
    </row>
    <row r="16307" spans="9:14" x14ac:dyDescent="0.25">
      <c r="I16307" s="11" t="b">
        <f t="shared" si="781"/>
        <v>0</v>
      </c>
      <c r="M16307" s="17" t="str">
        <f t="shared" si="779"/>
        <v/>
      </c>
      <c r="N16307" s="11" t="str">
        <f t="shared" si="780"/>
        <v/>
      </c>
    </row>
    <row r="16308" spans="9:14" x14ac:dyDescent="0.25">
      <c r="I16308" s="11" t="b">
        <f t="shared" si="781"/>
        <v>0</v>
      </c>
      <c r="M16308" s="17" t="str">
        <f t="shared" si="779"/>
        <v/>
      </c>
      <c r="N16308" s="11" t="str">
        <f t="shared" si="780"/>
        <v/>
      </c>
    </row>
    <row r="16309" spans="9:14" x14ac:dyDescent="0.25">
      <c r="I16309" s="11" t="b">
        <f t="shared" si="781"/>
        <v>0</v>
      </c>
      <c r="M16309" s="17" t="str">
        <f t="shared" si="779"/>
        <v/>
      </c>
      <c r="N16309" s="11" t="str">
        <f t="shared" si="780"/>
        <v/>
      </c>
    </row>
    <row r="16310" spans="9:14" x14ac:dyDescent="0.25">
      <c r="I16310" s="11" t="b">
        <f t="shared" si="781"/>
        <v>0</v>
      </c>
      <c r="M16310" s="17" t="str">
        <f t="shared" si="779"/>
        <v/>
      </c>
      <c r="N16310" s="11" t="str">
        <f t="shared" si="780"/>
        <v/>
      </c>
    </row>
    <row r="16311" spans="9:14" x14ac:dyDescent="0.25">
      <c r="I16311" s="11" t="b">
        <f t="shared" si="781"/>
        <v>0</v>
      </c>
      <c r="M16311" s="17" t="str">
        <f t="shared" si="779"/>
        <v/>
      </c>
      <c r="N16311" s="11" t="str">
        <f t="shared" si="780"/>
        <v/>
      </c>
    </row>
    <row r="16312" spans="9:14" x14ac:dyDescent="0.25">
      <c r="I16312" s="11" t="b">
        <f t="shared" si="781"/>
        <v>0</v>
      </c>
      <c r="M16312" s="17" t="str">
        <f t="shared" si="779"/>
        <v/>
      </c>
      <c r="N16312" s="11" t="str">
        <f t="shared" si="780"/>
        <v/>
      </c>
    </row>
    <row r="16313" spans="9:14" x14ac:dyDescent="0.25">
      <c r="I16313" s="11" t="b">
        <f t="shared" si="781"/>
        <v>0</v>
      </c>
      <c r="M16313" s="17" t="str">
        <f t="shared" si="779"/>
        <v/>
      </c>
      <c r="N16313" s="11" t="str">
        <f t="shared" si="780"/>
        <v/>
      </c>
    </row>
    <row r="16314" spans="9:14" x14ac:dyDescent="0.25">
      <c r="I16314" s="11" t="b">
        <f t="shared" si="781"/>
        <v>0</v>
      </c>
      <c r="M16314" s="17" t="str">
        <f t="shared" si="779"/>
        <v/>
      </c>
      <c r="N16314" s="11" t="str">
        <f t="shared" si="780"/>
        <v/>
      </c>
    </row>
    <row r="16315" spans="9:14" x14ac:dyDescent="0.25">
      <c r="I16315" s="11" t="b">
        <f t="shared" si="781"/>
        <v>0</v>
      </c>
      <c r="M16315" s="17" t="str">
        <f t="shared" si="779"/>
        <v/>
      </c>
      <c r="N16315" s="11" t="str">
        <f t="shared" si="780"/>
        <v/>
      </c>
    </row>
    <row r="16316" spans="9:14" x14ac:dyDescent="0.25">
      <c r="I16316" s="11" t="b">
        <f t="shared" si="781"/>
        <v>0</v>
      </c>
      <c r="M16316" s="17" t="str">
        <f t="shared" si="779"/>
        <v/>
      </c>
      <c r="N16316" s="11" t="str">
        <f t="shared" si="780"/>
        <v/>
      </c>
    </row>
    <row r="16317" spans="9:14" x14ac:dyDescent="0.25">
      <c r="I16317" s="11" t="b">
        <f t="shared" si="781"/>
        <v>0</v>
      </c>
      <c r="M16317" s="17" t="str">
        <f t="shared" si="779"/>
        <v/>
      </c>
      <c r="N16317" s="11" t="str">
        <f t="shared" si="780"/>
        <v/>
      </c>
    </row>
    <row r="16318" spans="9:14" x14ac:dyDescent="0.25">
      <c r="I16318" s="11" t="b">
        <f t="shared" si="781"/>
        <v>0</v>
      </c>
      <c r="M16318" s="17" t="str">
        <f t="shared" si="779"/>
        <v/>
      </c>
      <c r="N16318" s="11" t="str">
        <f t="shared" si="780"/>
        <v/>
      </c>
    </row>
    <row r="16319" spans="9:14" x14ac:dyDescent="0.25">
      <c r="I16319" s="11" t="b">
        <f t="shared" si="781"/>
        <v>0</v>
      </c>
      <c r="M16319" s="17" t="str">
        <f t="shared" si="779"/>
        <v/>
      </c>
      <c r="N16319" s="11" t="str">
        <f t="shared" si="780"/>
        <v/>
      </c>
    </row>
    <row r="16320" spans="9:14" x14ac:dyDescent="0.25">
      <c r="I16320" s="11" t="b">
        <f t="shared" si="781"/>
        <v>0</v>
      </c>
      <c r="M16320" s="17" t="str">
        <f t="shared" si="779"/>
        <v/>
      </c>
      <c r="N16320" s="11" t="str">
        <f t="shared" si="780"/>
        <v/>
      </c>
    </row>
    <row r="16321" spans="9:14" x14ac:dyDescent="0.25">
      <c r="I16321" s="11" t="b">
        <f t="shared" si="781"/>
        <v>0</v>
      </c>
      <c r="M16321" s="17" t="str">
        <f t="shared" ref="M16321:M16384" si="782">IF(B16321=0, "",M16320+ J16321-K16321)</f>
        <v/>
      </c>
      <c r="N16321" s="11" t="str">
        <f t="shared" ref="N16321:N16384" si="783">IF(B16321=0, "", MONTH(B16321))</f>
        <v/>
      </c>
    </row>
    <row r="16322" spans="9:14" x14ac:dyDescent="0.25">
      <c r="I16322" s="11" t="b">
        <f t="shared" si="781"/>
        <v>0</v>
      </c>
      <c r="M16322" s="17" t="str">
        <f t="shared" si="782"/>
        <v/>
      </c>
      <c r="N16322" s="11" t="str">
        <f t="shared" si="783"/>
        <v/>
      </c>
    </row>
    <row r="16323" spans="9:14" x14ac:dyDescent="0.25">
      <c r="I16323" s="11" t="b">
        <f t="shared" si="781"/>
        <v>0</v>
      </c>
      <c r="M16323" s="17" t="str">
        <f t="shared" si="782"/>
        <v/>
      </c>
      <c r="N16323" s="11" t="str">
        <f t="shared" si="783"/>
        <v/>
      </c>
    </row>
    <row r="16324" spans="9:14" x14ac:dyDescent="0.25">
      <c r="I16324" s="11" t="b">
        <f t="shared" si="781"/>
        <v>0</v>
      </c>
      <c r="M16324" s="17" t="str">
        <f t="shared" si="782"/>
        <v/>
      </c>
      <c r="N16324" s="11" t="str">
        <f t="shared" si="783"/>
        <v/>
      </c>
    </row>
    <row r="16325" spans="9:14" x14ac:dyDescent="0.25">
      <c r="I16325" s="11" t="b">
        <f t="shared" si="781"/>
        <v>0</v>
      </c>
      <c r="M16325" s="17" t="str">
        <f t="shared" si="782"/>
        <v/>
      </c>
      <c r="N16325" s="11" t="str">
        <f t="shared" si="783"/>
        <v/>
      </c>
    </row>
    <row r="16326" spans="9:14" x14ac:dyDescent="0.25">
      <c r="I16326" s="11" t="b">
        <f t="shared" si="781"/>
        <v>0</v>
      </c>
      <c r="M16326" s="17" t="str">
        <f t="shared" si="782"/>
        <v/>
      </c>
      <c r="N16326" s="11" t="str">
        <f t="shared" si="783"/>
        <v/>
      </c>
    </row>
    <row r="16327" spans="9:14" x14ac:dyDescent="0.25">
      <c r="I16327" s="11" t="b">
        <f t="shared" si="781"/>
        <v>0</v>
      </c>
      <c r="M16327" s="17" t="str">
        <f t="shared" si="782"/>
        <v/>
      </c>
      <c r="N16327" s="11" t="str">
        <f t="shared" si="783"/>
        <v/>
      </c>
    </row>
    <row r="16328" spans="9:14" x14ac:dyDescent="0.25">
      <c r="I16328" s="11" t="b">
        <f t="shared" si="781"/>
        <v>0</v>
      </c>
      <c r="M16328" s="17" t="str">
        <f t="shared" si="782"/>
        <v/>
      </c>
      <c r="N16328" s="11" t="str">
        <f t="shared" si="783"/>
        <v/>
      </c>
    </row>
    <row r="16329" spans="9:14" x14ac:dyDescent="0.25">
      <c r="I16329" s="11" t="b">
        <f t="shared" si="781"/>
        <v>0</v>
      </c>
      <c r="M16329" s="17" t="str">
        <f t="shared" si="782"/>
        <v/>
      </c>
      <c r="N16329" s="11" t="str">
        <f t="shared" si="783"/>
        <v/>
      </c>
    </row>
    <row r="16330" spans="9:14" x14ac:dyDescent="0.25">
      <c r="I16330" s="11" t="b">
        <f t="shared" si="781"/>
        <v>0</v>
      </c>
      <c r="M16330" s="17" t="str">
        <f t="shared" si="782"/>
        <v/>
      </c>
      <c r="N16330" s="11" t="str">
        <f t="shared" si="783"/>
        <v/>
      </c>
    </row>
    <row r="16331" spans="9:14" x14ac:dyDescent="0.25">
      <c r="I16331" s="11" t="b">
        <f t="shared" si="781"/>
        <v>0</v>
      </c>
      <c r="M16331" s="17" t="str">
        <f t="shared" si="782"/>
        <v/>
      </c>
      <c r="N16331" s="11" t="str">
        <f t="shared" si="783"/>
        <v/>
      </c>
    </row>
    <row r="16332" spans="9:14" x14ac:dyDescent="0.25">
      <c r="I16332" s="11" t="b">
        <f t="shared" si="781"/>
        <v>0</v>
      </c>
      <c r="M16332" s="17" t="str">
        <f t="shared" si="782"/>
        <v/>
      </c>
      <c r="N16332" s="11" t="str">
        <f t="shared" si="783"/>
        <v/>
      </c>
    </row>
    <row r="16333" spans="9:14" x14ac:dyDescent="0.25">
      <c r="I16333" s="11" t="b">
        <f t="shared" si="781"/>
        <v>0</v>
      </c>
      <c r="M16333" s="17" t="str">
        <f t="shared" si="782"/>
        <v/>
      </c>
      <c r="N16333" s="11" t="str">
        <f t="shared" si="783"/>
        <v/>
      </c>
    </row>
    <row r="16334" spans="9:14" x14ac:dyDescent="0.25">
      <c r="I16334" s="11" t="b">
        <f t="shared" si="781"/>
        <v>0</v>
      </c>
      <c r="M16334" s="17" t="str">
        <f t="shared" si="782"/>
        <v/>
      </c>
      <c r="N16334" s="11" t="str">
        <f t="shared" si="783"/>
        <v/>
      </c>
    </row>
    <row r="16335" spans="9:14" x14ac:dyDescent="0.25">
      <c r="I16335" s="11" t="b">
        <f t="shared" si="781"/>
        <v>0</v>
      </c>
      <c r="M16335" s="17" t="str">
        <f t="shared" si="782"/>
        <v/>
      </c>
      <c r="N16335" s="11" t="str">
        <f t="shared" si="783"/>
        <v/>
      </c>
    </row>
    <row r="16336" spans="9:14" x14ac:dyDescent="0.25">
      <c r="I16336" s="11" t="b">
        <f t="shared" si="781"/>
        <v>0</v>
      </c>
      <c r="M16336" s="17" t="str">
        <f t="shared" si="782"/>
        <v/>
      </c>
      <c r="N16336" s="11" t="str">
        <f t="shared" si="783"/>
        <v/>
      </c>
    </row>
    <row r="16337" spans="9:14" x14ac:dyDescent="0.25">
      <c r="I16337" s="11" t="b">
        <f t="shared" si="781"/>
        <v>0</v>
      </c>
      <c r="M16337" s="17" t="str">
        <f t="shared" si="782"/>
        <v/>
      </c>
      <c r="N16337" s="11" t="str">
        <f t="shared" si="783"/>
        <v/>
      </c>
    </row>
    <row r="16338" spans="9:14" x14ac:dyDescent="0.25">
      <c r="I16338" s="11" t="b">
        <f t="shared" si="781"/>
        <v>0</v>
      </c>
      <c r="M16338" s="17" t="str">
        <f t="shared" si="782"/>
        <v/>
      </c>
      <c r="N16338" s="11" t="str">
        <f t="shared" si="783"/>
        <v/>
      </c>
    </row>
    <row r="16339" spans="9:14" x14ac:dyDescent="0.25">
      <c r="I16339" s="11" t="b">
        <f t="shared" si="781"/>
        <v>0</v>
      </c>
      <c r="M16339" s="17" t="str">
        <f t="shared" si="782"/>
        <v/>
      </c>
      <c r="N16339" s="11" t="str">
        <f t="shared" si="783"/>
        <v/>
      </c>
    </row>
    <row r="16340" spans="9:14" x14ac:dyDescent="0.25">
      <c r="I16340" s="11" t="b">
        <f t="shared" si="781"/>
        <v>0</v>
      </c>
      <c r="M16340" s="17" t="str">
        <f t="shared" si="782"/>
        <v/>
      </c>
      <c r="N16340" s="11" t="str">
        <f t="shared" si="783"/>
        <v/>
      </c>
    </row>
    <row r="16341" spans="9:14" x14ac:dyDescent="0.25">
      <c r="I16341" s="11" t="b">
        <f t="shared" si="781"/>
        <v>0</v>
      </c>
      <c r="M16341" s="17" t="str">
        <f t="shared" si="782"/>
        <v/>
      </c>
      <c r="N16341" s="11" t="str">
        <f t="shared" si="783"/>
        <v/>
      </c>
    </row>
    <row r="16342" spans="9:14" x14ac:dyDescent="0.25">
      <c r="I16342" s="11" t="b">
        <f t="shared" si="781"/>
        <v>0</v>
      </c>
      <c r="M16342" s="17" t="str">
        <f t="shared" si="782"/>
        <v/>
      </c>
      <c r="N16342" s="11" t="str">
        <f t="shared" si="783"/>
        <v/>
      </c>
    </row>
    <row r="16343" spans="9:14" x14ac:dyDescent="0.25">
      <c r="I16343" s="11" t="b">
        <f t="shared" si="781"/>
        <v>0</v>
      </c>
      <c r="M16343" s="17" t="str">
        <f t="shared" si="782"/>
        <v/>
      </c>
      <c r="N16343" s="11" t="str">
        <f t="shared" si="783"/>
        <v/>
      </c>
    </row>
    <row r="16344" spans="9:14" x14ac:dyDescent="0.25">
      <c r="I16344" s="11" t="b">
        <f t="shared" si="781"/>
        <v>0</v>
      </c>
      <c r="M16344" s="17" t="str">
        <f t="shared" si="782"/>
        <v/>
      </c>
      <c r="N16344" s="11" t="str">
        <f t="shared" si="783"/>
        <v/>
      </c>
    </row>
    <row r="16345" spans="9:14" x14ac:dyDescent="0.25">
      <c r="I16345" s="11" t="b">
        <f t="shared" si="781"/>
        <v>0</v>
      </c>
      <c r="M16345" s="17" t="str">
        <f t="shared" si="782"/>
        <v/>
      </c>
      <c r="N16345" s="11" t="str">
        <f t="shared" si="783"/>
        <v/>
      </c>
    </row>
    <row r="16346" spans="9:14" x14ac:dyDescent="0.25">
      <c r="I16346" s="11" t="b">
        <f t="shared" si="781"/>
        <v>0</v>
      </c>
      <c r="M16346" s="17" t="str">
        <f t="shared" si="782"/>
        <v/>
      </c>
      <c r="N16346" s="11" t="str">
        <f t="shared" si="783"/>
        <v/>
      </c>
    </row>
    <row r="16347" spans="9:14" x14ac:dyDescent="0.25">
      <c r="I16347" s="11" t="b">
        <f t="shared" si="781"/>
        <v>0</v>
      </c>
      <c r="M16347" s="17" t="str">
        <f t="shared" si="782"/>
        <v/>
      </c>
      <c r="N16347" s="11" t="str">
        <f t="shared" si="783"/>
        <v/>
      </c>
    </row>
    <row r="16348" spans="9:14" x14ac:dyDescent="0.25">
      <c r="I16348" s="11" t="b">
        <f t="shared" si="781"/>
        <v>0</v>
      </c>
      <c r="M16348" s="17" t="str">
        <f t="shared" si="782"/>
        <v/>
      </c>
      <c r="N16348" s="11" t="str">
        <f t="shared" si="783"/>
        <v/>
      </c>
    </row>
    <row r="16349" spans="9:14" x14ac:dyDescent="0.25">
      <c r="I16349" s="11" t="b">
        <f t="shared" ref="I16349:I16412" si="784">IF(AND(G16349="MERCADO PAGO",A16349="FATURAMENTO"),1,IF(AND(OR(G16349="MERCADO PAGO",G16349="pix mercado pago",G16349= "débito automático mercado pago", G16349= "boleto mercado pago"),A16349="DESPESAS"),4,IF(AND(G16349="SAFRA",A16349="FATURAMENTO"),2,IF(AND(OR(G16349="SAFRA",G16349="PIX SAFRA", G16349="DÉBITO AUTOMÁTICO SAFRA", G16349= "BOLETO SAFRA", G16349= "transferência safra"), A16349="DESPESAS"),5,IF(AND(G16349="espécie",A16349="FATURAMENTO"),3,IF(AND(G16349="espécie",A16349="DESPESAS"),6))))))</f>
        <v>0</v>
      </c>
      <c r="M16349" s="17" t="str">
        <f t="shared" si="782"/>
        <v/>
      </c>
      <c r="N16349" s="11" t="str">
        <f t="shared" si="783"/>
        <v/>
      </c>
    </row>
    <row r="16350" spans="9:14" x14ac:dyDescent="0.25">
      <c r="I16350" s="11" t="b">
        <f t="shared" si="784"/>
        <v>0</v>
      </c>
      <c r="M16350" s="17" t="str">
        <f t="shared" si="782"/>
        <v/>
      </c>
      <c r="N16350" s="11" t="str">
        <f t="shared" si="783"/>
        <v/>
      </c>
    </row>
    <row r="16351" spans="9:14" x14ac:dyDescent="0.25">
      <c r="I16351" s="11" t="b">
        <f t="shared" si="784"/>
        <v>0</v>
      </c>
      <c r="M16351" s="17" t="str">
        <f t="shared" si="782"/>
        <v/>
      </c>
      <c r="N16351" s="11" t="str">
        <f t="shared" si="783"/>
        <v/>
      </c>
    </row>
    <row r="16352" spans="9:14" x14ac:dyDescent="0.25">
      <c r="I16352" s="11" t="b">
        <f t="shared" si="784"/>
        <v>0</v>
      </c>
      <c r="M16352" s="17" t="str">
        <f t="shared" si="782"/>
        <v/>
      </c>
      <c r="N16352" s="11" t="str">
        <f t="shared" si="783"/>
        <v/>
      </c>
    </row>
    <row r="16353" spans="9:14" x14ac:dyDescent="0.25">
      <c r="I16353" s="11" t="b">
        <f t="shared" si="784"/>
        <v>0</v>
      </c>
      <c r="M16353" s="17" t="str">
        <f t="shared" si="782"/>
        <v/>
      </c>
      <c r="N16353" s="11" t="str">
        <f t="shared" si="783"/>
        <v/>
      </c>
    </row>
    <row r="16354" spans="9:14" x14ac:dyDescent="0.25">
      <c r="I16354" s="11" t="b">
        <f t="shared" si="784"/>
        <v>0</v>
      </c>
      <c r="M16354" s="17" t="str">
        <f t="shared" si="782"/>
        <v/>
      </c>
      <c r="N16354" s="11" t="str">
        <f t="shared" si="783"/>
        <v/>
      </c>
    </row>
    <row r="16355" spans="9:14" x14ac:dyDescent="0.25">
      <c r="I16355" s="11" t="b">
        <f t="shared" si="784"/>
        <v>0</v>
      </c>
      <c r="M16355" s="17" t="str">
        <f t="shared" si="782"/>
        <v/>
      </c>
      <c r="N16355" s="11" t="str">
        <f t="shared" si="783"/>
        <v/>
      </c>
    </row>
    <row r="16356" spans="9:14" x14ac:dyDescent="0.25">
      <c r="I16356" s="11" t="b">
        <f t="shared" si="784"/>
        <v>0</v>
      </c>
      <c r="M16356" s="17" t="str">
        <f t="shared" si="782"/>
        <v/>
      </c>
      <c r="N16356" s="11" t="str">
        <f t="shared" si="783"/>
        <v/>
      </c>
    </row>
    <row r="16357" spans="9:14" x14ac:dyDescent="0.25">
      <c r="I16357" s="11" t="b">
        <f t="shared" si="784"/>
        <v>0</v>
      </c>
      <c r="M16357" s="17" t="str">
        <f t="shared" si="782"/>
        <v/>
      </c>
      <c r="N16357" s="11" t="str">
        <f t="shared" si="783"/>
        <v/>
      </c>
    </row>
    <row r="16358" spans="9:14" x14ac:dyDescent="0.25">
      <c r="I16358" s="11" t="b">
        <f t="shared" si="784"/>
        <v>0</v>
      </c>
      <c r="M16358" s="17" t="str">
        <f t="shared" si="782"/>
        <v/>
      </c>
      <c r="N16358" s="11" t="str">
        <f t="shared" si="783"/>
        <v/>
      </c>
    </row>
    <row r="16359" spans="9:14" x14ac:dyDescent="0.25">
      <c r="I16359" s="11" t="b">
        <f t="shared" si="784"/>
        <v>0</v>
      </c>
      <c r="M16359" s="17" t="str">
        <f t="shared" si="782"/>
        <v/>
      </c>
      <c r="N16359" s="11" t="str">
        <f t="shared" si="783"/>
        <v/>
      </c>
    </row>
    <row r="16360" spans="9:14" x14ac:dyDescent="0.25">
      <c r="I16360" s="11" t="b">
        <f t="shared" si="784"/>
        <v>0</v>
      </c>
      <c r="M16360" s="17" t="str">
        <f t="shared" si="782"/>
        <v/>
      </c>
      <c r="N16360" s="11" t="str">
        <f t="shared" si="783"/>
        <v/>
      </c>
    </row>
    <row r="16361" spans="9:14" x14ac:dyDescent="0.25">
      <c r="I16361" s="11" t="b">
        <f t="shared" si="784"/>
        <v>0</v>
      </c>
      <c r="M16361" s="17" t="str">
        <f t="shared" si="782"/>
        <v/>
      </c>
      <c r="N16361" s="11" t="str">
        <f t="shared" si="783"/>
        <v/>
      </c>
    </row>
    <row r="16362" spans="9:14" x14ac:dyDescent="0.25">
      <c r="I16362" s="11" t="b">
        <f t="shared" si="784"/>
        <v>0</v>
      </c>
      <c r="M16362" s="17" t="str">
        <f t="shared" si="782"/>
        <v/>
      </c>
      <c r="N16362" s="11" t="str">
        <f t="shared" si="783"/>
        <v/>
      </c>
    </row>
    <row r="16363" spans="9:14" x14ac:dyDescent="0.25">
      <c r="I16363" s="11" t="b">
        <f t="shared" si="784"/>
        <v>0</v>
      </c>
      <c r="M16363" s="17" t="str">
        <f t="shared" si="782"/>
        <v/>
      </c>
      <c r="N16363" s="11" t="str">
        <f t="shared" si="783"/>
        <v/>
      </c>
    </row>
    <row r="16364" spans="9:14" x14ac:dyDescent="0.25">
      <c r="I16364" s="11" t="b">
        <f t="shared" si="784"/>
        <v>0</v>
      </c>
      <c r="M16364" s="17" t="str">
        <f t="shared" si="782"/>
        <v/>
      </c>
      <c r="N16364" s="11" t="str">
        <f t="shared" si="783"/>
        <v/>
      </c>
    </row>
    <row r="16365" spans="9:14" x14ac:dyDescent="0.25">
      <c r="I16365" s="11" t="b">
        <f t="shared" si="784"/>
        <v>0</v>
      </c>
      <c r="M16365" s="17" t="str">
        <f t="shared" si="782"/>
        <v/>
      </c>
      <c r="N16365" s="11" t="str">
        <f t="shared" si="783"/>
        <v/>
      </c>
    </row>
    <row r="16366" spans="9:14" x14ac:dyDescent="0.25">
      <c r="I16366" s="11" t="b">
        <f t="shared" si="784"/>
        <v>0</v>
      </c>
      <c r="M16366" s="17" t="str">
        <f t="shared" si="782"/>
        <v/>
      </c>
      <c r="N16366" s="11" t="str">
        <f t="shared" si="783"/>
        <v/>
      </c>
    </row>
    <row r="16367" spans="9:14" x14ac:dyDescent="0.25">
      <c r="I16367" s="11" t="b">
        <f t="shared" si="784"/>
        <v>0</v>
      </c>
      <c r="M16367" s="17" t="str">
        <f t="shared" si="782"/>
        <v/>
      </c>
      <c r="N16367" s="11" t="str">
        <f t="shared" si="783"/>
        <v/>
      </c>
    </row>
    <row r="16368" spans="9:14" x14ac:dyDescent="0.25">
      <c r="I16368" s="11" t="b">
        <f t="shared" si="784"/>
        <v>0</v>
      </c>
      <c r="M16368" s="17" t="str">
        <f t="shared" si="782"/>
        <v/>
      </c>
      <c r="N16368" s="11" t="str">
        <f t="shared" si="783"/>
        <v/>
      </c>
    </row>
    <row r="16369" spans="9:14" x14ac:dyDescent="0.25">
      <c r="I16369" s="11" t="b">
        <f t="shared" si="784"/>
        <v>0</v>
      </c>
      <c r="M16369" s="17" t="str">
        <f t="shared" si="782"/>
        <v/>
      </c>
      <c r="N16369" s="11" t="str">
        <f t="shared" si="783"/>
        <v/>
      </c>
    </row>
    <row r="16370" spans="9:14" x14ac:dyDescent="0.25">
      <c r="I16370" s="11" t="b">
        <f t="shared" si="784"/>
        <v>0</v>
      </c>
      <c r="M16370" s="17" t="str">
        <f t="shared" si="782"/>
        <v/>
      </c>
      <c r="N16370" s="11" t="str">
        <f t="shared" si="783"/>
        <v/>
      </c>
    </row>
    <row r="16371" spans="9:14" x14ac:dyDescent="0.25">
      <c r="I16371" s="11" t="b">
        <f t="shared" si="784"/>
        <v>0</v>
      </c>
      <c r="M16371" s="17" t="str">
        <f t="shared" si="782"/>
        <v/>
      </c>
      <c r="N16371" s="11" t="str">
        <f t="shared" si="783"/>
        <v/>
      </c>
    </row>
    <row r="16372" spans="9:14" x14ac:dyDescent="0.25">
      <c r="I16372" s="11" t="b">
        <f t="shared" si="784"/>
        <v>0</v>
      </c>
      <c r="M16372" s="17" t="str">
        <f t="shared" si="782"/>
        <v/>
      </c>
      <c r="N16372" s="11" t="str">
        <f t="shared" si="783"/>
        <v/>
      </c>
    </row>
    <row r="16373" spans="9:14" x14ac:dyDescent="0.25">
      <c r="I16373" s="11" t="b">
        <f t="shared" si="784"/>
        <v>0</v>
      </c>
      <c r="M16373" s="17" t="str">
        <f t="shared" si="782"/>
        <v/>
      </c>
      <c r="N16373" s="11" t="str">
        <f t="shared" si="783"/>
        <v/>
      </c>
    </row>
    <row r="16374" spans="9:14" x14ac:dyDescent="0.25">
      <c r="I16374" s="11" t="b">
        <f t="shared" si="784"/>
        <v>0</v>
      </c>
      <c r="M16374" s="17" t="str">
        <f t="shared" si="782"/>
        <v/>
      </c>
      <c r="N16374" s="11" t="str">
        <f t="shared" si="783"/>
        <v/>
      </c>
    </row>
    <row r="16375" spans="9:14" x14ac:dyDescent="0.25">
      <c r="I16375" s="11" t="b">
        <f t="shared" si="784"/>
        <v>0</v>
      </c>
      <c r="M16375" s="17" t="str">
        <f t="shared" si="782"/>
        <v/>
      </c>
      <c r="N16375" s="11" t="str">
        <f t="shared" si="783"/>
        <v/>
      </c>
    </row>
    <row r="16376" spans="9:14" x14ac:dyDescent="0.25">
      <c r="I16376" s="11" t="b">
        <f t="shared" si="784"/>
        <v>0</v>
      </c>
      <c r="M16376" s="17" t="str">
        <f t="shared" si="782"/>
        <v/>
      </c>
      <c r="N16376" s="11" t="str">
        <f t="shared" si="783"/>
        <v/>
      </c>
    </row>
    <row r="16377" spans="9:14" x14ac:dyDescent="0.25">
      <c r="I16377" s="11" t="b">
        <f t="shared" si="784"/>
        <v>0</v>
      </c>
      <c r="M16377" s="17" t="str">
        <f t="shared" si="782"/>
        <v/>
      </c>
      <c r="N16377" s="11" t="str">
        <f t="shared" si="783"/>
        <v/>
      </c>
    </row>
    <row r="16378" spans="9:14" x14ac:dyDescent="0.25">
      <c r="I16378" s="11" t="b">
        <f t="shared" si="784"/>
        <v>0</v>
      </c>
      <c r="M16378" s="17" t="str">
        <f t="shared" si="782"/>
        <v/>
      </c>
      <c r="N16378" s="11" t="str">
        <f t="shared" si="783"/>
        <v/>
      </c>
    </row>
    <row r="16379" spans="9:14" x14ac:dyDescent="0.25">
      <c r="I16379" s="11" t="b">
        <f t="shared" si="784"/>
        <v>0</v>
      </c>
      <c r="M16379" s="17" t="str">
        <f t="shared" si="782"/>
        <v/>
      </c>
      <c r="N16379" s="11" t="str">
        <f t="shared" si="783"/>
        <v/>
      </c>
    </row>
    <row r="16380" spans="9:14" x14ac:dyDescent="0.25">
      <c r="I16380" s="11" t="b">
        <f t="shared" si="784"/>
        <v>0</v>
      </c>
      <c r="M16380" s="17" t="str">
        <f t="shared" si="782"/>
        <v/>
      </c>
      <c r="N16380" s="11" t="str">
        <f t="shared" si="783"/>
        <v/>
      </c>
    </row>
    <row r="16381" spans="9:14" x14ac:dyDescent="0.25">
      <c r="I16381" s="11" t="b">
        <f t="shared" si="784"/>
        <v>0</v>
      </c>
      <c r="M16381" s="17" t="str">
        <f t="shared" si="782"/>
        <v/>
      </c>
      <c r="N16381" s="11" t="str">
        <f t="shared" si="783"/>
        <v/>
      </c>
    </row>
    <row r="16382" spans="9:14" x14ac:dyDescent="0.25">
      <c r="I16382" s="11" t="b">
        <f t="shared" si="784"/>
        <v>0</v>
      </c>
      <c r="M16382" s="17" t="str">
        <f t="shared" si="782"/>
        <v/>
      </c>
      <c r="N16382" s="11" t="str">
        <f t="shared" si="783"/>
        <v/>
      </c>
    </row>
    <row r="16383" spans="9:14" x14ac:dyDescent="0.25">
      <c r="I16383" s="11" t="b">
        <f t="shared" si="784"/>
        <v>0</v>
      </c>
      <c r="M16383" s="17" t="str">
        <f t="shared" si="782"/>
        <v/>
      </c>
      <c r="N16383" s="11" t="str">
        <f t="shared" si="783"/>
        <v/>
      </c>
    </row>
    <row r="16384" spans="9:14" x14ac:dyDescent="0.25">
      <c r="I16384" s="11" t="b">
        <f t="shared" si="784"/>
        <v>0</v>
      </c>
      <c r="M16384" s="17" t="str">
        <f t="shared" si="782"/>
        <v/>
      </c>
      <c r="N16384" s="11" t="str">
        <f t="shared" si="783"/>
        <v/>
      </c>
    </row>
    <row r="16385" spans="9:14" x14ac:dyDescent="0.25">
      <c r="I16385" s="11" t="b">
        <f t="shared" si="784"/>
        <v>0</v>
      </c>
      <c r="M16385" s="17" t="str">
        <f t="shared" ref="M16385:M16448" si="785">IF(B16385=0, "",M16384+ J16385-K16385)</f>
        <v/>
      </c>
      <c r="N16385" s="11" t="str">
        <f t="shared" ref="N16385:N16448" si="786">IF(B16385=0, "", MONTH(B16385))</f>
        <v/>
      </c>
    </row>
    <row r="16386" spans="9:14" x14ac:dyDescent="0.25">
      <c r="I16386" s="11" t="b">
        <f t="shared" si="784"/>
        <v>0</v>
      </c>
      <c r="M16386" s="17" t="str">
        <f t="shared" si="785"/>
        <v/>
      </c>
      <c r="N16386" s="11" t="str">
        <f t="shared" si="786"/>
        <v/>
      </c>
    </row>
    <row r="16387" spans="9:14" x14ac:dyDescent="0.25">
      <c r="I16387" s="11" t="b">
        <f t="shared" si="784"/>
        <v>0</v>
      </c>
      <c r="M16387" s="17" t="str">
        <f t="shared" si="785"/>
        <v/>
      </c>
      <c r="N16387" s="11" t="str">
        <f t="shared" si="786"/>
        <v/>
      </c>
    </row>
    <row r="16388" spans="9:14" x14ac:dyDescent="0.25">
      <c r="I16388" s="11" t="b">
        <f t="shared" si="784"/>
        <v>0</v>
      </c>
      <c r="M16388" s="17" t="str">
        <f t="shared" si="785"/>
        <v/>
      </c>
      <c r="N16388" s="11" t="str">
        <f t="shared" si="786"/>
        <v/>
      </c>
    </row>
    <row r="16389" spans="9:14" x14ac:dyDescent="0.25">
      <c r="I16389" s="11" t="b">
        <f t="shared" si="784"/>
        <v>0</v>
      </c>
      <c r="M16389" s="17" t="str">
        <f t="shared" si="785"/>
        <v/>
      </c>
      <c r="N16389" s="11" t="str">
        <f t="shared" si="786"/>
        <v/>
      </c>
    </row>
    <row r="16390" spans="9:14" x14ac:dyDescent="0.25">
      <c r="I16390" s="11" t="b">
        <f t="shared" si="784"/>
        <v>0</v>
      </c>
      <c r="M16390" s="17" t="str">
        <f t="shared" si="785"/>
        <v/>
      </c>
      <c r="N16390" s="11" t="str">
        <f t="shared" si="786"/>
        <v/>
      </c>
    </row>
    <row r="16391" spans="9:14" x14ac:dyDescent="0.25">
      <c r="I16391" s="11" t="b">
        <f t="shared" si="784"/>
        <v>0</v>
      </c>
      <c r="M16391" s="17" t="str">
        <f t="shared" si="785"/>
        <v/>
      </c>
      <c r="N16391" s="11" t="str">
        <f t="shared" si="786"/>
        <v/>
      </c>
    </row>
    <row r="16392" spans="9:14" x14ac:dyDescent="0.25">
      <c r="I16392" s="11" t="b">
        <f t="shared" si="784"/>
        <v>0</v>
      </c>
      <c r="M16392" s="17" t="str">
        <f t="shared" si="785"/>
        <v/>
      </c>
      <c r="N16392" s="11" t="str">
        <f t="shared" si="786"/>
        <v/>
      </c>
    </row>
    <row r="16393" spans="9:14" x14ac:dyDescent="0.25">
      <c r="I16393" s="11" t="b">
        <f t="shared" si="784"/>
        <v>0</v>
      </c>
      <c r="M16393" s="17" t="str">
        <f t="shared" si="785"/>
        <v/>
      </c>
      <c r="N16393" s="11" t="str">
        <f t="shared" si="786"/>
        <v/>
      </c>
    </row>
    <row r="16394" spans="9:14" x14ac:dyDescent="0.25">
      <c r="I16394" s="11" t="b">
        <f t="shared" si="784"/>
        <v>0</v>
      </c>
      <c r="M16394" s="17" t="str">
        <f t="shared" si="785"/>
        <v/>
      </c>
      <c r="N16394" s="11" t="str">
        <f t="shared" si="786"/>
        <v/>
      </c>
    </row>
    <row r="16395" spans="9:14" x14ac:dyDescent="0.25">
      <c r="I16395" s="11" t="b">
        <f t="shared" si="784"/>
        <v>0</v>
      </c>
      <c r="M16395" s="17" t="str">
        <f t="shared" si="785"/>
        <v/>
      </c>
      <c r="N16395" s="11" t="str">
        <f t="shared" si="786"/>
        <v/>
      </c>
    </row>
    <row r="16396" spans="9:14" x14ac:dyDescent="0.25">
      <c r="I16396" s="11" t="b">
        <f t="shared" si="784"/>
        <v>0</v>
      </c>
      <c r="M16396" s="17" t="str">
        <f t="shared" si="785"/>
        <v/>
      </c>
      <c r="N16396" s="11" t="str">
        <f t="shared" si="786"/>
        <v/>
      </c>
    </row>
    <row r="16397" spans="9:14" x14ac:dyDescent="0.25">
      <c r="I16397" s="11" t="b">
        <f t="shared" si="784"/>
        <v>0</v>
      </c>
      <c r="M16397" s="17" t="str">
        <f t="shared" si="785"/>
        <v/>
      </c>
      <c r="N16397" s="11" t="str">
        <f t="shared" si="786"/>
        <v/>
      </c>
    </row>
    <row r="16398" spans="9:14" x14ac:dyDescent="0.25">
      <c r="I16398" s="11" t="b">
        <f t="shared" si="784"/>
        <v>0</v>
      </c>
      <c r="M16398" s="17" t="str">
        <f t="shared" si="785"/>
        <v/>
      </c>
      <c r="N16398" s="11" t="str">
        <f t="shared" si="786"/>
        <v/>
      </c>
    </row>
    <row r="16399" spans="9:14" x14ac:dyDescent="0.25">
      <c r="I16399" s="11" t="b">
        <f t="shared" si="784"/>
        <v>0</v>
      </c>
      <c r="M16399" s="17" t="str">
        <f t="shared" si="785"/>
        <v/>
      </c>
      <c r="N16399" s="11" t="str">
        <f t="shared" si="786"/>
        <v/>
      </c>
    </row>
    <row r="16400" spans="9:14" x14ac:dyDescent="0.25">
      <c r="I16400" s="11" t="b">
        <f t="shared" si="784"/>
        <v>0</v>
      </c>
      <c r="M16400" s="17" t="str">
        <f t="shared" si="785"/>
        <v/>
      </c>
      <c r="N16400" s="11" t="str">
        <f t="shared" si="786"/>
        <v/>
      </c>
    </row>
    <row r="16401" spans="9:14" x14ac:dyDescent="0.25">
      <c r="I16401" s="11" t="b">
        <f t="shared" si="784"/>
        <v>0</v>
      </c>
      <c r="M16401" s="17" t="str">
        <f t="shared" si="785"/>
        <v/>
      </c>
      <c r="N16401" s="11" t="str">
        <f t="shared" si="786"/>
        <v/>
      </c>
    </row>
    <row r="16402" spans="9:14" x14ac:dyDescent="0.25">
      <c r="I16402" s="11" t="b">
        <f t="shared" si="784"/>
        <v>0</v>
      </c>
      <c r="M16402" s="17" t="str">
        <f t="shared" si="785"/>
        <v/>
      </c>
      <c r="N16402" s="11" t="str">
        <f t="shared" si="786"/>
        <v/>
      </c>
    </row>
    <row r="16403" spans="9:14" x14ac:dyDescent="0.25">
      <c r="I16403" s="11" t="b">
        <f t="shared" si="784"/>
        <v>0</v>
      </c>
      <c r="M16403" s="17" t="str">
        <f t="shared" si="785"/>
        <v/>
      </c>
      <c r="N16403" s="11" t="str">
        <f t="shared" si="786"/>
        <v/>
      </c>
    </row>
    <row r="16404" spans="9:14" x14ac:dyDescent="0.25">
      <c r="I16404" s="11" t="b">
        <f t="shared" si="784"/>
        <v>0</v>
      </c>
      <c r="M16404" s="17" t="str">
        <f t="shared" si="785"/>
        <v/>
      </c>
      <c r="N16404" s="11" t="str">
        <f t="shared" si="786"/>
        <v/>
      </c>
    </row>
    <row r="16405" spans="9:14" x14ac:dyDescent="0.25">
      <c r="I16405" s="11" t="b">
        <f t="shared" si="784"/>
        <v>0</v>
      </c>
      <c r="M16405" s="17" t="str">
        <f t="shared" si="785"/>
        <v/>
      </c>
      <c r="N16405" s="11" t="str">
        <f t="shared" si="786"/>
        <v/>
      </c>
    </row>
    <row r="16406" spans="9:14" x14ac:dyDescent="0.25">
      <c r="I16406" s="11" t="b">
        <f t="shared" si="784"/>
        <v>0</v>
      </c>
      <c r="M16406" s="17" t="str">
        <f t="shared" si="785"/>
        <v/>
      </c>
      <c r="N16406" s="11" t="str">
        <f t="shared" si="786"/>
        <v/>
      </c>
    </row>
    <row r="16407" spans="9:14" x14ac:dyDescent="0.25">
      <c r="I16407" s="11" t="b">
        <f t="shared" si="784"/>
        <v>0</v>
      </c>
      <c r="M16407" s="17" t="str">
        <f t="shared" si="785"/>
        <v/>
      </c>
      <c r="N16407" s="11" t="str">
        <f t="shared" si="786"/>
        <v/>
      </c>
    </row>
    <row r="16408" spans="9:14" x14ac:dyDescent="0.25">
      <c r="I16408" s="11" t="b">
        <f t="shared" si="784"/>
        <v>0</v>
      </c>
      <c r="M16408" s="17" t="str">
        <f t="shared" si="785"/>
        <v/>
      </c>
      <c r="N16408" s="11" t="str">
        <f t="shared" si="786"/>
        <v/>
      </c>
    </row>
    <row r="16409" spans="9:14" x14ac:dyDescent="0.25">
      <c r="I16409" s="11" t="b">
        <f t="shared" si="784"/>
        <v>0</v>
      </c>
      <c r="M16409" s="17" t="str">
        <f t="shared" si="785"/>
        <v/>
      </c>
      <c r="N16409" s="11" t="str">
        <f t="shared" si="786"/>
        <v/>
      </c>
    </row>
    <row r="16410" spans="9:14" x14ac:dyDescent="0.25">
      <c r="I16410" s="11" t="b">
        <f t="shared" si="784"/>
        <v>0</v>
      </c>
      <c r="M16410" s="17" t="str">
        <f t="shared" si="785"/>
        <v/>
      </c>
      <c r="N16410" s="11" t="str">
        <f t="shared" si="786"/>
        <v/>
      </c>
    </row>
    <row r="16411" spans="9:14" x14ac:dyDescent="0.25">
      <c r="I16411" s="11" t="b">
        <f t="shared" si="784"/>
        <v>0</v>
      </c>
      <c r="M16411" s="17" t="str">
        <f t="shared" si="785"/>
        <v/>
      </c>
      <c r="N16411" s="11" t="str">
        <f t="shared" si="786"/>
        <v/>
      </c>
    </row>
    <row r="16412" spans="9:14" x14ac:dyDescent="0.25">
      <c r="I16412" s="11" t="b">
        <f t="shared" si="784"/>
        <v>0</v>
      </c>
      <c r="M16412" s="17" t="str">
        <f t="shared" si="785"/>
        <v/>
      </c>
      <c r="N16412" s="11" t="str">
        <f t="shared" si="786"/>
        <v/>
      </c>
    </row>
    <row r="16413" spans="9:14" x14ac:dyDescent="0.25">
      <c r="I16413" s="11" t="b">
        <f t="shared" ref="I16413:I16476" si="787">IF(AND(G16413="MERCADO PAGO",A16413="FATURAMENTO"),1,IF(AND(OR(G16413="MERCADO PAGO",G16413="pix mercado pago",G16413= "débito automático mercado pago", G16413= "boleto mercado pago"),A16413="DESPESAS"),4,IF(AND(G16413="SAFRA",A16413="FATURAMENTO"),2,IF(AND(OR(G16413="SAFRA",G16413="PIX SAFRA", G16413="DÉBITO AUTOMÁTICO SAFRA", G16413= "BOLETO SAFRA", G16413= "transferência safra"), A16413="DESPESAS"),5,IF(AND(G16413="espécie",A16413="FATURAMENTO"),3,IF(AND(G16413="espécie",A16413="DESPESAS"),6))))))</f>
        <v>0</v>
      </c>
      <c r="M16413" s="17" t="str">
        <f t="shared" si="785"/>
        <v/>
      </c>
      <c r="N16413" s="11" t="str">
        <f t="shared" si="786"/>
        <v/>
      </c>
    </row>
    <row r="16414" spans="9:14" x14ac:dyDescent="0.25">
      <c r="I16414" s="11" t="b">
        <f t="shared" si="787"/>
        <v>0</v>
      </c>
      <c r="M16414" s="17" t="str">
        <f t="shared" si="785"/>
        <v/>
      </c>
      <c r="N16414" s="11" t="str">
        <f t="shared" si="786"/>
        <v/>
      </c>
    </row>
    <row r="16415" spans="9:14" x14ac:dyDescent="0.25">
      <c r="I16415" s="11" t="b">
        <f t="shared" si="787"/>
        <v>0</v>
      </c>
      <c r="M16415" s="17" t="str">
        <f t="shared" si="785"/>
        <v/>
      </c>
      <c r="N16415" s="11" t="str">
        <f t="shared" si="786"/>
        <v/>
      </c>
    </row>
    <row r="16416" spans="9:14" x14ac:dyDescent="0.25">
      <c r="I16416" s="11" t="b">
        <f t="shared" si="787"/>
        <v>0</v>
      </c>
      <c r="M16416" s="17" t="str">
        <f t="shared" si="785"/>
        <v/>
      </c>
      <c r="N16416" s="11" t="str">
        <f t="shared" si="786"/>
        <v/>
      </c>
    </row>
    <row r="16417" spans="9:14" x14ac:dyDescent="0.25">
      <c r="I16417" s="11" t="b">
        <f t="shared" si="787"/>
        <v>0</v>
      </c>
      <c r="M16417" s="17" t="str">
        <f t="shared" si="785"/>
        <v/>
      </c>
      <c r="N16417" s="11" t="str">
        <f t="shared" si="786"/>
        <v/>
      </c>
    </row>
    <row r="16418" spans="9:14" x14ac:dyDescent="0.25">
      <c r="I16418" s="11" t="b">
        <f t="shared" si="787"/>
        <v>0</v>
      </c>
      <c r="M16418" s="17" t="str">
        <f t="shared" si="785"/>
        <v/>
      </c>
      <c r="N16418" s="11" t="str">
        <f t="shared" si="786"/>
        <v/>
      </c>
    </row>
    <row r="16419" spans="9:14" x14ac:dyDescent="0.25">
      <c r="I16419" s="11" t="b">
        <f t="shared" si="787"/>
        <v>0</v>
      </c>
      <c r="M16419" s="17" t="str">
        <f t="shared" si="785"/>
        <v/>
      </c>
      <c r="N16419" s="11" t="str">
        <f t="shared" si="786"/>
        <v/>
      </c>
    </row>
    <row r="16420" spans="9:14" x14ac:dyDescent="0.25">
      <c r="I16420" s="11" t="b">
        <f t="shared" si="787"/>
        <v>0</v>
      </c>
      <c r="M16420" s="17" t="str">
        <f t="shared" si="785"/>
        <v/>
      </c>
      <c r="N16420" s="11" t="str">
        <f t="shared" si="786"/>
        <v/>
      </c>
    </row>
    <row r="16421" spans="9:14" x14ac:dyDescent="0.25">
      <c r="I16421" s="11" t="b">
        <f t="shared" si="787"/>
        <v>0</v>
      </c>
      <c r="M16421" s="17" t="str">
        <f t="shared" si="785"/>
        <v/>
      </c>
      <c r="N16421" s="11" t="str">
        <f t="shared" si="786"/>
        <v/>
      </c>
    </row>
    <row r="16422" spans="9:14" x14ac:dyDescent="0.25">
      <c r="I16422" s="11" t="b">
        <f t="shared" si="787"/>
        <v>0</v>
      </c>
      <c r="M16422" s="17" t="str">
        <f t="shared" si="785"/>
        <v/>
      </c>
      <c r="N16422" s="11" t="str">
        <f t="shared" si="786"/>
        <v/>
      </c>
    </row>
    <row r="16423" spans="9:14" x14ac:dyDescent="0.25">
      <c r="I16423" s="11" t="b">
        <f t="shared" si="787"/>
        <v>0</v>
      </c>
      <c r="M16423" s="17" t="str">
        <f t="shared" si="785"/>
        <v/>
      </c>
      <c r="N16423" s="11" t="str">
        <f t="shared" si="786"/>
        <v/>
      </c>
    </row>
    <row r="16424" spans="9:14" x14ac:dyDescent="0.25">
      <c r="I16424" s="11" t="b">
        <f t="shared" si="787"/>
        <v>0</v>
      </c>
      <c r="M16424" s="17" t="str">
        <f t="shared" si="785"/>
        <v/>
      </c>
      <c r="N16424" s="11" t="str">
        <f t="shared" si="786"/>
        <v/>
      </c>
    </row>
    <row r="16425" spans="9:14" x14ac:dyDescent="0.25">
      <c r="I16425" s="11" t="b">
        <f t="shared" si="787"/>
        <v>0</v>
      </c>
      <c r="M16425" s="17" t="str">
        <f t="shared" si="785"/>
        <v/>
      </c>
      <c r="N16425" s="11" t="str">
        <f t="shared" si="786"/>
        <v/>
      </c>
    </row>
    <row r="16426" spans="9:14" x14ac:dyDescent="0.25">
      <c r="I16426" s="11" t="b">
        <f t="shared" si="787"/>
        <v>0</v>
      </c>
      <c r="M16426" s="17" t="str">
        <f t="shared" si="785"/>
        <v/>
      </c>
      <c r="N16426" s="11" t="str">
        <f t="shared" si="786"/>
        <v/>
      </c>
    </row>
    <row r="16427" spans="9:14" x14ac:dyDescent="0.25">
      <c r="I16427" s="11" t="b">
        <f t="shared" si="787"/>
        <v>0</v>
      </c>
      <c r="M16427" s="17" t="str">
        <f t="shared" si="785"/>
        <v/>
      </c>
      <c r="N16427" s="11" t="str">
        <f t="shared" si="786"/>
        <v/>
      </c>
    </row>
    <row r="16428" spans="9:14" x14ac:dyDescent="0.25">
      <c r="I16428" s="11" t="b">
        <f t="shared" si="787"/>
        <v>0</v>
      </c>
      <c r="M16428" s="17" t="str">
        <f t="shared" si="785"/>
        <v/>
      </c>
      <c r="N16428" s="11" t="str">
        <f t="shared" si="786"/>
        <v/>
      </c>
    </row>
    <row r="16429" spans="9:14" x14ac:dyDescent="0.25">
      <c r="I16429" s="11" t="b">
        <f t="shared" si="787"/>
        <v>0</v>
      </c>
      <c r="M16429" s="17" t="str">
        <f t="shared" si="785"/>
        <v/>
      </c>
      <c r="N16429" s="11" t="str">
        <f t="shared" si="786"/>
        <v/>
      </c>
    </row>
    <row r="16430" spans="9:14" x14ac:dyDescent="0.25">
      <c r="I16430" s="11" t="b">
        <f t="shared" si="787"/>
        <v>0</v>
      </c>
      <c r="M16430" s="17" t="str">
        <f t="shared" si="785"/>
        <v/>
      </c>
      <c r="N16430" s="11" t="str">
        <f t="shared" si="786"/>
        <v/>
      </c>
    </row>
    <row r="16431" spans="9:14" x14ac:dyDescent="0.25">
      <c r="I16431" s="11" t="b">
        <f t="shared" si="787"/>
        <v>0</v>
      </c>
      <c r="M16431" s="17" t="str">
        <f t="shared" si="785"/>
        <v/>
      </c>
      <c r="N16431" s="11" t="str">
        <f t="shared" si="786"/>
        <v/>
      </c>
    </row>
    <row r="16432" spans="9:14" x14ac:dyDescent="0.25">
      <c r="I16432" s="11" t="b">
        <f t="shared" si="787"/>
        <v>0</v>
      </c>
      <c r="M16432" s="17" t="str">
        <f t="shared" si="785"/>
        <v/>
      </c>
      <c r="N16432" s="11" t="str">
        <f t="shared" si="786"/>
        <v/>
      </c>
    </row>
    <row r="16433" spans="9:14" x14ac:dyDescent="0.25">
      <c r="I16433" s="11" t="b">
        <f t="shared" si="787"/>
        <v>0</v>
      </c>
      <c r="M16433" s="17" t="str">
        <f t="shared" si="785"/>
        <v/>
      </c>
      <c r="N16433" s="11" t="str">
        <f t="shared" si="786"/>
        <v/>
      </c>
    </row>
    <row r="16434" spans="9:14" x14ac:dyDescent="0.25">
      <c r="I16434" s="11" t="b">
        <f t="shared" si="787"/>
        <v>0</v>
      </c>
      <c r="M16434" s="17" t="str">
        <f t="shared" si="785"/>
        <v/>
      </c>
      <c r="N16434" s="11" t="str">
        <f t="shared" si="786"/>
        <v/>
      </c>
    </row>
    <row r="16435" spans="9:14" x14ac:dyDescent="0.25">
      <c r="I16435" s="11" t="b">
        <f t="shared" si="787"/>
        <v>0</v>
      </c>
      <c r="M16435" s="17" t="str">
        <f t="shared" si="785"/>
        <v/>
      </c>
      <c r="N16435" s="11" t="str">
        <f t="shared" si="786"/>
        <v/>
      </c>
    </row>
    <row r="16436" spans="9:14" x14ac:dyDescent="0.25">
      <c r="I16436" s="11" t="b">
        <f t="shared" si="787"/>
        <v>0</v>
      </c>
      <c r="M16436" s="17" t="str">
        <f t="shared" si="785"/>
        <v/>
      </c>
      <c r="N16436" s="11" t="str">
        <f t="shared" si="786"/>
        <v/>
      </c>
    </row>
    <row r="16437" spans="9:14" x14ac:dyDescent="0.25">
      <c r="I16437" s="11" t="b">
        <f t="shared" si="787"/>
        <v>0</v>
      </c>
      <c r="M16437" s="17" t="str">
        <f t="shared" si="785"/>
        <v/>
      </c>
      <c r="N16437" s="11" t="str">
        <f t="shared" si="786"/>
        <v/>
      </c>
    </row>
    <row r="16438" spans="9:14" x14ac:dyDescent="0.25">
      <c r="I16438" s="11" t="b">
        <f t="shared" si="787"/>
        <v>0</v>
      </c>
      <c r="M16438" s="17" t="str">
        <f t="shared" si="785"/>
        <v/>
      </c>
      <c r="N16438" s="11" t="str">
        <f t="shared" si="786"/>
        <v/>
      </c>
    </row>
    <row r="16439" spans="9:14" x14ac:dyDescent="0.25">
      <c r="I16439" s="11" t="b">
        <f t="shared" si="787"/>
        <v>0</v>
      </c>
      <c r="M16439" s="17" t="str">
        <f t="shared" si="785"/>
        <v/>
      </c>
      <c r="N16439" s="11" t="str">
        <f t="shared" si="786"/>
        <v/>
      </c>
    </row>
    <row r="16440" spans="9:14" x14ac:dyDescent="0.25">
      <c r="I16440" s="11" t="b">
        <f t="shared" si="787"/>
        <v>0</v>
      </c>
      <c r="M16440" s="17" t="str">
        <f t="shared" si="785"/>
        <v/>
      </c>
      <c r="N16440" s="11" t="str">
        <f t="shared" si="786"/>
        <v/>
      </c>
    </row>
    <row r="16441" spans="9:14" x14ac:dyDescent="0.25">
      <c r="I16441" s="11" t="b">
        <f t="shared" si="787"/>
        <v>0</v>
      </c>
      <c r="M16441" s="17" t="str">
        <f t="shared" si="785"/>
        <v/>
      </c>
      <c r="N16441" s="11" t="str">
        <f t="shared" si="786"/>
        <v/>
      </c>
    </row>
    <row r="16442" spans="9:14" x14ac:dyDescent="0.25">
      <c r="I16442" s="11" t="b">
        <f t="shared" si="787"/>
        <v>0</v>
      </c>
      <c r="M16442" s="17" t="str">
        <f t="shared" si="785"/>
        <v/>
      </c>
      <c r="N16442" s="11" t="str">
        <f t="shared" si="786"/>
        <v/>
      </c>
    </row>
    <row r="16443" spans="9:14" x14ac:dyDescent="0.25">
      <c r="I16443" s="11" t="b">
        <f t="shared" si="787"/>
        <v>0</v>
      </c>
      <c r="M16443" s="17" t="str">
        <f t="shared" si="785"/>
        <v/>
      </c>
      <c r="N16443" s="11" t="str">
        <f t="shared" si="786"/>
        <v/>
      </c>
    </row>
    <row r="16444" spans="9:14" x14ac:dyDescent="0.25">
      <c r="I16444" s="11" t="b">
        <f t="shared" si="787"/>
        <v>0</v>
      </c>
      <c r="M16444" s="17" t="str">
        <f t="shared" si="785"/>
        <v/>
      </c>
      <c r="N16444" s="11" t="str">
        <f t="shared" si="786"/>
        <v/>
      </c>
    </row>
    <row r="16445" spans="9:14" x14ac:dyDescent="0.25">
      <c r="I16445" s="11" t="b">
        <f t="shared" si="787"/>
        <v>0</v>
      </c>
      <c r="M16445" s="17" t="str">
        <f t="shared" si="785"/>
        <v/>
      </c>
      <c r="N16445" s="11" t="str">
        <f t="shared" si="786"/>
        <v/>
      </c>
    </row>
    <row r="16446" spans="9:14" x14ac:dyDescent="0.25">
      <c r="I16446" s="11" t="b">
        <f t="shared" si="787"/>
        <v>0</v>
      </c>
      <c r="M16446" s="17" t="str">
        <f t="shared" si="785"/>
        <v/>
      </c>
      <c r="N16446" s="11" t="str">
        <f t="shared" si="786"/>
        <v/>
      </c>
    </row>
    <row r="16447" spans="9:14" x14ac:dyDescent="0.25">
      <c r="I16447" s="11" t="b">
        <f t="shared" si="787"/>
        <v>0</v>
      </c>
      <c r="M16447" s="17" t="str">
        <f t="shared" si="785"/>
        <v/>
      </c>
      <c r="N16447" s="11" t="str">
        <f t="shared" si="786"/>
        <v/>
      </c>
    </row>
    <row r="16448" spans="9:14" x14ac:dyDescent="0.25">
      <c r="I16448" s="11" t="b">
        <f t="shared" si="787"/>
        <v>0</v>
      </c>
      <c r="M16448" s="17" t="str">
        <f t="shared" si="785"/>
        <v/>
      </c>
      <c r="N16448" s="11" t="str">
        <f t="shared" si="786"/>
        <v/>
      </c>
    </row>
    <row r="16449" spans="9:14" x14ac:dyDescent="0.25">
      <c r="I16449" s="11" t="b">
        <f t="shared" si="787"/>
        <v>0</v>
      </c>
      <c r="M16449" s="17" t="str">
        <f t="shared" ref="M16449:M16512" si="788">IF(B16449=0, "",M16448+ J16449-K16449)</f>
        <v/>
      </c>
      <c r="N16449" s="11" t="str">
        <f t="shared" ref="N16449:N16512" si="789">IF(B16449=0, "", MONTH(B16449))</f>
        <v/>
      </c>
    </row>
    <row r="16450" spans="9:14" x14ac:dyDescent="0.25">
      <c r="I16450" s="11" t="b">
        <f t="shared" si="787"/>
        <v>0</v>
      </c>
      <c r="M16450" s="17" t="str">
        <f t="shared" si="788"/>
        <v/>
      </c>
      <c r="N16450" s="11" t="str">
        <f t="shared" si="789"/>
        <v/>
      </c>
    </row>
    <row r="16451" spans="9:14" x14ac:dyDescent="0.25">
      <c r="I16451" s="11" t="b">
        <f t="shared" si="787"/>
        <v>0</v>
      </c>
      <c r="M16451" s="17" t="str">
        <f t="shared" si="788"/>
        <v/>
      </c>
      <c r="N16451" s="11" t="str">
        <f t="shared" si="789"/>
        <v/>
      </c>
    </row>
    <row r="16452" spans="9:14" x14ac:dyDescent="0.25">
      <c r="I16452" s="11" t="b">
        <f t="shared" si="787"/>
        <v>0</v>
      </c>
      <c r="M16452" s="17" t="str">
        <f t="shared" si="788"/>
        <v/>
      </c>
      <c r="N16452" s="11" t="str">
        <f t="shared" si="789"/>
        <v/>
      </c>
    </row>
    <row r="16453" spans="9:14" x14ac:dyDescent="0.25">
      <c r="I16453" s="11" t="b">
        <f t="shared" si="787"/>
        <v>0</v>
      </c>
      <c r="M16453" s="17" t="str">
        <f t="shared" si="788"/>
        <v/>
      </c>
      <c r="N16453" s="11" t="str">
        <f t="shared" si="789"/>
        <v/>
      </c>
    </row>
    <row r="16454" spans="9:14" x14ac:dyDescent="0.25">
      <c r="I16454" s="11" t="b">
        <f t="shared" si="787"/>
        <v>0</v>
      </c>
      <c r="M16454" s="17" t="str">
        <f t="shared" si="788"/>
        <v/>
      </c>
      <c r="N16454" s="11" t="str">
        <f t="shared" si="789"/>
        <v/>
      </c>
    </row>
    <row r="16455" spans="9:14" x14ac:dyDescent="0.25">
      <c r="I16455" s="11" t="b">
        <f t="shared" si="787"/>
        <v>0</v>
      </c>
      <c r="M16455" s="17" t="str">
        <f t="shared" si="788"/>
        <v/>
      </c>
      <c r="N16455" s="11" t="str">
        <f t="shared" si="789"/>
        <v/>
      </c>
    </row>
    <row r="16456" spans="9:14" x14ac:dyDescent="0.25">
      <c r="I16456" s="11" t="b">
        <f t="shared" si="787"/>
        <v>0</v>
      </c>
      <c r="M16456" s="17" t="str">
        <f t="shared" si="788"/>
        <v/>
      </c>
      <c r="N16456" s="11" t="str">
        <f t="shared" si="789"/>
        <v/>
      </c>
    </row>
    <row r="16457" spans="9:14" x14ac:dyDescent="0.25">
      <c r="I16457" s="11" t="b">
        <f t="shared" si="787"/>
        <v>0</v>
      </c>
      <c r="M16457" s="17" t="str">
        <f t="shared" si="788"/>
        <v/>
      </c>
      <c r="N16457" s="11" t="str">
        <f t="shared" si="789"/>
        <v/>
      </c>
    </row>
    <row r="16458" spans="9:14" x14ac:dyDescent="0.25">
      <c r="I16458" s="11" t="b">
        <f t="shared" si="787"/>
        <v>0</v>
      </c>
      <c r="M16458" s="17" t="str">
        <f t="shared" si="788"/>
        <v/>
      </c>
      <c r="N16458" s="11" t="str">
        <f t="shared" si="789"/>
        <v/>
      </c>
    </row>
    <row r="16459" spans="9:14" x14ac:dyDescent="0.25">
      <c r="I16459" s="11" t="b">
        <f t="shared" si="787"/>
        <v>0</v>
      </c>
      <c r="M16459" s="17" t="str">
        <f t="shared" si="788"/>
        <v/>
      </c>
      <c r="N16459" s="11" t="str">
        <f t="shared" si="789"/>
        <v/>
      </c>
    </row>
    <row r="16460" spans="9:14" x14ac:dyDescent="0.25">
      <c r="I16460" s="11" t="b">
        <f t="shared" si="787"/>
        <v>0</v>
      </c>
      <c r="M16460" s="17" t="str">
        <f t="shared" si="788"/>
        <v/>
      </c>
      <c r="N16460" s="11" t="str">
        <f t="shared" si="789"/>
        <v/>
      </c>
    </row>
    <row r="16461" spans="9:14" x14ac:dyDescent="0.25">
      <c r="I16461" s="11" t="b">
        <f t="shared" si="787"/>
        <v>0</v>
      </c>
      <c r="M16461" s="17" t="str">
        <f t="shared" si="788"/>
        <v/>
      </c>
      <c r="N16461" s="11" t="str">
        <f t="shared" si="789"/>
        <v/>
      </c>
    </row>
    <row r="16462" spans="9:14" x14ac:dyDescent="0.25">
      <c r="I16462" s="11" t="b">
        <f t="shared" si="787"/>
        <v>0</v>
      </c>
      <c r="M16462" s="17" t="str">
        <f t="shared" si="788"/>
        <v/>
      </c>
      <c r="N16462" s="11" t="str">
        <f t="shared" si="789"/>
        <v/>
      </c>
    </row>
    <row r="16463" spans="9:14" x14ac:dyDescent="0.25">
      <c r="I16463" s="11" t="b">
        <f t="shared" si="787"/>
        <v>0</v>
      </c>
      <c r="M16463" s="17" t="str">
        <f t="shared" si="788"/>
        <v/>
      </c>
      <c r="N16463" s="11" t="str">
        <f t="shared" si="789"/>
        <v/>
      </c>
    </row>
    <row r="16464" spans="9:14" x14ac:dyDescent="0.25">
      <c r="I16464" s="11" t="b">
        <f t="shared" si="787"/>
        <v>0</v>
      </c>
      <c r="M16464" s="17" t="str">
        <f t="shared" si="788"/>
        <v/>
      </c>
      <c r="N16464" s="11" t="str">
        <f t="shared" si="789"/>
        <v/>
      </c>
    </row>
    <row r="16465" spans="9:14" x14ac:dyDescent="0.25">
      <c r="I16465" s="11" t="b">
        <f t="shared" si="787"/>
        <v>0</v>
      </c>
      <c r="M16465" s="17" t="str">
        <f t="shared" si="788"/>
        <v/>
      </c>
      <c r="N16465" s="11" t="str">
        <f t="shared" si="789"/>
        <v/>
      </c>
    </row>
    <row r="16466" spans="9:14" x14ac:dyDescent="0.25">
      <c r="I16466" s="11" t="b">
        <f t="shared" si="787"/>
        <v>0</v>
      </c>
      <c r="M16466" s="17" t="str">
        <f t="shared" si="788"/>
        <v/>
      </c>
      <c r="N16466" s="11" t="str">
        <f t="shared" si="789"/>
        <v/>
      </c>
    </row>
    <row r="16467" spans="9:14" x14ac:dyDescent="0.25">
      <c r="I16467" s="11" t="b">
        <f t="shared" si="787"/>
        <v>0</v>
      </c>
      <c r="M16467" s="17" t="str">
        <f t="shared" si="788"/>
        <v/>
      </c>
      <c r="N16467" s="11" t="str">
        <f t="shared" si="789"/>
        <v/>
      </c>
    </row>
    <row r="16468" spans="9:14" x14ac:dyDescent="0.25">
      <c r="I16468" s="11" t="b">
        <f t="shared" si="787"/>
        <v>0</v>
      </c>
      <c r="M16468" s="17" t="str">
        <f t="shared" si="788"/>
        <v/>
      </c>
      <c r="N16468" s="11" t="str">
        <f t="shared" si="789"/>
        <v/>
      </c>
    </row>
    <row r="16469" spans="9:14" x14ac:dyDescent="0.25">
      <c r="I16469" s="11" t="b">
        <f t="shared" si="787"/>
        <v>0</v>
      </c>
      <c r="M16469" s="17" t="str">
        <f t="shared" si="788"/>
        <v/>
      </c>
      <c r="N16469" s="11" t="str">
        <f t="shared" si="789"/>
        <v/>
      </c>
    </row>
    <row r="16470" spans="9:14" x14ac:dyDescent="0.25">
      <c r="I16470" s="11" t="b">
        <f t="shared" si="787"/>
        <v>0</v>
      </c>
      <c r="M16470" s="17" t="str">
        <f t="shared" si="788"/>
        <v/>
      </c>
      <c r="N16470" s="11" t="str">
        <f t="shared" si="789"/>
        <v/>
      </c>
    </row>
    <row r="16471" spans="9:14" x14ac:dyDescent="0.25">
      <c r="I16471" s="11" t="b">
        <f t="shared" si="787"/>
        <v>0</v>
      </c>
      <c r="M16471" s="17" t="str">
        <f t="shared" si="788"/>
        <v/>
      </c>
      <c r="N16471" s="11" t="str">
        <f t="shared" si="789"/>
        <v/>
      </c>
    </row>
    <row r="16472" spans="9:14" x14ac:dyDescent="0.25">
      <c r="I16472" s="11" t="b">
        <f t="shared" si="787"/>
        <v>0</v>
      </c>
      <c r="M16472" s="17" t="str">
        <f t="shared" si="788"/>
        <v/>
      </c>
      <c r="N16472" s="11" t="str">
        <f t="shared" si="789"/>
        <v/>
      </c>
    </row>
    <row r="16473" spans="9:14" x14ac:dyDescent="0.25">
      <c r="I16473" s="11" t="b">
        <f t="shared" si="787"/>
        <v>0</v>
      </c>
      <c r="M16473" s="17" t="str">
        <f t="shared" si="788"/>
        <v/>
      </c>
      <c r="N16473" s="11" t="str">
        <f t="shared" si="789"/>
        <v/>
      </c>
    </row>
    <row r="16474" spans="9:14" x14ac:dyDescent="0.25">
      <c r="I16474" s="11" t="b">
        <f t="shared" si="787"/>
        <v>0</v>
      </c>
      <c r="M16474" s="17" t="str">
        <f t="shared" si="788"/>
        <v/>
      </c>
      <c r="N16474" s="11" t="str">
        <f t="shared" si="789"/>
        <v/>
      </c>
    </row>
    <row r="16475" spans="9:14" x14ac:dyDescent="0.25">
      <c r="I16475" s="11" t="b">
        <f t="shared" si="787"/>
        <v>0</v>
      </c>
      <c r="M16475" s="17" t="str">
        <f t="shared" si="788"/>
        <v/>
      </c>
      <c r="N16475" s="11" t="str">
        <f t="shared" si="789"/>
        <v/>
      </c>
    </row>
    <row r="16476" spans="9:14" x14ac:dyDescent="0.25">
      <c r="I16476" s="11" t="b">
        <f t="shared" si="787"/>
        <v>0</v>
      </c>
      <c r="M16476" s="17" t="str">
        <f t="shared" si="788"/>
        <v/>
      </c>
      <c r="N16476" s="11" t="str">
        <f t="shared" si="789"/>
        <v/>
      </c>
    </row>
    <row r="16477" spans="9:14" x14ac:dyDescent="0.25">
      <c r="I16477" s="11" t="b">
        <f t="shared" ref="I16477:I16540" si="790">IF(AND(G16477="MERCADO PAGO",A16477="FATURAMENTO"),1,IF(AND(OR(G16477="MERCADO PAGO",G16477="pix mercado pago",G16477= "débito automático mercado pago", G16477= "boleto mercado pago"),A16477="DESPESAS"),4,IF(AND(G16477="SAFRA",A16477="FATURAMENTO"),2,IF(AND(OR(G16477="SAFRA",G16477="PIX SAFRA", G16477="DÉBITO AUTOMÁTICO SAFRA", G16477= "BOLETO SAFRA", G16477= "transferência safra"), A16477="DESPESAS"),5,IF(AND(G16477="espécie",A16477="FATURAMENTO"),3,IF(AND(G16477="espécie",A16477="DESPESAS"),6))))))</f>
        <v>0</v>
      </c>
      <c r="M16477" s="17" t="str">
        <f t="shared" si="788"/>
        <v/>
      </c>
      <c r="N16477" s="11" t="str">
        <f t="shared" si="789"/>
        <v/>
      </c>
    </row>
    <row r="16478" spans="9:14" x14ac:dyDescent="0.25">
      <c r="I16478" s="11" t="b">
        <f t="shared" si="790"/>
        <v>0</v>
      </c>
      <c r="M16478" s="17" t="str">
        <f t="shared" si="788"/>
        <v/>
      </c>
      <c r="N16478" s="11" t="str">
        <f t="shared" si="789"/>
        <v/>
      </c>
    </row>
    <row r="16479" spans="9:14" x14ac:dyDescent="0.25">
      <c r="I16479" s="11" t="b">
        <f t="shared" si="790"/>
        <v>0</v>
      </c>
      <c r="M16479" s="17" t="str">
        <f t="shared" si="788"/>
        <v/>
      </c>
      <c r="N16479" s="11" t="str">
        <f t="shared" si="789"/>
        <v/>
      </c>
    </row>
    <row r="16480" spans="9:14" x14ac:dyDescent="0.25">
      <c r="I16480" s="11" t="b">
        <f t="shared" si="790"/>
        <v>0</v>
      </c>
      <c r="M16480" s="17" t="str">
        <f t="shared" si="788"/>
        <v/>
      </c>
      <c r="N16480" s="11" t="str">
        <f t="shared" si="789"/>
        <v/>
      </c>
    </row>
    <row r="16481" spans="9:14" x14ac:dyDescent="0.25">
      <c r="I16481" s="11" t="b">
        <f t="shared" si="790"/>
        <v>0</v>
      </c>
      <c r="M16481" s="17" t="str">
        <f t="shared" si="788"/>
        <v/>
      </c>
      <c r="N16481" s="11" t="str">
        <f t="shared" si="789"/>
        <v/>
      </c>
    </row>
    <row r="16482" spans="9:14" x14ac:dyDescent="0.25">
      <c r="I16482" s="11" t="b">
        <f t="shared" si="790"/>
        <v>0</v>
      </c>
      <c r="M16482" s="17" t="str">
        <f t="shared" si="788"/>
        <v/>
      </c>
      <c r="N16482" s="11" t="str">
        <f t="shared" si="789"/>
        <v/>
      </c>
    </row>
    <row r="16483" spans="9:14" x14ac:dyDescent="0.25">
      <c r="I16483" s="11" t="b">
        <f t="shared" si="790"/>
        <v>0</v>
      </c>
      <c r="M16483" s="17" t="str">
        <f t="shared" si="788"/>
        <v/>
      </c>
      <c r="N16483" s="11" t="str">
        <f t="shared" si="789"/>
        <v/>
      </c>
    </row>
    <row r="16484" spans="9:14" x14ac:dyDescent="0.25">
      <c r="I16484" s="11" t="b">
        <f t="shared" si="790"/>
        <v>0</v>
      </c>
      <c r="M16484" s="17" t="str">
        <f t="shared" si="788"/>
        <v/>
      </c>
      <c r="N16484" s="11" t="str">
        <f t="shared" si="789"/>
        <v/>
      </c>
    </row>
    <row r="16485" spans="9:14" x14ac:dyDescent="0.25">
      <c r="I16485" s="11" t="b">
        <f t="shared" si="790"/>
        <v>0</v>
      </c>
      <c r="M16485" s="17" t="str">
        <f t="shared" si="788"/>
        <v/>
      </c>
      <c r="N16485" s="11" t="str">
        <f t="shared" si="789"/>
        <v/>
      </c>
    </row>
    <row r="16486" spans="9:14" x14ac:dyDescent="0.25">
      <c r="I16486" s="11" t="b">
        <f t="shared" si="790"/>
        <v>0</v>
      </c>
      <c r="M16486" s="17" t="str">
        <f t="shared" si="788"/>
        <v/>
      </c>
      <c r="N16486" s="11" t="str">
        <f t="shared" si="789"/>
        <v/>
      </c>
    </row>
    <row r="16487" spans="9:14" x14ac:dyDescent="0.25">
      <c r="I16487" s="11" t="b">
        <f t="shared" si="790"/>
        <v>0</v>
      </c>
      <c r="M16487" s="17" t="str">
        <f t="shared" si="788"/>
        <v/>
      </c>
      <c r="N16487" s="11" t="str">
        <f t="shared" si="789"/>
        <v/>
      </c>
    </row>
    <row r="16488" spans="9:14" x14ac:dyDescent="0.25">
      <c r="I16488" s="11" t="b">
        <f t="shared" si="790"/>
        <v>0</v>
      </c>
      <c r="M16488" s="17" t="str">
        <f t="shared" si="788"/>
        <v/>
      </c>
      <c r="N16488" s="11" t="str">
        <f t="shared" si="789"/>
        <v/>
      </c>
    </row>
    <row r="16489" spans="9:14" x14ac:dyDescent="0.25">
      <c r="I16489" s="11" t="b">
        <f t="shared" si="790"/>
        <v>0</v>
      </c>
      <c r="M16489" s="17" t="str">
        <f t="shared" si="788"/>
        <v/>
      </c>
      <c r="N16489" s="11" t="str">
        <f t="shared" si="789"/>
        <v/>
      </c>
    </row>
    <row r="16490" spans="9:14" x14ac:dyDescent="0.25">
      <c r="I16490" s="11" t="b">
        <f t="shared" si="790"/>
        <v>0</v>
      </c>
      <c r="M16490" s="17" t="str">
        <f t="shared" si="788"/>
        <v/>
      </c>
      <c r="N16490" s="11" t="str">
        <f t="shared" si="789"/>
        <v/>
      </c>
    </row>
    <row r="16491" spans="9:14" x14ac:dyDescent="0.25">
      <c r="I16491" s="11" t="b">
        <f t="shared" si="790"/>
        <v>0</v>
      </c>
      <c r="M16491" s="17" t="str">
        <f t="shared" si="788"/>
        <v/>
      </c>
      <c r="N16491" s="11" t="str">
        <f t="shared" si="789"/>
        <v/>
      </c>
    </row>
    <row r="16492" spans="9:14" x14ac:dyDescent="0.25">
      <c r="I16492" s="11" t="b">
        <f t="shared" si="790"/>
        <v>0</v>
      </c>
      <c r="M16492" s="17" t="str">
        <f t="shared" si="788"/>
        <v/>
      </c>
      <c r="N16492" s="11" t="str">
        <f t="shared" si="789"/>
        <v/>
      </c>
    </row>
    <row r="16493" spans="9:14" x14ac:dyDescent="0.25">
      <c r="I16493" s="11" t="b">
        <f t="shared" si="790"/>
        <v>0</v>
      </c>
      <c r="M16493" s="17" t="str">
        <f t="shared" si="788"/>
        <v/>
      </c>
      <c r="N16493" s="11" t="str">
        <f t="shared" si="789"/>
        <v/>
      </c>
    </row>
    <row r="16494" spans="9:14" x14ac:dyDescent="0.25">
      <c r="I16494" s="11" t="b">
        <f t="shared" si="790"/>
        <v>0</v>
      </c>
      <c r="M16494" s="17" t="str">
        <f t="shared" si="788"/>
        <v/>
      </c>
      <c r="N16494" s="11" t="str">
        <f t="shared" si="789"/>
        <v/>
      </c>
    </row>
    <row r="16495" spans="9:14" x14ac:dyDescent="0.25">
      <c r="I16495" s="11" t="b">
        <f t="shared" si="790"/>
        <v>0</v>
      </c>
      <c r="M16495" s="17" t="str">
        <f t="shared" si="788"/>
        <v/>
      </c>
      <c r="N16495" s="11" t="str">
        <f t="shared" si="789"/>
        <v/>
      </c>
    </row>
    <row r="16496" spans="9:14" x14ac:dyDescent="0.25">
      <c r="I16496" s="11" t="b">
        <f t="shared" si="790"/>
        <v>0</v>
      </c>
      <c r="M16496" s="17" t="str">
        <f t="shared" si="788"/>
        <v/>
      </c>
      <c r="N16496" s="11" t="str">
        <f t="shared" si="789"/>
        <v/>
      </c>
    </row>
    <row r="16497" spans="9:14" x14ac:dyDescent="0.25">
      <c r="I16497" s="11" t="b">
        <f t="shared" si="790"/>
        <v>0</v>
      </c>
      <c r="M16497" s="17" t="str">
        <f t="shared" si="788"/>
        <v/>
      </c>
      <c r="N16497" s="11" t="str">
        <f t="shared" si="789"/>
        <v/>
      </c>
    </row>
    <row r="16498" spans="9:14" x14ac:dyDescent="0.25">
      <c r="I16498" s="11" t="b">
        <f t="shared" si="790"/>
        <v>0</v>
      </c>
      <c r="M16498" s="17" t="str">
        <f t="shared" si="788"/>
        <v/>
      </c>
      <c r="N16498" s="11" t="str">
        <f t="shared" si="789"/>
        <v/>
      </c>
    </row>
    <row r="16499" spans="9:14" x14ac:dyDescent="0.25">
      <c r="I16499" s="11" t="b">
        <f t="shared" si="790"/>
        <v>0</v>
      </c>
      <c r="M16499" s="17" t="str">
        <f t="shared" si="788"/>
        <v/>
      </c>
      <c r="N16499" s="11" t="str">
        <f t="shared" si="789"/>
        <v/>
      </c>
    </row>
    <row r="16500" spans="9:14" x14ac:dyDescent="0.25">
      <c r="I16500" s="11" t="b">
        <f t="shared" si="790"/>
        <v>0</v>
      </c>
      <c r="M16500" s="17" t="str">
        <f t="shared" si="788"/>
        <v/>
      </c>
      <c r="N16500" s="11" t="str">
        <f t="shared" si="789"/>
        <v/>
      </c>
    </row>
    <row r="16501" spans="9:14" x14ac:dyDescent="0.25">
      <c r="I16501" s="11" t="b">
        <f t="shared" si="790"/>
        <v>0</v>
      </c>
      <c r="M16501" s="17" t="str">
        <f t="shared" si="788"/>
        <v/>
      </c>
      <c r="N16501" s="11" t="str">
        <f t="shared" si="789"/>
        <v/>
      </c>
    </row>
    <row r="16502" spans="9:14" x14ac:dyDescent="0.25">
      <c r="I16502" s="11" t="b">
        <f t="shared" si="790"/>
        <v>0</v>
      </c>
      <c r="M16502" s="17" t="str">
        <f t="shared" si="788"/>
        <v/>
      </c>
      <c r="N16502" s="11" t="str">
        <f t="shared" si="789"/>
        <v/>
      </c>
    </row>
    <row r="16503" spans="9:14" x14ac:dyDescent="0.25">
      <c r="I16503" s="11" t="b">
        <f t="shared" si="790"/>
        <v>0</v>
      </c>
      <c r="M16503" s="17" t="str">
        <f t="shared" si="788"/>
        <v/>
      </c>
      <c r="N16503" s="11" t="str">
        <f t="shared" si="789"/>
        <v/>
      </c>
    </row>
    <row r="16504" spans="9:14" x14ac:dyDescent="0.25">
      <c r="I16504" s="11" t="b">
        <f t="shared" si="790"/>
        <v>0</v>
      </c>
      <c r="M16504" s="17" t="str">
        <f t="shared" si="788"/>
        <v/>
      </c>
      <c r="N16504" s="11" t="str">
        <f t="shared" si="789"/>
        <v/>
      </c>
    </row>
    <row r="16505" spans="9:14" x14ac:dyDescent="0.25">
      <c r="I16505" s="11" t="b">
        <f t="shared" si="790"/>
        <v>0</v>
      </c>
      <c r="M16505" s="17" t="str">
        <f t="shared" si="788"/>
        <v/>
      </c>
      <c r="N16505" s="11" t="str">
        <f t="shared" si="789"/>
        <v/>
      </c>
    </row>
    <row r="16506" spans="9:14" x14ac:dyDescent="0.25">
      <c r="I16506" s="11" t="b">
        <f t="shared" si="790"/>
        <v>0</v>
      </c>
      <c r="M16506" s="17" t="str">
        <f t="shared" si="788"/>
        <v/>
      </c>
      <c r="N16506" s="11" t="str">
        <f t="shared" si="789"/>
        <v/>
      </c>
    </row>
    <row r="16507" spans="9:14" x14ac:dyDescent="0.25">
      <c r="I16507" s="11" t="b">
        <f t="shared" si="790"/>
        <v>0</v>
      </c>
      <c r="M16507" s="17" t="str">
        <f t="shared" si="788"/>
        <v/>
      </c>
      <c r="N16507" s="11" t="str">
        <f t="shared" si="789"/>
        <v/>
      </c>
    </row>
    <row r="16508" spans="9:14" x14ac:dyDescent="0.25">
      <c r="I16508" s="11" t="b">
        <f t="shared" si="790"/>
        <v>0</v>
      </c>
      <c r="M16508" s="17" t="str">
        <f t="shared" si="788"/>
        <v/>
      </c>
      <c r="N16508" s="11" t="str">
        <f t="shared" si="789"/>
        <v/>
      </c>
    </row>
    <row r="16509" spans="9:14" x14ac:dyDescent="0.25">
      <c r="I16509" s="11" t="b">
        <f t="shared" si="790"/>
        <v>0</v>
      </c>
      <c r="M16509" s="17" t="str">
        <f t="shared" si="788"/>
        <v/>
      </c>
      <c r="N16509" s="11" t="str">
        <f t="shared" si="789"/>
        <v/>
      </c>
    </row>
    <row r="16510" spans="9:14" x14ac:dyDescent="0.25">
      <c r="I16510" s="11" t="b">
        <f t="shared" si="790"/>
        <v>0</v>
      </c>
      <c r="M16510" s="17" t="str">
        <f t="shared" si="788"/>
        <v/>
      </c>
      <c r="N16510" s="11" t="str">
        <f t="shared" si="789"/>
        <v/>
      </c>
    </row>
    <row r="16511" spans="9:14" x14ac:dyDescent="0.25">
      <c r="I16511" s="11" t="b">
        <f t="shared" si="790"/>
        <v>0</v>
      </c>
      <c r="M16511" s="17" t="str">
        <f t="shared" si="788"/>
        <v/>
      </c>
      <c r="N16511" s="11" t="str">
        <f t="shared" si="789"/>
        <v/>
      </c>
    </row>
    <row r="16512" spans="9:14" x14ac:dyDescent="0.25">
      <c r="I16512" s="11" t="b">
        <f t="shared" si="790"/>
        <v>0</v>
      </c>
      <c r="M16512" s="17" t="str">
        <f t="shared" si="788"/>
        <v/>
      </c>
      <c r="N16512" s="11" t="str">
        <f t="shared" si="789"/>
        <v/>
      </c>
    </row>
    <row r="16513" spans="9:14" x14ac:dyDescent="0.25">
      <c r="I16513" s="11" t="b">
        <f t="shared" si="790"/>
        <v>0</v>
      </c>
      <c r="M16513" s="17" t="str">
        <f t="shared" ref="M16513:M16576" si="791">IF(B16513=0, "",M16512+ J16513-K16513)</f>
        <v/>
      </c>
      <c r="N16513" s="11" t="str">
        <f t="shared" ref="N16513:N16576" si="792">IF(B16513=0, "", MONTH(B16513))</f>
        <v/>
      </c>
    </row>
    <row r="16514" spans="9:14" x14ac:dyDescent="0.25">
      <c r="I16514" s="11" t="b">
        <f t="shared" si="790"/>
        <v>0</v>
      </c>
      <c r="M16514" s="17" t="str">
        <f t="shared" si="791"/>
        <v/>
      </c>
      <c r="N16514" s="11" t="str">
        <f t="shared" si="792"/>
        <v/>
      </c>
    </row>
    <row r="16515" spans="9:14" x14ac:dyDescent="0.25">
      <c r="I16515" s="11" t="b">
        <f t="shared" si="790"/>
        <v>0</v>
      </c>
      <c r="M16515" s="17" t="str">
        <f t="shared" si="791"/>
        <v/>
      </c>
      <c r="N16515" s="11" t="str">
        <f t="shared" si="792"/>
        <v/>
      </c>
    </row>
    <row r="16516" spans="9:14" x14ac:dyDescent="0.25">
      <c r="I16516" s="11" t="b">
        <f t="shared" si="790"/>
        <v>0</v>
      </c>
      <c r="M16516" s="17" t="str">
        <f t="shared" si="791"/>
        <v/>
      </c>
      <c r="N16516" s="11" t="str">
        <f t="shared" si="792"/>
        <v/>
      </c>
    </row>
    <row r="16517" spans="9:14" x14ac:dyDescent="0.25">
      <c r="I16517" s="11" t="b">
        <f t="shared" si="790"/>
        <v>0</v>
      </c>
      <c r="M16517" s="17" t="str">
        <f t="shared" si="791"/>
        <v/>
      </c>
      <c r="N16517" s="11" t="str">
        <f t="shared" si="792"/>
        <v/>
      </c>
    </row>
    <row r="16518" spans="9:14" x14ac:dyDescent="0.25">
      <c r="I16518" s="11" t="b">
        <f t="shared" si="790"/>
        <v>0</v>
      </c>
      <c r="M16518" s="17" t="str">
        <f t="shared" si="791"/>
        <v/>
      </c>
      <c r="N16518" s="11" t="str">
        <f t="shared" si="792"/>
        <v/>
      </c>
    </row>
    <row r="16519" spans="9:14" x14ac:dyDescent="0.25">
      <c r="I16519" s="11" t="b">
        <f t="shared" si="790"/>
        <v>0</v>
      </c>
      <c r="M16519" s="17" t="str">
        <f t="shared" si="791"/>
        <v/>
      </c>
      <c r="N16519" s="11" t="str">
        <f t="shared" si="792"/>
        <v/>
      </c>
    </row>
    <row r="16520" spans="9:14" x14ac:dyDescent="0.25">
      <c r="I16520" s="11" t="b">
        <f t="shared" si="790"/>
        <v>0</v>
      </c>
      <c r="M16520" s="17" t="str">
        <f t="shared" si="791"/>
        <v/>
      </c>
      <c r="N16520" s="11" t="str">
        <f t="shared" si="792"/>
        <v/>
      </c>
    </row>
    <row r="16521" spans="9:14" x14ac:dyDescent="0.25">
      <c r="I16521" s="11" t="b">
        <f t="shared" si="790"/>
        <v>0</v>
      </c>
      <c r="M16521" s="17" t="str">
        <f t="shared" si="791"/>
        <v/>
      </c>
      <c r="N16521" s="11" t="str">
        <f t="shared" si="792"/>
        <v/>
      </c>
    </row>
    <row r="16522" spans="9:14" x14ac:dyDescent="0.25">
      <c r="I16522" s="11" t="b">
        <f t="shared" si="790"/>
        <v>0</v>
      </c>
      <c r="M16522" s="17" t="str">
        <f t="shared" si="791"/>
        <v/>
      </c>
      <c r="N16522" s="11" t="str">
        <f t="shared" si="792"/>
        <v/>
      </c>
    </row>
    <row r="16523" spans="9:14" x14ac:dyDescent="0.25">
      <c r="I16523" s="11" t="b">
        <f t="shared" si="790"/>
        <v>0</v>
      </c>
      <c r="M16523" s="17" t="str">
        <f t="shared" si="791"/>
        <v/>
      </c>
      <c r="N16523" s="11" t="str">
        <f t="shared" si="792"/>
        <v/>
      </c>
    </row>
    <row r="16524" spans="9:14" x14ac:dyDescent="0.25">
      <c r="I16524" s="11" t="b">
        <f t="shared" si="790"/>
        <v>0</v>
      </c>
      <c r="M16524" s="17" t="str">
        <f t="shared" si="791"/>
        <v/>
      </c>
      <c r="N16524" s="11" t="str">
        <f t="shared" si="792"/>
        <v/>
      </c>
    </row>
    <row r="16525" spans="9:14" x14ac:dyDescent="0.25">
      <c r="I16525" s="11" t="b">
        <f t="shared" si="790"/>
        <v>0</v>
      </c>
      <c r="M16525" s="17" t="str">
        <f t="shared" si="791"/>
        <v/>
      </c>
      <c r="N16525" s="11" t="str">
        <f t="shared" si="792"/>
        <v/>
      </c>
    </row>
    <row r="16526" spans="9:14" x14ac:dyDescent="0.25">
      <c r="I16526" s="11" t="b">
        <f t="shared" si="790"/>
        <v>0</v>
      </c>
      <c r="M16526" s="17" t="str">
        <f t="shared" si="791"/>
        <v/>
      </c>
      <c r="N16526" s="11" t="str">
        <f t="shared" si="792"/>
        <v/>
      </c>
    </row>
    <row r="16527" spans="9:14" x14ac:dyDescent="0.25">
      <c r="I16527" s="11" t="b">
        <f t="shared" si="790"/>
        <v>0</v>
      </c>
      <c r="M16527" s="17" t="str">
        <f t="shared" si="791"/>
        <v/>
      </c>
      <c r="N16527" s="11" t="str">
        <f t="shared" si="792"/>
        <v/>
      </c>
    </row>
    <row r="16528" spans="9:14" x14ac:dyDescent="0.25">
      <c r="I16528" s="11" t="b">
        <f t="shared" si="790"/>
        <v>0</v>
      </c>
      <c r="M16528" s="17" t="str">
        <f t="shared" si="791"/>
        <v/>
      </c>
      <c r="N16528" s="11" t="str">
        <f t="shared" si="792"/>
        <v/>
      </c>
    </row>
    <row r="16529" spans="9:14" x14ac:dyDescent="0.25">
      <c r="I16529" s="11" t="b">
        <f t="shared" si="790"/>
        <v>0</v>
      </c>
      <c r="M16529" s="17" t="str">
        <f t="shared" si="791"/>
        <v/>
      </c>
      <c r="N16529" s="11" t="str">
        <f t="shared" si="792"/>
        <v/>
      </c>
    </row>
    <row r="16530" spans="9:14" x14ac:dyDescent="0.25">
      <c r="I16530" s="11" t="b">
        <f t="shared" si="790"/>
        <v>0</v>
      </c>
      <c r="M16530" s="17" t="str">
        <f t="shared" si="791"/>
        <v/>
      </c>
      <c r="N16530" s="11" t="str">
        <f t="shared" si="792"/>
        <v/>
      </c>
    </row>
    <row r="16531" spans="9:14" x14ac:dyDescent="0.25">
      <c r="I16531" s="11" t="b">
        <f t="shared" si="790"/>
        <v>0</v>
      </c>
      <c r="M16531" s="17" t="str">
        <f t="shared" si="791"/>
        <v/>
      </c>
      <c r="N16531" s="11" t="str">
        <f t="shared" si="792"/>
        <v/>
      </c>
    </row>
    <row r="16532" spans="9:14" x14ac:dyDescent="0.25">
      <c r="I16532" s="11" t="b">
        <f t="shared" si="790"/>
        <v>0</v>
      </c>
      <c r="M16532" s="17" t="str">
        <f t="shared" si="791"/>
        <v/>
      </c>
      <c r="N16532" s="11" t="str">
        <f t="shared" si="792"/>
        <v/>
      </c>
    </row>
    <row r="16533" spans="9:14" x14ac:dyDescent="0.25">
      <c r="I16533" s="11" t="b">
        <f t="shared" si="790"/>
        <v>0</v>
      </c>
      <c r="M16533" s="17" t="str">
        <f t="shared" si="791"/>
        <v/>
      </c>
      <c r="N16533" s="11" t="str">
        <f t="shared" si="792"/>
        <v/>
      </c>
    </row>
    <row r="16534" spans="9:14" x14ac:dyDescent="0.25">
      <c r="I16534" s="11" t="b">
        <f t="shared" si="790"/>
        <v>0</v>
      </c>
      <c r="M16534" s="17" t="str">
        <f t="shared" si="791"/>
        <v/>
      </c>
      <c r="N16534" s="11" t="str">
        <f t="shared" si="792"/>
        <v/>
      </c>
    </row>
    <row r="16535" spans="9:14" x14ac:dyDescent="0.25">
      <c r="I16535" s="11" t="b">
        <f t="shared" si="790"/>
        <v>0</v>
      </c>
      <c r="M16535" s="17" t="str">
        <f t="shared" si="791"/>
        <v/>
      </c>
      <c r="N16535" s="11" t="str">
        <f t="shared" si="792"/>
        <v/>
      </c>
    </row>
    <row r="16536" spans="9:14" x14ac:dyDescent="0.25">
      <c r="I16536" s="11" t="b">
        <f t="shared" si="790"/>
        <v>0</v>
      </c>
      <c r="M16536" s="17" t="str">
        <f t="shared" si="791"/>
        <v/>
      </c>
      <c r="N16536" s="11" t="str">
        <f t="shared" si="792"/>
        <v/>
      </c>
    </row>
    <row r="16537" spans="9:14" x14ac:dyDescent="0.25">
      <c r="I16537" s="11" t="b">
        <f t="shared" si="790"/>
        <v>0</v>
      </c>
      <c r="M16537" s="17" t="str">
        <f t="shared" si="791"/>
        <v/>
      </c>
      <c r="N16537" s="11" t="str">
        <f t="shared" si="792"/>
        <v/>
      </c>
    </row>
    <row r="16538" spans="9:14" x14ac:dyDescent="0.25">
      <c r="I16538" s="11" t="b">
        <f t="shared" si="790"/>
        <v>0</v>
      </c>
      <c r="M16538" s="17" t="str">
        <f t="shared" si="791"/>
        <v/>
      </c>
      <c r="N16538" s="11" t="str">
        <f t="shared" si="792"/>
        <v/>
      </c>
    </row>
    <row r="16539" spans="9:14" x14ac:dyDescent="0.25">
      <c r="I16539" s="11" t="b">
        <f t="shared" si="790"/>
        <v>0</v>
      </c>
      <c r="M16539" s="17" t="str">
        <f t="shared" si="791"/>
        <v/>
      </c>
      <c r="N16539" s="11" t="str">
        <f t="shared" si="792"/>
        <v/>
      </c>
    </row>
    <row r="16540" spans="9:14" x14ac:dyDescent="0.25">
      <c r="I16540" s="11" t="b">
        <f t="shared" si="790"/>
        <v>0</v>
      </c>
      <c r="M16540" s="17" t="str">
        <f t="shared" si="791"/>
        <v/>
      </c>
      <c r="N16540" s="11" t="str">
        <f t="shared" si="792"/>
        <v/>
      </c>
    </row>
    <row r="16541" spans="9:14" x14ac:dyDescent="0.25">
      <c r="I16541" s="11" t="b">
        <f t="shared" ref="I16541:I16604" si="793">IF(AND(G16541="MERCADO PAGO",A16541="FATURAMENTO"),1,IF(AND(OR(G16541="MERCADO PAGO",G16541="pix mercado pago",G16541= "débito automático mercado pago", G16541= "boleto mercado pago"),A16541="DESPESAS"),4,IF(AND(G16541="SAFRA",A16541="FATURAMENTO"),2,IF(AND(OR(G16541="SAFRA",G16541="PIX SAFRA", G16541="DÉBITO AUTOMÁTICO SAFRA", G16541= "BOLETO SAFRA", G16541= "transferência safra"), A16541="DESPESAS"),5,IF(AND(G16541="espécie",A16541="FATURAMENTO"),3,IF(AND(G16541="espécie",A16541="DESPESAS"),6))))))</f>
        <v>0</v>
      </c>
      <c r="M16541" s="17" t="str">
        <f t="shared" si="791"/>
        <v/>
      </c>
      <c r="N16541" s="11" t="str">
        <f t="shared" si="792"/>
        <v/>
      </c>
    </row>
    <row r="16542" spans="9:14" x14ac:dyDescent="0.25">
      <c r="I16542" s="11" t="b">
        <f t="shared" si="793"/>
        <v>0</v>
      </c>
      <c r="M16542" s="17" t="str">
        <f t="shared" si="791"/>
        <v/>
      </c>
      <c r="N16542" s="11" t="str">
        <f t="shared" si="792"/>
        <v/>
      </c>
    </row>
    <row r="16543" spans="9:14" x14ac:dyDescent="0.25">
      <c r="I16543" s="11" t="b">
        <f t="shared" si="793"/>
        <v>0</v>
      </c>
      <c r="M16543" s="17" t="str">
        <f t="shared" si="791"/>
        <v/>
      </c>
      <c r="N16543" s="11" t="str">
        <f t="shared" si="792"/>
        <v/>
      </c>
    </row>
    <row r="16544" spans="9:14" x14ac:dyDescent="0.25">
      <c r="I16544" s="11" t="b">
        <f t="shared" si="793"/>
        <v>0</v>
      </c>
      <c r="M16544" s="17" t="str">
        <f t="shared" si="791"/>
        <v/>
      </c>
      <c r="N16544" s="11" t="str">
        <f t="shared" si="792"/>
        <v/>
      </c>
    </row>
    <row r="16545" spans="9:14" x14ac:dyDescent="0.25">
      <c r="I16545" s="11" t="b">
        <f t="shared" si="793"/>
        <v>0</v>
      </c>
      <c r="M16545" s="17" t="str">
        <f t="shared" si="791"/>
        <v/>
      </c>
      <c r="N16545" s="11" t="str">
        <f t="shared" si="792"/>
        <v/>
      </c>
    </row>
    <row r="16546" spans="9:14" x14ac:dyDescent="0.25">
      <c r="I16546" s="11" t="b">
        <f t="shared" si="793"/>
        <v>0</v>
      </c>
      <c r="M16546" s="17" t="str">
        <f t="shared" si="791"/>
        <v/>
      </c>
      <c r="N16546" s="11" t="str">
        <f t="shared" si="792"/>
        <v/>
      </c>
    </row>
    <row r="16547" spans="9:14" x14ac:dyDescent="0.25">
      <c r="I16547" s="11" t="b">
        <f t="shared" si="793"/>
        <v>0</v>
      </c>
      <c r="M16547" s="17" t="str">
        <f t="shared" si="791"/>
        <v/>
      </c>
      <c r="N16547" s="11" t="str">
        <f t="shared" si="792"/>
        <v/>
      </c>
    </row>
    <row r="16548" spans="9:14" x14ac:dyDescent="0.25">
      <c r="I16548" s="11" t="b">
        <f t="shared" si="793"/>
        <v>0</v>
      </c>
      <c r="M16548" s="17" t="str">
        <f t="shared" si="791"/>
        <v/>
      </c>
      <c r="N16548" s="11" t="str">
        <f t="shared" si="792"/>
        <v/>
      </c>
    </row>
    <row r="16549" spans="9:14" x14ac:dyDescent="0.25">
      <c r="I16549" s="11" t="b">
        <f t="shared" si="793"/>
        <v>0</v>
      </c>
      <c r="M16549" s="17" t="str">
        <f t="shared" si="791"/>
        <v/>
      </c>
      <c r="N16549" s="11" t="str">
        <f t="shared" si="792"/>
        <v/>
      </c>
    </row>
    <row r="16550" spans="9:14" x14ac:dyDescent="0.25">
      <c r="I16550" s="11" t="b">
        <f t="shared" si="793"/>
        <v>0</v>
      </c>
      <c r="M16550" s="17" t="str">
        <f t="shared" si="791"/>
        <v/>
      </c>
      <c r="N16550" s="11" t="str">
        <f t="shared" si="792"/>
        <v/>
      </c>
    </row>
    <row r="16551" spans="9:14" x14ac:dyDescent="0.25">
      <c r="I16551" s="11" t="b">
        <f t="shared" si="793"/>
        <v>0</v>
      </c>
      <c r="M16551" s="17" t="str">
        <f t="shared" si="791"/>
        <v/>
      </c>
      <c r="N16551" s="11" t="str">
        <f t="shared" si="792"/>
        <v/>
      </c>
    </row>
    <row r="16552" spans="9:14" x14ac:dyDescent="0.25">
      <c r="I16552" s="11" t="b">
        <f t="shared" si="793"/>
        <v>0</v>
      </c>
      <c r="M16552" s="17" t="str">
        <f t="shared" si="791"/>
        <v/>
      </c>
      <c r="N16552" s="11" t="str">
        <f t="shared" si="792"/>
        <v/>
      </c>
    </row>
    <row r="16553" spans="9:14" x14ac:dyDescent="0.25">
      <c r="I16553" s="11" t="b">
        <f t="shared" si="793"/>
        <v>0</v>
      </c>
      <c r="M16553" s="17" t="str">
        <f t="shared" si="791"/>
        <v/>
      </c>
      <c r="N16553" s="11" t="str">
        <f t="shared" si="792"/>
        <v/>
      </c>
    </row>
    <row r="16554" spans="9:14" x14ac:dyDescent="0.25">
      <c r="I16554" s="11" t="b">
        <f t="shared" si="793"/>
        <v>0</v>
      </c>
      <c r="M16554" s="17" t="str">
        <f t="shared" si="791"/>
        <v/>
      </c>
      <c r="N16554" s="11" t="str">
        <f t="shared" si="792"/>
        <v/>
      </c>
    </row>
    <row r="16555" spans="9:14" x14ac:dyDescent="0.25">
      <c r="I16555" s="11" t="b">
        <f t="shared" si="793"/>
        <v>0</v>
      </c>
      <c r="M16555" s="17" t="str">
        <f t="shared" si="791"/>
        <v/>
      </c>
      <c r="N16555" s="11" t="str">
        <f t="shared" si="792"/>
        <v/>
      </c>
    </row>
    <row r="16556" spans="9:14" x14ac:dyDescent="0.25">
      <c r="I16556" s="11" t="b">
        <f t="shared" si="793"/>
        <v>0</v>
      </c>
      <c r="M16556" s="17" t="str">
        <f t="shared" si="791"/>
        <v/>
      </c>
      <c r="N16556" s="11" t="str">
        <f t="shared" si="792"/>
        <v/>
      </c>
    </row>
    <row r="16557" spans="9:14" x14ac:dyDescent="0.25">
      <c r="I16557" s="11" t="b">
        <f t="shared" si="793"/>
        <v>0</v>
      </c>
      <c r="M16557" s="17" t="str">
        <f t="shared" si="791"/>
        <v/>
      </c>
      <c r="N16557" s="11" t="str">
        <f t="shared" si="792"/>
        <v/>
      </c>
    </row>
    <row r="16558" spans="9:14" x14ac:dyDescent="0.25">
      <c r="I16558" s="11" t="b">
        <f t="shared" si="793"/>
        <v>0</v>
      </c>
      <c r="M16558" s="17" t="str">
        <f t="shared" si="791"/>
        <v/>
      </c>
      <c r="N16558" s="11" t="str">
        <f t="shared" si="792"/>
        <v/>
      </c>
    </row>
    <row r="16559" spans="9:14" x14ac:dyDescent="0.25">
      <c r="I16559" s="11" t="b">
        <f t="shared" si="793"/>
        <v>0</v>
      </c>
      <c r="M16559" s="17" t="str">
        <f t="shared" si="791"/>
        <v/>
      </c>
      <c r="N16559" s="11" t="str">
        <f t="shared" si="792"/>
        <v/>
      </c>
    </row>
    <row r="16560" spans="9:14" x14ac:dyDescent="0.25">
      <c r="I16560" s="11" t="b">
        <f t="shared" si="793"/>
        <v>0</v>
      </c>
      <c r="M16560" s="17" t="str">
        <f t="shared" si="791"/>
        <v/>
      </c>
      <c r="N16560" s="11" t="str">
        <f t="shared" si="792"/>
        <v/>
      </c>
    </row>
    <row r="16561" spans="9:14" x14ac:dyDescent="0.25">
      <c r="I16561" s="11" t="b">
        <f t="shared" si="793"/>
        <v>0</v>
      </c>
      <c r="M16561" s="17" t="str">
        <f t="shared" si="791"/>
        <v/>
      </c>
      <c r="N16561" s="11" t="str">
        <f t="shared" si="792"/>
        <v/>
      </c>
    </row>
    <row r="16562" spans="9:14" x14ac:dyDescent="0.25">
      <c r="I16562" s="11" t="b">
        <f t="shared" si="793"/>
        <v>0</v>
      </c>
      <c r="M16562" s="17" t="str">
        <f t="shared" si="791"/>
        <v/>
      </c>
      <c r="N16562" s="11" t="str">
        <f t="shared" si="792"/>
        <v/>
      </c>
    </row>
    <row r="16563" spans="9:14" x14ac:dyDescent="0.25">
      <c r="I16563" s="11" t="b">
        <f t="shared" si="793"/>
        <v>0</v>
      </c>
      <c r="M16563" s="17" t="str">
        <f t="shared" si="791"/>
        <v/>
      </c>
      <c r="N16563" s="11" t="str">
        <f t="shared" si="792"/>
        <v/>
      </c>
    </row>
    <row r="16564" spans="9:14" x14ac:dyDescent="0.25">
      <c r="I16564" s="11" t="b">
        <f t="shared" si="793"/>
        <v>0</v>
      </c>
      <c r="M16564" s="17" t="str">
        <f t="shared" si="791"/>
        <v/>
      </c>
      <c r="N16564" s="11" t="str">
        <f t="shared" si="792"/>
        <v/>
      </c>
    </row>
    <row r="16565" spans="9:14" x14ac:dyDescent="0.25">
      <c r="I16565" s="11" t="b">
        <f t="shared" si="793"/>
        <v>0</v>
      </c>
      <c r="M16565" s="17" t="str">
        <f t="shared" si="791"/>
        <v/>
      </c>
      <c r="N16565" s="11" t="str">
        <f t="shared" si="792"/>
        <v/>
      </c>
    </row>
    <row r="16566" spans="9:14" x14ac:dyDescent="0.25">
      <c r="I16566" s="11" t="b">
        <f t="shared" si="793"/>
        <v>0</v>
      </c>
      <c r="M16566" s="17" t="str">
        <f t="shared" si="791"/>
        <v/>
      </c>
      <c r="N16566" s="11" t="str">
        <f t="shared" si="792"/>
        <v/>
      </c>
    </row>
    <row r="16567" spans="9:14" x14ac:dyDescent="0.25">
      <c r="I16567" s="11" t="b">
        <f t="shared" si="793"/>
        <v>0</v>
      </c>
      <c r="M16567" s="17" t="str">
        <f t="shared" si="791"/>
        <v/>
      </c>
      <c r="N16567" s="11" t="str">
        <f t="shared" si="792"/>
        <v/>
      </c>
    </row>
    <row r="16568" spans="9:14" x14ac:dyDescent="0.25">
      <c r="I16568" s="11" t="b">
        <f t="shared" si="793"/>
        <v>0</v>
      </c>
      <c r="M16568" s="17" t="str">
        <f t="shared" si="791"/>
        <v/>
      </c>
      <c r="N16568" s="11" t="str">
        <f t="shared" si="792"/>
        <v/>
      </c>
    </row>
    <row r="16569" spans="9:14" x14ac:dyDescent="0.25">
      <c r="I16569" s="11" t="b">
        <f t="shared" si="793"/>
        <v>0</v>
      </c>
      <c r="M16569" s="17" t="str">
        <f t="shared" si="791"/>
        <v/>
      </c>
      <c r="N16569" s="11" t="str">
        <f t="shared" si="792"/>
        <v/>
      </c>
    </row>
    <row r="16570" spans="9:14" x14ac:dyDescent="0.25">
      <c r="I16570" s="11" t="b">
        <f t="shared" si="793"/>
        <v>0</v>
      </c>
      <c r="M16570" s="17" t="str">
        <f t="shared" si="791"/>
        <v/>
      </c>
      <c r="N16570" s="11" t="str">
        <f t="shared" si="792"/>
        <v/>
      </c>
    </row>
    <row r="16571" spans="9:14" x14ac:dyDescent="0.25">
      <c r="I16571" s="11" t="b">
        <f t="shared" si="793"/>
        <v>0</v>
      </c>
      <c r="M16571" s="17" t="str">
        <f t="shared" si="791"/>
        <v/>
      </c>
      <c r="N16571" s="11" t="str">
        <f t="shared" si="792"/>
        <v/>
      </c>
    </row>
    <row r="16572" spans="9:14" x14ac:dyDescent="0.25">
      <c r="I16572" s="11" t="b">
        <f t="shared" si="793"/>
        <v>0</v>
      </c>
      <c r="M16572" s="17" t="str">
        <f t="shared" si="791"/>
        <v/>
      </c>
      <c r="N16572" s="11" t="str">
        <f t="shared" si="792"/>
        <v/>
      </c>
    </row>
    <row r="16573" spans="9:14" x14ac:dyDescent="0.25">
      <c r="I16573" s="11" t="b">
        <f t="shared" si="793"/>
        <v>0</v>
      </c>
      <c r="M16573" s="17" t="str">
        <f t="shared" si="791"/>
        <v/>
      </c>
      <c r="N16573" s="11" t="str">
        <f t="shared" si="792"/>
        <v/>
      </c>
    </row>
    <row r="16574" spans="9:14" x14ac:dyDescent="0.25">
      <c r="I16574" s="11" t="b">
        <f t="shared" si="793"/>
        <v>0</v>
      </c>
      <c r="M16574" s="17" t="str">
        <f t="shared" si="791"/>
        <v/>
      </c>
      <c r="N16574" s="11" t="str">
        <f t="shared" si="792"/>
        <v/>
      </c>
    </row>
    <row r="16575" spans="9:14" x14ac:dyDescent="0.25">
      <c r="I16575" s="11" t="b">
        <f t="shared" si="793"/>
        <v>0</v>
      </c>
      <c r="M16575" s="17" t="str">
        <f t="shared" si="791"/>
        <v/>
      </c>
      <c r="N16575" s="11" t="str">
        <f t="shared" si="792"/>
        <v/>
      </c>
    </row>
    <row r="16576" spans="9:14" x14ac:dyDescent="0.25">
      <c r="I16576" s="11" t="b">
        <f t="shared" si="793"/>
        <v>0</v>
      </c>
      <c r="M16576" s="17" t="str">
        <f t="shared" si="791"/>
        <v/>
      </c>
      <c r="N16576" s="11" t="str">
        <f t="shared" si="792"/>
        <v/>
      </c>
    </row>
    <row r="16577" spans="9:14" x14ac:dyDescent="0.25">
      <c r="I16577" s="11" t="b">
        <f t="shared" si="793"/>
        <v>0</v>
      </c>
      <c r="M16577" s="17" t="str">
        <f t="shared" ref="M16577:M16640" si="794">IF(B16577=0, "",M16576+ J16577-K16577)</f>
        <v/>
      </c>
      <c r="N16577" s="11" t="str">
        <f t="shared" ref="N16577:N16640" si="795">IF(B16577=0, "", MONTH(B16577))</f>
        <v/>
      </c>
    </row>
    <row r="16578" spans="9:14" x14ac:dyDescent="0.25">
      <c r="I16578" s="11" t="b">
        <f t="shared" si="793"/>
        <v>0</v>
      </c>
      <c r="M16578" s="17" t="str">
        <f t="shared" si="794"/>
        <v/>
      </c>
      <c r="N16578" s="11" t="str">
        <f t="shared" si="795"/>
        <v/>
      </c>
    </row>
    <row r="16579" spans="9:14" x14ac:dyDescent="0.25">
      <c r="I16579" s="11" t="b">
        <f t="shared" si="793"/>
        <v>0</v>
      </c>
      <c r="M16579" s="17" t="str">
        <f t="shared" si="794"/>
        <v/>
      </c>
      <c r="N16579" s="11" t="str">
        <f t="shared" si="795"/>
        <v/>
      </c>
    </row>
    <row r="16580" spans="9:14" x14ac:dyDescent="0.25">
      <c r="I16580" s="11" t="b">
        <f t="shared" si="793"/>
        <v>0</v>
      </c>
      <c r="M16580" s="17" t="str">
        <f t="shared" si="794"/>
        <v/>
      </c>
      <c r="N16580" s="11" t="str">
        <f t="shared" si="795"/>
        <v/>
      </c>
    </row>
    <row r="16581" spans="9:14" x14ac:dyDescent="0.25">
      <c r="I16581" s="11" t="b">
        <f t="shared" si="793"/>
        <v>0</v>
      </c>
      <c r="M16581" s="17" t="str">
        <f t="shared" si="794"/>
        <v/>
      </c>
      <c r="N16581" s="11" t="str">
        <f t="shared" si="795"/>
        <v/>
      </c>
    </row>
    <row r="16582" spans="9:14" x14ac:dyDescent="0.25">
      <c r="I16582" s="11" t="b">
        <f t="shared" si="793"/>
        <v>0</v>
      </c>
      <c r="M16582" s="17" t="str">
        <f t="shared" si="794"/>
        <v/>
      </c>
      <c r="N16582" s="11" t="str">
        <f t="shared" si="795"/>
        <v/>
      </c>
    </row>
    <row r="16583" spans="9:14" x14ac:dyDescent="0.25">
      <c r="I16583" s="11" t="b">
        <f t="shared" si="793"/>
        <v>0</v>
      </c>
      <c r="M16583" s="17" t="str">
        <f t="shared" si="794"/>
        <v/>
      </c>
      <c r="N16583" s="11" t="str">
        <f t="shared" si="795"/>
        <v/>
      </c>
    </row>
    <row r="16584" spans="9:14" x14ac:dyDescent="0.25">
      <c r="I16584" s="11" t="b">
        <f t="shared" si="793"/>
        <v>0</v>
      </c>
      <c r="M16584" s="17" t="str">
        <f t="shared" si="794"/>
        <v/>
      </c>
      <c r="N16584" s="11" t="str">
        <f t="shared" si="795"/>
        <v/>
      </c>
    </row>
    <row r="16585" spans="9:14" x14ac:dyDescent="0.25">
      <c r="I16585" s="11" t="b">
        <f t="shared" si="793"/>
        <v>0</v>
      </c>
      <c r="M16585" s="17" t="str">
        <f t="shared" si="794"/>
        <v/>
      </c>
      <c r="N16585" s="11" t="str">
        <f t="shared" si="795"/>
        <v/>
      </c>
    </row>
    <row r="16586" spans="9:14" x14ac:dyDescent="0.25">
      <c r="I16586" s="11" t="b">
        <f t="shared" si="793"/>
        <v>0</v>
      </c>
      <c r="M16586" s="17" t="str">
        <f t="shared" si="794"/>
        <v/>
      </c>
      <c r="N16586" s="11" t="str">
        <f t="shared" si="795"/>
        <v/>
      </c>
    </row>
    <row r="16587" spans="9:14" x14ac:dyDescent="0.25">
      <c r="I16587" s="11" t="b">
        <f t="shared" si="793"/>
        <v>0</v>
      </c>
      <c r="M16587" s="17" t="str">
        <f t="shared" si="794"/>
        <v/>
      </c>
      <c r="N16587" s="11" t="str">
        <f t="shared" si="795"/>
        <v/>
      </c>
    </row>
    <row r="16588" spans="9:14" x14ac:dyDescent="0.25">
      <c r="I16588" s="11" t="b">
        <f t="shared" si="793"/>
        <v>0</v>
      </c>
      <c r="M16588" s="17" t="str">
        <f t="shared" si="794"/>
        <v/>
      </c>
      <c r="N16588" s="11" t="str">
        <f t="shared" si="795"/>
        <v/>
      </c>
    </row>
    <row r="16589" spans="9:14" x14ac:dyDescent="0.25">
      <c r="I16589" s="11" t="b">
        <f t="shared" si="793"/>
        <v>0</v>
      </c>
      <c r="M16589" s="17" t="str">
        <f t="shared" si="794"/>
        <v/>
      </c>
      <c r="N16589" s="11" t="str">
        <f t="shared" si="795"/>
        <v/>
      </c>
    </row>
    <row r="16590" spans="9:14" x14ac:dyDescent="0.25">
      <c r="I16590" s="11" t="b">
        <f t="shared" si="793"/>
        <v>0</v>
      </c>
      <c r="M16590" s="17" t="str">
        <f t="shared" si="794"/>
        <v/>
      </c>
      <c r="N16590" s="11" t="str">
        <f t="shared" si="795"/>
        <v/>
      </c>
    </row>
    <row r="16591" spans="9:14" x14ac:dyDescent="0.25">
      <c r="I16591" s="11" t="b">
        <f t="shared" si="793"/>
        <v>0</v>
      </c>
      <c r="M16591" s="17" t="str">
        <f t="shared" si="794"/>
        <v/>
      </c>
      <c r="N16591" s="11" t="str">
        <f t="shared" si="795"/>
        <v/>
      </c>
    </row>
    <row r="16592" spans="9:14" x14ac:dyDescent="0.25">
      <c r="I16592" s="11" t="b">
        <f t="shared" si="793"/>
        <v>0</v>
      </c>
      <c r="M16592" s="17" t="str">
        <f t="shared" si="794"/>
        <v/>
      </c>
      <c r="N16592" s="11" t="str">
        <f t="shared" si="795"/>
        <v/>
      </c>
    </row>
    <row r="16593" spans="9:14" x14ac:dyDescent="0.25">
      <c r="I16593" s="11" t="b">
        <f t="shared" si="793"/>
        <v>0</v>
      </c>
      <c r="M16593" s="17" t="str">
        <f t="shared" si="794"/>
        <v/>
      </c>
      <c r="N16593" s="11" t="str">
        <f t="shared" si="795"/>
        <v/>
      </c>
    </row>
    <row r="16594" spans="9:14" x14ac:dyDescent="0.25">
      <c r="I16594" s="11" t="b">
        <f t="shared" si="793"/>
        <v>0</v>
      </c>
      <c r="M16594" s="17" t="str">
        <f t="shared" si="794"/>
        <v/>
      </c>
      <c r="N16594" s="11" t="str">
        <f t="shared" si="795"/>
        <v/>
      </c>
    </row>
    <row r="16595" spans="9:14" x14ac:dyDescent="0.25">
      <c r="I16595" s="11" t="b">
        <f t="shared" si="793"/>
        <v>0</v>
      </c>
      <c r="M16595" s="17" t="str">
        <f t="shared" si="794"/>
        <v/>
      </c>
      <c r="N16595" s="11" t="str">
        <f t="shared" si="795"/>
        <v/>
      </c>
    </row>
    <row r="16596" spans="9:14" x14ac:dyDescent="0.25">
      <c r="I16596" s="11" t="b">
        <f t="shared" si="793"/>
        <v>0</v>
      </c>
      <c r="M16596" s="17" t="str">
        <f t="shared" si="794"/>
        <v/>
      </c>
      <c r="N16596" s="11" t="str">
        <f t="shared" si="795"/>
        <v/>
      </c>
    </row>
    <row r="16597" spans="9:14" x14ac:dyDescent="0.25">
      <c r="I16597" s="11" t="b">
        <f t="shared" si="793"/>
        <v>0</v>
      </c>
      <c r="M16597" s="17" t="str">
        <f t="shared" si="794"/>
        <v/>
      </c>
      <c r="N16597" s="11" t="str">
        <f t="shared" si="795"/>
        <v/>
      </c>
    </row>
    <row r="16598" spans="9:14" x14ac:dyDescent="0.25">
      <c r="I16598" s="11" t="b">
        <f t="shared" si="793"/>
        <v>0</v>
      </c>
      <c r="M16598" s="17" t="str">
        <f t="shared" si="794"/>
        <v/>
      </c>
      <c r="N16598" s="11" t="str">
        <f t="shared" si="795"/>
        <v/>
      </c>
    </row>
    <row r="16599" spans="9:14" x14ac:dyDescent="0.25">
      <c r="I16599" s="11" t="b">
        <f t="shared" si="793"/>
        <v>0</v>
      </c>
      <c r="M16599" s="17" t="str">
        <f t="shared" si="794"/>
        <v/>
      </c>
      <c r="N16599" s="11" t="str">
        <f t="shared" si="795"/>
        <v/>
      </c>
    </row>
    <row r="16600" spans="9:14" x14ac:dyDescent="0.25">
      <c r="I16600" s="11" t="b">
        <f t="shared" si="793"/>
        <v>0</v>
      </c>
      <c r="M16600" s="17" t="str">
        <f t="shared" si="794"/>
        <v/>
      </c>
      <c r="N16600" s="11" t="str">
        <f t="shared" si="795"/>
        <v/>
      </c>
    </row>
    <row r="16601" spans="9:14" x14ac:dyDescent="0.25">
      <c r="I16601" s="11" t="b">
        <f t="shared" si="793"/>
        <v>0</v>
      </c>
      <c r="M16601" s="17" t="str">
        <f t="shared" si="794"/>
        <v/>
      </c>
      <c r="N16601" s="11" t="str">
        <f t="shared" si="795"/>
        <v/>
      </c>
    </row>
    <row r="16602" spans="9:14" x14ac:dyDescent="0.25">
      <c r="I16602" s="11" t="b">
        <f t="shared" si="793"/>
        <v>0</v>
      </c>
      <c r="M16602" s="17" t="str">
        <f t="shared" si="794"/>
        <v/>
      </c>
      <c r="N16602" s="11" t="str">
        <f t="shared" si="795"/>
        <v/>
      </c>
    </row>
    <row r="16603" spans="9:14" x14ac:dyDescent="0.25">
      <c r="I16603" s="11" t="b">
        <f t="shared" si="793"/>
        <v>0</v>
      </c>
      <c r="M16603" s="17" t="str">
        <f t="shared" si="794"/>
        <v/>
      </c>
      <c r="N16603" s="11" t="str">
        <f t="shared" si="795"/>
        <v/>
      </c>
    </row>
    <row r="16604" spans="9:14" x14ac:dyDescent="0.25">
      <c r="I16604" s="11" t="b">
        <f t="shared" si="793"/>
        <v>0</v>
      </c>
      <c r="M16604" s="17" t="str">
        <f t="shared" si="794"/>
        <v/>
      </c>
      <c r="N16604" s="11" t="str">
        <f t="shared" si="795"/>
        <v/>
      </c>
    </row>
    <row r="16605" spans="9:14" x14ac:dyDescent="0.25">
      <c r="I16605" s="11" t="b">
        <f t="shared" ref="I16605:I16668" si="796">IF(AND(G16605="MERCADO PAGO",A16605="FATURAMENTO"),1,IF(AND(OR(G16605="MERCADO PAGO",G16605="pix mercado pago",G16605= "débito automático mercado pago", G16605= "boleto mercado pago"),A16605="DESPESAS"),4,IF(AND(G16605="SAFRA",A16605="FATURAMENTO"),2,IF(AND(OR(G16605="SAFRA",G16605="PIX SAFRA", G16605="DÉBITO AUTOMÁTICO SAFRA", G16605= "BOLETO SAFRA", G16605= "transferência safra"), A16605="DESPESAS"),5,IF(AND(G16605="espécie",A16605="FATURAMENTO"),3,IF(AND(G16605="espécie",A16605="DESPESAS"),6))))))</f>
        <v>0</v>
      </c>
      <c r="M16605" s="17" t="str">
        <f t="shared" si="794"/>
        <v/>
      </c>
      <c r="N16605" s="11" t="str">
        <f t="shared" si="795"/>
        <v/>
      </c>
    </row>
    <row r="16606" spans="9:14" x14ac:dyDescent="0.25">
      <c r="I16606" s="11" t="b">
        <f t="shared" si="796"/>
        <v>0</v>
      </c>
      <c r="M16606" s="17" t="str">
        <f t="shared" si="794"/>
        <v/>
      </c>
      <c r="N16606" s="11" t="str">
        <f t="shared" si="795"/>
        <v/>
      </c>
    </row>
    <row r="16607" spans="9:14" x14ac:dyDescent="0.25">
      <c r="I16607" s="11" t="b">
        <f t="shared" si="796"/>
        <v>0</v>
      </c>
      <c r="M16607" s="17" t="str">
        <f t="shared" si="794"/>
        <v/>
      </c>
      <c r="N16607" s="11" t="str">
        <f t="shared" si="795"/>
        <v/>
      </c>
    </row>
    <row r="16608" spans="9:14" x14ac:dyDescent="0.25">
      <c r="I16608" s="11" t="b">
        <f t="shared" si="796"/>
        <v>0</v>
      </c>
      <c r="M16608" s="17" t="str">
        <f t="shared" si="794"/>
        <v/>
      </c>
      <c r="N16608" s="11" t="str">
        <f t="shared" si="795"/>
        <v/>
      </c>
    </row>
    <row r="16609" spans="9:14" x14ac:dyDescent="0.25">
      <c r="I16609" s="11" t="b">
        <f t="shared" si="796"/>
        <v>0</v>
      </c>
      <c r="M16609" s="17" t="str">
        <f t="shared" si="794"/>
        <v/>
      </c>
      <c r="N16609" s="11" t="str">
        <f t="shared" si="795"/>
        <v/>
      </c>
    </row>
    <row r="16610" spans="9:14" x14ac:dyDescent="0.25">
      <c r="I16610" s="11" t="b">
        <f t="shared" si="796"/>
        <v>0</v>
      </c>
      <c r="M16610" s="17" t="str">
        <f t="shared" si="794"/>
        <v/>
      </c>
      <c r="N16610" s="11" t="str">
        <f t="shared" si="795"/>
        <v/>
      </c>
    </row>
    <row r="16611" spans="9:14" x14ac:dyDescent="0.25">
      <c r="I16611" s="11" t="b">
        <f t="shared" si="796"/>
        <v>0</v>
      </c>
      <c r="M16611" s="17" t="str">
        <f t="shared" si="794"/>
        <v/>
      </c>
      <c r="N16611" s="11" t="str">
        <f t="shared" si="795"/>
        <v/>
      </c>
    </row>
    <row r="16612" spans="9:14" x14ac:dyDescent="0.25">
      <c r="I16612" s="11" t="b">
        <f t="shared" si="796"/>
        <v>0</v>
      </c>
      <c r="M16612" s="17" t="str">
        <f t="shared" si="794"/>
        <v/>
      </c>
      <c r="N16612" s="11" t="str">
        <f t="shared" si="795"/>
        <v/>
      </c>
    </row>
    <row r="16613" spans="9:14" x14ac:dyDescent="0.25">
      <c r="I16613" s="11" t="b">
        <f t="shared" si="796"/>
        <v>0</v>
      </c>
      <c r="M16613" s="17" t="str">
        <f t="shared" si="794"/>
        <v/>
      </c>
      <c r="N16613" s="11" t="str">
        <f t="shared" si="795"/>
        <v/>
      </c>
    </row>
    <row r="16614" spans="9:14" x14ac:dyDescent="0.25">
      <c r="I16614" s="11" t="b">
        <f t="shared" si="796"/>
        <v>0</v>
      </c>
      <c r="M16614" s="17" t="str">
        <f t="shared" si="794"/>
        <v/>
      </c>
      <c r="N16614" s="11" t="str">
        <f t="shared" si="795"/>
        <v/>
      </c>
    </row>
    <row r="16615" spans="9:14" x14ac:dyDescent="0.25">
      <c r="I16615" s="11" t="b">
        <f t="shared" si="796"/>
        <v>0</v>
      </c>
      <c r="M16615" s="17" t="str">
        <f t="shared" si="794"/>
        <v/>
      </c>
      <c r="N16615" s="11" t="str">
        <f t="shared" si="795"/>
        <v/>
      </c>
    </row>
    <row r="16616" spans="9:14" x14ac:dyDescent="0.25">
      <c r="I16616" s="11" t="b">
        <f t="shared" si="796"/>
        <v>0</v>
      </c>
      <c r="M16616" s="17" t="str">
        <f t="shared" si="794"/>
        <v/>
      </c>
      <c r="N16616" s="11" t="str">
        <f t="shared" si="795"/>
        <v/>
      </c>
    </row>
    <row r="16617" spans="9:14" x14ac:dyDescent="0.25">
      <c r="I16617" s="11" t="b">
        <f t="shared" si="796"/>
        <v>0</v>
      </c>
      <c r="M16617" s="17" t="str">
        <f t="shared" si="794"/>
        <v/>
      </c>
      <c r="N16617" s="11" t="str">
        <f t="shared" si="795"/>
        <v/>
      </c>
    </row>
    <row r="16618" spans="9:14" x14ac:dyDescent="0.25">
      <c r="I16618" s="11" t="b">
        <f t="shared" si="796"/>
        <v>0</v>
      </c>
      <c r="M16618" s="17" t="str">
        <f t="shared" si="794"/>
        <v/>
      </c>
      <c r="N16618" s="11" t="str">
        <f t="shared" si="795"/>
        <v/>
      </c>
    </row>
    <row r="16619" spans="9:14" x14ac:dyDescent="0.25">
      <c r="I16619" s="11" t="b">
        <f t="shared" si="796"/>
        <v>0</v>
      </c>
      <c r="M16619" s="17" t="str">
        <f t="shared" si="794"/>
        <v/>
      </c>
      <c r="N16619" s="11" t="str">
        <f t="shared" si="795"/>
        <v/>
      </c>
    </row>
    <row r="16620" spans="9:14" x14ac:dyDescent="0.25">
      <c r="I16620" s="11" t="b">
        <f t="shared" si="796"/>
        <v>0</v>
      </c>
      <c r="M16620" s="17" t="str">
        <f t="shared" si="794"/>
        <v/>
      </c>
      <c r="N16620" s="11" t="str">
        <f t="shared" si="795"/>
        <v/>
      </c>
    </row>
    <row r="16621" spans="9:14" x14ac:dyDescent="0.25">
      <c r="I16621" s="11" t="b">
        <f t="shared" si="796"/>
        <v>0</v>
      </c>
      <c r="M16621" s="17" t="str">
        <f t="shared" si="794"/>
        <v/>
      </c>
      <c r="N16621" s="11" t="str">
        <f t="shared" si="795"/>
        <v/>
      </c>
    </row>
    <row r="16622" spans="9:14" x14ac:dyDescent="0.25">
      <c r="I16622" s="11" t="b">
        <f t="shared" si="796"/>
        <v>0</v>
      </c>
      <c r="M16622" s="17" t="str">
        <f t="shared" si="794"/>
        <v/>
      </c>
      <c r="N16622" s="11" t="str">
        <f t="shared" si="795"/>
        <v/>
      </c>
    </row>
    <row r="16623" spans="9:14" x14ac:dyDescent="0.25">
      <c r="I16623" s="11" t="b">
        <f t="shared" si="796"/>
        <v>0</v>
      </c>
      <c r="M16623" s="17" t="str">
        <f t="shared" si="794"/>
        <v/>
      </c>
      <c r="N16623" s="11" t="str">
        <f t="shared" si="795"/>
        <v/>
      </c>
    </row>
    <row r="16624" spans="9:14" x14ac:dyDescent="0.25">
      <c r="I16624" s="11" t="b">
        <f t="shared" si="796"/>
        <v>0</v>
      </c>
      <c r="M16624" s="17" t="str">
        <f t="shared" si="794"/>
        <v/>
      </c>
      <c r="N16624" s="11" t="str">
        <f t="shared" si="795"/>
        <v/>
      </c>
    </row>
    <row r="16625" spans="9:14" x14ac:dyDescent="0.25">
      <c r="I16625" s="11" t="b">
        <f t="shared" si="796"/>
        <v>0</v>
      </c>
      <c r="M16625" s="17" t="str">
        <f t="shared" si="794"/>
        <v/>
      </c>
      <c r="N16625" s="11" t="str">
        <f t="shared" si="795"/>
        <v/>
      </c>
    </row>
    <row r="16626" spans="9:14" x14ac:dyDescent="0.25">
      <c r="I16626" s="11" t="b">
        <f t="shared" si="796"/>
        <v>0</v>
      </c>
      <c r="M16626" s="17" t="str">
        <f t="shared" si="794"/>
        <v/>
      </c>
      <c r="N16626" s="11" t="str">
        <f t="shared" si="795"/>
        <v/>
      </c>
    </row>
    <row r="16627" spans="9:14" x14ac:dyDescent="0.25">
      <c r="I16627" s="11" t="b">
        <f t="shared" si="796"/>
        <v>0</v>
      </c>
      <c r="M16627" s="17" t="str">
        <f t="shared" si="794"/>
        <v/>
      </c>
      <c r="N16627" s="11" t="str">
        <f t="shared" si="795"/>
        <v/>
      </c>
    </row>
    <row r="16628" spans="9:14" x14ac:dyDescent="0.25">
      <c r="I16628" s="11" t="b">
        <f t="shared" si="796"/>
        <v>0</v>
      </c>
      <c r="M16628" s="17" t="str">
        <f t="shared" si="794"/>
        <v/>
      </c>
      <c r="N16628" s="11" t="str">
        <f t="shared" si="795"/>
        <v/>
      </c>
    </row>
    <row r="16629" spans="9:14" x14ac:dyDescent="0.25">
      <c r="I16629" s="11" t="b">
        <f t="shared" si="796"/>
        <v>0</v>
      </c>
      <c r="M16629" s="17" t="str">
        <f t="shared" si="794"/>
        <v/>
      </c>
      <c r="N16629" s="11" t="str">
        <f t="shared" si="795"/>
        <v/>
      </c>
    </row>
    <row r="16630" spans="9:14" x14ac:dyDescent="0.25">
      <c r="I16630" s="11" t="b">
        <f t="shared" si="796"/>
        <v>0</v>
      </c>
      <c r="M16630" s="17" t="str">
        <f t="shared" si="794"/>
        <v/>
      </c>
      <c r="N16630" s="11" t="str">
        <f t="shared" si="795"/>
        <v/>
      </c>
    </row>
    <row r="16631" spans="9:14" x14ac:dyDescent="0.25">
      <c r="I16631" s="11" t="b">
        <f t="shared" si="796"/>
        <v>0</v>
      </c>
      <c r="M16631" s="17" t="str">
        <f t="shared" si="794"/>
        <v/>
      </c>
      <c r="N16631" s="11" t="str">
        <f t="shared" si="795"/>
        <v/>
      </c>
    </row>
    <row r="16632" spans="9:14" x14ac:dyDescent="0.25">
      <c r="I16632" s="11" t="b">
        <f t="shared" si="796"/>
        <v>0</v>
      </c>
      <c r="M16632" s="17" t="str">
        <f t="shared" si="794"/>
        <v/>
      </c>
      <c r="N16632" s="11" t="str">
        <f t="shared" si="795"/>
        <v/>
      </c>
    </row>
    <row r="16633" spans="9:14" x14ac:dyDescent="0.25">
      <c r="I16633" s="11" t="b">
        <f t="shared" si="796"/>
        <v>0</v>
      </c>
      <c r="M16633" s="17" t="str">
        <f t="shared" si="794"/>
        <v/>
      </c>
      <c r="N16633" s="11" t="str">
        <f t="shared" si="795"/>
        <v/>
      </c>
    </row>
    <row r="16634" spans="9:14" x14ac:dyDescent="0.25">
      <c r="I16634" s="11" t="b">
        <f t="shared" si="796"/>
        <v>0</v>
      </c>
      <c r="M16634" s="17" t="str">
        <f t="shared" si="794"/>
        <v/>
      </c>
      <c r="N16634" s="11" t="str">
        <f t="shared" si="795"/>
        <v/>
      </c>
    </row>
    <row r="16635" spans="9:14" x14ac:dyDescent="0.25">
      <c r="I16635" s="11" t="b">
        <f t="shared" si="796"/>
        <v>0</v>
      </c>
      <c r="M16635" s="17" t="str">
        <f t="shared" si="794"/>
        <v/>
      </c>
      <c r="N16635" s="11" t="str">
        <f t="shared" si="795"/>
        <v/>
      </c>
    </row>
    <row r="16636" spans="9:14" x14ac:dyDescent="0.25">
      <c r="I16636" s="11" t="b">
        <f t="shared" si="796"/>
        <v>0</v>
      </c>
      <c r="M16636" s="17" t="str">
        <f t="shared" si="794"/>
        <v/>
      </c>
      <c r="N16636" s="11" t="str">
        <f t="shared" si="795"/>
        <v/>
      </c>
    </row>
    <row r="16637" spans="9:14" x14ac:dyDescent="0.25">
      <c r="I16637" s="11" t="b">
        <f t="shared" si="796"/>
        <v>0</v>
      </c>
      <c r="M16637" s="17" t="str">
        <f t="shared" si="794"/>
        <v/>
      </c>
      <c r="N16637" s="11" t="str">
        <f t="shared" si="795"/>
        <v/>
      </c>
    </row>
    <row r="16638" spans="9:14" x14ac:dyDescent="0.25">
      <c r="I16638" s="11" t="b">
        <f t="shared" si="796"/>
        <v>0</v>
      </c>
      <c r="M16638" s="17" t="str">
        <f t="shared" si="794"/>
        <v/>
      </c>
      <c r="N16638" s="11" t="str">
        <f t="shared" si="795"/>
        <v/>
      </c>
    </row>
    <row r="16639" spans="9:14" x14ac:dyDescent="0.25">
      <c r="I16639" s="11" t="b">
        <f t="shared" si="796"/>
        <v>0</v>
      </c>
      <c r="M16639" s="17" t="str">
        <f t="shared" si="794"/>
        <v/>
      </c>
      <c r="N16639" s="11" t="str">
        <f t="shared" si="795"/>
        <v/>
      </c>
    </row>
    <row r="16640" spans="9:14" x14ac:dyDescent="0.25">
      <c r="I16640" s="11" t="b">
        <f t="shared" si="796"/>
        <v>0</v>
      </c>
      <c r="M16640" s="17" t="str">
        <f t="shared" si="794"/>
        <v/>
      </c>
      <c r="N16640" s="11" t="str">
        <f t="shared" si="795"/>
        <v/>
      </c>
    </row>
    <row r="16641" spans="9:14" x14ac:dyDescent="0.25">
      <c r="I16641" s="11" t="b">
        <f t="shared" si="796"/>
        <v>0</v>
      </c>
      <c r="M16641" s="17" t="str">
        <f t="shared" ref="M16641:M16704" si="797">IF(B16641=0, "",M16640+ J16641-K16641)</f>
        <v/>
      </c>
      <c r="N16641" s="11" t="str">
        <f t="shared" ref="N16641:N16704" si="798">IF(B16641=0, "", MONTH(B16641))</f>
        <v/>
      </c>
    </row>
    <row r="16642" spans="9:14" x14ac:dyDescent="0.25">
      <c r="I16642" s="11" t="b">
        <f t="shared" si="796"/>
        <v>0</v>
      </c>
      <c r="M16642" s="17" t="str">
        <f t="shared" si="797"/>
        <v/>
      </c>
      <c r="N16642" s="11" t="str">
        <f t="shared" si="798"/>
        <v/>
      </c>
    </row>
    <row r="16643" spans="9:14" x14ac:dyDescent="0.25">
      <c r="I16643" s="11" t="b">
        <f t="shared" si="796"/>
        <v>0</v>
      </c>
      <c r="M16643" s="17" t="str">
        <f t="shared" si="797"/>
        <v/>
      </c>
      <c r="N16643" s="11" t="str">
        <f t="shared" si="798"/>
        <v/>
      </c>
    </row>
    <row r="16644" spans="9:14" x14ac:dyDescent="0.25">
      <c r="I16644" s="11" t="b">
        <f t="shared" si="796"/>
        <v>0</v>
      </c>
      <c r="M16644" s="17" t="str">
        <f t="shared" si="797"/>
        <v/>
      </c>
      <c r="N16644" s="11" t="str">
        <f t="shared" si="798"/>
        <v/>
      </c>
    </row>
    <row r="16645" spans="9:14" x14ac:dyDescent="0.25">
      <c r="I16645" s="11" t="b">
        <f t="shared" si="796"/>
        <v>0</v>
      </c>
      <c r="M16645" s="17" t="str">
        <f t="shared" si="797"/>
        <v/>
      </c>
      <c r="N16645" s="11" t="str">
        <f t="shared" si="798"/>
        <v/>
      </c>
    </row>
    <row r="16646" spans="9:14" x14ac:dyDescent="0.25">
      <c r="I16646" s="11" t="b">
        <f t="shared" si="796"/>
        <v>0</v>
      </c>
      <c r="M16646" s="17" t="str">
        <f t="shared" si="797"/>
        <v/>
      </c>
      <c r="N16646" s="11" t="str">
        <f t="shared" si="798"/>
        <v/>
      </c>
    </row>
    <row r="16647" spans="9:14" x14ac:dyDescent="0.25">
      <c r="I16647" s="11" t="b">
        <f t="shared" si="796"/>
        <v>0</v>
      </c>
      <c r="M16647" s="17" t="str">
        <f t="shared" si="797"/>
        <v/>
      </c>
      <c r="N16647" s="11" t="str">
        <f t="shared" si="798"/>
        <v/>
      </c>
    </row>
    <row r="16648" spans="9:14" x14ac:dyDescent="0.25">
      <c r="I16648" s="11" t="b">
        <f t="shared" si="796"/>
        <v>0</v>
      </c>
      <c r="M16648" s="17" t="str">
        <f t="shared" si="797"/>
        <v/>
      </c>
      <c r="N16648" s="11" t="str">
        <f t="shared" si="798"/>
        <v/>
      </c>
    </row>
    <row r="16649" spans="9:14" x14ac:dyDescent="0.25">
      <c r="I16649" s="11" t="b">
        <f t="shared" si="796"/>
        <v>0</v>
      </c>
      <c r="M16649" s="17" t="str">
        <f t="shared" si="797"/>
        <v/>
      </c>
      <c r="N16649" s="11" t="str">
        <f t="shared" si="798"/>
        <v/>
      </c>
    </row>
    <row r="16650" spans="9:14" x14ac:dyDescent="0.25">
      <c r="I16650" s="11" t="b">
        <f t="shared" si="796"/>
        <v>0</v>
      </c>
      <c r="M16650" s="17" t="str">
        <f t="shared" si="797"/>
        <v/>
      </c>
      <c r="N16650" s="11" t="str">
        <f t="shared" si="798"/>
        <v/>
      </c>
    </row>
    <row r="16651" spans="9:14" x14ac:dyDescent="0.25">
      <c r="I16651" s="11" t="b">
        <f t="shared" si="796"/>
        <v>0</v>
      </c>
      <c r="M16651" s="17" t="str">
        <f t="shared" si="797"/>
        <v/>
      </c>
      <c r="N16651" s="11" t="str">
        <f t="shared" si="798"/>
        <v/>
      </c>
    </row>
    <row r="16652" spans="9:14" x14ac:dyDescent="0.25">
      <c r="I16652" s="11" t="b">
        <f t="shared" si="796"/>
        <v>0</v>
      </c>
      <c r="M16652" s="17" t="str">
        <f t="shared" si="797"/>
        <v/>
      </c>
      <c r="N16652" s="11" t="str">
        <f t="shared" si="798"/>
        <v/>
      </c>
    </row>
    <row r="16653" spans="9:14" x14ac:dyDescent="0.25">
      <c r="I16653" s="11" t="b">
        <f t="shared" si="796"/>
        <v>0</v>
      </c>
      <c r="M16653" s="17" t="str">
        <f t="shared" si="797"/>
        <v/>
      </c>
      <c r="N16653" s="11" t="str">
        <f t="shared" si="798"/>
        <v/>
      </c>
    </row>
    <row r="16654" spans="9:14" x14ac:dyDescent="0.25">
      <c r="I16654" s="11" t="b">
        <f t="shared" si="796"/>
        <v>0</v>
      </c>
      <c r="M16654" s="17" t="str">
        <f t="shared" si="797"/>
        <v/>
      </c>
      <c r="N16654" s="11" t="str">
        <f t="shared" si="798"/>
        <v/>
      </c>
    </row>
    <row r="16655" spans="9:14" x14ac:dyDescent="0.25">
      <c r="I16655" s="11" t="b">
        <f t="shared" si="796"/>
        <v>0</v>
      </c>
      <c r="M16655" s="17" t="str">
        <f t="shared" si="797"/>
        <v/>
      </c>
      <c r="N16655" s="11" t="str">
        <f t="shared" si="798"/>
        <v/>
      </c>
    </row>
    <row r="16656" spans="9:14" x14ac:dyDescent="0.25">
      <c r="I16656" s="11" t="b">
        <f t="shared" si="796"/>
        <v>0</v>
      </c>
      <c r="M16656" s="17" t="str">
        <f t="shared" si="797"/>
        <v/>
      </c>
      <c r="N16656" s="11" t="str">
        <f t="shared" si="798"/>
        <v/>
      </c>
    </row>
    <row r="16657" spans="9:14" x14ac:dyDescent="0.25">
      <c r="I16657" s="11" t="b">
        <f t="shared" si="796"/>
        <v>0</v>
      </c>
      <c r="M16657" s="17" t="str">
        <f t="shared" si="797"/>
        <v/>
      </c>
      <c r="N16657" s="11" t="str">
        <f t="shared" si="798"/>
        <v/>
      </c>
    </row>
    <row r="16658" spans="9:14" x14ac:dyDescent="0.25">
      <c r="I16658" s="11" t="b">
        <f t="shared" si="796"/>
        <v>0</v>
      </c>
      <c r="M16658" s="17" t="str">
        <f t="shared" si="797"/>
        <v/>
      </c>
      <c r="N16658" s="11" t="str">
        <f t="shared" si="798"/>
        <v/>
      </c>
    </row>
    <row r="16659" spans="9:14" x14ac:dyDescent="0.25">
      <c r="I16659" s="11" t="b">
        <f t="shared" si="796"/>
        <v>0</v>
      </c>
      <c r="M16659" s="17" t="str">
        <f t="shared" si="797"/>
        <v/>
      </c>
      <c r="N16659" s="11" t="str">
        <f t="shared" si="798"/>
        <v/>
      </c>
    </row>
    <row r="16660" spans="9:14" x14ac:dyDescent="0.25">
      <c r="I16660" s="11" t="b">
        <f t="shared" si="796"/>
        <v>0</v>
      </c>
      <c r="M16660" s="17" t="str">
        <f t="shared" si="797"/>
        <v/>
      </c>
      <c r="N16660" s="11" t="str">
        <f t="shared" si="798"/>
        <v/>
      </c>
    </row>
    <row r="16661" spans="9:14" x14ac:dyDescent="0.25">
      <c r="I16661" s="11" t="b">
        <f t="shared" si="796"/>
        <v>0</v>
      </c>
      <c r="M16661" s="17" t="str">
        <f t="shared" si="797"/>
        <v/>
      </c>
      <c r="N16661" s="11" t="str">
        <f t="shared" si="798"/>
        <v/>
      </c>
    </row>
    <row r="16662" spans="9:14" x14ac:dyDescent="0.25">
      <c r="I16662" s="11" t="b">
        <f t="shared" si="796"/>
        <v>0</v>
      </c>
      <c r="M16662" s="17" t="str">
        <f t="shared" si="797"/>
        <v/>
      </c>
      <c r="N16662" s="11" t="str">
        <f t="shared" si="798"/>
        <v/>
      </c>
    </row>
    <row r="16663" spans="9:14" x14ac:dyDescent="0.25">
      <c r="I16663" s="11" t="b">
        <f t="shared" si="796"/>
        <v>0</v>
      </c>
      <c r="M16663" s="17" t="str">
        <f t="shared" si="797"/>
        <v/>
      </c>
      <c r="N16663" s="11" t="str">
        <f t="shared" si="798"/>
        <v/>
      </c>
    </row>
    <row r="16664" spans="9:14" x14ac:dyDescent="0.25">
      <c r="I16664" s="11" t="b">
        <f t="shared" si="796"/>
        <v>0</v>
      </c>
      <c r="M16664" s="17" t="str">
        <f t="shared" si="797"/>
        <v/>
      </c>
      <c r="N16664" s="11" t="str">
        <f t="shared" si="798"/>
        <v/>
      </c>
    </row>
    <row r="16665" spans="9:14" x14ac:dyDescent="0.25">
      <c r="I16665" s="11" t="b">
        <f t="shared" si="796"/>
        <v>0</v>
      </c>
      <c r="M16665" s="17" t="str">
        <f t="shared" si="797"/>
        <v/>
      </c>
      <c r="N16665" s="11" t="str">
        <f t="shared" si="798"/>
        <v/>
      </c>
    </row>
    <row r="16666" spans="9:14" x14ac:dyDescent="0.25">
      <c r="I16666" s="11" t="b">
        <f t="shared" si="796"/>
        <v>0</v>
      </c>
      <c r="M16666" s="17" t="str">
        <f t="shared" si="797"/>
        <v/>
      </c>
      <c r="N16666" s="11" t="str">
        <f t="shared" si="798"/>
        <v/>
      </c>
    </row>
    <row r="16667" spans="9:14" x14ac:dyDescent="0.25">
      <c r="I16667" s="11" t="b">
        <f t="shared" si="796"/>
        <v>0</v>
      </c>
      <c r="M16667" s="17" t="str">
        <f t="shared" si="797"/>
        <v/>
      </c>
      <c r="N16667" s="11" t="str">
        <f t="shared" si="798"/>
        <v/>
      </c>
    </row>
    <row r="16668" spans="9:14" x14ac:dyDescent="0.25">
      <c r="I16668" s="11" t="b">
        <f t="shared" si="796"/>
        <v>0</v>
      </c>
      <c r="M16668" s="17" t="str">
        <f t="shared" si="797"/>
        <v/>
      </c>
      <c r="N16668" s="11" t="str">
        <f t="shared" si="798"/>
        <v/>
      </c>
    </row>
    <row r="16669" spans="9:14" x14ac:dyDescent="0.25">
      <c r="I16669" s="11" t="b">
        <f t="shared" ref="I16669:I16732" si="799">IF(AND(G16669="MERCADO PAGO",A16669="FATURAMENTO"),1,IF(AND(OR(G16669="MERCADO PAGO",G16669="pix mercado pago",G16669= "débito automático mercado pago", G16669= "boleto mercado pago"),A16669="DESPESAS"),4,IF(AND(G16669="SAFRA",A16669="FATURAMENTO"),2,IF(AND(OR(G16669="SAFRA",G16669="PIX SAFRA", G16669="DÉBITO AUTOMÁTICO SAFRA", G16669= "BOLETO SAFRA", G16669= "transferência safra"), A16669="DESPESAS"),5,IF(AND(G16669="espécie",A16669="FATURAMENTO"),3,IF(AND(G16669="espécie",A16669="DESPESAS"),6))))))</f>
        <v>0</v>
      </c>
      <c r="M16669" s="17" t="str">
        <f t="shared" si="797"/>
        <v/>
      </c>
      <c r="N16669" s="11" t="str">
        <f t="shared" si="798"/>
        <v/>
      </c>
    </row>
    <row r="16670" spans="9:14" x14ac:dyDescent="0.25">
      <c r="I16670" s="11" t="b">
        <f t="shared" si="799"/>
        <v>0</v>
      </c>
      <c r="M16670" s="17" t="str">
        <f t="shared" si="797"/>
        <v/>
      </c>
      <c r="N16670" s="11" t="str">
        <f t="shared" si="798"/>
        <v/>
      </c>
    </row>
    <row r="16671" spans="9:14" x14ac:dyDescent="0.25">
      <c r="I16671" s="11" t="b">
        <f t="shared" si="799"/>
        <v>0</v>
      </c>
      <c r="M16671" s="17" t="str">
        <f t="shared" si="797"/>
        <v/>
      </c>
      <c r="N16671" s="11" t="str">
        <f t="shared" si="798"/>
        <v/>
      </c>
    </row>
    <row r="16672" spans="9:14" x14ac:dyDescent="0.25">
      <c r="I16672" s="11" t="b">
        <f t="shared" si="799"/>
        <v>0</v>
      </c>
      <c r="M16672" s="17" t="str">
        <f t="shared" si="797"/>
        <v/>
      </c>
      <c r="N16672" s="11" t="str">
        <f t="shared" si="798"/>
        <v/>
      </c>
    </row>
    <row r="16673" spans="9:14" x14ac:dyDescent="0.25">
      <c r="I16673" s="11" t="b">
        <f t="shared" si="799"/>
        <v>0</v>
      </c>
      <c r="M16673" s="17" t="str">
        <f t="shared" si="797"/>
        <v/>
      </c>
      <c r="N16673" s="11" t="str">
        <f t="shared" si="798"/>
        <v/>
      </c>
    </row>
    <row r="16674" spans="9:14" x14ac:dyDescent="0.25">
      <c r="I16674" s="11" t="b">
        <f t="shared" si="799"/>
        <v>0</v>
      </c>
      <c r="M16674" s="17" t="str">
        <f t="shared" si="797"/>
        <v/>
      </c>
      <c r="N16674" s="11" t="str">
        <f t="shared" si="798"/>
        <v/>
      </c>
    </row>
    <row r="16675" spans="9:14" x14ac:dyDescent="0.25">
      <c r="I16675" s="11" t="b">
        <f t="shared" si="799"/>
        <v>0</v>
      </c>
      <c r="M16675" s="17" t="str">
        <f t="shared" si="797"/>
        <v/>
      </c>
      <c r="N16675" s="11" t="str">
        <f t="shared" si="798"/>
        <v/>
      </c>
    </row>
    <row r="16676" spans="9:14" x14ac:dyDescent="0.25">
      <c r="I16676" s="11" t="b">
        <f t="shared" si="799"/>
        <v>0</v>
      </c>
      <c r="M16676" s="17" t="str">
        <f t="shared" si="797"/>
        <v/>
      </c>
      <c r="N16676" s="11" t="str">
        <f t="shared" si="798"/>
        <v/>
      </c>
    </row>
    <row r="16677" spans="9:14" x14ac:dyDescent="0.25">
      <c r="I16677" s="11" t="b">
        <f t="shared" si="799"/>
        <v>0</v>
      </c>
      <c r="M16677" s="17" t="str">
        <f t="shared" si="797"/>
        <v/>
      </c>
      <c r="N16677" s="11" t="str">
        <f t="shared" si="798"/>
        <v/>
      </c>
    </row>
    <row r="16678" spans="9:14" x14ac:dyDescent="0.25">
      <c r="I16678" s="11" t="b">
        <f t="shared" si="799"/>
        <v>0</v>
      </c>
      <c r="M16678" s="17" t="str">
        <f t="shared" si="797"/>
        <v/>
      </c>
      <c r="N16678" s="11" t="str">
        <f t="shared" si="798"/>
        <v/>
      </c>
    </row>
    <row r="16679" spans="9:14" x14ac:dyDescent="0.25">
      <c r="I16679" s="11" t="b">
        <f t="shared" si="799"/>
        <v>0</v>
      </c>
      <c r="M16679" s="17" t="str">
        <f t="shared" si="797"/>
        <v/>
      </c>
      <c r="N16679" s="11" t="str">
        <f t="shared" si="798"/>
        <v/>
      </c>
    </row>
    <row r="16680" spans="9:14" x14ac:dyDescent="0.25">
      <c r="I16680" s="11" t="b">
        <f t="shared" si="799"/>
        <v>0</v>
      </c>
      <c r="M16680" s="17" t="str">
        <f t="shared" si="797"/>
        <v/>
      </c>
      <c r="N16680" s="11" t="str">
        <f t="shared" si="798"/>
        <v/>
      </c>
    </row>
    <row r="16681" spans="9:14" x14ac:dyDescent="0.25">
      <c r="I16681" s="11" t="b">
        <f t="shared" si="799"/>
        <v>0</v>
      </c>
      <c r="M16681" s="17" t="str">
        <f t="shared" si="797"/>
        <v/>
      </c>
      <c r="N16681" s="11" t="str">
        <f t="shared" si="798"/>
        <v/>
      </c>
    </row>
    <row r="16682" spans="9:14" x14ac:dyDescent="0.25">
      <c r="I16682" s="11" t="b">
        <f t="shared" si="799"/>
        <v>0</v>
      </c>
      <c r="M16682" s="17" t="str">
        <f t="shared" si="797"/>
        <v/>
      </c>
      <c r="N16682" s="11" t="str">
        <f t="shared" si="798"/>
        <v/>
      </c>
    </row>
    <row r="16683" spans="9:14" x14ac:dyDescent="0.25">
      <c r="I16683" s="11" t="b">
        <f t="shared" si="799"/>
        <v>0</v>
      </c>
      <c r="M16683" s="17" t="str">
        <f t="shared" si="797"/>
        <v/>
      </c>
      <c r="N16683" s="11" t="str">
        <f t="shared" si="798"/>
        <v/>
      </c>
    </row>
    <row r="16684" spans="9:14" x14ac:dyDescent="0.25">
      <c r="I16684" s="11" t="b">
        <f t="shared" si="799"/>
        <v>0</v>
      </c>
      <c r="M16684" s="17" t="str">
        <f t="shared" si="797"/>
        <v/>
      </c>
      <c r="N16684" s="11" t="str">
        <f t="shared" si="798"/>
        <v/>
      </c>
    </row>
    <row r="16685" spans="9:14" x14ac:dyDescent="0.25">
      <c r="I16685" s="11" t="b">
        <f t="shared" si="799"/>
        <v>0</v>
      </c>
      <c r="M16685" s="17" t="str">
        <f t="shared" si="797"/>
        <v/>
      </c>
      <c r="N16685" s="11" t="str">
        <f t="shared" si="798"/>
        <v/>
      </c>
    </row>
    <row r="16686" spans="9:14" x14ac:dyDescent="0.25">
      <c r="I16686" s="11" t="b">
        <f t="shared" si="799"/>
        <v>0</v>
      </c>
      <c r="M16686" s="17" t="str">
        <f t="shared" si="797"/>
        <v/>
      </c>
      <c r="N16686" s="11" t="str">
        <f t="shared" si="798"/>
        <v/>
      </c>
    </row>
    <row r="16687" spans="9:14" x14ac:dyDescent="0.25">
      <c r="I16687" s="11" t="b">
        <f t="shared" si="799"/>
        <v>0</v>
      </c>
      <c r="M16687" s="17" t="str">
        <f t="shared" si="797"/>
        <v/>
      </c>
      <c r="N16687" s="11" t="str">
        <f t="shared" si="798"/>
        <v/>
      </c>
    </row>
    <row r="16688" spans="9:14" x14ac:dyDescent="0.25">
      <c r="I16688" s="11" t="b">
        <f t="shared" si="799"/>
        <v>0</v>
      </c>
      <c r="M16688" s="17" t="str">
        <f t="shared" si="797"/>
        <v/>
      </c>
      <c r="N16688" s="11" t="str">
        <f t="shared" si="798"/>
        <v/>
      </c>
    </row>
    <row r="16689" spans="9:14" x14ac:dyDescent="0.25">
      <c r="I16689" s="11" t="b">
        <f t="shared" si="799"/>
        <v>0</v>
      </c>
      <c r="M16689" s="17" t="str">
        <f t="shared" si="797"/>
        <v/>
      </c>
      <c r="N16689" s="11" t="str">
        <f t="shared" si="798"/>
        <v/>
      </c>
    </row>
    <row r="16690" spans="9:14" x14ac:dyDescent="0.25">
      <c r="I16690" s="11" t="b">
        <f t="shared" si="799"/>
        <v>0</v>
      </c>
      <c r="M16690" s="17" t="str">
        <f t="shared" si="797"/>
        <v/>
      </c>
      <c r="N16690" s="11" t="str">
        <f t="shared" si="798"/>
        <v/>
      </c>
    </row>
    <row r="16691" spans="9:14" x14ac:dyDescent="0.25">
      <c r="I16691" s="11" t="b">
        <f t="shared" si="799"/>
        <v>0</v>
      </c>
      <c r="M16691" s="17" t="str">
        <f t="shared" si="797"/>
        <v/>
      </c>
      <c r="N16691" s="11" t="str">
        <f t="shared" si="798"/>
        <v/>
      </c>
    </row>
    <row r="16692" spans="9:14" x14ac:dyDescent="0.25">
      <c r="I16692" s="11" t="b">
        <f t="shared" si="799"/>
        <v>0</v>
      </c>
      <c r="M16692" s="17" t="str">
        <f t="shared" si="797"/>
        <v/>
      </c>
      <c r="N16692" s="11" t="str">
        <f t="shared" si="798"/>
        <v/>
      </c>
    </row>
    <row r="16693" spans="9:14" x14ac:dyDescent="0.25">
      <c r="I16693" s="11" t="b">
        <f t="shared" si="799"/>
        <v>0</v>
      </c>
      <c r="M16693" s="17" t="str">
        <f t="shared" si="797"/>
        <v/>
      </c>
      <c r="N16693" s="11" t="str">
        <f t="shared" si="798"/>
        <v/>
      </c>
    </row>
    <row r="16694" spans="9:14" x14ac:dyDescent="0.25">
      <c r="I16694" s="11" t="b">
        <f t="shared" si="799"/>
        <v>0</v>
      </c>
      <c r="M16694" s="17" t="str">
        <f t="shared" si="797"/>
        <v/>
      </c>
      <c r="N16694" s="11" t="str">
        <f t="shared" si="798"/>
        <v/>
      </c>
    </row>
    <row r="16695" spans="9:14" x14ac:dyDescent="0.25">
      <c r="I16695" s="11" t="b">
        <f t="shared" si="799"/>
        <v>0</v>
      </c>
      <c r="M16695" s="17" t="str">
        <f t="shared" si="797"/>
        <v/>
      </c>
      <c r="N16695" s="11" t="str">
        <f t="shared" si="798"/>
        <v/>
      </c>
    </row>
    <row r="16696" spans="9:14" x14ac:dyDescent="0.25">
      <c r="I16696" s="11" t="b">
        <f t="shared" si="799"/>
        <v>0</v>
      </c>
      <c r="M16696" s="17" t="str">
        <f t="shared" si="797"/>
        <v/>
      </c>
      <c r="N16696" s="11" t="str">
        <f t="shared" si="798"/>
        <v/>
      </c>
    </row>
    <row r="16697" spans="9:14" x14ac:dyDescent="0.25">
      <c r="I16697" s="11" t="b">
        <f t="shared" si="799"/>
        <v>0</v>
      </c>
      <c r="M16697" s="17" t="str">
        <f t="shared" si="797"/>
        <v/>
      </c>
      <c r="N16697" s="11" t="str">
        <f t="shared" si="798"/>
        <v/>
      </c>
    </row>
    <row r="16698" spans="9:14" x14ac:dyDescent="0.25">
      <c r="I16698" s="11" t="b">
        <f t="shared" si="799"/>
        <v>0</v>
      </c>
      <c r="M16698" s="17" t="str">
        <f t="shared" si="797"/>
        <v/>
      </c>
      <c r="N16698" s="11" t="str">
        <f t="shared" si="798"/>
        <v/>
      </c>
    </row>
    <row r="16699" spans="9:14" x14ac:dyDescent="0.25">
      <c r="I16699" s="11" t="b">
        <f t="shared" si="799"/>
        <v>0</v>
      </c>
      <c r="M16699" s="17" t="str">
        <f t="shared" si="797"/>
        <v/>
      </c>
      <c r="N16699" s="11" t="str">
        <f t="shared" si="798"/>
        <v/>
      </c>
    </row>
    <row r="16700" spans="9:14" x14ac:dyDescent="0.25">
      <c r="I16700" s="11" t="b">
        <f t="shared" si="799"/>
        <v>0</v>
      </c>
      <c r="M16700" s="17" t="str">
        <f t="shared" si="797"/>
        <v/>
      </c>
      <c r="N16700" s="11" t="str">
        <f t="shared" si="798"/>
        <v/>
      </c>
    </row>
    <row r="16701" spans="9:14" x14ac:dyDescent="0.25">
      <c r="I16701" s="11" t="b">
        <f t="shared" si="799"/>
        <v>0</v>
      </c>
      <c r="M16701" s="17" t="str">
        <f t="shared" si="797"/>
        <v/>
      </c>
      <c r="N16701" s="11" t="str">
        <f t="shared" si="798"/>
        <v/>
      </c>
    </row>
    <row r="16702" spans="9:14" x14ac:dyDescent="0.25">
      <c r="I16702" s="11" t="b">
        <f t="shared" si="799"/>
        <v>0</v>
      </c>
      <c r="M16702" s="17" t="str">
        <f t="shared" si="797"/>
        <v/>
      </c>
      <c r="N16702" s="11" t="str">
        <f t="shared" si="798"/>
        <v/>
      </c>
    </row>
    <row r="16703" spans="9:14" x14ac:dyDescent="0.25">
      <c r="I16703" s="11" t="b">
        <f t="shared" si="799"/>
        <v>0</v>
      </c>
      <c r="M16703" s="17" t="str">
        <f t="shared" si="797"/>
        <v/>
      </c>
      <c r="N16703" s="11" t="str">
        <f t="shared" si="798"/>
        <v/>
      </c>
    </row>
    <row r="16704" spans="9:14" x14ac:dyDescent="0.25">
      <c r="I16704" s="11" t="b">
        <f t="shared" si="799"/>
        <v>0</v>
      </c>
      <c r="M16704" s="17" t="str">
        <f t="shared" si="797"/>
        <v/>
      </c>
      <c r="N16704" s="11" t="str">
        <f t="shared" si="798"/>
        <v/>
      </c>
    </row>
    <row r="16705" spans="9:14" x14ac:dyDescent="0.25">
      <c r="I16705" s="11" t="b">
        <f t="shared" si="799"/>
        <v>0</v>
      </c>
      <c r="M16705" s="17" t="str">
        <f t="shared" ref="M16705:M16768" si="800">IF(B16705=0, "",M16704+ J16705-K16705)</f>
        <v/>
      </c>
      <c r="N16705" s="11" t="str">
        <f t="shared" ref="N16705:N16768" si="801">IF(B16705=0, "", MONTH(B16705))</f>
        <v/>
      </c>
    </row>
    <row r="16706" spans="9:14" x14ac:dyDescent="0.25">
      <c r="I16706" s="11" t="b">
        <f t="shared" si="799"/>
        <v>0</v>
      </c>
      <c r="M16706" s="17" t="str">
        <f t="shared" si="800"/>
        <v/>
      </c>
      <c r="N16706" s="11" t="str">
        <f t="shared" si="801"/>
        <v/>
      </c>
    </row>
    <row r="16707" spans="9:14" x14ac:dyDescent="0.25">
      <c r="I16707" s="11" t="b">
        <f t="shared" si="799"/>
        <v>0</v>
      </c>
      <c r="M16707" s="17" t="str">
        <f t="shared" si="800"/>
        <v/>
      </c>
      <c r="N16707" s="11" t="str">
        <f t="shared" si="801"/>
        <v/>
      </c>
    </row>
    <row r="16708" spans="9:14" x14ac:dyDescent="0.25">
      <c r="I16708" s="11" t="b">
        <f t="shared" si="799"/>
        <v>0</v>
      </c>
      <c r="M16708" s="17" t="str">
        <f t="shared" si="800"/>
        <v/>
      </c>
      <c r="N16708" s="11" t="str">
        <f t="shared" si="801"/>
        <v/>
      </c>
    </row>
    <row r="16709" spans="9:14" x14ac:dyDescent="0.25">
      <c r="I16709" s="11" t="b">
        <f t="shared" si="799"/>
        <v>0</v>
      </c>
      <c r="M16709" s="17" t="str">
        <f t="shared" si="800"/>
        <v/>
      </c>
      <c r="N16709" s="11" t="str">
        <f t="shared" si="801"/>
        <v/>
      </c>
    </row>
    <row r="16710" spans="9:14" x14ac:dyDescent="0.25">
      <c r="I16710" s="11" t="b">
        <f t="shared" si="799"/>
        <v>0</v>
      </c>
      <c r="M16710" s="17" t="str">
        <f t="shared" si="800"/>
        <v/>
      </c>
      <c r="N16710" s="11" t="str">
        <f t="shared" si="801"/>
        <v/>
      </c>
    </row>
    <row r="16711" spans="9:14" x14ac:dyDescent="0.25">
      <c r="I16711" s="11" t="b">
        <f t="shared" si="799"/>
        <v>0</v>
      </c>
      <c r="M16711" s="17" t="str">
        <f t="shared" si="800"/>
        <v/>
      </c>
      <c r="N16711" s="11" t="str">
        <f t="shared" si="801"/>
        <v/>
      </c>
    </row>
    <row r="16712" spans="9:14" x14ac:dyDescent="0.25">
      <c r="I16712" s="11" t="b">
        <f t="shared" si="799"/>
        <v>0</v>
      </c>
      <c r="M16712" s="17" t="str">
        <f t="shared" si="800"/>
        <v/>
      </c>
      <c r="N16712" s="11" t="str">
        <f t="shared" si="801"/>
        <v/>
      </c>
    </row>
    <row r="16713" spans="9:14" x14ac:dyDescent="0.25">
      <c r="I16713" s="11" t="b">
        <f t="shared" si="799"/>
        <v>0</v>
      </c>
      <c r="M16713" s="17" t="str">
        <f t="shared" si="800"/>
        <v/>
      </c>
      <c r="N16713" s="11" t="str">
        <f t="shared" si="801"/>
        <v/>
      </c>
    </row>
    <row r="16714" spans="9:14" x14ac:dyDescent="0.25">
      <c r="I16714" s="11" t="b">
        <f t="shared" si="799"/>
        <v>0</v>
      </c>
      <c r="M16714" s="17" t="str">
        <f t="shared" si="800"/>
        <v/>
      </c>
      <c r="N16714" s="11" t="str">
        <f t="shared" si="801"/>
        <v/>
      </c>
    </row>
    <row r="16715" spans="9:14" x14ac:dyDescent="0.25">
      <c r="I16715" s="11" t="b">
        <f t="shared" si="799"/>
        <v>0</v>
      </c>
      <c r="M16715" s="17" t="str">
        <f t="shared" si="800"/>
        <v/>
      </c>
      <c r="N16715" s="11" t="str">
        <f t="shared" si="801"/>
        <v/>
      </c>
    </row>
    <row r="16716" spans="9:14" x14ac:dyDescent="0.25">
      <c r="I16716" s="11" t="b">
        <f t="shared" si="799"/>
        <v>0</v>
      </c>
      <c r="M16716" s="17" t="str">
        <f t="shared" si="800"/>
        <v/>
      </c>
      <c r="N16716" s="11" t="str">
        <f t="shared" si="801"/>
        <v/>
      </c>
    </row>
    <row r="16717" spans="9:14" x14ac:dyDescent="0.25">
      <c r="I16717" s="11" t="b">
        <f t="shared" si="799"/>
        <v>0</v>
      </c>
      <c r="M16717" s="17" t="str">
        <f t="shared" si="800"/>
        <v/>
      </c>
      <c r="N16717" s="11" t="str">
        <f t="shared" si="801"/>
        <v/>
      </c>
    </row>
    <row r="16718" spans="9:14" x14ac:dyDescent="0.25">
      <c r="I16718" s="11" t="b">
        <f t="shared" si="799"/>
        <v>0</v>
      </c>
      <c r="M16718" s="17" t="str">
        <f t="shared" si="800"/>
        <v/>
      </c>
      <c r="N16718" s="11" t="str">
        <f t="shared" si="801"/>
        <v/>
      </c>
    </row>
    <row r="16719" spans="9:14" x14ac:dyDescent="0.25">
      <c r="I16719" s="11" t="b">
        <f t="shared" si="799"/>
        <v>0</v>
      </c>
      <c r="M16719" s="17" t="str">
        <f t="shared" si="800"/>
        <v/>
      </c>
      <c r="N16719" s="11" t="str">
        <f t="shared" si="801"/>
        <v/>
      </c>
    </row>
    <row r="16720" spans="9:14" x14ac:dyDescent="0.25">
      <c r="I16720" s="11" t="b">
        <f t="shared" si="799"/>
        <v>0</v>
      </c>
      <c r="M16720" s="17" t="str">
        <f t="shared" si="800"/>
        <v/>
      </c>
      <c r="N16720" s="11" t="str">
        <f t="shared" si="801"/>
        <v/>
      </c>
    </row>
    <row r="16721" spans="9:14" x14ac:dyDescent="0.25">
      <c r="I16721" s="11" t="b">
        <f t="shared" si="799"/>
        <v>0</v>
      </c>
      <c r="M16721" s="17" t="str">
        <f t="shared" si="800"/>
        <v/>
      </c>
      <c r="N16721" s="11" t="str">
        <f t="shared" si="801"/>
        <v/>
      </c>
    </row>
    <row r="16722" spans="9:14" x14ac:dyDescent="0.25">
      <c r="I16722" s="11" t="b">
        <f t="shared" si="799"/>
        <v>0</v>
      </c>
      <c r="M16722" s="17" t="str">
        <f t="shared" si="800"/>
        <v/>
      </c>
      <c r="N16722" s="11" t="str">
        <f t="shared" si="801"/>
        <v/>
      </c>
    </row>
    <row r="16723" spans="9:14" x14ac:dyDescent="0.25">
      <c r="I16723" s="11" t="b">
        <f t="shared" si="799"/>
        <v>0</v>
      </c>
      <c r="M16723" s="17" t="str">
        <f t="shared" si="800"/>
        <v/>
      </c>
      <c r="N16723" s="11" t="str">
        <f t="shared" si="801"/>
        <v/>
      </c>
    </row>
    <row r="16724" spans="9:14" x14ac:dyDescent="0.25">
      <c r="I16724" s="11" t="b">
        <f t="shared" si="799"/>
        <v>0</v>
      </c>
      <c r="M16724" s="17" t="str">
        <f t="shared" si="800"/>
        <v/>
      </c>
      <c r="N16724" s="11" t="str">
        <f t="shared" si="801"/>
        <v/>
      </c>
    </row>
    <row r="16725" spans="9:14" x14ac:dyDescent="0.25">
      <c r="I16725" s="11" t="b">
        <f t="shared" si="799"/>
        <v>0</v>
      </c>
      <c r="M16725" s="17" t="str">
        <f t="shared" si="800"/>
        <v/>
      </c>
      <c r="N16725" s="11" t="str">
        <f t="shared" si="801"/>
        <v/>
      </c>
    </row>
    <row r="16726" spans="9:14" x14ac:dyDescent="0.25">
      <c r="I16726" s="11" t="b">
        <f t="shared" si="799"/>
        <v>0</v>
      </c>
      <c r="M16726" s="17" t="str">
        <f t="shared" si="800"/>
        <v/>
      </c>
      <c r="N16726" s="11" t="str">
        <f t="shared" si="801"/>
        <v/>
      </c>
    </row>
    <row r="16727" spans="9:14" x14ac:dyDescent="0.25">
      <c r="I16727" s="11" t="b">
        <f t="shared" si="799"/>
        <v>0</v>
      </c>
      <c r="M16727" s="17" t="str">
        <f t="shared" si="800"/>
        <v/>
      </c>
      <c r="N16727" s="11" t="str">
        <f t="shared" si="801"/>
        <v/>
      </c>
    </row>
    <row r="16728" spans="9:14" x14ac:dyDescent="0.25">
      <c r="I16728" s="11" t="b">
        <f t="shared" si="799"/>
        <v>0</v>
      </c>
      <c r="M16728" s="17" t="str">
        <f t="shared" si="800"/>
        <v/>
      </c>
      <c r="N16728" s="11" t="str">
        <f t="shared" si="801"/>
        <v/>
      </c>
    </row>
    <row r="16729" spans="9:14" x14ac:dyDescent="0.25">
      <c r="I16729" s="11" t="b">
        <f t="shared" si="799"/>
        <v>0</v>
      </c>
      <c r="M16729" s="17" t="str">
        <f t="shared" si="800"/>
        <v/>
      </c>
      <c r="N16729" s="11" t="str">
        <f t="shared" si="801"/>
        <v/>
      </c>
    </row>
    <row r="16730" spans="9:14" x14ac:dyDescent="0.25">
      <c r="I16730" s="11" t="b">
        <f t="shared" si="799"/>
        <v>0</v>
      </c>
      <c r="M16730" s="17" t="str">
        <f t="shared" si="800"/>
        <v/>
      </c>
      <c r="N16730" s="11" t="str">
        <f t="shared" si="801"/>
        <v/>
      </c>
    </row>
    <row r="16731" spans="9:14" x14ac:dyDescent="0.25">
      <c r="I16731" s="11" t="b">
        <f t="shared" si="799"/>
        <v>0</v>
      </c>
      <c r="M16731" s="17" t="str">
        <f t="shared" si="800"/>
        <v/>
      </c>
      <c r="N16731" s="11" t="str">
        <f t="shared" si="801"/>
        <v/>
      </c>
    </row>
    <row r="16732" spans="9:14" x14ac:dyDescent="0.25">
      <c r="I16732" s="11" t="b">
        <f t="shared" si="799"/>
        <v>0</v>
      </c>
      <c r="M16732" s="17" t="str">
        <f t="shared" si="800"/>
        <v/>
      </c>
      <c r="N16732" s="11" t="str">
        <f t="shared" si="801"/>
        <v/>
      </c>
    </row>
    <row r="16733" spans="9:14" x14ac:dyDescent="0.25">
      <c r="I16733" s="11" t="b">
        <f t="shared" ref="I16733:I16796" si="802">IF(AND(G16733="MERCADO PAGO",A16733="FATURAMENTO"),1,IF(AND(OR(G16733="MERCADO PAGO",G16733="pix mercado pago",G16733= "débito automático mercado pago", G16733= "boleto mercado pago"),A16733="DESPESAS"),4,IF(AND(G16733="SAFRA",A16733="FATURAMENTO"),2,IF(AND(OR(G16733="SAFRA",G16733="PIX SAFRA", G16733="DÉBITO AUTOMÁTICO SAFRA", G16733= "BOLETO SAFRA", G16733= "transferência safra"), A16733="DESPESAS"),5,IF(AND(G16733="espécie",A16733="FATURAMENTO"),3,IF(AND(G16733="espécie",A16733="DESPESAS"),6))))))</f>
        <v>0</v>
      </c>
      <c r="M16733" s="17" t="str">
        <f t="shared" si="800"/>
        <v/>
      </c>
      <c r="N16733" s="11" t="str">
        <f t="shared" si="801"/>
        <v/>
      </c>
    </row>
    <row r="16734" spans="9:14" x14ac:dyDescent="0.25">
      <c r="I16734" s="11" t="b">
        <f t="shared" si="802"/>
        <v>0</v>
      </c>
      <c r="M16734" s="17" t="str">
        <f t="shared" si="800"/>
        <v/>
      </c>
      <c r="N16734" s="11" t="str">
        <f t="shared" si="801"/>
        <v/>
      </c>
    </row>
    <row r="16735" spans="9:14" x14ac:dyDescent="0.25">
      <c r="I16735" s="11" t="b">
        <f t="shared" si="802"/>
        <v>0</v>
      </c>
      <c r="M16735" s="17" t="str">
        <f t="shared" si="800"/>
        <v/>
      </c>
      <c r="N16735" s="11" t="str">
        <f t="shared" si="801"/>
        <v/>
      </c>
    </row>
    <row r="16736" spans="9:14" x14ac:dyDescent="0.25">
      <c r="I16736" s="11" t="b">
        <f t="shared" si="802"/>
        <v>0</v>
      </c>
      <c r="M16736" s="17" t="str">
        <f t="shared" si="800"/>
        <v/>
      </c>
      <c r="N16736" s="11" t="str">
        <f t="shared" si="801"/>
        <v/>
      </c>
    </row>
    <row r="16737" spans="9:14" x14ac:dyDescent="0.25">
      <c r="I16737" s="11" t="b">
        <f t="shared" si="802"/>
        <v>0</v>
      </c>
      <c r="M16737" s="17" t="str">
        <f t="shared" si="800"/>
        <v/>
      </c>
      <c r="N16737" s="11" t="str">
        <f t="shared" si="801"/>
        <v/>
      </c>
    </row>
    <row r="16738" spans="9:14" x14ac:dyDescent="0.25">
      <c r="I16738" s="11" t="b">
        <f t="shared" si="802"/>
        <v>0</v>
      </c>
      <c r="M16738" s="17" t="str">
        <f t="shared" si="800"/>
        <v/>
      </c>
      <c r="N16738" s="11" t="str">
        <f t="shared" si="801"/>
        <v/>
      </c>
    </row>
    <row r="16739" spans="9:14" x14ac:dyDescent="0.25">
      <c r="I16739" s="11" t="b">
        <f t="shared" si="802"/>
        <v>0</v>
      </c>
      <c r="M16739" s="17" t="str">
        <f t="shared" si="800"/>
        <v/>
      </c>
      <c r="N16739" s="11" t="str">
        <f t="shared" si="801"/>
        <v/>
      </c>
    </row>
    <row r="16740" spans="9:14" x14ac:dyDescent="0.25">
      <c r="I16740" s="11" t="b">
        <f t="shared" si="802"/>
        <v>0</v>
      </c>
      <c r="M16740" s="17" t="str">
        <f t="shared" si="800"/>
        <v/>
      </c>
      <c r="N16740" s="11" t="str">
        <f t="shared" si="801"/>
        <v/>
      </c>
    </row>
    <row r="16741" spans="9:14" x14ac:dyDescent="0.25">
      <c r="I16741" s="11" t="b">
        <f t="shared" si="802"/>
        <v>0</v>
      </c>
      <c r="M16741" s="17" t="str">
        <f t="shared" si="800"/>
        <v/>
      </c>
      <c r="N16741" s="11" t="str">
        <f t="shared" si="801"/>
        <v/>
      </c>
    </row>
    <row r="16742" spans="9:14" x14ac:dyDescent="0.25">
      <c r="I16742" s="11" t="b">
        <f t="shared" si="802"/>
        <v>0</v>
      </c>
      <c r="M16742" s="17" t="str">
        <f t="shared" si="800"/>
        <v/>
      </c>
      <c r="N16742" s="11" t="str">
        <f t="shared" si="801"/>
        <v/>
      </c>
    </row>
    <row r="16743" spans="9:14" x14ac:dyDescent="0.25">
      <c r="I16743" s="11" t="b">
        <f t="shared" si="802"/>
        <v>0</v>
      </c>
      <c r="M16743" s="17" t="str">
        <f t="shared" si="800"/>
        <v/>
      </c>
      <c r="N16743" s="11" t="str">
        <f t="shared" si="801"/>
        <v/>
      </c>
    </row>
    <row r="16744" spans="9:14" x14ac:dyDescent="0.25">
      <c r="I16744" s="11" t="b">
        <f t="shared" si="802"/>
        <v>0</v>
      </c>
      <c r="M16744" s="17" t="str">
        <f t="shared" si="800"/>
        <v/>
      </c>
      <c r="N16744" s="11" t="str">
        <f t="shared" si="801"/>
        <v/>
      </c>
    </row>
    <row r="16745" spans="9:14" x14ac:dyDescent="0.25">
      <c r="I16745" s="11" t="b">
        <f t="shared" si="802"/>
        <v>0</v>
      </c>
      <c r="M16745" s="17" t="str">
        <f t="shared" si="800"/>
        <v/>
      </c>
      <c r="N16745" s="11" t="str">
        <f t="shared" si="801"/>
        <v/>
      </c>
    </row>
    <row r="16746" spans="9:14" x14ac:dyDescent="0.25">
      <c r="I16746" s="11" t="b">
        <f t="shared" si="802"/>
        <v>0</v>
      </c>
      <c r="M16746" s="17" t="str">
        <f t="shared" si="800"/>
        <v/>
      </c>
      <c r="N16746" s="11" t="str">
        <f t="shared" si="801"/>
        <v/>
      </c>
    </row>
    <row r="16747" spans="9:14" x14ac:dyDescent="0.25">
      <c r="I16747" s="11" t="b">
        <f t="shared" si="802"/>
        <v>0</v>
      </c>
      <c r="M16747" s="17" t="str">
        <f t="shared" si="800"/>
        <v/>
      </c>
      <c r="N16747" s="11" t="str">
        <f t="shared" si="801"/>
        <v/>
      </c>
    </row>
    <row r="16748" spans="9:14" x14ac:dyDescent="0.25">
      <c r="I16748" s="11" t="b">
        <f t="shared" si="802"/>
        <v>0</v>
      </c>
      <c r="M16748" s="17" t="str">
        <f t="shared" si="800"/>
        <v/>
      </c>
      <c r="N16748" s="11" t="str">
        <f t="shared" si="801"/>
        <v/>
      </c>
    </row>
    <row r="16749" spans="9:14" x14ac:dyDescent="0.25">
      <c r="I16749" s="11" t="b">
        <f t="shared" si="802"/>
        <v>0</v>
      </c>
      <c r="M16749" s="17" t="str">
        <f t="shared" si="800"/>
        <v/>
      </c>
      <c r="N16749" s="11" t="str">
        <f t="shared" si="801"/>
        <v/>
      </c>
    </row>
    <row r="16750" spans="9:14" x14ac:dyDescent="0.25">
      <c r="I16750" s="11" t="b">
        <f t="shared" si="802"/>
        <v>0</v>
      </c>
      <c r="M16750" s="17" t="str">
        <f t="shared" si="800"/>
        <v/>
      </c>
      <c r="N16750" s="11" t="str">
        <f t="shared" si="801"/>
        <v/>
      </c>
    </row>
    <row r="16751" spans="9:14" x14ac:dyDescent="0.25">
      <c r="I16751" s="11" t="b">
        <f t="shared" si="802"/>
        <v>0</v>
      </c>
      <c r="M16751" s="17" t="str">
        <f t="shared" si="800"/>
        <v/>
      </c>
      <c r="N16751" s="11" t="str">
        <f t="shared" si="801"/>
        <v/>
      </c>
    </row>
    <row r="16752" spans="9:14" x14ac:dyDescent="0.25">
      <c r="I16752" s="11" t="b">
        <f t="shared" si="802"/>
        <v>0</v>
      </c>
      <c r="M16752" s="17" t="str">
        <f t="shared" si="800"/>
        <v/>
      </c>
      <c r="N16752" s="11" t="str">
        <f t="shared" si="801"/>
        <v/>
      </c>
    </row>
    <row r="16753" spans="9:14" x14ac:dyDescent="0.25">
      <c r="I16753" s="11" t="b">
        <f t="shared" si="802"/>
        <v>0</v>
      </c>
      <c r="M16753" s="17" t="str">
        <f t="shared" si="800"/>
        <v/>
      </c>
      <c r="N16753" s="11" t="str">
        <f t="shared" si="801"/>
        <v/>
      </c>
    </row>
    <row r="16754" spans="9:14" x14ac:dyDescent="0.25">
      <c r="I16754" s="11" t="b">
        <f t="shared" si="802"/>
        <v>0</v>
      </c>
      <c r="M16754" s="17" t="str">
        <f t="shared" si="800"/>
        <v/>
      </c>
      <c r="N16754" s="11" t="str">
        <f t="shared" si="801"/>
        <v/>
      </c>
    </row>
    <row r="16755" spans="9:14" x14ac:dyDescent="0.25">
      <c r="I16755" s="11" t="b">
        <f t="shared" si="802"/>
        <v>0</v>
      </c>
      <c r="M16755" s="17" t="str">
        <f t="shared" si="800"/>
        <v/>
      </c>
      <c r="N16755" s="11" t="str">
        <f t="shared" si="801"/>
        <v/>
      </c>
    </row>
    <row r="16756" spans="9:14" x14ac:dyDescent="0.25">
      <c r="I16756" s="11" t="b">
        <f t="shared" si="802"/>
        <v>0</v>
      </c>
      <c r="M16756" s="17" t="str">
        <f t="shared" si="800"/>
        <v/>
      </c>
      <c r="N16756" s="11" t="str">
        <f t="shared" si="801"/>
        <v/>
      </c>
    </row>
    <row r="16757" spans="9:14" x14ac:dyDescent="0.25">
      <c r="I16757" s="11" t="b">
        <f t="shared" si="802"/>
        <v>0</v>
      </c>
      <c r="M16757" s="17" t="str">
        <f t="shared" si="800"/>
        <v/>
      </c>
      <c r="N16757" s="11" t="str">
        <f t="shared" si="801"/>
        <v/>
      </c>
    </row>
    <row r="16758" spans="9:14" x14ac:dyDescent="0.25">
      <c r="I16758" s="11" t="b">
        <f t="shared" si="802"/>
        <v>0</v>
      </c>
      <c r="M16758" s="17" t="str">
        <f t="shared" si="800"/>
        <v/>
      </c>
      <c r="N16758" s="11" t="str">
        <f t="shared" si="801"/>
        <v/>
      </c>
    </row>
    <row r="16759" spans="9:14" x14ac:dyDescent="0.25">
      <c r="I16759" s="11" t="b">
        <f t="shared" si="802"/>
        <v>0</v>
      </c>
      <c r="M16759" s="17" t="str">
        <f t="shared" si="800"/>
        <v/>
      </c>
      <c r="N16759" s="11" t="str">
        <f t="shared" si="801"/>
        <v/>
      </c>
    </row>
    <row r="16760" spans="9:14" x14ac:dyDescent="0.25">
      <c r="I16760" s="11" t="b">
        <f t="shared" si="802"/>
        <v>0</v>
      </c>
      <c r="M16760" s="17" t="str">
        <f t="shared" si="800"/>
        <v/>
      </c>
      <c r="N16760" s="11" t="str">
        <f t="shared" si="801"/>
        <v/>
      </c>
    </row>
    <row r="16761" spans="9:14" x14ac:dyDescent="0.25">
      <c r="I16761" s="11" t="b">
        <f t="shared" si="802"/>
        <v>0</v>
      </c>
      <c r="M16761" s="17" t="str">
        <f t="shared" si="800"/>
        <v/>
      </c>
      <c r="N16761" s="11" t="str">
        <f t="shared" si="801"/>
        <v/>
      </c>
    </row>
    <row r="16762" spans="9:14" x14ac:dyDescent="0.25">
      <c r="I16762" s="11" t="b">
        <f t="shared" si="802"/>
        <v>0</v>
      </c>
      <c r="M16762" s="17" t="str">
        <f t="shared" si="800"/>
        <v/>
      </c>
      <c r="N16762" s="11" t="str">
        <f t="shared" si="801"/>
        <v/>
      </c>
    </row>
    <row r="16763" spans="9:14" x14ac:dyDescent="0.25">
      <c r="I16763" s="11" t="b">
        <f t="shared" si="802"/>
        <v>0</v>
      </c>
      <c r="M16763" s="17" t="str">
        <f t="shared" si="800"/>
        <v/>
      </c>
      <c r="N16763" s="11" t="str">
        <f t="shared" si="801"/>
        <v/>
      </c>
    </row>
    <row r="16764" spans="9:14" x14ac:dyDescent="0.25">
      <c r="I16764" s="11" t="b">
        <f t="shared" si="802"/>
        <v>0</v>
      </c>
      <c r="M16764" s="17" t="str">
        <f t="shared" si="800"/>
        <v/>
      </c>
      <c r="N16764" s="11" t="str">
        <f t="shared" si="801"/>
        <v/>
      </c>
    </row>
    <row r="16765" spans="9:14" x14ac:dyDescent="0.25">
      <c r="I16765" s="11" t="b">
        <f t="shared" si="802"/>
        <v>0</v>
      </c>
      <c r="M16765" s="17" t="str">
        <f t="shared" si="800"/>
        <v/>
      </c>
      <c r="N16765" s="11" t="str">
        <f t="shared" si="801"/>
        <v/>
      </c>
    </row>
    <row r="16766" spans="9:14" x14ac:dyDescent="0.25">
      <c r="I16766" s="11" t="b">
        <f t="shared" si="802"/>
        <v>0</v>
      </c>
      <c r="M16766" s="17" t="str">
        <f t="shared" si="800"/>
        <v/>
      </c>
      <c r="N16766" s="11" t="str">
        <f t="shared" si="801"/>
        <v/>
      </c>
    </row>
    <row r="16767" spans="9:14" x14ac:dyDescent="0.25">
      <c r="I16767" s="11" t="b">
        <f t="shared" si="802"/>
        <v>0</v>
      </c>
      <c r="M16767" s="17" t="str">
        <f t="shared" si="800"/>
        <v/>
      </c>
      <c r="N16767" s="11" t="str">
        <f t="shared" si="801"/>
        <v/>
      </c>
    </row>
    <row r="16768" spans="9:14" x14ac:dyDescent="0.25">
      <c r="I16768" s="11" t="b">
        <f t="shared" si="802"/>
        <v>0</v>
      </c>
      <c r="M16768" s="17" t="str">
        <f t="shared" si="800"/>
        <v/>
      </c>
      <c r="N16768" s="11" t="str">
        <f t="shared" si="801"/>
        <v/>
      </c>
    </row>
    <row r="16769" spans="9:14" x14ac:dyDescent="0.25">
      <c r="I16769" s="11" t="b">
        <f t="shared" si="802"/>
        <v>0</v>
      </c>
      <c r="M16769" s="17" t="str">
        <f t="shared" ref="M16769:M16832" si="803">IF(B16769=0, "",M16768+ J16769-K16769)</f>
        <v/>
      </c>
      <c r="N16769" s="11" t="str">
        <f t="shared" ref="N16769:N16832" si="804">IF(B16769=0, "", MONTH(B16769))</f>
        <v/>
      </c>
    </row>
    <row r="16770" spans="9:14" x14ac:dyDescent="0.25">
      <c r="I16770" s="11" t="b">
        <f t="shared" si="802"/>
        <v>0</v>
      </c>
      <c r="M16770" s="17" t="str">
        <f t="shared" si="803"/>
        <v/>
      </c>
      <c r="N16770" s="11" t="str">
        <f t="shared" si="804"/>
        <v/>
      </c>
    </row>
    <row r="16771" spans="9:14" x14ac:dyDescent="0.25">
      <c r="I16771" s="11" t="b">
        <f t="shared" si="802"/>
        <v>0</v>
      </c>
      <c r="M16771" s="17" t="str">
        <f t="shared" si="803"/>
        <v/>
      </c>
      <c r="N16771" s="11" t="str">
        <f t="shared" si="804"/>
        <v/>
      </c>
    </row>
    <row r="16772" spans="9:14" x14ac:dyDescent="0.25">
      <c r="I16772" s="11" t="b">
        <f t="shared" si="802"/>
        <v>0</v>
      </c>
      <c r="M16772" s="17" t="str">
        <f t="shared" si="803"/>
        <v/>
      </c>
      <c r="N16772" s="11" t="str">
        <f t="shared" si="804"/>
        <v/>
      </c>
    </row>
    <row r="16773" spans="9:14" x14ac:dyDescent="0.25">
      <c r="I16773" s="11" t="b">
        <f t="shared" si="802"/>
        <v>0</v>
      </c>
      <c r="M16773" s="17" t="str">
        <f t="shared" si="803"/>
        <v/>
      </c>
      <c r="N16773" s="11" t="str">
        <f t="shared" si="804"/>
        <v/>
      </c>
    </row>
    <row r="16774" spans="9:14" x14ac:dyDescent="0.25">
      <c r="I16774" s="11" t="b">
        <f t="shared" si="802"/>
        <v>0</v>
      </c>
      <c r="M16774" s="17" t="str">
        <f t="shared" si="803"/>
        <v/>
      </c>
      <c r="N16774" s="11" t="str">
        <f t="shared" si="804"/>
        <v/>
      </c>
    </row>
    <row r="16775" spans="9:14" x14ac:dyDescent="0.25">
      <c r="I16775" s="11" t="b">
        <f t="shared" si="802"/>
        <v>0</v>
      </c>
      <c r="M16775" s="17" t="str">
        <f t="shared" si="803"/>
        <v/>
      </c>
      <c r="N16775" s="11" t="str">
        <f t="shared" si="804"/>
        <v/>
      </c>
    </row>
    <row r="16776" spans="9:14" x14ac:dyDescent="0.25">
      <c r="I16776" s="11" t="b">
        <f t="shared" si="802"/>
        <v>0</v>
      </c>
      <c r="M16776" s="17" t="str">
        <f t="shared" si="803"/>
        <v/>
      </c>
      <c r="N16776" s="11" t="str">
        <f t="shared" si="804"/>
        <v/>
      </c>
    </row>
    <row r="16777" spans="9:14" x14ac:dyDescent="0.25">
      <c r="I16777" s="11" t="b">
        <f t="shared" si="802"/>
        <v>0</v>
      </c>
      <c r="M16777" s="17" t="str">
        <f t="shared" si="803"/>
        <v/>
      </c>
      <c r="N16777" s="11" t="str">
        <f t="shared" si="804"/>
        <v/>
      </c>
    </row>
    <row r="16778" spans="9:14" x14ac:dyDescent="0.25">
      <c r="I16778" s="11" t="b">
        <f t="shared" si="802"/>
        <v>0</v>
      </c>
      <c r="M16778" s="17" t="str">
        <f t="shared" si="803"/>
        <v/>
      </c>
      <c r="N16778" s="11" t="str">
        <f t="shared" si="804"/>
        <v/>
      </c>
    </row>
    <row r="16779" spans="9:14" x14ac:dyDescent="0.25">
      <c r="I16779" s="11" t="b">
        <f t="shared" si="802"/>
        <v>0</v>
      </c>
      <c r="M16779" s="17" t="str">
        <f t="shared" si="803"/>
        <v/>
      </c>
      <c r="N16779" s="11" t="str">
        <f t="shared" si="804"/>
        <v/>
      </c>
    </row>
    <row r="16780" spans="9:14" x14ac:dyDescent="0.25">
      <c r="I16780" s="11" t="b">
        <f t="shared" si="802"/>
        <v>0</v>
      </c>
      <c r="M16780" s="17" t="str">
        <f t="shared" si="803"/>
        <v/>
      </c>
      <c r="N16780" s="11" t="str">
        <f t="shared" si="804"/>
        <v/>
      </c>
    </row>
    <row r="16781" spans="9:14" x14ac:dyDescent="0.25">
      <c r="I16781" s="11" t="b">
        <f t="shared" si="802"/>
        <v>0</v>
      </c>
      <c r="M16781" s="17" t="str">
        <f t="shared" si="803"/>
        <v/>
      </c>
      <c r="N16781" s="11" t="str">
        <f t="shared" si="804"/>
        <v/>
      </c>
    </row>
    <row r="16782" spans="9:14" x14ac:dyDescent="0.25">
      <c r="I16782" s="11" t="b">
        <f t="shared" si="802"/>
        <v>0</v>
      </c>
      <c r="M16782" s="17" t="str">
        <f t="shared" si="803"/>
        <v/>
      </c>
      <c r="N16782" s="11" t="str">
        <f t="shared" si="804"/>
        <v/>
      </c>
    </row>
    <row r="16783" spans="9:14" x14ac:dyDescent="0.25">
      <c r="I16783" s="11" t="b">
        <f t="shared" si="802"/>
        <v>0</v>
      </c>
      <c r="M16783" s="17" t="str">
        <f t="shared" si="803"/>
        <v/>
      </c>
      <c r="N16783" s="11" t="str">
        <f t="shared" si="804"/>
        <v/>
      </c>
    </row>
    <row r="16784" spans="9:14" x14ac:dyDescent="0.25">
      <c r="I16784" s="11" t="b">
        <f t="shared" si="802"/>
        <v>0</v>
      </c>
      <c r="M16784" s="17" t="str">
        <f t="shared" si="803"/>
        <v/>
      </c>
      <c r="N16784" s="11" t="str">
        <f t="shared" si="804"/>
        <v/>
      </c>
    </row>
    <row r="16785" spans="9:14" x14ac:dyDescent="0.25">
      <c r="I16785" s="11" t="b">
        <f t="shared" si="802"/>
        <v>0</v>
      </c>
      <c r="M16785" s="17" t="str">
        <f t="shared" si="803"/>
        <v/>
      </c>
      <c r="N16785" s="11" t="str">
        <f t="shared" si="804"/>
        <v/>
      </c>
    </row>
    <row r="16786" spans="9:14" x14ac:dyDescent="0.25">
      <c r="I16786" s="11" t="b">
        <f t="shared" si="802"/>
        <v>0</v>
      </c>
      <c r="M16786" s="17" t="str">
        <f t="shared" si="803"/>
        <v/>
      </c>
      <c r="N16786" s="11" t="str">
        <f t="shared" si="804"/>
        <v/>
      </c>
    </row>
    <row r="16787" spans="9:14" x14ac:dyDescent="0.25">
      <c r="I16787" s="11" t="b">
        <f t="shared" si="802"/>
        <v>0</v>
      </c>
      <c r="M16787" s="17" t="str">
        <f t="shared" si="803"/>
        <v/>
      </c>
      <c r="N16787" s="11" t="str">
        <f t="shared" si="804"/>
        <v/>
      </c>
    </row>
    <row r="16788" spans="9:14" x14ac:dyDescent="0.25">
      <c r="I16788" s="11" t="b">
        <f t="shared" si="802"/>
        <v>0</v>
      </c>
      <c r="M16788" s="17" t="str">
        <f t="shared" si="803"/>
        <v/>
      </c>
      <c r="N16788" s="11" t="str">
        <f t="shared" si="804"/>
        <v/>
      </c>
    </row>
    <row r="16789" spans="9:14" x14ac:dyDescent="0.25">
      <c r="I16789" s="11" t="b">
        <f t="shared" si="802"/>
        <v>0</v>
      </c>
      <c r="M16789" s="17" t="str">
        <f t="shared" si="803"/>
        <v/>
      </c>
      <c r="N16789" s="11" t="str">
        <f t="shared" si="804"/>
        <v/>
      </c>
    </row>
    <row r="16790" spans="9:14" x14ac:dyDescent="0.25">
      <c r="I16790" s="11" t="b">
        <f t="shared" si="802"/>
        <v>0</v>
      </c>
      <c r="M16790" s="17" t="str">
        <f t="shared" si="803"/>
        <v/>
      </c>
      <c r="N16790" s="11" t="str">
        <f t="shared" si="804"/>
        <v/>
      </c>
    </row>
    <row r="16791" spans="9:14" x14ac:dyDescent="0.25">
      <c r="I16791" s="11" t="b">
        <f t="shared" si="802"/>
        <v>0</v>
      </c>
      <c r="M16791" s="17" t="str">
        <f t="shared" si="803"/>
        <v/>
      </c>
      <c r="N16791" s="11" t="str">
        <f t="shared" si="804"/>
        <v/>
      </c>
    </row>
    <row r="16792" spans="9:14" x14ac:dyDescent="0.25">
      <c r="I16792" s="11" t="b">
        <f t="shared" si="802"/>
        <v>0</v>
      </c>
      <c r="M16792" s="17" t="str">
        <f t="shared" si="803"/>
        <v/>
      </c>
      <c r="N16792" s="11" t="str">
        <f t="shared" si="804"/>
        <v/>
      </c>
    </row>
    <row r="16793" spans="9:14" x14ac:dyDescent="0.25">
      <c r="I16793" s="11" t="b">
        <f t="shared" si="802"/>
        <v>0</v>
      </c>
      <c r="M16793" s="17" t="str">
        <f t="shared" si="803"/>
        <v/>
      </c>
      <c r="N16793" s="11" t="str">
        <f t="shared" si="804"/>
        <v/>
      </c>
    </row>
    <row r="16794" spans="9:14" x14ac:dyDescent="0.25">
      <c r="I16794" s="11" t="b">
        <f t="shared" si="802"/>
        <v>0</v>
      </c>
      <c r="M16794" s="17" t="str">
        <f t="shared" si="803"/>
        <v/>
      </c>
      <c r="N16794" s="11" t="str">
        <f t="shared" si="804"/>
        <v/>
      </c>
    </row>
    <row r="16795" spans="9:14" x14ac:dyDescent="0.25">
      <c r="I16795" s="11" t="b">
        <f t="shared" si="802"/>
        <v>0</v>
      </c>
      <c r="M16795" s="17" t="str">
        <f t="shared" si="803"/>
        <v/>
      </c>
      <c r="N16795" s="11" t="str">
        <f t="shared" si="804"/>
        <v/>
      </c>
    </row>
    <row r="16796" spans="9:14" x14ac:dyDescent="0.25">
      <c r="I16796" s="11" t="b">
        <f t="shared" si="802"/>
        <v>0</v>
      </c>
      <c r="M16796" s="17" t="str">
        <f t="shared" si="803"/>
        <v/>
      </c>
      <c r="N16796" s="11" t="str">
        <f t="shared" si="804"/>
        <v/>
      </c>
    </row>
    <row r="16797" spans="9:14" x14ac:dyDescent="0.25">
      <c r="I16797" s="11" t="b">
        <f t="shared" ref="I16797:I16860" si="805">IF(AND(G16797="MERCADO PAGO",A16797="FATURAMENTO"),1,IF(AND(OR(G16797="MERCADO PAGO",G16797="pix mercado pago",G16797= "débito automático mercado pago", G16797= "boleto mercado pago"),A16797="DESPESAS"),4,IF(AND(G16797="SAFRA",A16797="FATURAMENTO"),2,IF(AND(OR(G16797="SAFRA",G16797="PIX SAFRA", G16797="DÉBITO AUTOMÁTICO SAFRA", G16797= "BOLETO SAFRA", G16797= "transferência safra"), A16797="DESPESAS"),5,IF(AND(G16797="espécie",A16797="FATURAMENTO"),3,IF(AND(G16797="espécie",A16797="DESPESAS"),6))))))</f>
        <v>0</v>
      </c>
      <c r="M16797" s="17" t="str">
        <f t="shared" si="803"/>
        <v/>
      </c>
      <c r="N16797" s="11" t="str">
        <f t="shared" si="804"/>
        <v/>
      </c>
    </row>
    <row r="16798" spans="9:14" x14ac:dyDescent="0.25">
      <c r="I16798" s="11" t="b">
        <f t="shared" si="805"/>
        <v>0</v>
      </c>
      <c r="M16798" s="17" t="str">
        <f t="shared" si="803"/>
        <v/>
      </c>
      <c r="N16798" s="11" t="str">
        <f t="shared" si="804"/>
        <v/>
      </c>
    </row>
    <row r="16799" spans="9:14" x14ac:dyDescent="0.25">
      <c r="I16799" s="11" t="b">
        <f t="shared" si="805"/>
        <v>0</v>
      </c>
      <c r="M16799" s="17" t="str">
        <f t="shared" si="803"/>
        <v/>
      </c>
      <c r="N16799" s="11" t="str">
        <f t="shared" si="804"/>
        <v/>
      </c>
    </row>
    <row r="16800" spans="9:14" x14ac:dyDescent="0.25">
      <c r="I16800" s="11" t="b">
        <f t="shared" si="805"/>
        <v>0</v>
      </c>
      <c r="M16800" s="17" t="str">
        <f t="shared" si="803"/>
        <v/>
      </c>
      <c r="N16800" s="11" t="str">
        <f t="shared" si="804"/>
        <v/>
      </c>
    </row>
    <row r="16801" spans="9:14" x14ac:dyDescent="0.25">
      <c r="I16801" s="11" t="b">
        <f t="shared" si="805"/>
        <v>0</v>
      </c>
      <c r="M16801" s="17" t="str">
        <f t="shared" si="803"/>
        <v/>
      </c>
      <c r="N16801" s="11" t="str">
        <f t="shared" si="804"/>
        <v/>
      </c>
    </row>
    <row r="16802" spans="9:14" x14ac:dyDescent="0.25">
      <c r="I16802" s="11" t="b">
        <f t="shared" si="805"/>
        <v>0</v>
      </c>
      <c r="M16802" s="17" t="str">
        <f t="shared" si="803"/>
        <v/>
      </c>
      <c r="N16802" s="11" t="str">
        <f t="shared" si="804"/>
        <v/>
      </c>
    </row>
    <row r="16803" spans="9:14" x14ac:dyDescent="0.25">
      <c r="I16803" s="11" t="b">
        <f t="shared" si="805"/>
        <v>0</v>
      </c>
      <c r="M16803" s="17" t="str">
        <f t="shared" si="803"/>
        <v/>
      </c>
      <c r="N16803" s="11" t="str">
        <f t="shared" si="804"/>
        <v/>
      </c>
    </row>
    <row r="16804" spans="9:14" x14ac:dyDescent="0.25">
      <c r="I16804" s="11" t="b">
        <f t="shared" si="805"/>
        <v>0</v>
      </c>
      <c r="M16804" s="17" t="str">
        <f t="shared" si="803"/>
        <v/>
      </c>
      <c r="N16804" s="11" t="str">
        <f t="shared" si="804"/>
        <v/>
      </c>
    </row>
    <row r="16805" spans="9:14" x14ac:dyDescent="0.25">
      <c r="I16805" s="11" t="b">
        <f t="shared" si="805"/>
        <v>0</v>
      </c>
      <c r="M16805" s="17" t="str">
        <f t="shared" si="803"/>
        <v/>
      </c>
      <c r="N16805" s="11" t="str">
        <f t="shared" si="804"/>
        <v/>
      </c>
    </row>
    <row r="16806" spans="9:14" x14ac:dyDescent="0.25">
      <c r="I16806" s="11" t="b">
        <f t="shared" si="805"/>
        <v>0</v>
      </c>
      <c r="M16806" s="17" t="str">
        <f t="shared" si="803"/>
        <v/>
      </c>
      <c r="N16806" s="11" t="str">
        <f t="shared" si="804"/>
        <v/>
      </c>
    </row>
    <row r="16807" spans="9:14" x14ac:dyDescent="0.25">
      <c r="I16807" s="11" t="b">
        <f t="shared" si="805"/>
        <v>0</v>
      </c>
      <c r="M16807" s="17" t="str">
        <f t="shared" si="803"/>
        <v/>
      </c>
      <c r="N16807" s="11" t="str">
        <f t="shared" si="804"/>
        <v/>
      </c>
    </row>
    <row r="16808" spans="9:14" x14ac:dyDescent="0.25">
      <c r="I16808" s="11" t="b">
        <f t="shared" si="805"/>
        <v>0</v>
      </c>
      <c r="M16808" s="17" t="str">
        <f t="shared" si="803"/>
        <v/>
      </c>
      <c r="N16808" s="11" t="str">
        <f t="shared" si="804"/>
        <v/>
      </c>
    </row>
    <row r="16809" spans="9:14" x14ac:dyDescent="0.25">
      <c r="I16809" s="11" t="b">
        <f t="shared" si="805"/>
        <v>0</v>
      </c>
      <c r="M16809" s="17" t="str">
        <f t="shared" si="803"/>
        <v/>
      </c>
      <c r="N16809" s="11" t="str">
        <f t="shared" si="804"/>
        <v/>
      </c>
    </row>
    <row r="16810" spans="9:14" x14ac:dyDescent="0.25">
      <c r="I16810" s="11" t="b">
        <f t="shared" si="805"/>
        <v>0</v>
      </c>
      <c r="M16810" s="17" t="str">
        <f t="shared" si="803"/>
        <v/>
      </c>
      <c r="N16810" s="11" t="str">
        <f t="shared" si="804"/>
        <v/>
      </c>
    </row>
    <row r="16811" spans="9:14" x14ac:dyDescent="0.25">
      <c r="I16811" s="11" t="b">
        <f t="shared" si="805"/>
        <v>0</v>
      </c>
      <c r="M16811" s="17" t="str">
        <f t="shared" si="803"/>
        <v/>
      </c>
      <c r="N16811" s="11" t="str">
        <f t="shared" si="804"/>
        <v/>
      </c>
    </row>
    <row r="16812" spans="9:14" x14ac:dyDescent="0.25">
      <c r="I16812" s="11" t="b">
        <f t="shared" si="805"/>
        <v>0</v>
      </c>
      <c r="M16812" s="17" t="str">
        <f t="shared" si="803"/>
        <v/>
      </c>
      <c r="N16812" s="11" t="str">
        <f t="shared" si="804"/>
        <v/>
      </c>
    </row>
    <row r="16813" spans="9:14" x14ac:dyDescent="0.25">
      <c r="I16813" s="11" t="b">
        <f t="shared" si="805"/>
        <v>0</v>
      </c>
      <c r="M16813" s="17" t="str">
        <f t="shared" si="803"/>
        <v/>
      </c>
      <c r="N16813" s="11" t="str">
        <f t="shared" si="804"/>
        <v/>
      </c>
    </row>
    <row r="16814" spans="9:14" x14ac:dyDescent="0.25">
      <c r="I16814" s="11" t="b">
        <f t="shared" si="805"/>
        <v>0</v>
      </c>
      <c r="M16814" s="17" t="str">
        <f t="shared" si="803"/>
        <v/>
      </c>
      <c r="N16814" s="11" t="str">
        <f t="shared" si="804"/>
        <v/>
      </c>
    </row>
    <row r="16815" spans="9:14" x14ac:dyDescent="0.25">
      <c r="I16815" s="11" t="b">
        <f t="shared" si="805"/>
        <v>0</v>
      </c>
      <c r="M16815" s="17" t="str">
        <f t="shared" si="803"/>
        <v/>
      </c>
      <c r="N16815" s="11" t="str">
        <f t="shared" si="804"/>
        <v/>
      </c>
    </row>
    <row r="16816" spans="9:14" x14ac:dyDescent="0.25">
      <c r="I16816" s="11" t="b">
        <f t="shared" si="805"/>
        <v>0</v>
      </c>
      <c r="M16816" s="17" t="str">
        <f t="shared" si="803"/>
        <v/>
      </c>
      <c r="N16816" s="11" t="str">
        <f t="shared" si="804"/>
        <v/>
      </c>
    </row>
    <row r="16817" spans="9:14" x14ac:dyDescent="0.25">
      <c r="I16817" s="11" t="b">
        <f t="shared" si="805"/>
        <v>0</v>
      </c>
      <c r="M16817" s="17" t="str">
        <f t="shared" si="803"/>
        <v/>
      </c>
      <c r="N16817" s="11" t="str">
        <f t="shared" si="804"/>
        <v/>
      </c>
    </row>
    <row r="16818" spans="9:14" x14ac:dyDescent="0.25">
      <c r="I16818" s="11" t="b">
        <f t="shared" si="805"/>
        <v>0</v>
      </c>
      <c r="M16818" s="17" t="str">
        <f t="shared" si="803"/>
        <v/>
      </c>
      <c r="N16818" s="11" t="str">
        <f t="shared" si="804"/>
        <v/>
      </c>
    </row>
    <row r="16819" spans="9:14" x14ac:dyDescent="0.25">
      <c r="I16819" s="11" t="b">
        <f t="shared" si="805"/>
        <v>0</v>
      </c>
      <c r="M16819" s="17" t="str">
        <f t="shared" si="803"/>
        <v/>
      </c>
      <c r="N16819" s="11" t="str">
        <f t="shared" si="804"/>
        <v/>
      </c>
    </row>
    <row r="16820" spans="9:14" x14ac:dyDescent="0.25">
      <c r="I16820" s="11" t="b">
        <f t="shared" si="805"/>
        <v>0</v>
      </c>
      <c r="M16820" s="17" t="str">
        <f t="shared" si="803"/>
        <v/>
      </c>
      <c r="N16820" s="11" t="str">
        <f t="shared" si="804"/>
        <v/>
      </c>
    </row>
    <row r="16821" spans="9:14" x14ac:dyDescent="0.25">
      <c r="I16821" s="11" t="b">
        <f t="shared" si="805"/>
        <v>0</v>
      </c>
      <c r="M16821" s="17" t="str">
        <f t="shared" si="803"/>
        <v/>
      </c>
      <c r="N16821" s="11" t="str">
        <f t="shared" si="804"/>
        <v/>
      </c>
    </row>
    <row r="16822" spans="9:14" x14ac:dyDescent="0.25">
      <c r="I16822" s="11" t="b">
        <f t="shared" si="805"/>
        <v>0</v>
      </c>
      <c r="M16822" s="17" t="str">
        <f t="shared" si="803"/>
        <v/>
      </c>
      <c r="N16822" s="11" t="str">
        <f t="shared" si="804"/>
        <v/>
      </c>
    </row>
    <row r="16823" spans="9:14" x14ac:dyDescent="0.25">
      <c r="I16823" s="11" t="b">
        <f t="shared" si="805"/>
        <v>0</v>
      </c>
      <c r="M16823" s="17" t="str">
        <f t="shared" si="803"/>
        <v/>
      </c>
      <c r="N16823" s="11" t="str">
        <f t="shared" si="804"/>
        <v/>
      </c>
    </row>
    <row r="16824" spans="9:14" x14ac:dyDescent="0.25">
      <c r="I16824" s="11" t="b">
        <f t="shared" si="805"/>
        <v>0</v>
      </c>
      <c r="M16824" s="17" t="str">
        <f t="shared" si="803"/>
        <v/>
      </c>
      <c r="N16824" s="11" t="str">
        <f t="shared" si="804"/>
        <v/>
      </c>
    </row>
    <row r="16825" spans="9:14" x14ac:dyDescent="0.25">
      <c r="I16825" s="11" t="b">
        <f t="shared" si="805"/>
        <v>0</v>
      </c>
      <c r="M16825" s="17" t="str">
        <f t="shared" si="803"/>
        <v/>
      </c>
      <c r="N16825" s="11" t="str">
        <f t="shared" si="804"/>
        <v/>
      </c>
    </row>
    <row r="16826" spans="9:14" x14ac:dyDescent="0.25">
      <c r="I16826" s="11" t="b">
        <f t="shared" si="805"/>
        <v>0</v>
      </c>
      <c r="M16826" s="17" t="str">
        <f t="shared" si="803"/>
        <v/>
      </c>
      <c r="N16826" s="11" t="str">
        <f t="shared" si="804"/>
        <v/>
      </c>
    </row>
    <row r="16827" spans="9:14" x14ac:dyDescent="0.25">
      <c r="I16827" s="11" t="b">
        <f t="shared" si="805"/>
        <v>0</v>
      </c>
      <c r="M16827" s="17" t="str">
        <f t="shared" si="803"/>
        <v/>
      </c>
      <c r="N16827" s="11" t="str">
        <f t="shared" si="804"/>
        <v/>
      </c>
    </row>
    <row r="16828" spans="9:14" x14ac:dyDescent="0.25">
      <c r="I16828" s="11" t="b">
        <f t="shared" si="805"/>
        <v>0</v>
      </c>
      <c r="M16828" s="17" t="str">
        <f t="shared" si="803"/>
        <v/>
      </c>
      <c r="N16828" s="11" t="str">
        <f t="shared" si="804"/>
        <v/>
      </c>
    </row>
    <row r="16829" spans="9:14" x14ac:dyDescent="0.25">
      <c r="I16829" s="11" t="b">
        <f t="shared" si="805"/>
        <v>0</v>
      </c>
      <c r="M16829" s="17" t="str">
        <f t="shared" si="803"/>
        <v/>
      </c>
      <c r="N16829" s="11" t="str">
        <f t="shared" si="804"/>
        <v/>
      </c>
    </row>
    <row r="16830" spans="9:14" x14ac:dyDescent="0.25">
      <c r="I16830" s="11" t="b">
        <f t="shared" si="805"/>
        <v>0</v>
      </c>
      <c r="M16830" s="17" t="str">
        <f t="shared" si="803"/>
        <v/>
      </c>
      <c r="N16830" s="11" t="str">
        <f t="shared" si="804"/>
        <v/>
      </c>
    </row>
    <row r="16831" spans="9:14" x14ac:dyDescent="0.25">
      <c r="I16831" s="11" t="b">
        <f t="shared" si="805"/>
        <v>0</v>
      </c>
      <c r="M16831" s="17" t="str">
        <f t="shared" si="803"/>
        <v/>
      </c>
      <c r="N16831" s="11" t="str">
        <f t="shared" si="804"/>
        <v/>
      </c>
    </row>
    <row r="16832" spans="9:14" x14ac:dyDescent="0.25">
      <c r="I16832" s="11" t="b">
        <f t="shared" si="805"/>
        <v>0</v>
      </c>
      <c r="M16832" s="17" t="str">
        <f t="shared" si="803"/>
        <v/>
      </c>
      <c r="N16832" s="11" t="str">
        <f t="shared" si="804"/>
        <v/>
      </c>
    </row>
    <row r="16833" spans="9:14" x14ac:dyDescent="0.25">
      <c r="I16833" s="11" t="b">
        <f t="shared" si="805"/>
        <v>0</v>
      </c>
      <c r="M16833" s="17" t="str">
        <f t="shared" ref="M16833:M16896" si="806">IF(B16833=0, "",M16832+ J16833-K16833)</f>
        <v/>
      </c>
      <c r="N16833" s="11" t="str">
        <f t="shared" ref="N16833:N16896" si="807">IF(B16833=0, "", MONTH(B16833))</f>
        <v/>
      </c>
    </row>
    <row r="16834" spans="9:14" x14ac:dyDescent="0.25">
      <c r="I16834" s="11" t="b">
        <f t="shared" si="805"/>
        <v>0</v>
      </c>
      <c r="M16834" s="17" t="str">
        <f t="shared" si="806"/>
        <v/>
      </c>
      <c r="N16834" s="11" t="str">
        <f t="shared" si="807"/>
        <v/>
      </c>
    </row>
    <row r="16835" spans="9:14" x14ac:dyDescent="0.25">
      <c r="I16835" s="11" t="b">
        <f t="shared" si="805"/>
        <v>0</v>
      </c>
      <c r="M16835" s="17" t="str">
        <f t="shared" si="806"/>
        <v/>
      </c>
      <c r="N16835" s="11" t="str">
        <f t="shared" si="807"/>
        <v/>
      </c>
    </row>
    <row r="16836" spans="9:14" x14ac:dyDescent="0.25">
      <c r="I16836" s="11" t="b">
        <f t="shared" si="805"/>
        <v>0</v>
      </c>
      <c r="M16836" s="17" t="str">
        <f t="shared" si="806"/>
        <v/>
      </c>
      <c r="N16836" s="11" t="str">
        <f t="shared" si="807"/>
        <v/>
      </c>
    </row>
    <row r="16837" spans="9:14" x14ac:dyDescent="0.25">
      <c r="I16837" s="11" t="b">
        <f t="shared" si="805"/>
        <v>0</v>
      </c>
      <c r="M16837" s="17" t="str">
        <f t="shared" si="806"/>
        <v/>
      </c>
      <c r="N16837" s="11" t="str">
        <f t="shared" si="807"/>
        <v/>
      </c>
    </row>
    <row r="16838" spans="9:14" x14ac:dyDescent="0.25">
      <c r="I16838" s="11" t="b">
        <f t="shared" si="805"/>
        <v>0</v>
      </c>
      <c r="M16838" s="17" t="str">
        <f t="shared" si="806"/>
        <v/>
      </c>
      <c r="N16838" s="11" t="str">
        <f t="shared" si="807"/>
        <v/>
      </c>
    </row>
    <row r="16839" spans="9:14" x14ac:dyDescent="0.25">
      <c r="I16839" s="11" t="b">
        <f t="shared" si="805"/>
        <v>0</v>
      </c>
      <c r="M16839" s="17" t="str">
        <f t="shared" si="806"/>
        <v/>
      </c>
      <c r="N16839" s="11" t="str">
        <f t="shared" si="807"/>
        <v/>
      </c>
    </row>
    <row r="16840" spans="9:14" x14ac:dyDescent="0.25">
      <c r="I16840" s="11" t="b">
        <f t="shared" si="805"/>
        <v>0</v>
      </c>
      <c r="M16840" s="17" t="str">
        <f t="shared" si="806"/>
        <v/>
      </c>
      <c r="N16840" s="11" t="str">
        <f t="shared" si="807"/>
        <v/>
      </c>
    </row>
    <row r="16841" spans="9:14" x14ac:dyDescent="0.25">
      <c r="I16841" s="11" t="b">
        <f t="shared" si="805"/>
        <v>0</v>
      </c>
      <c r="M16841" s="17" t="str">
        <f t="shared" si="806"/>
        <v/>
      </c>
      <c r="N16841" s="11" t="str">
        <f t="shared" si="807"/>
        <v/>
      </c>
    </row>
    <row r="16842" spans="9:14" x14ac:dyDescent="0.25">
      <c r="I16842" s="11" t="b">
        <f t="shared" si="805"/>
        <v>0</v>
      </c>
      <c r="M16842" s="17" t="str">
        <f t="shared" si="806"/>
        <v/>
      </c>
      <c r="N16842" s="11" t="str">
        <f t="shared" si="807"/>
        <v/>
      </c>
    </row>
    <row r="16843" spans="9:14" x14ac:dyDescent="0.25">
      <c r="I16843" s="11" t="b">
        <f t="shared" si="805"/>
        <v>0</v>
      </c>
      <c r="M16843" s="17" t="str">
        <f t="shared" si="806"/>
        <v/>
      </c>
      <c r="N16843" s="11" t="str">
        <f t="shared" si="807"/>
        <v/>
      </c>
    </row>
    <row r="16844" spans="9:14" x14ac:dyDescent="0.25">
      <c r="I16844" s="11" t="b">
        <f t="shared" si="805"/>
        <v>0</v>
      </c>
      <c r="M16844" s="17" t="str">
        <f t="shared" si="806"/>
        <v/>
      </c>
      <c r="N16844" s="11" t="str">
        <f t="shared" si="807"/>
        <v/>
      </c>
    </row>
    <row r="16845" spans="9:14" x14ac:dyDescent="0.25">
      <c r="I16845" s="11" t="b">
        <f t="shared" si="805"/>
        <v>0</v>
      </c>
      <c r="M16845" s="17" t="str">
        <f t="shared" si="806"/>
        <v/>
      </c>
      <c r="N16845" s="11" t="str">
        <f t="shared" si="807"/>
        <v/>
      </c>
    </row>
    <row r="16846" spans="9:14" x14ac:dyDescent="0.25">
      <c r="I16846" s="11" t="b">
        <f t="shared" si="805"/>
        <v>0</v>
      </c>
      <c r="M16846" s="17" t="str">
        <f t="shared" si="806"/>
        <v/>
      </c>
      <c r="N16846" s="11" t="str">
        <f t="shared" si="807"/>
        <v/>
      </c>
    </row>
    <row r="16847" spans="9:14" x14ac:dyDescent="0.25">
      <c r="I16847" s="11" t="b">
        <f t="shared" si="805"/>
        <v>0</v>
      </c>
      <c r="M16847" s="17" t="str">
        <f t="shared" si="806"/>
        <v/>
      </c>
      <c r="N16847" s="11" t="str">
        <f t="shared" si="807"/>
        <v/>
      </c>
    </row>
    <row r="16848" spans="9:14" x14ac:dyDescent="0.25">
      <c r="I16848" s="11" t="b">
        <f t="shared" si="805"/>
        <v>0</v>
      </c>
      <c r="M16848" s="17" t="str">
        <f t="shared" si="806"/>
        <v/>
      </c>
      <c r="N16848" s="11" t="str">
        <f t="shared" si="807"/>
        <v/>
      </c>
    </row>
    <row r="16849" spans="9:14" x14ac:dyDescent="0.25">
      <c r="I16849" s="11" t="b">
        <f t="shared" si="805"/>
        <v>0</v>
      </c>
      <c r="M16849" s="17" t="str">
        <f t="shared" si="806"/>
        <v/>
      </c>
      <c r="N16849" s="11" t="str">
        <f t="shared" si="807"/>
        <v/>
      </c>
    </row>
    <row r="16850" spans="9:14" x14ac:dyDescent="0.25">
      <c r="I16850" s="11" t="b">
        <f t="shared" si="805"/>
        <v>0</v>
      </c>
      <c r="M16850" s="17" t="str">
        <f t="shared" si="806"/>
        <v/>
      </c>
      <c r="N16850" s="11" t="str">
        <f t="shared" si="807"/>
        <v/>
      </c>
    </row>
    <row r="16851" spans="9:14" x14ac:dyDescent="0.25">
      <c r="I16851" s="11" t="b">
        <f t="shared" si="805"/>
        <v>0</v>
      </c>
      <c r="M16851" s="17" t="str">
        <f t="shared" si="806"/>
        <v/>
      </c>
      <c r="N16851" s="11" t="str">
        <f t="shared" si="807"/>
        <v/>
      </c>
    </row>
    <row r="16852" spans="9:14" x14ac:dyDescent="0.25">
      <c r="I16852" s="11" t="b">
        <f t="shared" si="805"/>
        <v>0</v>
      </c>
      <c r="M16852" s="17" t="str">
        <f t="shared" si="806"/>
        <v/>
      </c>
      <c r="N16852" s="11" t="str">
        <f t="shared" si="807"/>
        <v/>
      </c>
    </row>
    <row r="16853" spans="9:14" x14ac:dyDescent="0.25">
      <c r="I16853" s="11" t="b">
        <f t="shared" si="805"/>
        <v>0</v>
      </c>
      <c r="M16853" s="17" t="str">
        <f t="shared" si="806"/>
        <v/>
      </c>
      <c r="N16853" s="11" t="str">
        <f t="shared" si="807"/>
        <v/>
      </c>
    </row>
    <row r="16854" spans="9:14" x14ac:dyDescent="0.25">
      <c r="I16854" s="11" t="b">
        <f t="shared" si="805"/>
        <v>0</v>
      </c>
      <c r="M16854" s="17" t="str">
        <f t="shared" si="806"/>
        <v/>
      </c>
      <c r="N16854" s="11" t="str">
        <f t="shared" si="807"/>
        <v/>
      </c>
    </row>
    <row r="16855" spans="9:14" x14ac:dyDescent="0.25">
      <c r="I16855" s="11" t="b">
        <f t="shared" si="805"/>
        <v>0</v>
      </c>
      <c r="M16855" s="17" t="str">
        <f t="shared" si="806"/>
        <v/>
      </c>
      <c r="N16855" s="11" t="str">
        <f t="shared" si="807"/>
        <v/>
      </c>
    </row>
    <row r="16856" spans="9:14" x14ac:dyDescent="0.25">
      <c r="I16856" s="11" t="b">
        <f t="shared" si="805"/>
        <v>0</v>
      </c>
      <c r="M16856" s="17" t="str">
        <f t="shared" si="806"/>
        <v/>
      </c>
      <c r="N16856" s="11" t="str">
        <f t="shared" si="807"/>
        <v/>
      </c>
    </row>
    <row r="16857" spans="9:14" x14ac:dyDescent="0.25">
      <c r="I16857" s="11" t="b">
        <f t="shared" si="805"/>
        <v>0</v>
      </c>
      <c r="M16857" s="17" t="str">
        <f t="shared" si="806"/>
        <v/>
      </c>
      <c r="N16857" s="11" t="str">
        <f t="shared" si="807"/>
        <v/>
      </c>
    </row>
    <row r="16858" spans="9:14" x14ac:dyDescent="0.25">
      <c r="I16858" s="11" t="b">
        <f t="shared" si="805"/>
        <v>0</v>
      </c>
      <c r="M16858" s="17" t="str">
        <f t="shared" si="806"/>
        <v/>
      </c>
      <c r="N16858" s="11" t="str">
        <f t="shared" si="807"/>
        <v/>
      </c>
    </row>
    <row r="16859" spans="9:14" x14ac:dyDescent="0.25">
      <c r="I16859" s="11" t="b">
        <f t="shared" si="805"/>
        <v>0</v>
      </c>
      <c r="M16859" s="17" t="str">
        <f t="shared" si="806"/>
        <v/>
      </c>
      <c r="N16859" s="11" t="str">
        <f t="shared" si="807"/>
        <v/>
      </c>
    </row>
    <row r="16860" spans="9:14" x14ac:dyDescent="0.25">
      <c r="I16860" s="11" t="b">
        <f t="shared" si="805"/>
        <v>0</v>
      </c>
      <c r="M16860" s="17" t="str">
        <f t="shared" si="806"/>
        <v/>
      </c>
      <c r="N16860" s="11" t="str">
        <f t="shared" si="807"/>
        <v/>
      </c>
    </row>
    <row r="16861" spans="9:14" x14ac:dyDescent="0.25">
      <c r="I16861" s="11" t="b">
        <f t="shared" ref="I16861:I16924" si="808">IF(AND(G16861="MERCADO PAGO",A16861="FATURAMENTO"),1,IF(AND(OR(G16861="MERCADO PAGO",G16861="pix mercado pago",G16861= "débito automático mercado pago", G16861= "boleto mercado pago"),A16861="DESPESAS"),4,IF(AND(G16861="SAFRA",A16861="FATURAMENTO"),2,IF(AND(OR(G16861="SAFRA",G16861="PIX SAFRA", G16861="DÉBITO AUTOMÁTICO SAFRA", G16861= "BOLETO SAFRA", G16861= "transferência safra"), A16861="DESPESAS"),5,IF(AND(G16861="espécie",A16861="FATURAMENTO"),3,IF(AND(G16861="espécie",A16861="DESPESAS"),6))))))</f>
        <v>0</v>
      </c>
      <c r="M16861" s="17" t="str">
        <f t="shared" si="806"/>
        <v/>
      </c>
      <c r="N16861" s="11" t="str">
        <f t="shared" si="807"/>
        <v/>
      </c>
    </row>
    <row r="16862" spans="9:14" x14ac:dyDescent="0.25">
      <c r="I16862" s="11" t="b">
        <f t="shared" si="808"/>
        <v>0</v>
      </c>
      <c r="M16862" s="17" t="str">
        <f t="shared" si="806"/>
        <v/>
      </c>
      <c r="N16862" s="11" t="str">
        <f t="shared" si="807"/>
        <v/>
      </c>
    </row>
    <row r="16863" spans="9:14" x14ac:dyDescent="0.25">
      <c r="I16863" s="11" t="b">
        <f t="shared" si="808"/>
        <v>0</v>
      </c>
      <c r="M16863" s="17" t="str">
        <f t="shared" si="806"/>
        <v/>
      </c>
      <c r="N16863" s="11" t="str">
        <f t="shared" si="807"/>
        <v/>
      </c>
    </row>
    <row r="16864" spans="9:14" x14ac:dyDescent="0.25">
      <c r="I16864" s="11" t="b">
        <f t="shared" si="808"/>
        <v>0</v>
      </c>
      <c r="M16864" s="17" t="str">
        <f t="shared" si="806"/>
        <v/>
      </c>
      <c r="N16864" s="11" t="str">
        <f t="shared" si="807"/>
        <v/>
      </c>
    </row>
    <row r="16865" spans="9:14" x14ac:dyDescent="0.25">
      <c r="I16865" s="11" t="b">
        <f t="shared" si="808"/>
        <v>0</v>
      </c>
      <c r="M16865" s="17" t="str">
        <f t="shared" si="806"/>
        <v/>
      </c>
      <c r="N16865" s="11" t="str">
        <f t="shared" si="807"/>
        <v/>
      </c>
    </row>
    <row r="16866" spans="9:14" x14ac:dyDescent="0.25">
      <c r="I16866" s="11" t="b">
        <f t="shared" si="808"/>
        <v>0</v>
      </c>
      <c r="M16866" s="17" t="str">
        <f t="shared" si="806"/>
        <v/>
      </c>
      <c r="N16866" s="11" t="str">
        <f t="shared" si="807"/>
        <v/>
      </c>
    </row>
    <row r="16867" spans="9:14" x14ac:dyDescent="0.25">
      <c r="I16867" s="11" t="b">
        <f t="shared" si="808"/>
        <v>0</v>
      </c>
      <c r="M16867" s="17" t="str">
        <f t="shared" si="806"/>
        <v/>
      </c>
      <c r="N16867" s="11" t="str">
        <f t="shared" si="807"/>
        <v/>
      </c>
    </row>
    <row r="16868" spans="9:14" x14ac:dyDescent="0.25">
      <c r="I16868" s="11" t="b">
        <f t="shared" si="808"/>
        <v>0</v>
      </c>
      <c r="M16868" s="17" t="str">
        <f t="shared" si="806"/>
        <v/>
      </c>
      <c r="N16868" s="11" t="str">
        <f t="shared" si="807"/>
        <v/>
      </c>
    </row>
    <row r="16869" spans="9:14" x14ac:dyDescent="0.25">
      <c r="I16869" s="11" t="b">
        <f t="shared" si="808"/>
        <v>0</v>
      </c>
      <c r="M16869" s="17" t="str">
        <f t="shared" si="806"/>
        <v/>
      </c>
      <c r="N16869" s="11" t="str">
        <f t="shared" si="807"/>
        <v/>
      </c>
    </row>
    <row r="16870" spans="9:14" x14ac:dyDescent="0.25">
      <c r="I16870" s="11" t="b">
        <f t="shared" si="808"/>
        <v>0</v>
      </c>
      <c r="M16870" s="17" t="str">
        <f t="shared" si="806"/>
        <v/>
      </c>
      <c r="N16870" s="11" t="str">
        <f t="shared" si="807"/>
        <v/>
      </c>
    </row>
    <row r="16871" spans="9:14" x14ac:dyDescent="0.25">
      <c r="I16871" s="11" t="b">
        <f t="shared" si="808"/>
        <v>0</v>
      </c>
      <c r="M16871" s="17" t="str">
        <f t="shared" si="806"/>
        <v/>
      </c>
      <c r="N16871" s="11" t="str">
        <f t="shared" si="807"/>
        <v/>
      </c>
    </row>
    <row r="16872" spans="9:14" x14ac:dyDescent="0.25">
      <c r="I16872" s="11" t="b">
        <f t="shared" si="808"/>
        <v>0</v>
      </c>
      <c r="M16872" s="17" t="str">
        <f t="shared" si="806"/>
        <v/>
      </c>
      <c r="N16872" s="11" t="str">
        <f t="shared" si="807"/>
        <v/>
      </c>
    </row>
    <row r="16873" spans="9:14" x14ac:dyDescent="0.25">
      <c r="I16873" s="11" t="b">
        <f t="shared" si="808"/>
        <v>0</v>
      </c>
      <c r="M16873" s="17" t="str">
        <f t="shared" si="806"/>
        <v/>
      </c>
      <c r="N16873" s="11" t="str">
        <f t="shared" si="807"/>
        <v/>
      </c>
    </row>
    <row r="16874" spans="9:14" x14ac:dyDescent="0.25">
      <c r="I16874" s="11" t="b">
        <f t="shared" si="808"/>
        <v>0</v>
      </c>
      <c r="M16874" s="17" t="str">
        <f t="shared" si="806"/>
        <v/>
      </c>
      <c r="N16874" s="11" t="str">
        <f t="shared" si="807"/>
        <v/>
      </c>
    </row>
    <row r="16875" spans="9:14" x14ac:dyDescent="0.25">
      <c r="I16875" s="11" t="b">
        <f t="shared" si="808"/>
        <v>0</v>
      </c>
      <c r="M16875" s="17" t="str">
        <f t="shared" si="806"/>
        <v/>
      </c>
      <c r="N16875" s="11" t="str">
        <f t="shared" si="807"/>
        <v/>
      </c>
    </row>
    <row r="16876" spans="9:14" x14ac:dyDescent="0.25">
      <c r="I16876" s="11" t="b">
        <f t="shared" si="808"/>
        <v>0</v>
      </c>
      <c r="M16876" s="17" t="str">
        <f t="shared" si="806"/>
        <v/>
      </c>
      <c r="N16876" s="11" t="str">
        <f t="shared" si="807"/>
        <v/>
      </c>
    </row>
    <row r="16877" spans="9:14" x14ac:dyDescent="0.25">
      <c r="I16877" s="11" t="b">
        <f t="shared" si="808"/>
        <v>0</v>
      </c>
      <c r="M16877" s="17" t="str">
        <f t="shared" si="806"/>
        <v/>
      </c>
      <c r="N16877" s="11" t="str">
        <f t="shared" si="807"/>
        <v/>
      </c>
    </row>
    <row r="16878" spans="9:14" x14ac:dyDescent="0.25">
      <c r="I16878" s="11" t="b">
        <f t="shared" si="808"/>
        <v>0</v>
      </c>
      <c r="M16878" s="17" t="str">
        <f t="shared" si="806"/>
        <v/>
      </c>
      <c r="N16878" s="11" t="str">
        <f t="shared" si="807"/>
        <v/>
      </c>
    </row>
    <row r="16879" spans="9:14" x14ac:dyDescent="0.25">
      <c r="I16879" s="11" t="b">
        <f t="shared" si="808"/>
        <v>0</v>
      </c>
      <c r="M16879" s="17" t="str">
        <f t="shared" si="806"/>
        <v/>
      </c>
      <c r="N16879" s="11" t="str">
        <f t="shared" si="807"/>
        <v/>
      </c>
    </row>
    <row r="16880" spans="9:14" x14ac:dyDescent="0.25">
      <c r="I16880" s="11" t="b">
        <f t="shared" si="808"/>
        <v>0</v>
      </c>
      <c r="M16880" s="17" t="str">
        <f t="shared" si="806"/>
        <v/>
      </c>
      <c r="N16880" s="11" t="str">
        <f t="shared" si="807"/>
        <v/>
      </c>
    </row>
    <row r="16881" spans="9:14" x14ac:dyDescent="0.25">
      <c r="I16881" s="11" t="b">
        <f t="shared" si="808"/>
        <v>0</v>
      </c>
      <c r="M16881" s="17" t="str">
        <f t="shared" si="806"/>
        <v/>
      </c>
      <c r="N16881" s="11" t="str">
        <f t="shared" si="807"/>
        <v/>
      </c>
    </row>
    <row r="16882" spans="9:14" x14ac:dyDescent="0.25">
      <c r="I16882" s="11" t="b">
        <f t="shared" si="808"/>
        <v>0</v>
      </c>
      <c r="M16882" s="17" t="str">
        <f t="shared" si="806"/>
        <v/>
      </c>
      <c r="N16882" s="11" t="str">
        <f t="shared" si="807"/>
        <v/>
      </c>
    </row>
    <row r="16883" spans="9:14" x14ac:dyDescent="0.25">
      <c r="I16883" s="11" t="b">
        <f t="shared" si="808"/>
        <v>0</v>
      </c>
      <c r="M16883" s="17" t="str">
        <f t="shared" si="806"/>
        <v/>
      </c>
      <c r="N16883" s="11" t="str">
        <f t="shared" si="807"/>
        <v/>
      </c>
    </row>
    <row r="16884" spans="9:14" x14ac:dyDescent="0.25">
      <c r="I16884" s="11" t="b">
        <f t="shared" si="808"/>
        <v>0</v>
      </c>
      <c r="M16884" s="17" t="str">
        <f t="shared" si="806"/>
        <v/>
      </c>
      <c r="N16884" s="11" t="str">
        <f t="shared" si="807"/>
        <v/>
      </c>
    </row>
    <row r="16885" spans="9:14" x14ac:dyDescent="0.25">
      <c r="I16885" s="11" t="b">
        <f t="shared" si="808"/>
        <v>0</v>
      </c>
      <c r="M16885" s="17" t="str">
        <f t="shared" si="806"/>
        <v/>
      </c>
      <c r="N16885" s="11" t="str">
        <f t="shared" si="807"/>
        <v/>
      </c>
    </row>
    <row r="16886" spans="9:14" x14ac:dyDescent="0.25">
      <c r="I16886" s="11" t="b">
        <f t="shared" si="808"/>
        <v>0</v>
      </c>
      <c r="M16886" s="17" t="str">
        <f t="shared" si="806"/>
        <v/>
      </c>
      <c r="N16886" s="11" t="str">
        <f t="shared" si="807"/>
        <v/>
      </c>
    </row>
    <row r="16887" spans="9:14" x14ac:dyDescent="0.25">
      <c r="I16887" s="11" t="b">
        <f t="shared" si="808"/>
        <v>0</v>
      </c>
      <c r="M16887" s="17" t="str">
        <f t="shared" si="806"/>
        <v/>
      </c>
      <c r="N16887" s="11" t="str">
        <f t="shared" si="807"/>
        <v/>
      </c>
    </row>
    <row r="16888" spans="9:14" x14ac:dyDescent="0.25">
      <c r="I16888" s="11" t="b">
        <f t="shared" si="808"/>
        <v>0</v>
      </c>
      <c r="M16888" s="17" t="str">
        <f t="shared" si="806"/>
        <v/>
      </c>
      <c r="N16888" s="11" t="str">
        <f t="shared" si="807"/>
        <v/>
      </c>
    </row>
    <row r="16889" spans="9:14" x14ac:dyDescent="0.25">
      <c r="I16889" s="11" t="b">
        <f t="shared" si="808"/>
        <v>0</v>
      </c>
      <c r="M16889" s="17" t="str">
        <f t="shared" si="806"/>
        <v/>
      </c>
      <c r="N16889" s="11" t="str">
        <f t="shared" si="807"/>
        <v/>
      </c>
    </row>
    <row r="16890" spans="9:14" x14ac:dyDescent="0.25">
      <c r="I16890" s="11" t="b">
        <f t="shared" si="808"/>
        <v>0</v>
      </c>
      <c r="M16890" s="17" t="str">
        <f t="shared" si="806"/>
        <v/>
      </c>
      <c r="N16890" s="11" t="str">
        <f t="shared" si="807"/>
        <v/>
      </c>
    </row>
    <row r="16891" spans="9:14" x14ac:dyDescent="0.25">
      <c r="I16891" s="11" t="b">
        <f t="shared" si="808"/>
        <v>0</v>
      </c>
      <c r="M16891" s="17" t="str">
        <f t="shared" si="806"/>
        <v/>
      </c>
      <c r="N16891" s="11" t="str">
        <f t="shared" si="807"/>
        <v/>
      </c>
    </row>
    <row r="16892" spans="9:14" x14ac:dyDescent="0.25">
      <c r="I16892" s="11" t="b">
        <f t="shared" si="808"/>
        <v>0</v>
      </c>
      <c r="M16892" s="17" t="str">
        <f t="shared" si="806"/>
        <v/>
      </c>
      <c r="N16892" s="11" t="str">
        <f t="shared" si="807"/>
        <v/>
      </c>
    </row>
    <row r="16893" spans="9:14" x14ac:dyDescent="0.25">
      <c r="I16893" s="11" t="b">
        <f t="shared" si="808"/>
        <v>0</v>
      </c>
      <c r="M16893" s="17" t="str">
        <f t="shared" si="806"/>
        <v/>
      </c>
      <c r="N16893" s="11" t="str">
        <f t="shared" si="807"/>
        <v/>
      </c>
    </row>
    <row r="16894" spans="9:14" x14ac:dyDescent="0.25">
      <c r="I16894" s="11" t="b">
        <f t="shared" si="808"/>
        <v>0</v>
      </c>
      <c r="M16894" s="17" t="str">
        <f t="shared" si="806"/>
        <v/>
      </c>
      <c r="N16894" s="11" t="str">
        <f t="shared" si="807"/>
        <v/>
      </c>
    </row>
    <row r="16895" spans="9:14" x14ac:dyDescent="0.25">
      <c r="I16895" s="11" t="b">
        <f t="shared" si="808"/>
        <v>0</v>
      </c>
      <c r="M16895" s="17" t="str">
        <f t="shared" si="806"/>
        <v/>
      </c>
      <c r="N16895" s="11" t="str">
        <f t="shared" si="807"/>
        <v/>
      </c>
    </row>
    <row r="16896" spans="9:14" x14ac:dyDescent="0.25">
      <c r="I16896" s="11" t="b">
        <f t="shared" si="808"/>
        <v>0</v>
      </c>
      <c r="M16896" s="17" t="str">
        <f t="shared" si="806"/>
        <v/>
      </c>
      <c r="N16896" s="11" t="str">
        <f t="shared" si="807"/>
        <v/>
      </c>
    </row>
    <row r="16897" spans="9:14" x14ac:dyDescent="0.25">
      <c r="I16897" s="11" t="b">
        <f t="shared" si="808"/>
        <v>0</v>
      </c>
      <c r="M16897" s="17" t="str">
        <f t="shared" ref="M16897:M16960" si="809">IF(B16897=0, "",M16896+ J16897-K16897)</f>
        <v/>
      </c>
      <c r="N16897" s="11" t="str">
        <f t="shared" ref="N16897:N16960" si="810">IF(B16897=0, "", MONTH(B16897))</f>
        <v/>
      </c>
    </row>
    <row r="16898" spans="9:14" x14ac:dyDescent="0.25">
      <c r="I16898" s="11" t="b">
        <f t="shared" si="808"/>
        <v>0</v>
      </c>
      <c r="M16898" s="17" t="str">
        <f t="shared" si="809"/>
        <v/>
      </c>
      <c r="N16898" s="11" t="str">
        <f t="shared" si="810"/>
        <v/>
      </c>
    </row>
    <row r="16899" spans="9:14" x14ac:dyDescent="0.25">
      <c r="I16899" s="11" t="b">
        <f t="shared" si="808"/>
        <v>0</v>
      </c>
      <c r="M16899" s="17" t="str">
        <f t="shared" si="809"/>
        <v/>
      </c>
      <c r="N16899" s="11" t="str">
        <f t="shared" si="810"/>
        <v/>
      </c>
    </row>
    <row r="16900" spans="9:14" x14ac:dyDescent="0.25">
      <c r="I16900" s="11" t="b">
        <f t="shared" si="808"/>
        <v>0</v>
      </c>
      <c r="M16900" s="17" t="str">
        <f t="shared" si="809"/>
        <v/>
      </c>
      <c r="N16900" s="11" t="str">
        <f t="shared" si="810"/>
        <v/>
      </c>
    </row>
    <row r="16901" spans="9:14" x14ac:dyDescent="0.25">
      <c r="I16901" s="11" t="b">
        <f t="shared" si="808"/>
        <v>0</v>
      </c>
      <c r="M16901" s="17" t="str">
        <f t="shared" si="809"/>
        <v/>
      </c>
      <c r="N16901" s="11" t="str">
        <f t="shared" si="810"/>
        <v/>
      </c>
    </row>
    <row r="16902" spans="9:14" x14ac:dyDescent="0.25">
      <c r="I16902" s="11" t="b">
        <f t="shared" si="808"/>
        <v>0</v>
      </c>
      <c r="M16902" s="17" t="str">
        <f t="shared" si="809"/>
        <v/>
      </c>
      <c r="N16902" s="11" t="str">
        <f t="shared" si="810"/>
        <v/>
      </c>
    </row>
    <row r="16903" spans="9:14" x14ac:dyDescent="0.25">
      <c r="I16903" s="11" t="b">
        <f t="shared" si="808"/>
        <v>0</v>
      </c>
      <c r="M16903" s="17" t="str">
        <f t="shared" si="809"/>
        <v/>
      </c>
      <c r="N16903" s="11" t="str">
        <f t="shared" si="810"/>
        <v/>
      </c>
    </row>
    <row r="16904" spans="9:14" x14ac:dyDescent="0.25">
      <c r="I16904" s="11" t="b">
        <f t="shared" si="808"/>
        <v>0</v>
      </c>
      <c r="M16904" s="17" t="str">
        <f t="shared" si="809"/>
        <v/>
      </c>
      <c r="N16904" s="11" t="str">
        <f t="shared" si="810"/>
        <v/>
      </c>
    </row>
    <row r="16905" spans="9:14" x14ac:dyDescent="0.25">
      <c r="I16905" s="11" t="b">
        <f t="shared" si="808"/>
        <v>0</v>
      </c>
      <c r="M16905" s="17" t="str">
        <f t="shared" si="809"/>
        <v/>
      </c>
      <c r="N16905" s="11" t="str">
        <f t="shared" si="810"/>
        <v/>
      </c>
    </row>
    <row r="16906" spans="9:14" x14ac:dyDescent="0.25">
      <c r="I16906" s="11" t="b">
        <f t="shared" si="808"/>
        <v>0</v>
      </c>
      <c r="M16906" s="17" t="str">
        <f t="shared" si="809"/>
        <v/>
      </c>
      <c r="N16906" s="11" t="str">
        <f t="shared" si="810"/>
        <v/>
      </c>
    </row>
    <row r="16907" spans="9:14" x14ac:dyDescent="0.25">
      <c r="I16907" s="11" t="b">
        <f t="shared" si="808"/>
        <v>0</v>
      </c>
      <c r="M16907" s="17" t="str">
        <f t="shared" si="809"/>
        <v/>
      </c>
      <c r="N16907" s="11" t="str">
        <f t="shared" si="810"/>
        <v/>
      </c>
    </row>
    <row r="16908" spans="9:14" x14ac:dyDescent="0.25">
      <c r="I16908" s="11" t="b">
        <f t="shared" si="808"/>
        <v>0</v>
      </c>
      <c r="M16908" s="17" t="str">
        <f t="shared" si="809"/>
        <v/>
      </c>
      <c r="N16908" s="11" t="str">
        <f t="shared" si="810"/>
        <v/>
      </c>
    </row>
    <row r="16909" spans="9:14" x14ac:dyDescent="0.25">
      <c r="I16909" s="11" t="b">
        <f t="shared" si="808"/>
        <v>0</v>
      </c>
      <c r="M16909" s="17" t="str">
        <f t="shared" si="809"/>
        <v/>
      </c>
      <c r="N16909" s="11" t="str">
        <f t="shared" si="810"/>
        <v/>
      </c>
    </row>
    <row r="16910" spans="9:14" x14ac:dyDescent="0.25">
      <c r="I16910" s="11" t="b">
        <f t="shared" si="808"/>
        <v>0</v>
      </c>
      <c r="M16910" s="17" t="str">
        <f t="shared" si="809"/>
        <v/>
      </c>
      <c r="N16910" s="11" t="str">
        <f t="shared" si="810"/>
        <v/>
      </c>
    </row>
    <row r="16911" spans="9:14" x14ac:dyDescent="0.25">
      <c r="I16911" s="11" t="b">
        <f t="shared" si="808"/>
        <v>0</v>
      </c>
      <c r="M16911" s="17" t="str">
        <f t="shared" si="809"/>
        <v/>
      </c>
      <c r="N16911" s="11" t="str">
        <f t="shared" si="810"/>
        <v/>
      </c>
    </row>
    <row r="16912" spans="9:14" x14ac:dyDescent="0.25">
      <c r="I16912" s="11" t="b">
        <f t="shared" si="808"/>
        <v>0</v>
      </c>
      <c r="M16912" s="17" t="str">
        <f t="shared" si="809"/>
        <v/>
      </c>
      <c r="N16912" s="11" t="str">
        <f t="shared" si="810"/>
        <v/>
      </c>
    </row>
    <row r="16913" spans="9:14" x14ac:dyDescent="0.25">
      <c r="I16913" s="11" t="b">
        <f t="shared" si="808"/>
        <v>0</v>
      </c>
      <c r="M16913" s="17" t="str">
        <f t="shared" si="809"/>
        <v/>
      </c>
      <c r="N16913" s="11" t="str">
        <f t="shared" si="810"/>
        <v/>
      </c>
    </row>
    <row r="16914" spans="9:14" x14ac:dyDescent="0.25">
      <c r="I16914" s="11" t="b">
        <f t="shared" si="808"/>
        <v>0</v>
      </c>
      <c r="M16914" s="17" t="str">
        <f t="shared" si="809"/>
        <v/>
      </c>
      <c r="N16914" s="11" t="str">
        <f t="shared" si="810"/>
        <v/>
      </c>
    </row>
    <row r="16915" spans="9:14" x14ac:dyDescent="0.25">
      <c r="I16915" s="11" t="b">
        <f t="shared" si="808"/>
        <v>0</v>
      </c>
      <c r="M16915" s="17" t="str">
        <f t="shared" si="809"/>
        <v/>
      </c>
      <c r="N16915" s="11" t="str">
        <f t="shared" si="810"/>
        <v/>
      </c>
    </row>
    <row r="16916" spans="9:14" x14ac:dyDescent="0.25">
      <c r="I16916" s="11" t="b">
        <f t="shared" si="808"/>
        <v>0</v>
      </c>
      <c r="M16916" s="17" t="str">
        <f t="shared" si="809"/>
        <v/>
      </c>
      <c r="N16916" s="11" t="str">
        <f t="shared" si="810"/>
        <v/>
      </c>
    </row>
    <row r="16917" spans="9:14" x14ac:dyDescent="0.25">
      <c r="I16917" s="11" t="b">
        <f t="shared" si="808"/>
        <v>0</v>
      </c>
      <c r="M16917" s="17" t="str">
        <f t="shared" si="809"/>
        <v/>
      </c>
      <c r="N16917" s="11" t="str">
        <f t="shared" si="810"/>
        <v/>
      </c>
    </row>
    <row r="16918" spans="9:14" x14ac:dyDescent="0.25">
      <c r="I16918" s="11" t="b">
        <f t="shared" si="808"/>
        <v>0</v>
      </c>
      <c r="M16918" s="17" t="str">
        <f t="shared" si="809"/>
        <v/>
      </c>
      <c r="N16918" s="11" t="str">
        <f t="shared" si="810"/>
        <v/>
      </c>
    </row>
    <row r="16919" spans="9:14" x14ac:dyDescent="0.25">
      <c r="I16919" s="11" t="b">
        <f t="shared" si="808"/>
        <v>0</v>
      </c>
      <c r="M16919" s="17" t="str">
        <f t="shared" si="809"/>
        <v/>
      </c>
      <c r="N16919" s="11" t="str">
        <f t="shared" si="810"/>
        <v/>
      </c>
    </row>
    <row r="16920" spans="9:14" x14ac:dyDescent="0.25">
      <c r="I16920" s="11" t="b">
        <f t="shared" si="808"/>
        <v>0</v>
      </c>
      <c r="M16920" s="17" t="str">
        <f t="shared" si="809"/>
        <v/>
      </c>
      <c r="N16920" s="11" t="str">
        <f t="shared" si="810"/>
        <v/>
      </c>
    </row>
    <row r="16921" spans="9:14" x14ac:dyDescent="0.25">
      <c r="I16921" s="11" t="b">
        <f t="shared" si="808"/>
        <v>0</v>
      </c>
      <c r="M16921" s="17" t="str">
        <f t="shared" si="809"/>
        <v/>
      </c>
      <c r="N16921" s="11" t="str">
        <f t="shared" si="810"/>
        <v/>
      </c>
    </row>
    <row r="16922" spans="9:14" x14ac:dyDescent="0.25">
      <c r="I16922" s="11" t="b">
        <f t="shared" si="808"/>
        <v>0</v>
      </c>
      <c r="M16922" s="17" t="str">
        <f t="shared" si="809"/>
        <v/>
      </c>
      <c r="N16922" s="11" t="str">
        <f t="shared" si="810"/>
        <v/>
      </c>
    </row>
    <row r="16923" spans="9:14" x14ac:dyDescent="0.25">
      <c r="I16923" s="11" t="b">
        <f t="shared" si="808"/>
        <v>0</v>
      </c>
      <c r="M16923" s="17" t="str">
        <f t="shared" si="809"/>
        <v/>
      </c>
      <c r="N16923" s="11" t="str">
        <f t="shared" si="810"/>
        <v/>
      </c>
    </row>
    <row r="16924" spans="9:14" x14ac:dyDescent="0.25">
      <c r="I16924" s="11" t="b">
        <f t="shared" si="808"/>
        <v>0</v>
      </c>
      <c r="M16924" s="17" t="str">
        <f t="shared" si="809"/>
        <v/>
      </c>
      <c r="N16924" s="11" t="str">
        <f t="shared" si="810"/>
        <v/>
      </c>
    </row>
    <row r="16925" spans="9:14" x14ac:dyDescent="0.25">
      <c r="I16925" s="11" t="b">
        <f t="shared" ref="I16925:I16988" si="811">IF(AND(G16925="MERCADO PAGO",A16925="FATURAMENTO"),1,IF(AND(OR(G16925="MERCADO PAGO",G16925="pix mercado pago",G16925= "débito automático mercado pago", G16925= "boleto mercado pago"),A16925="DESPESAS"),4,IF(AND(G16925="SAFRA",A16925="FATURAMENTO"),2,IF(AND(OR(G16925="SAFRA",G16925="PIX SAFRA", G16925="DÉBITO AUTOMÁTICO SAFRA", G16925= "BOLETO SAFRA", G16925= "transferência safra"), A16925="DESPESAS"),5,IF(AND(G16925="espécie",A16925="FATURAMENTO"),3,IF(AND(G16925="espécie",A16925="DESPESAS"),6))))))</f>
        <v>0</v>
      </c>
      <c r="M16925" s="17" t="str">
        <f t="shared" si="809"/>
        <v/>
      </c>
      <c r="N16925" s="11" t="str">
        <f t="shared" si="810"/>
        <v/>
      </c>
    </row>
    <row r="16926" spans="9:14" x14ac:dyDescent="0.25">
      <c r="I16926" s="11" t="b">
        <f t="shared" si="811"/>
        <v>0</v>
      </c>
      <c r="M16926" s="17" t="str">
        <f t="shared" si="809"/>
        <v/>
      </c>
      <c r="N16926" s="11" t="str">
        <f t="shared" si="810"/>
        <v/>
      </c>
    </row>
    <row r="16927" spans="9:14" x14ac:dyDescent="0.25">
      <c r="I16927" s="11" t="b">
        <f t="shared" si="811"/>
        <v>0</v>
      </c>
      <c r="M16927" s="17" t="str">
        <f t="shared" si="809"/>
        <v/>
      </c>
      <c r="N16927" s="11" t="str">
        <f t="shared" si="810"/>
        <v/>
      </c>
    </row>
    <row r="16928" spans="9:14" x14ac:dyDescent="0.25">
      <c r="I16928" s="11" t="b">
        <f t="shared" si="811"/>
        <v>0</v>
      </c>
      <c r="M16928" s="17" t="str">
        <f t="shared" si="809"/>
        <v/>
      </c>
      <c r="N16928" s="11" t="str">
        <f t="shared" si="810"/>
        <v/>
      </c>
    </row>
    <row r="16929" spans="9:14" x14ac:dyDescent="0.25">
      <c r="I16929" s="11" t="b">
        <f t="shared" si="811"/>
        <v>0</v>
      </c>
      <c r="M16929" s="17" t="str">
        <f t="shared" si="809"/>
        <v/>
      </c>
      <c r="N16929" s="11" t="str">
        <f t="shared" si="810"/>
        <v/>
      </c>
    </row>
    <row r="16930" spans="9:14" x14ac:dyDescent="0.25">
      <c r="I16930" s="11" t="b">
        <f t="shared" si="811"/>
        <v>0</v>
      </c>
      <c r="M16930" s="17" t="str">
        <f t="shared" si="809"/>
        <v/>
      </c>
      <c r="N16930" s="11" t="str">
        <f t="shared" si="810"/>
        <v/>
      </c>
    </row>
    <row r="16931" spans="9:14" x14ac:dyDescent="0.25">
      <c r="I16931" s="11" t="b">
        <f t="shared" si="811"/>
        <v>0</v>
      </c>
      <c r="M16931" s="17" t="str">
        <f t="shared" si="809"/>
        <v/>
      </c>
      <c r="N16931" s="11" t="str">
        <f t="shared" si="810"/>
        <v/>
      </c>
    </row>
    <row r="16932" spans="9:14" x14ac:dyDescent="0.25">
      <c r="I16932" s="11" t="b">
        <f t="shared" si="811"/>
        <v>0</v>
      </c>
      <c r="M16932" s="17" t="str">
        <f t="shared" si="809"/>
        <v/>
      </c>
      <c r="N16932" s="11" t="str">
        <f t="shared" si="810"/>
        <v/>
      </c>
    </row>
    <row r="16933" spans="9:14" x14ac:dyDescent="0.25">
      <c r="I16933" s="11" t="b">
        <f t="shared" si="811"/>
        <v>0</v>
      </c>
      <c r="M16933" s="17" t="str">
        <f t="shared" si="809"/>
        <v/>
      </c>
      <c r="N16933" s="11" t="str">
        <f t="shared" si="810"/>
        <v/>
      </c>
    </row>
    <row r="16934" spans="9:14" x14ac:dyDescent="0.25">
      <c r="I16934" s="11" t="b">
        <f t="shared" si="811"/>
        <v>0</v>
      </c>
      <c r="M16934" s="17" t="str">
        <f t="shared" si="809"/>
        <v/>
      </c>
      <c r="N16934" s="11" t="str">
        <f t="shared" si="810"/>
        <v/>
      </c>
    </row>
    <row r="16935" spans="9:14" x14ac:dyDescent="0.25">
      <c r="I16935" s="11" t="b">
        <f t="shared" si="811"/>
        <v>0</v>
      </c>
      <c r="M16935" s="17" t="str">
        <f t="shared" si="809"/>
        <v/>
      </c>
      <c r="N16935" s="11" t="str">
        <f t="shared" si="810"/>
        <v/>
      </c>
    </row>
    <row r="16936" spans="9:14" x14ac:dyDescent="0.25">
      <c r="I16936" s="11" t="b">
        <f t="shared" si="811"/>
        <v>0</v>
      </c>
      <c r="M16936" s="17" t="str">
        <f t="shared" si="809"/>
        <v/>
      </c>
      <c r="N16936" s="11" t="str">
        <f t="shared" si="810"/>
        <v/>
      </c>
    </row>
    <row r="16937" spans="9:14" x14ac:dyDescent="0.25">
      <c r="I16937" s="11" t="b">
        <f t="shared" si="811"/>
        <v>0</v>
      </c>
      <c r="M16937" s="17" t="str">
        <f t="shared" si="809"/>
        <v/>
      </c>
      <c r="N16937" s="11" t="str">
        <f t="shared" si="810"/>
        <v/>
      </c>
    </row>
    <row r="16938" spans="9:14" x14ac:dyDescent="0.25">
      <c r="I16938" s="11" t="b">
        <f t="shared" si="811"/>
        <v>0</v>
      </c>
      <c r="M16938" s="17" t="str">
        <f t="shared" si="809"/>
        <v/>
      </c>
      <c r="N16938" s="11" t="str">
        <f t="shared" si="810"/>
        <v/>
      </c>
    </row>
    <row r="16939" spans="9:14" x14ac:dyDescent="0.25">
      <c r="I16939" s="11" t="b">
        <f t="shared" si="811"/>
        <v>0</v>
      </c>
      <c r="M16939" s="17" t="str">
        <f t="shared" si="809"/>
        <v/>
      </c>
      <c r="N16939" s="11" t="str">
        <f t="shared" si="810"/>
        <v/>
      </c>
    </row>
    <row r="16940" spans="9:14" x14ac:dyDescent="0.25">
      <c r="I16940" s="11" t="b">
        <f t="shared" si="811"/>
        <v>0</v>
      </c>
      <c r="M16940" s="17" t="str">
        <f t="shared" si="809"/>
        <v/>
      </c>
      <c r="N16940" s="11" t="str">
        <f t="shared" si="810"/>
        <v/>
      </c>
    </row>
    <row r="16941" spans="9:14" x14ac:dyDescent="0.25">
      <c r="I16941" s="11" t="b">
        <f t="shared" si="811"/>
        <v>0</v>
      </c>
      <c r="M16941" s="17" t="str">
        <f t="shared" si="809"/>
        <v/>
      </c>
      <c r="N16941" s="11" t="str">
        <f t="shared" si="810"/>
        <v/>
      </c>
    </row>
    <row r="16942" spans="9:14" x14ac:dyDescent="0.25">
      <c r="I16942" s="11" t="b">
        <f t="shared" si="811"/>
        <v>0</v>
      </c>
      <c r="M16942" s="17" t="str">
        <f t="shared" si="809"/>
        <v/>
      </c>
      <c r="N16942" s="11" t="str">
        <f t="shared" si="810"/>
        <v/>
      </c>
    </row>
    <row r="16943" spans="9:14" x14ac:dyDescent="0.25">
      <c r="I16943" s="11" t="b">
        <f t="shared" si="811"/>
        <v>0</v>
      </c>
      <c r="M16943" s="17" t="str">
        <f t="shared" si="809"/>
        <v/>
      </c>
      <c r="N16943" s="11" t="str">
        <f t="shared" si="810"/>
        <v/>
      </c>
    </row>
    <row r="16944" spans="9:14" x14ac:dyDescent="0.25">
      <c r="I16944" s="11" t="b">
        <f t="shared" si="811"/>
        <v>0</v>
      </c>
      <c r="M16944" s="17" t="str">
        <f t="shared" si="809"/>
        <v/>
      </c>
      <c r="N16944" s="11" t="str">
        <f t="shared" si="810"/>
        <v/>
      </c>
    </row>
    <row r="16945" spans="9:14" x14ac:dyDescent="0.25">
      <c r="I16945" s="11" t="b">
        <f t="shared" si="811"/>
        <v>0</v>
      </c>
      <c r="M16945" s="17" t="str">
        <f t="shared" si="809"/>
        <v/>
      </c>
      <c r="N16945" s="11" t="str">
        <f t="shared" si="810"/>
        <v/>
      </c>
    </row>
    <row r="16946" spans="9:14" x14ac:dyDescent="0.25">
      <c r="I16946" s="11" t="b">
        <f t="shared" si="811"/>
        <v>0</v>
      </c>
      <c r="M16946" s="17" t="str">
        <f t="shared" si="809"/>
        <v/>
      </c>
      <c r="N16946" s="11" t="str">
        <f t="shared" si="810"/>
        <v/>
      </c>
    </row>
    <row r="16947" spans="9:14" x14ac:dyDescent="0.25">
      <c r="I16947" s="11" t="b">
        <f t="shared" si="811"/>
        <v>0</v>
      </c>
      <c r="M16947" s="17" t="str">
        <f t="shared" si="809"/>
        <v/>
      </c>
      <c r="N16947" s="11" t="str">
        <f t="shared" si="810"/>
        <v/>
      </c>
    </row>
    <row r="16948" spans="9:14" x14ac:dyDescent="0.25">
      <c r="I16948" s="11" t="b">
        <f t="shared" si="811"/>
        <v>0</v>
      </c>
      <c r="M16948" s="17" t="str">
        <f t="shared" si="809"/>
        <v/>
      </c>
      <c r="N16948" s="11" t="str">
        <f t="shared" si="810"/>
        <v/>
      </c>
    </row>
    <row r="16949" spans="9:14" x14ac:dyDescent="0.25">
      <c r="I16949" s="11" t="b">
        <f t="shared" si="811"/>
        <v>0</v>
      </c>
      <c r="M16949" s="17" t="str">
        <f t="shared" si="809"/>
        <v/>
      </c>
      <c r="N16949" s="11" t="str">
        <f t="shared" si="810"/>
        <v/>
      </c>
    </row>
    <row r="16950" spans="9:14" x14ac:dyDescent="0.25">
      <c r="I16950" s="11" t="b">
        <f t="shared" si="811"/>
        <v>0</v>
      </c>
      <c r="M16950" s="17" t="str">
        <f t="shared" si="809"/>
        <v/>
      </c>
      <c r="N16950" s="11" t="str">
        <f t="shared" si="810"/>
        <v/>
      </c>
    </row>
    <row r="16951" spans="9:14" x14ac:dyDescent="0.25">
      <c r="I16951" s="11" t="b">
        <f t="shared" si="811"/>
        <v>0</v>
      </c>
      <c r="M16951" s="17" t="str">
        <f t="shared" si="809"/>
        <v/>
      </c>
      <c r="N16951" s="11" t="str">
        <f t="shared" si="810"/>
        <v/>
      </c>
    </row>
    <row r="16952" spans="9:14" x14ac:dyDescent="0.25">
      <c r="I16952" s="11" t="b">
        <f t="shared" si="811"/>
        <v>0</v>
      </c>
      <c r="M16952" s="17" t="str">
        <f t="shared" si="809"/>
        <v/>
      </c>
      <c r="N16952" s="11" t="str">
        <f t="shared" si="810"/>
        <v/>
      </c>
    </row>
    <row r="16953" spans="9:14" x14ac:dyDescent="0.25">
      <c r="I16953" s="11" t="b">
        <f t="shared" si="811"/>
        <v>0</v>
      </c>
      <c r="M16953" s="17" t="str">
        <f t="shared" si="809"/>
        <v/>
      </c>
      <c r="N16953" s="11" t="str">
        <f t="shared" si="810"/>
        <v/>
      </c>
    </row>
    <row r="16954" spans="9:14" x14ac:dyDescent="0.25">
      <c r="I16954" s="11" t="b">
        <f t="shared" si="811"/>
        <v>0</v>
      </c>
      <c r="M16954" s="17" t="str">
        <f t="shared" si="809"/>
        <v/>
      </c>
      <c r="N16954" s="11" t="str">
        <f t="shared" si="810"/>
        <v/>
      </c>
    </row>
    <row r="16955" spans="9:14" x14ac:dyDescent="0.25">
      <c r="I16955" s="11" t="b">
        <f t="shared" si="811"/>
        <v>0</v>
      </c>
      <c r="M16955" s="17" t="str">
        <f t="shared" si="809"/>
        <v/>
      </c>
      <c r="N16955" s="11" t="str">
        <f t="shared" si="810"/>
        <v/>
      </c>
    </row>
    <row r="16956" spans="9:14" x14ac:dyDescent="0.25">
      <c r="I16956" s="11" t="b">
        <f t="shared" si="811"/>
        <v>0</v>
      </c>
      <c r="M16956" s="17" t="str">
        <f t="shared" si="809"/>
        <v/>
      </c>
      <c r="N16956" s="11" t="str">
        <f t="shared" si="810"/>
        <v/>
      </c>
    </row>
    <row r="16957" spans="9:14" x14ac:dyDescent="0.25">
      <c r="I16957" s="11" t="b">
        <f t="shared" si="811"/>
        <v>0</v>
      </c>
      <c r="M16957" s="17" t="str">
        <f t="shared" si="809"/>
        <v/>
      </c>
      <c r="N16957" s="11" t="str">
        <f t="shared" si="810"/>
        <v/>
      </c>
    </row>
    <row r="16958" spans="9:14" x14ac:dyDescent="0.25">
      <c r="I16958" s="11" t="b">
        <f t="shared" si="811"/>
        <v>0</v>
      </c>
      <c r="M16958" s="17" t="str">
        <f t="shared" si="809"/>
        <v/>
      </c>
      <c r="N16958" s="11" t="str">
        <f t="shared" si="810"/>
        <v/>
      </c>
    </row>
    <row r="16959" spans="9:14" x14ac:dyDescent="0.25">
      <c r="I16959" s="11" t="b">
        <f t="shared" si="811"/>
        <v>0</v>
      </c>
      <c r="M16959" s="17" t="str">
        <f t="shared" si="809"/>
        <v/>
      </c>
      <c r="N16959" s="11" t="str">
        <f t="shared" si="810"/>
        <v/>
      </c>
    </row>
    <row r="16960" spans="9:14" x14ac:dyDescent="0.25">
      <c r="I16960" s="11" t="b">
        <f t="shared" si="811"/>
        <v>0</v>
      </c>
      <c r="M16960" s="17" t="str">
        <f t="shared" si="809"/>
        <v/>
      </c>
      <c r="N16960" s="11" t="str">
        <f t="shared" si="810"/>
        <v/>
      </c>
    </row>
    <row r="16961" spans="9:14" x14ac:dyDescent="0.25">
      <c r="I16961" s="11" t="b">
        <f t="shared" si="811"/>
        <v>0</v>
      </c>
      <c r="M16961" s="17" t="str">
        <f t="shared" ref="M16961:M17024" si="812">IF(B16961=0, "",M16960+ J16961-K16961)</f>
        <v/>
      </c>
      <c r="N16961" s="11" t="str">
        <f t="shared" ref="N16961:N17024" si="813">IF(B16961=0, "", MONTH(B16961))</f>
        <v/>
      </c>
    </row>
    <row r="16962" spans="9:14" x14ac:dyDescent="0.25">
      <c r="I16962" s="11" t="b">
        <f t="shared" si="811"/>
        <v>0</v>
      </c>
      <c r="M16962" s="17" t="str">
        <f t="shared" si="812"/>
        <v/>
      </c>
      <c r="N16962" s="11" t="str">
        <f t="shared" si="813"/>
        <v/>
      </c>
    </row>
    <row r="16963" spans="9:14" x14ac:dyDescent="0.25">
      <c r="I16963" s="11" t="b">
        <f t="shared" si="811"/>
        <v>0</v>
      </c>
      <c r="M16963" s="17" t="str">
        <f t="shared" si="812"/>
        <v/>
      </c>
      <c r="N16963" s="11" t="str">
        <f t="shared" si="813"/>
        <v/>
      </c>
    </row>
    <row r="16964" spans="9:14" x14ac:dyDescent="0.25">
      <c r="I16964" s="11" t="b">
        <f t="shared" si="811"/>
        <v>0</v>
      </c>
      <c r="M16964" s="17" t="str">
        <f t="shared" si="812"/>
        <v/>
      </c>
      <c r="N16964" s="11" t="str">
        <f t="shared" si="813"/>
        <v/>
      </c>
    </row>
    <row r="16965" spans="9:14" x14ac:dyDescent="0.25">
      <c r="I16965" s="11" t="b">
        <f t="shared" si="811"/>
        <v>0</v>
      </c>
      <c r="M16965" s="17" t="str">
        <f t="shared" si="812"/>
        <v/>
      </c>
      <c r="N16965" s="11" t="str">
        <f t="shared" si="813"/>
        <v/>
      </c>
    </row>
    <row r="16966" spans="9:14" x14ac:dyDescent="0.25">
      <c r="I16966" s="11" t="b">
        <f t="shared" si="811"/>
        <v>0</v>
      </c>
      <c r="M16966" s="17" t="str">
        <f t="shared" si="812"/>
        <v/>
      </c>
      <c r="N16966" s="11" t="str">
        <f t="shared" si="813"/>
        <v/>
      </c>
    </row>
    <row r="16967" spans="9:14" x14ac:dyDescent="0.25">
      <c r="I16967" s="11" t="b">
        <f t="shared" si="811"/>
        <v>0</v>
      </c>
      <c r="M16967" s="17" t="str">
        <f t="shared" si="812"/>
        <v/>
      </c>
      <c r="N16967" s="11" t="str">
        <f t="shared" si="813"/>
        <v/>
      </c>
    </row>
    <row r="16968" spans="9:14" x14ac:dyDescent="0.25">
      <c r="I16968" s="11" t="b">
        <f t="shared" si="811"/>
        <v>0</v>
      </c>
      <c r="M16968" s="17" t="str">
        <f t="shared" si="812"/>
        <v/>
      </c>
      <c r="N16968" s="11" t="str">
        <f t="shared" si="813"/>
        <v/>
      </c>
    </row>
    <row r="16969" spans="9:14" x14ac:dyDescent="0.25">
      <c r="I16969" s="11" t="b">
        <f t="shared" si="811"/>
        <v>0</v>
      </c>
      <c r="M16969" s="17" t="str">
        <f t="shared" si="812"/>
        <v/>
      </c>
      <c r="N16969" s="11" t="str">
        <f t="shared" si="813"/>
        <v/>
      </c>
    </row>
    <row r="16970" spans="9:14" x14ac:dyDescent="0.25">
      <c r="I16970" s="11" t="b">
        <f t="shared" si="811"/>
        <v>0</v>
      </c>
      <c r="M16970" s="17" t="str">
        <f t="shared" si="812"/>
        <v/>
      </c>
      <c r="N16970" s="11" t="str">
        <f t="shared" si="813"/>
        <v/>
      </c>
    </row>
    <row r="16971" spans="9:14" x14ac:dyDescent="0.25">
      <c r="I16971" s="11" t="b">
        <f t="shared" si="811"/>
        <v>0</v>
      </c>
      <c r="M16971" s="17" t="str">
        <f t="shared" si="812"/>
        <v/>
      </c>
      <c r="N16971" s="11" t="str">
        <f t="shared" si="813"/>
        <v/>
      </c>
    </row>
    <row r="16972" spans="9:14" x14ac:dyDescent="0.25">
      <c r="I16972" s="11" t="b">
        <f t="shared" si="811"/>
        <v>0</v>
      </c>
      <c r="M16972" s="17" t="str">
        <f t="shared" si="812"/>
        <v/>
      </c>
      <c r="N16972" s="11" t="str">
        <f t="shared" si="813"/>
        <v/>
      </c>
    </row>
    <row r="16973" spans="9:14" x14ac:dyDescent="0.25">
      <c r="I16973" s="11" t="b">
        <f t="shared" si="811"/>
        <v>0</v>
      </c>
      <c r="M16973" s="17" t="str">
        <f t="shared" si="812"/>
        <v/>
      </c>
      <c r="N16973" s="11" t="str">
        <f t="shared" si="813"/>
        <v/>
      </c>
    </row>
    <row r="16974" spans="9:14" x14ac:dyDescent="0.25">
      <c r="I16974" s="11" t="b">
        <f t="shared" si="811"/>
        <v>0</v>
      </c>
      <c r="M16974" s="17" t="str">
        <f t="shared" si="812"/>
        <v/>
      </c>
      <c r="N16974" s="11" t="str">
        <f t="shared" si="813"/>
        <v/>
      </c>
    </row>
    <row r="16975" spans="9:14" x14ac:dyDescent="0.25">
      <c r="I16975" s="11" t="b">
        <f t="shared" si="811"/>
        <v>0</v>
      </c>
      <c r="M16975" s="17" t="str">
        <f t="shared" si="812"/>
        <v/>
      </c>
      <c r="N16975" s="11" t="str">
        <f t="shared" si="813"/>
        <v/>
      </c>
    </row>
    <row r="16976" spans="9:14" x14ac:dyDescent="0.25">
      <c r="I16976" s="11" t="b">
        <f t="shared" si="811"/>
        <v>0</v>
      </c>
      <c r="M16976" s="17" t="str">
        <f t="shared" si="812"/>
        <v/>
      </c>
      <c r="N16976" s="11" t="str">
        <f t="shared" si="813"/>
        <v/>
      </c>
    </row>
    <row r="16977" spans="9:14" x14ac:dyDescent="0.25">
      <c r="I16977" s="11" t="b">
        <f t="shared" si="811"/>
        <v>0</v>
      </c>
      <c r="M16977" s="17" t="str">
        <f t="shared" si="812"/>
        <v/>
      </c>
      <c r="N16977" s="11" t="str">
        <f t="shared" si="813"/>
        <v/>
      </c>
    </row>
    <row r="16978" spans="9:14" x14ac:dyDescent="0.25">
      <c r="I16978" s="11" t="b">
        <f t="shared" si="811"/>
        <v>0</v>
      </c>
      <c r="M16978" s="17" t="str">
        <f t="shared" si="812"/>
        <v/>
      </c>
      <c r="N16978" s="11" t="str">
        <f t="shared" si="813"/>
        <v/>
      </c>
    </row>
    <row r="16979" spans="9:14" x14ac:dyDescent="0.25">
      <c r="I16979" s="11" t="b">
        <f t="shared" si="811"/>
        <v>0</v>
      </c>
      <c r="M16979" s="17" t="str">
        <f t="shared" si="812"/>
        <v/>
      </c>
      <c r="N16979" s="11" t="str">
        <f t="shared" si="813"/>
        <v/>
      </c>
    </row>
    <row r="16980" spans="9:14" x14ac:dyDescent="0.25">
      <c r="I16980" s="11" t="b">
        <f t="shared" si="811"/>
        <v>0</v>
      </c>
      <c r="M16980" s="17" t="str">
        <f t="shared" si="812"/>
        <v/>
      </c>
      <c r="N16980" s="11" t="str">
        <f t="shared" si="813"/>
        <v/>
      </c>
    </row>
    <row r="16981" spans="9:14" x14ac:dyDescent="0.25">
      <c r="I16981" s="11" t="b">
        <f t="shared" si="811"/>
        <v>0</v>
      </c>
      <c r="M16981" s="17" t="str">
        <f t="shared" si="812"/>
        <v/>
      </c>
      <c r="N16981" s="11" t="str">
        <f t="shared" si="813"/>
        <v/>
      </c>
    </row>
    <row r="16982" spans="9:14" x14ac:dyDescent="0.25">
      <c r="I16982" s="11" t="b">
        <f t="shared" si="811"/>
        <v>0</v>
      </c>
      <c r="M16982" s="17" t="str">
        <f t="shared" si="812"/>
        <v/>
      </c>
      <c r="N16982" s="11" t="str">
        <f t="shared" si="813"/>
        <v/>
      </c>
    </row>
    <row r="16983" spans="9:14" x14ac:dyDescent="0.25">
      <c r="I16983" s="11" t="b">
        <f t="shared" si="811"/>
        <v>0</v>
      </c>
      <c r="M16983" s="17" t="str">
        <f t="shared" si="812"/>
        <v/>
      </c>
      <c r="N16983" s="11" t="str">
        <f t="shared" si="813"/>
        <v/>
      </c>
    </row>
    <row r="16984" spans="9:14" x14ac:dyDescent="0.25">
      <c r="I16984" s="11" t="b">
        <f t="shared" si="811"/>
        <v>0</v>
      </c>
      <c r="M16984" s="17" t="str">
        <f t="shared" si="812"/>
        <v/>
      </c>
      <c r="N16984" s="11" t="str">
        <f t="shared" si="813"/>
        <v/>
      </c>
    </row>
    <row r="16985" spans="9:14" x14ac:dyDescent="0.25">
      <c r="I16985" s="11" t="b">
        <f t="shared" si="811"/>
        <v>0</v>
      </c>
      <c r="M16985" s="17" t="str">
        <f t="shared" si="812"/>
        <v/>
      </c>
      <c r="N16985" s="11" t="str">
        <f t="shared" si="813"/>
        <v/>
      </c>
    </row>
    <row r="16986" spans="9:14" x14ac:dyDescent="0.25">
      <c r="I16986" s="11" t="b">
        <f t="shared" si="811"/>
        <v>0</v>
      </c>
      <c r="M16986" s="17" t="str">
        <f t="shared" si="812"/>
        <v/>
      </c>
      <c r="N16986" s="11" t="str">
        <f t="shared" si="813"/>
        <v/>
      </c>
    </row>
    <row r="16987" spans="9:14" x14ac:dyDescent="0.25">
      <c r="I16987" s="11" t="b">
        <f t="shared" si="811"/>
        <v>0</v>
      </c>
      <c r="M16987" s="17" t="str">
        <f t="shared" si="812"/>
        <v/>
      </c>
      <c r="N16987" s="11" t="str">
        <f t="shared" si="813"/>
        <v/>
      </c>
    </row>
    <row r="16988" spans="9:14" x14ac:dyDescent="0.25">
      <c r="I16988" s="11" t="b">
        <f t="shared" si="811"/>
        <v>0</v>
      </c>
      <c r="M16988" s="17" t="str">
        <f t="shared" si="812"/>
        <v/>
      </c>
      <c r="N16988" s="11" t="str">
        <f t="shared" si="813"/>
        <v/>
      </c>
    </row>
    <row r="16989" spans="9:14" x14ac:dyDescent="0.25">
      <c r="I16989" s="11" t="b">
        <f t="shared" ref="I16989:I17052" si="814">IF(AND(G16989="MERCADO PAGO",A16989="FATURAMENTO"),1,IF(AND(OR(G16989="MERCADO PAGO",G16989="pix mercado pago",G16989= "débito automático mercado pago", G16989= "boleto mercado pago"),A16989="DESPESAS"),4,IF(AND(G16989="SAFRA",A16989="FATURAMENTO"),2,IF(AND(OR(G16989="SAFRA",G16989="PIX SAFRA", G16989="DÉBITO AUTOMÁTICO SAFRA", G16989= "BOLETO SAFRA", G16989= "transferência safra"), A16989="DESPESAS"),5,IF(AND(G16989="espécie",A16989="FATURAMENTO"),3,IF(AND(G16989="espécie",A16989="DESPESAS"),6))))))</f>
        <v>0</v>
      </c>
      <c r="M16989" s="17" t="str">
        <f t="shared" si="812"/>
        <v/>
      </c>
      <c r="N16989" s="11" t="str">
        <f t="shared" si="813"/>
        <v/>
      </c>
    </row>
    <row r="16990" spans="9:14" x14ac:dyDescent="0.25">
      <c r="I16990" s="11" t="b">
        <f t="shared" si="814"/>
        <v>0</v>
      </c>
      <c r="M16990" s="17" t="str">
        <f t="shared" si="812"/>
        <v/>
      </c>
      <c r="N16990" s="11" t="str">
        <f t="shared" si="813"/>
        <v/>
      </c>
    </row>
    <row r="16991" spans="9:14" x14ac:dyDescent="0.25">
      <c r="I16991" s="11" t="b">
        <f t="shared" si="814"/>
        <v>0</v>
      </c>
      <c r="M16991" s="17" t="str">
        <f t="shared" si="812"/>
        <v/>
      </c>
      <c r="N16991" s="11" t="str">
        <f t="shared" si="813"/>
        <v/>
      </c>
    </row>
    <row r="16992" spans="9:14" x14ac:dyDescent="0.25">
      <c r="I16992" s="11" t="b">
        <f t="shared" si="814"/>
        <v>0</v>
      </c>
      <c r="M16992" s="17" t="str">
        <f t="shared" si="812"/>
        <v/>
      </c>
      <c r="N16992" s="11" t="str">
        <f t="shared" si="813"/>
        <v/>
      </c>
    </row>
    <row r="16993" spans="9:14" x14ac:dyDescent="0.25">
      <c r="I16993" s="11" t="b">
        <f t="shared" si="814"/>
        <v>0</v>
      </c>
      <c r="M16993" s="17" t="str">
        <f t="shared" si="812"/>
        <v/>
      </c>
      <c r="N16993" s="11" t="str">
        <f t="shared" si="813"/>
        <v/>
      </c>
    </row>
    <row r="16994" spans="9:14" x14ac:dyDescent="0.25">
      <c r="I16994" s="11" t="b">
        <f t="shared" si="814"/>
        <v>0</v>
      </c>
      <c r="M16994" s="17" t="str">
        <f t="shared" si="812"/>
        <v/>
      </c>
      <c r="N16994" s="11" t="str">
        <f t="shared" si="813"/>
        <v/>
      </c>
    </row>
    <row r="16995" spans="9:14" x14ac:dyDescent="0.25">
      <c r="I16995" s="11" t="b">
        <f t="shared" si="814"/>
        <v>0</v>
      </c>
      <c r="M16995" s="17" t="str">
        <f t="shared" si="812"/>
        <v/>
      </c>
      <c r="N16995" s="11" t="str">
        <f t="shared" si="813"/>
        <v/>
      </c>
    </row>
    <row r="16996" spans="9:14" x14ac:dyDescent="0.25">
      <c r="I16996" s="11" t="b">
        <f t="shared" si="814"/>
        <v>0</v>
      </c>
      <c r="M16996" s="17" t="str">
        <f t="shared" si="812"/>
        <v/>
      </c>
      <c r="N16996" s="11" t="str">
        <f t="shared" si="813"/>
        <v/>
      </c>
    </row>
    <row r="16997" spans="9:14" x14ac:dyDescent="0.25">
      <c r="I16997" s="11" t="b">
        <f t="shared" si="814"/>
        <v>0</v>
      </c>
      <c r="M16997" s="17" t="str">
        <f t="shared" si="812"/>
        <v/>
      </c>
      <c r="N16997" s="11" t="str">
        <f t="shared" si="813"/>
        <v/>
      </c>
    </row>
    <row r="16998" spans="9:14" x14ac:dyDescent="0.25">
      <c r="I16998" s="11" t="b">
        <f t="shared" si="814"/>
        <v>0</v>
      </c>
      <c r="M16998" s="17" t="str">
        <f t="shared" si="812"/>
        <v/>
      </c>
      <c r="N16998" s="11" t="str">
        <f t="shared" si="813"/>
        <v/>
      </c>
    </row>
    <row r="16999" spans="9:14" x14ac:dyDescent="0.25">
      <c r="I16999" s="11" t="b">
        <f t="shared" si="814"/>
        <v>0</v>
      </c>
      <c r="M16999" s="17" t="str">
        <f t="shared" si="812"/>
        <v/>
      </c>
      <c r="N16999" s="11" t="str">
        <f t="shared" si="813"/>
        <v/>
      </c>
    </row>
    <row r="17000" spans="9:14" x14ac:dyDescent="0.25">
      <c r="I17000" s="11" t="b">
        <f t="shared" si="814"/>
        <v>0</v>
      </c>
      <c r="M17000" s="17" t="str">
        <f t="shared" si="812"/>
        <v/>
      </c>
      <c r="N17000" s="11" t="str">
        <f t="shared" si="813"/>
        <v/>
      </c>
    </row>
    <row r="17001" spans="9:14" x14ac:dyDescent="0.25">
      <c r="I17001" s="11" t="b">
        <f t="shared" si="814"/>
        <v>0</v>
      </c>
      <c r="M17001" s="17" t="str">
        <f t="shared" si="812"/>
        <v/>
      </c>
      <c r="N17001" s="11" t="str">
        <f t="shared" si="813"/>
        <v/>
      </c>
    </row>
    <row r="17002" spans="9:14" x14ac:dyDescent="0.25">
      <c r="I17002" s="11" t="b">
        <f t="shared" si="814"/>
        <v>0</v>
      </c>
      <c r="M17002" s="17" t="str">
        <f t="shared" si="812"/>
        <v/>
      </c>
      <c r="N17002" s="11" t="str">
        <f t="shared" si="813"/>
        <v/>
      </c>
    </row>
    <row r="17003" spans="9:14" x14ac:dyDescent="0.25">
      <c r="I17003" s="11" t="b">
        <f t="shared" si="814"/>
        <v>0</v>
      </c>
      <c r="M17003" s="17" t="str">
        <f t="shared" si="812"/>
        <v/>
      </c>
      <c r="N17003" s="11" t="str">
        <f t="shared" si="813"/>
        <v/>
      </c>
    </row>
    <row r="17004" spans="9:14" x14ac:dyDescent="0.25">
      <c r="I17004" s="11" t="b">
        <f t="shared" si="814"/>
        <v>0</v>
      </c>
      <c r="M17004" s="17" t="str">
        <f t="shared" si="812"/>
        <v/>
      </c>
      <c r="N17004" s="11" t="str">
        <f t="shared" si="813"/>
        <v/>
      </c>
    </row>
    <row r="17005" spans="9:14" x14ac:dyDescent="0.25">
      <c r="I17005" s="11" t="b">
        <f t="shared" si="814"/>
        <v>0</v>
      </c>
      <c r="M17005" s="17" t="str">
        <f t="shared" si="812"/>
        <v/>
      </c>
      <c r="N17005" s="11" t="str">
        <f t="shared" si="813"/>
        <v/>
      </c>
    </row>
    <row r="17006" spans="9:14" x14ac:dyDescent="0.25">
      <c r="I17006" s="11" t="b">
        <f t="shared" si="814"/>
        <v>0</v>
      </c>
      <c r="M17006" s="17" t="str">
        <f t="shared" si="812"/>
        <v/>
      </c>
      <c r="N17006" s="11" t="str">
        <f t="shared" si="813"/>
        <v/>
      </c>
    </row>
    <row r="17007" spans="9:14" x14ac:dyDescent="0.25">
      <c r="I17007" s="11" t="b">
        <f t="shared" si="814"/>
        <v>0</v>
      </c>
      <c r="M17007" s="17" t="str">
        <f t="shared" si="812"/>
        <v/>
      </c>
      <c r="N17007" s="11" t="str">
        <f t="shared" si="813"/>
        <v/>
      </c>
    </row>
    <row r="17008" spans="9:14" x14ac:dyDescent="0.25">
      <c r="I17008" s="11" t="b">
        <f t="shared" si="814"/>
        <v>0</v>
      </c>
      <c r="M17008" s="17" t="str">
        <f t="shared" si="812"/>
        <v/>
      </c>
      <c r="N17008" s="11" t="str">
        <f t="shared" si="813"/>
        <v/>
      </c>
    </row>
    <row r="17009" spans="9:14" x14ac:dyDescent="0.25">
      <c r="I17009" s="11" t="b">
        <f t="shared" si="814"/>
        <v>0</v>
      </c>
      <c r="M17009" s="17" t="str">
        <f t="shared" si="812"/>
        <v/>
      </c>
      <c r="N17009" s="11" t="str">
        <f t="shared" si="813"/>
        <v/>
      </c>
    </row>
    <row r="17010" spans="9:14" x14ac:dyDescent="0.25">
      <c r="I17010" s="11" t="b">
        <f t="shared" si="814"/>
        <v>0</v>
      </c>
      <c r="M17010" s="17" t="str">
        <f t="shared" si="812"/>
        <v/>
      </c>
      <c r="N17010" s="11" t="str">
        <f t="shared" si="813"/>
        <v/>
      </c>
    </row>
    <row r="17011" spans="9:14" x14ac:dyDescent="0.25">
      <c r="I17011" s="11" t="b">
        <f t="shared" si="814"/>
        <v>0</v>
      </c>
      <c r="M17011" s="17" t="str">
        <f t="shared" si="812"/>
        <v/>
      </c>
      <c r="N17011" s="11" t="str">
        <f t="shared" si="813"/>
        <v/>
      </c>
    </row>
    <row r="17012" spans="9:14" x14ac:dyDescent="0.25">
      <c r="I17012" s="11" t="b">
        <f t="shared" si="814"/>
        <v>0</v>
      </c>
      <c r="M17012" s="17" t="str">
        <f t="shared" si="812"/>
        <v/>
      </c>
      <c r="N17012" s="11" t="str">
        <f t="shared" si="813"/>
        <v/>
      </c>
    </row>
    <row r="17013" spans="9:14" x14ac:dyDescent="0.25">
      <c r="I17013" s="11" t="b">
        <f t="shared" si="814"/>
        <v>0</v>
      </c>
      <c r="M17013" s="17" t="str">
        <f t="shared" si="812"/>
        <v/>
      </c>
      <c r="N17013" s="11" t="str">
        <f t="shared" si="813"/>
        <v/>
      </c>
    </row>
    <row r="17014" spans="9:14" x14ac:dyDescent="0.25">
      <c r="I17014" s="11" t="b">
        <f t="shared" si="814"/>
        <v>0</v>
      </c>
      <c r="M17014" s="17" t="str">
        <f t="shared" si="812"/>
        <v/>
      </c>
      <c r="N17014" s="11" t="str">
        <f t="shared" si="813"/>
        <v/>
      </c>
    </row>
    <row r="17015" spans="9:14" x14ac:dyDescent="0.25">
      <c r="I17015" s="11" t="b">
        <f t="shared" si="814"/>
        <v>0</v>
      </c>
      <c r="M17015" s="17" t="str">
        <f t="shared" si="812"/>
        <v/>
      </c>
      <c r="N17015" s="11" t="str">
        <f t="shared" si="813"/>
        <v/>
      </c>
    </row>
    <row r="17016" spans="9:14" x14ac:dyDescent="0.25">
      <c r="I17016" s="11" t="b">
        <f t="shared" si="814"/>
        <v>0</v>
      </c>
      <c r="M17016" s="17" t="str">
        <f t="shared" si="812"/>
        <v/>
      </c>
      <c r="N17016" s="11" t="str">
        <f t="shared" si="813"/>
        <v/>
      </c>
    </row>
    <row r="17017" spans="9:14" x14ac:dyDescent="0.25">
      <c r="I17017" s="11" t="b">
        <f t="shared" si="814"/>
        <v>0</v>
      </c>
      <c r="M17017" s="17" t="str">
        <f t="shared" si="812"/>
        <v/>
      </c>
      <c r="N17017" s="11" t="str">
        <f t="shared" si="813"/>
        <v/>
      </c>
    </row>
    <row r="17018" spans="9:14" x14ac:dyDescent="0.25">
      <c r="I17018" s="11" t="b">
        <f t="shared" si="814"/>
        <v>0</v>
      </c>
      <c r="M17018" s="17" t="str">
        <f t="shared" si="812"/>
        <v/>
      </c>
      <c r="N17018" s="11" t="str">
        <f t="shared" si="813"/>
        <v/>
      </c>
    </row>
    <row r="17019" spans="9:14" x14ac:dyDescent="0.25">
      <c r="I17019" s="11" t="b">
        <f t="shared" si="814"/>
        <v>0</v>
      </c>
      <c r="M17019" s="17" t="str">
        <f t="shared" si="812"/>
        <v/>
      </c>
      <c r="N17019" s="11" t="str">
        <f t="shared" si="813"/>
        <v/>
      </c>
    </row>
    <row r="17020" spans="9:14" x14ac:dyDescent="0.25">
      <c r="I17020" s="11" t="b">
        <f t="shared" si="814"/>
        <v>0</v>
      </c>
      <c r="M17020" s="17" t="str">
        <f t="shared" si="812"/>
        <v/>
      </c>
      <c r="N17020" s="11" t="str">
        <f t="shared" si="813"/>
        <v/>
      </c>
    </row>
    <row r="17021" spans="9:14" x14ac:dyDescent="0.25">
      <c r="I17021" s="11" t="b">
        <f t="shared" si="814"/>
        <v>0</v>
      </c>
      <c r="M17021" s="17" t="str">
        <f t="shared" si="812"/>
        <v/>
      </c>
      <c r="N17021" s="11" t="str">
        <f t="shared" si="813"/>
        <v/>
      </c>
    </row>
    <row r="17022" spans="9:14" x14ac:dyDescent="0.25">
      <c r="I17022" s="11" t="b">
        <f t="shared" si="814"/>
        <v>0</v>
      </c>
      <c r="M17022" s="17" t="str">
        <f t="shared" si="812"/>
        <v/>
      </c>
      <c r="N17022" s="11" t="str">
        <f t="shared" si="813"/>
        <v/>
      </c>
    </row>
    <row r="17023" spans="9:14" x14ac:dyDescent="0.25">
      <c r="I17023" s="11" t="b">
        <f t="shared" si="814"/>
        <v>0</v>
      </c>
      <c r="M17023" s="17" t="str">
        <f t="shared" si="812"/>
        <v/>
      </c>
      <c r="N17023" s="11" t="str">
        <f t="shared" si="813"/>
        <v/>
      </c>
    </row>
    <row r="17024" spans="9:14" x14ac:dyDescent="0.25">
      <c r="I17024" s="11" t="b">
        <f t="shared" si="814"/>
        <v>0</v>
      </c>
      <c r="M17024" s="17" t="str">
        <f t="shared" si="812"/>
        <v/>
      </c>
      <c r="N17024" s="11" t="str">
        <f t="shared" si="813"/>
        <v/>
      </c>
    </row>
    <row r="17025" spans="9:14" x14ac:dyDescent="0.25">
      <c r="I17025" s="11" t="b">
        <f t="shared" si="814"/>
        <v>0</v>
      </c>
      <c r="M17025" s="17" t="str">
        <f t="shared" ref="M17025:M17088" si="815">IF(B17025=0, "",M17024+ J17025-K17025)</f>
        <v/>
      </c>
      <c r="N17025" s="11" t="str">
        <f t="shared" ref="N17025:N17088" si="816">IF(B17025=0, "", MONTH(B17025))</f>
        <v/>
      </c>
    </row>
    <row r="17026" spans="9:14" x14ac:dyDescent="0.25">
      <c r="I17026" s="11" t="b">
        <f t="shared" si="814"/>
        <v>0</v>
      </c>
      <c r="M17026" s="17" t="str">
        <f t="shared" si="815"/>
        <v/>
      </c>
      <c r="N17026" s="11" t="str">
        <f t="shared" si="816"/>
        <v/>
      </c>
    </row>
    <row r="17027" spans="9:14" x14ac:dyDescent="0.25">
      <c r="I17027" s="11" t="b">
        <f t="shared" si="814"/>
        <v>0</v>
      </c>
      <c r="M17027" s="17" t="str">
        <f t="shared" si="815"/>
        <v/>
      </c>
      <c r="N17027" s="11" t="str">
        <f t="shared" si="816"/>
        <v/>
      </c>
    </row>
    <row r="17028" spans="9:14" x14ac:dyDescent="0.25">
      <c r="I17028" s="11" t="b">
        <f t="shared" si="814"/>
        <v>0</v>
      </c>
      <c r="M17028" s="17" t="str">
        <f t="shared" si="815"/>
        <v/>
      </c>
      <c r="N17028" s="11" t="str">
        <f t="shared" si="816"/>
        <v/>
      </c>
    </row>
    <row r="17029" spans="9:14" x14ac:dyDescent="0.25">
      <c r="I17029" s="11" t="b">
        <f t="shared" si="814"/>
        <v>0</v>
      </c>
      <c r="M17029" s="17" t="str">
        <f t="shared" si="815"/>
        <v/>
      </c>
      <c r="N17029" s="11" t="str">
        <f t="shared" si="816"/>
        <v/>
      </c>
    </row>
    <row r="17030" spans="9:14" x14ac:dyDescent="0.25">
      <c r="I17030" s="11" t="b">
        <f t="shared" si="814"/>
        <v>0</v>
      </c>
      <c r="M17030" s="17" t="str">
        <f t="shared" si="815"/>
        <v/>
      </c>
      <c r="N17030" s="11" t="str">
        <f t="shared" si="816"/>
        <v/>
      </c>
    </row>
    <row r="17031" spans="9:14" x14ac:dyDescent="0.25">
      <c r="I17031" s="11" t="b">
        <f t="shared" si="814"/>
        <v>0</v>
      </c>
      <c r="M17031" s="17" t="str">
        <f t="shared" si="815"/>
        <v/>
      </c>
      <c r="N17031" s="11" t="str">
        <f t="shared" si="816"/>
        <v/>
      </c>
    </row>
    <row r="17032" spans="9:14" x14ac:dyDescent="0.25">
      <c r="I17032" s="11" t="b">
        <f t="shared" si="814"/>
        <v>0</v>
      </c>
      <c r="M17032" s="17" t="str">
        <f t="shared" si="815"/>
        <v/>
      </c>
      <c r="N17032" s="11" t="str">
        <f t="shared" si="816"/>
        <v/>
      </c>
    </row>
    <row r="17033" spans="9:14" x14ac:dyDescent="0.25">
      <c r="I17033" s="11" t="b">
        <f t="shared" si="814"/>
        <v>0</v>
      </c>
      <c r="M17033" s="17" t="str">
        <f t="shared" si="815"/>
        <v/>
      </c>
      <c r="N17033" s="11" t="str">
        <f t="shared" si="816"/>
        <v/>
      </c>
    </row>
    <row r="17034" spans="9:14" x14ac:dyDescent="0.25">
      <c r="I17034" s="11" t="b">
        <f t="shared" si="814"/>
        <v>0</v>
      </c>
      <c r="M17034" s="17" t="str">
        <f t="shared" si="815"/>
        <v/>
      </c>
      <c r="N17034" s="11" t="str">
        <f t="shared" si="816"/>
        <v/>
      </c>
    </row>
    <row r="17035" spans="9:14" x14ac:dyDescent="0.25">
      <c r="I17035" s="11" t="b">
        <f t="shared" si="814"/>
        <v>0</v>
      </c>
      <c r="M17035" s="17" t="str">
        <f t="shared" si="815"/>
        <v/>
      </c>
      <c r="N17035" s="11" t="str">
        <f t="shared" si="816"/>
        <v/>
      </c>
    </row>
    <row r="17036" spans="9:14" x14ac:dyDescent="0.25">
      <c r="I17036" s="11" t="b">
        <f t="shared" si="814"/>
        <v>0</v>
      </c>
      <c r="M17036" s="17" t="str">
        <f t="shared" si="815"/>
        <v/>
      </c>
      <c r="N17036" s="11" t="str">
        <f t="shared" si="816"/>
        <v/>
      </c>
    </row>
    <row r="17037" spans="9:14" x14ac:dyDescent="0.25">
      <c r="I17037" s="11" t="b">
        <f t="shared" si="814"/>
        <v>0</v>
      </c>
      <c r="M17037" s="17" t="str">
        <f t="shared" si="815"/>
        <v/>
      </c>
      <c r="N17037" s="11" t="str">
        <f t="shared" si="816"/>
        <v/>
      </c>
    </row>
    <row r="17038" spans="9:14" x14ac:dyDescent="0.25">
      <c r="I17038" s="11" t="b">
        <f t="shared" si="814"/>
        <v>0</v>
      </c>
      <c r="M17038" s="17" t="str">
        <f t="shared" si="815"/>
        <v/>
      </c>
      <c r="N17038" s="11" t="str">
        <f t="shared" si="816"/>
        <v/>
      </c>
    </row>
    <row r="17039" spans="9:14" x14ac:dyDescent="0.25">
      <c r="I17039" s="11" t="b">
        <f t="shared" si="814"/>
        <v>0</v>
      </c>
      <c r="M17039" s="17" t="str">
        <f t="shared" si="815"/>
        <v/>
      </c>
      <c r="N17039" s="11" t="str">
        <f t="shared" si="816"/>
        <v/>
      </c>
    </row>
    <row r="17040" spans="9:14" x14ac:dyDescent="0.25">
      <c r="I17040" s="11" t="b">
        <f t="shared" si="814"/>
        <v>0</v>
      </c>
      <c r="M17040" s="17" t="str">
        <f t="shared" si="815"/>
        <v/>
      </c>
      <c r="N17040" s="11" t="str">
        <f t="shared" si="816"/>
        <v/>
      </c>
    </row>
    <row r="17041" spans="9:14" x14ac:dyDescent="0.25">
      <c r="I17041" s="11" t="b">
        <f t="shared" si="814"/>
        <v>0</v>
      </c>
      <c r="M17041" s="17" t="str">
        <f t="shared" si="815"/>
        <v/>
      </c>
      <c r="N17041" s="11" t="str">
        <f t="shared" si="816"/>
        <v/>
      </c>
    </row>
    <row r="17042" spans="9:14" x14ac:dyDescent="0.25">
      <c r="I17042" s="11" t="b">
        <f t="shared" si="814"/>
        <v>0</v>
      </c>
      <c r="M17042" s="17" t="str">
        <f t="shared" si="815"/>
        <v/>
      </c>
      <c r="N17042" s="11" t="str">
        <f t="shared" si="816"/>
        <v/>
      </c>
    </row>
    <row r="17043" spans="9:14" x14ac:dyDescent="0.25">
      <c r="I17043" s="11" t="b">
        <f t="shared" si="814"/>
        <v>0</v>
      </c>
      <c r="M17043" s="17" t="str">
        <f t="shared" si="815"/>
        <v/>
      </c>
      <c r="N17043" s="11" t="str">
        <f t="shared" si="816"/>
        <v/>
      </c>
    </row>
    <row r="17044" spans="9:14" x14ac:dyDescent="0.25">
      <c r="I17044" s="11" t="b">
        <f t="shared" si="814"/>
        <v>0</v>
      </c>
      <c r="M17044" s="17" t="str">
        <f t="shared" si="815"/>
        <v/>
      </c>
      <c r="N17044" s="11" t="str">
        <f t="shared" si="816"/>
        <v/>
      </c>
    </row>
    <row r="17045" spans="9:14" x14ac:dyDescent="0.25">
      <c r="I17045" s="11" t="b">
        <f t="shared" si="814"/>
        <v>0</v>
      </c>
      <c r="M17045" s="17" t="str">
        <f t="shared" si="815"/>
        <v/>
      </c>
      <c r="N17045" s="11" t="str">
        <f t="shared" si="816"/>
        <v/>
      </c>
    </row>
    <row r="17046" spans="9:14" x14ac:dyDescent="0.25">
      <c r="I17046" s="11" t="b">
        <f t="shared" si="814"/>
        <v>0</v>
      </c>
      <c r="M17046" s="17" t="str">
        <f t="shared" si="815"/>
        <v/>
      </c>
      <c r="N17046" s="11" t="str">
        <f t="shared" si="816"/>
        <v/>
      </c>
    </row>
    <row r="17047" spans="9:14" x14ac:dyDescent="0.25">
      <c r="I17047" s="11" t="b">
        <f t="shared" si="814"/>
        <v>0</v>
      </c>
      <c r="M17047" s="17" t="str">
        <f t="shared" si="815"/>
        <v/>
      </c>
      <c r="N17047" s="11" t="str">
        <f t="shared" si="816"/>
        <v/>
      </c>
    </row>
    <row r="17048" spans="9:14" x14ac:dyDescent="0.25">
      <c r="I17048" s="11" t="b">
        <f t="shared" si="814"/>
        <v>0</v>
      </c>
      <c r="M17048" s="17" t="str">
        <f t="shared" si="815"/>
        <v/>
      </c>
      <c r="N17048" s="11" t="str">
        <f t="shared" si="816"/>
        <v/>
      </c>
    </row>
    <row r="17049" spans="9:14" x14ac:dyDescent="0.25">
      <c r="I17049" s="11" t="b">
        <f t="shared" si="814"/>
        <v>0</v>
      </c>
      <c r="M17049" s="17" t="str">
        <f t="shared" si="815"/>
        <v/>
      </c>
      <c r="N17049" s="11" t="str">
        <f t="shared" si="816"/>
        <v/>
      </c>
    </row>
    <row r="17050" spans="9:14" x14ac:dyDescent="0.25">
      <c r="I17050" s="11" t="b">
        <f t="shared" si="814"/>
        <v>0</v>
      </c>
      <c r="M17050" s="17" t="str">
        <f t="shared" si="815"/>
        <v/>
      </c>
      <c r="N17050" s="11" t="str">
        <f t="shared" si="816"/>
        <v/>
      </c>
    </row>
    <row r="17051" spans="9:14" x14ac:dyDescent="0.25">
      <c r="I17051" s="11" t="b">
        <f t="shared" si="814"/>
        <v>0</v>
      </c>
      <c r="M17051" s="17" t="str">
        <f t="shared" si="815"/>
        <v/>
      </c>
      <c r="N17051" s="11" t="str">
        <f t="shared" si="816"/>
        <v/>
      </c>
    </row>
    <row r="17052" spans="9:14" x14ac:dyDescent="0.25">
      <c r="I17052" s="11" t="b">
        <f t="shared" si="814"/>
        <v>0</v>
      </c>
      <c r="M17052" s="17" t="str">
        <f t="shared" si="815"/>
        <v/>
      </c>
      <c r="N17052" s="11" t="str">
        <f t="shared" si="816"/>
        <v/>
      </c>
    </row>
    <row r="17053" spans="9:14" x14ac:dyDescent="0.25">
      <c r="I17053" s="11" t="b">
        <f t="shared" ref="I17053:I17116" si="817">IF(AND(G17053="MERCADO PAGO",A17053="FATURAMENTO"),1,IF(AND(OR(G17053="MERCADO PAGO",G17053="pix mercado pago",G17053= "débito automático mercado pago", G17053= "boleto mercado pago"),A17053="DESPESAS"),4,IF(AND(G17053="SAFRA",A17053="FATURAMENTO"),2,IF(AND(OR(G17053="SAFRA",G17053="PIX SAFRA", G17053="DÉBITO AUTOMÁTICO SAFRA", G17053= "BOLETO SAFRA", G17053= "transferência safra"), A17053="DESPESAS"),5,IF(AND(G17053="espécie",A17053="FATURAMENTO"),3,IF(AND(G17053="espécie",A17053="DESPESAS"),6))))))</f>
        <v>0</v>
      </c>
      <c r="M17053" s="17" t="str">
        <f t="shared" si="815"/>
        <v/>
      </c>
      <c r="N17053" s="11" t="str">
        <f t="shared" si="816"/>
        <v/>
      </c>
    </row>
    <row r="17054" spans="9:14" x14ac:dyDescent="0.25">
      <c r="I17054" s="11" t="b">
        <f t="shared" si="817"/>
        <v>0</v>
      </c>
      <c r="M17054" s="17" t="str">
        <f t="shared" si="815"/>
        <v/>
      </c>
      <c r="N17054" s="11" t="str">
        <f t="shared" si="816"/>
        <v/>
      </c>
    </row>
    <row r="17055" spans="9:14" x14ac:dyDescent="0.25">
      <c r="I17055" s="11" t="b">
        <f t="shared" si="817"/>
        <v>0</v>
      </c>
      <c r="M17055" s="17" t="str">
        <f t="shared" si="815"/>
        <v/>
      </c>
      <c r="N17055" s="11" t="str">
        <f t="shared" si="816"/>
        <v/>
      </c>
    </row>
    <row r="17056" spans="9:14" x14ac:dyDescent="0.25">
      <c r="I17056" s="11" t="b">
        <f t="shared" si="817"/>
        <v>0</v>
      </c>
      <c r="M17056" s="17" t="str">
        <f t="shared" si="815"/>
        <v/>
      </c>
      <c r="N17056" s="11" t="str">
        <f t="shared" si="816"/>
        <v/>
      </c>
    </row>
    <row r="17057" spans="9:14" x14ac:dyDescent="0.25">
      <c r="I17057" s="11" t="b">
        <f t="shared" si="817"/>
        <v>0</v>
      </c>
      <c r="M17057" s="17" t="str">
        <f t="shared" si="815"/>
        <v/>
      </c>
      <c r="N17057" s="11" t="str">
        <f t="shared" si="816"/>
        <v/>
      </c>
    </row>
    <row r="17058" spans="9:14" x14ac:dyDescent="0.25">
      <c r="I17058" s="11" t="b">
        <f t="shared" si="817"/>
        <v>0</v>
      </c>
      <c r="M17058" s="17" t="str">
        <f t="shared" si="815"/>
        <v/>
      </c>
      <c r="N17058" s="11" t="str">
        <f t="shared" si="816"/>
        <v/>
      </c>
    </row>
    <row r="17059" spans="9:14" x14ac:dyDescent="0.25">
      <c r="I17059" s="11" t="b">
        <f t="shared" si="817"/>
        <v>0</v>
      </c>
      <c r="M17059" s="17" t="str">
        <f t="shared" si="815"/>
        <v/>
      </c>
      <c r="N17059" s="11" t="str">
        <f t="shared" si="816"/>
        <v/>
      </c>
    </row>
    <row r="17060" spans="9:14" x14ac:dyDescent="0.25">
      <c r="I17060" s="11" t="b">
        <f t="shared" si="817"/>
        <v>0</v>
      </c>
      <c r="M17060" s="17" t="str">
        <f t="shared" si="815"/>
        <v/>
      </c>
      <c r="N17060" s="11" t="str">
        <f t="shared" si="816"/>
        <v/>
      </c>
    </row>
    <row r="17061" spans="9:14" x14ac:dyDescent="0.25">
      <c r="I17061" s="11" t="b">
        <f t="shared" si="817"/>
        <v>0</v>
      </c>
      <c r="M17061" s="17" t="str">
        <f t="shared" si="815"/>
        <v/>
      </c>
      <c r="N17061" s="11" t="str">
        <f t="shared" si="816"/>
        <v/>
      </c>
    </row>
    <row r="17062" spans="9:14" x14ac:dyDescent="0.25">
      <c r="I17062" s="11" t="b">
        <f t="shared" si="817"/>
        <v>0</v>
      </c>
      <c r="M17062" s="17" t="str">
        <f t="shared" si="815"/>
        <v/>
      </c>
      <c r="N17062" s="11" t="str">
        <f t="shared" si="816"/>
        <v/>
      </c>
    </row>
    <row r="17063" spans="9:14" x14ac:dyDescent="0.25">
      <c r="I17063" s="11" t="b">
        <f t="shared" si="817"/>
        <v>0</v>
      </c>
      <c r="M17063" s="17" t="str">
        <f t="shared" si="815"/>
        <v/>
      </c>
      <c r="N17063" s="11" t="str">
        <f t="shared" si="816"/>
        <v/>
      </c>
    </row>
    <row r="17064" spans="9:14" x14ac:dyDescent="0.25">
      <c r="I17064" s="11" t="b">
        <f t="shared" si="817"/>
        <v>0</v>
      </c>
      <c r="M17064" s="17" t="str">
        <f t="shared" si="815"/>
        <v/>
      </c>
      <c r="N17064" s="11" t="str">
        <f t="shared" si="816"/>
        <v/>
      </c>
    </row>
    <row r="17065" spans="9:14" x14ac:dyDescent="0.25">
      <c r="I17065" s="11" t="b">
        <f t="shared" si="817"/>
        <v>0</v>
      </c>
      <c r="M17065" s="17" t="str">
        <f t="shared" si="815"/>
        <v/>
      </c>
      <c r="N17065" s="11" t="str">
        <f t="shared" si="816"/>
        <v/>
      </c>
    </row>
    <row r="17066" spans="9:14" x14ac:dyDescent="0.25">
      <c r="I17066" s="11" t="b">
        <f t="shared" si="817"/>
        <v>0</v>
      </c>
      <c r="M17066" s="17" t="str">
        <f t="shared" si="815"/>
        <v/>
      </c>
      <c r="N17066" s="11" t="str">
        <f t="shared" si="816"/>
        <v/>
      </c>
    </row>
    <row r="17067" spans="9:14" x14ac:dyDescent="0.25">
      <c r="I17067" s="11" t="b">
        <f t="shared" si="817"/>
        <v>0</v>
      </c>
      <c r="M17067" s="17" t="str">
        <f t="shared" si="815"/>
        <v/>
      </c>
      <c r="N17067" s="11" t="str">
        <f t="shared" si="816"/>
        <v/>
      </c>
    </row>
    <row r="17068" spans="9:14" x14ac:dyDescent="0.25">
      <c r="I17068" s="11" t="b">
        <f t="shared" si="817"/>
        <v>0</v>
      </c>
      <c r="M17068" s="17" t="str">
        <f t="shared" si="815"/>
        <v/>
      </c>
      <c r="N17068" s="11" t="str">
        <f t="shared" si="816"/>
        <v/>
      </c>
    </row>
    <row r="17069" spans="9:14" x14ac:dyDescent="0.25">
      <c r="I17069" s="11" t="b">
        <f t="shared" si="817"/>
        <v>0</v>
      </c>
      <c r="M17069" s="17" t="str">
        <f t="shared" si="815"/>
        <v/>
      </c>
      <c r="N17069" s="11" t="str">
        <f t="shared" si="816"/>
        <v/>
      </c>
    </row>
    <row r="17070" spans="9:14" x14ac:dyDescent="0.25">
      <c r="I17070" s="11" t="b">
        <f t="shared" si="817"/>
        <v>0</v>
      </c>
      <c r="M17070" s="17" t="str">
        <f t="shared" si="815"/>
        <v/>
      </c>
      <c r="N17070" s="11" t="str">
        <f t="shared" si="816"/>
        <v/>
      </c>
    </row>
    <row r="17071" spans="9:14" x14ac:dyDescent="0.25">
      <c r="I17071" s="11" t="b">
        <f t="shared" si="817"/>
        <v>0</v>
      </c>
      <c r="M17071" s="17" t="str">
        <f t="shared" si="815"/>
        <v/>
      </c>
      <c r="N17071" s="11" t="str">
        <f t="shared" si="816"/>
        <v/>
      </c>
    </row>
    <row r="17072" spans="9:14" x14ac:dyDescent="0.25">
      <c r="I17072" s="11" t="b">
        <f t="shared" si="817"/>
        <v>0</v>
      </c>
      <c r="M17072" s="17" t="str">
        <f t="shared" si="815"/>
        <v/>
      </c>
      <c r="N17072" s="11" t="str">
        <f t="shared" si="816"/>
        <v/>
      </c>
    </row>
    <row r="17073" spans="9:14" x14ac:dyDescent="0.25">
      <c r="I17073" s="11" t="b">
        <f t="shared" si="817"/>
        <v>0</v>
      </c>
      <c r="M17073" s="17" t="str">
        <f t="shared" si="815"/>
        <v/>
      </c>
      <c r="N17073" s="11" t="str">
        <f t="shared" si="816"/>
        <v/>
      </c>
    </row>
    <row r="17074" spans="9:14" x14ac:dyDescent="0.25">
      <c r="I17074" s="11" t="b">
        <f t="shared" si="817"/>
        <v>0</v>
      </c>
      <c r="M17074" s="17" t="str">
        <f t="shared" si="815"/>
        <v/>
      </c>
      <c r="N17074" s="11" t="str">
        <f t="shared" si="816"/>
        <v/>
      </c>
    </row>
    <row r="17075" spans="9:14" x14ac:dyDescent="0.25">
      <c r="I17075" s="11" t="b">
        <f t="shared" si="817"/>
        <v>0</v>
      </c>
      <c r="M17075" s="17" t="str">
        <f t="shared" si="815"/>
        <v/>
      </c>
      <c r="N17075" s="11" t="str">
        <f t="shared" si="816"/>
        <v/>
      </c>
    </row>
    <row r="17076" spans="9:14" x14ac:dyDescent="0.25">
      <c r="I17076" s="11" t="b">
        <f t="shared" si="817"/>
        <v>0</v>
      </c>
      <c r="M17076" s="17" t="str">
        <f t="shared" si="815"/>
        <v/>
      </c>
      <c r="N17076" s="11" t="str">
        <f t="shared" si="816"/>
        <v/>
      </c>
    </row>
    <row r="17077" spans="9:14" x14ac:dyDescent="0.25">
      <c r="I17077" s="11" t="b">
        <f t="shared" si="817"/>
        <v>0</v>
      </c>
      <c r="M17077" s="17" t="str">
        <f t="shared" si="815"/>
        <v/>
      </c>
      <c r="N17077" s="11" t="str">
        <f t="shared" si="816"/>
        <v/>
      </c>
    </row>
    <row r="17078" spans="9:14" x14ac:dyDescent="0.25">
      <c r="I17078" s="11" t="b">
        <f t="shared" si="817"/>
        <v>0</v>
      </c>
      <c r="M17078" s="17" t="str">
        <f t="shared" si="815"/>
        <v/>
      </c>
      <c r="N17078" s="11" t="str">
        <f t="shared" si="816"/>
        <v/>
      </c>
    </row>
    <row r="17079" spans="9:14" x14ac:dyDescent="0.25">
      <c r="I17079" s="11" t="b">
        <f t="shared" si="817"/>
        <v>0</v>
      </c>
      <c r="M17079" s="17" t="str">
        <f t="shared" si="815"/>
        <v/>
      </c>
      <c r="N17079" s="11" t="str">
        <f t="shared" si="816"/>
        <v/>
      </c>
    </row>
    <row r="17080" spans="9:14" x14ac:dyDescent="0.25">
      <c r="I17080" s="11" t="b">
        <f t="shared" si="817"/>
        <v>0</v>
      </c>
      <c r="M17080" s="17" t="str">
        <f t="shared" si="815"/>
        <v/>
      </c>
      <c r="N17080" s="11" t="str">
        <f t="shared" si="816"/>
        <v/>
      </c>
    </row>
    <row r="17081" spans="9:14" x14ac:dyDescent="0.25">
      <c r="I17081" s="11" t="b">
        <f t="shared" si="817"/>
        <v>0</v>
      </c>
      <c r="M17081" s="17" t="str">
        <f t="shared" si="815"/>
        <v/>
      </c>
      <c r="N17081" s="11" t="str">
        <f t="shared" si="816"/>
        <v/>
      </c>
    </row>
    <row r="17082" spans="9:14" x14ac:dyDescent="0.25">
      <c r="I17082" s="11" t="b">
        <f t="shared" si="817"/>
        <v>0</v>
      </c>
      <c r="M17082" s="17" t="str">
        <f t="shared" si="815"/>
        <v/>
      </c>
      <c r="N17082" s="11" t="str">
        <f t="shared" si="816"/>
        <v/>
      </c>
    </row>
    <row r="17083" spans="9:14" x14ac:dyDescent="0.25">
      <c r="I17083" s="11" t="b">
        <f t="shared" si="817"/>
        <v>0</v>
      </c>
      <c r="M17083" s="17" t="str">
        <f t="shared" si="815"/>
        <v/>
      </c>
      <c r="N17083" s="11" t="str">
        <f t="shared" si="816"/>
        <v/>
      </c>
    </row>
    <row r="17084" spans="9:14" x14ac:dyDescent="0.25">
      <c r="I17084" s="11" t="b">
        <f t="shared" si="817"/>
        <v>0</v>
      </c>
      <c r="M17084" s="17" t="str">
        <f t="shared" si="815"/>
        <v/>
      </c>
      <c r="N17084" s="11" t="str">
        <f t="shared" si="816"/>
        <v/>
      </c>
    </row>
    <row r="17085" spans="9:14" x14ac:dyDescent="0.25">
      <c r="I17085" s="11" t="b">
        <f t="shared" si="817"/>
        <v>0</v>
      </c>
      <c r="M17085" s="17" t="str">
        <f t="shared" si="815"/>
        <v/>
      </c>
      <c r="N17085" s="11" t="str">
        <f t="shared" si="816"/>
        <v/>
      </c>
    </row>
    <row r="17086" spans="9:14" x14ac:dyDescent="0.25">
      <c r="I17086" s="11" t="b">
        <f t="shared" si="817"/>
        <v>0</v>
      </c>
      <c r="M17086" s="17" t="str">
        <f t="shared" si="815"/>
        <v/>
      </c>
      <c r="N17086" s="11" t="str">
        <f t="shared" si="816"/>
        <v/>
      </c>
    </row>
    <row r="17087" spans="9:14" x14ac:dyDescent="0.25">
      <c r="I17087" s="11" t="b">
        <f t="shared" si="817"/>
        <v>0</v>
      </c>
      <c r="M17087" s="17" t="str">
        <f t="shared" si="815"/>
        <v/>
      </c>
      <c r="N17087" s="11" t="str">
        <f t="shared" si="816"/>
        <v/>
      </c>
    </row>
    <row r="17088" spans="9:14" x14ac:dyDescent="0.25">
      <c r="I17088" s="11" t="b">
        <f t="shared" si="817"/>
        <v>0</v>
      </c>
      <c r="M17088" s="17" t="str">
        <f t="shared" si="815"/>
        <v/>
      </c>
      <c r="N17088" s="11" t="str">
        <f t="shared" si="816"/>
        <v/>
      </c>
    </row>
    <row r="17089" spans="9:14" x14ac:dyDescent="0.25">
      <c r="I17089" s="11" t="b">
        <f t="shared" si="817"/>
        <v>0</v>
      </c>
      <c r="M17089" s="17" t="str">
        <f t="shared" ref="M17089:M17152" si="818">IF(B17089=0, "",M17088+ J17089-K17089)</f>
        <v/>
      </c>
      <c r="N17089" s="11" t="str">
        <f t="shared" ref="N17089:N17152" si="819">IF(B17089=0, "", MONTH(B17089))</f>
        <v/>
      </c>
    </row>
    <row r="17090" spans="9:14" x14ac:dyDescent="0.25">
      <c r="I17090" s="11" t="b">
        <f t="shared" si="817"/>
        <v>0</v>
      </c>
      <c r="M17090" s="17" t="str">
        <f t="shared" si="818"/>
        <v/>
      </c>
      <c r="N17090" s="11" t="str">
        <f t="shared" si="819"/>
        <v/>
      </c>
    </row>
    <row r="17091" spans="9:14" x14ac:dyDescent="0.25">
      <c r="I17091" s="11" t="b">
        <f t="shared" si="817"/>
        <v>0</v>
      </c>
      <c r="M17091" s="17" t="str">
        <f t="shared" si="818"/>
        <v/>
      </c>
      <c r="N17091" s="11" t="str">
        <f t="shared" si="819"/>
        <v/>
      </c>
    </row>
    <row r="17092" spans="9:14" x14ac:dyDescent="0.25">
      <c r="I17092" s="11" t="b">
        <f t="shared" si="817"/>
        <v>0</v>
      </c>
      <c r="M17092" s="17" t="str">
        <f t="shared" si="818"/>
        <v/>
      </c>
      <c r="N17092" s="11" t="str">
        <f t="shared" si="819"/>
        <v/>
      </c>
    </row>
    <row r="17093" spans="9:14" x14ac:dyDescent="0.25">
      <c r="I17093" s="11" t="b">
        <f t="shared" si="817"/>
        <v>0</v>
      </c>
      <c r="M17093" s="17" t="str">
        <f t="shared" si="818"/>
        <v/>
      </c>
      <c r="N17093" s="11" t="str">
        <f t="shared" si="819"/>
        <v/>
      </c>
    </row>
    <row r="17094" spans="9:14" x14ac:dyDescent="0.25">
      <c r="I17094" s="11" t="b">
        <f t="shared" si="817"/>
        <v>0</v>
      </c>
      <c r="M17094" s="17" t="str">
        <f t="shared" si="818"/>
        <v/>
      </c>
      <c r="N17094" s="11" t="str">
        <f t="shared" si="819"/>
        <v/>
      </c>
    </row>
    <row r="17095" spans="9:14" x14ac:dyDescent="0.25">
      <c r="I17095" s="11" t="b">
        <f t="shared" si="817"/>
        <v>0</v>
      </c>
      <c r="M17095" s="17" t="str">
        <f t="shared" si="818"/>
        <v/>
      </c>
      <c r="N17095" s="11" t="str">
        <f t="shared" si="819"/>
        <v/>
      </c>
    </row>
    <row r="17096" spans="9:14" x14ac:dyDescent="0.25">
      <c r="I17096" s="11" t="b">
        <f t="shared" si="817"/>
        <v>0</v>
      </c>
      <c r="M17096" s="17" t="str">
        <f t="shared" si="818"/>
        <v/>
      </c>
      <c r="N17096" s="11" t="str">
        <f t="shared" si="819"/>
        <v/>
      </c>
    </row>
    <row r="17097" spans="9:14" x14ac:dyDescent="0.25">
      <c r="I17097" s="11" t="b">
        <f t="shared" si="817"/>
        <v>0</v>
      </c>
      <c r="M17097" s="17" t="str">
        <f t="shared" si="818"/>
        <v/>
      </c>
      <c r="N17097" s="11" t="str">
        <f t="shared" si="819"/>
        <v/>
      </c>
    </row>
    <row r="17098" spans="9:14" x14ac:dyDescent="0.25">
      <c r="I17098" s="11" t="b">
        <f t="shared" si="817"/>
        <v>0</v>
      </c>
      <c r="M17098" s="17" t="str">
        <f t="shared" si="818"/>
        <v/>
      </c>
      <c r="N17098" s="11" t="str">
        <f t="shared" si="819"/>
        <v/>
      </c>
    </row>
    <row r="17099" spans="9:14" x14ac:dyDescent="0.25">
      <c r="I17099" s="11" t="b">
        <f t="shared" si="817"/>
        <v>0</v>
      </c>
      <c r="M17099" s="17" t="str">
        <f t="shared" si="818"/>
        <v/>
      </c>
      <c r="N17099" s="11" t="str">
        <f t="shared" si="819"/>
        <v/>
      </c>
    </row>
    <row r="17100" spans="9:14" x14ac:dyDescent="0.25">
      <c r="I17100" s="11" t="b">
        <f t="shared" si="817"/>
        <v>0</v>
      </c>
      <c r="M17100" s="17" t="str">
        <f t="shared" si="818"/>
        <v/>
      </c>
      <c r="N17100" s="11" t="str">
        <f t="shared" si="819"/>
        <v/>
      </c>
    </row>
    <row r="17101" spans="9:14" x14ac:dyDescent="0.25">
      <c r="I17101" s="11" t="b">
        <f t="shared" si="817"/>
        <v>0</v>
      </c>
      <c r="M17101" s="17" t="str">
        <f t="shared" si="818"/>
        <v/>
      </c>
      <c r="N17101" s="11" t="str">
        <f t="shared" si="819"/>
        <v/>
      </c>
    </row>
    <row r="17102" spans="9:14" x14ac:dyDescent="0.25">
      <c r="I17102" s="11" t="b">
        <f t="shared" si="817"/>
        <v>0</v>
      </c>
      <c r="M17102" s="17" t="str">
        <f t="shared" si="818"/>
        <v/>
      </c>
      <c r="N17102" s="11" t="str">
        <f t="shared" si="819"/>
        <v/>
      </c>
    </row>
    <row r="17103" spans="9:14" x14ac:dyDescent="0.25">
      <c r="I17103" s="11" t="b">
        <f t="shared" si="817"/>
        <v>0</v>
      </c>
      <c r="M17103" s="17" t="str">
        <f t="shared" si="818"/>
        <v/>
      </c>
      <c r="N17103" s="11" t="str">
        <f t="shared" si="819"/>
        <v/>
      </c>
    </row>
    <row r="17104" spans="9:14" x14ac:dyDescent="0.25">
      <c r="I17104" s="11" t="b">
        <f t="shared" si="817"/>
        <v>0</v>
      </c>
      <c r="M17104" s="17" t="str">
        <f t="shared" si="818"/>
        <v/>
      </c>
      <c r="N17104" s="11" t="str">
        <f t="shared" si="819"/>
        <v/>
      </c>
    </row>
    <row r="17105" spans="9:14" x14ac:dyDescent="0.25">
      <c r="I17105" s="11" t="b">
        <f t="shared" si="817"/>
        <v>0</v>
      </c>
      <c r="M17105" s="17" t="str">
        <f t="shared" si="818"/>
        <v/>
      </c>
      <c r="N17105" s="11" t="str">
        <f t="shared" si="819"/>
        <v/>
      </c>
    </row>
    <row r="17106" spans="9:14" x14ac:dyDescent="0.25">
      <c r="I17106" s="11" t="b">
        <f t="shared" si="817"/>
        <v>0</v>
      </c>
      <c r="M17106" s="17" t="str">
        <f t="shared" si="818"/>
        <v/>
      </c>
      <c r="N17106" s="11" t="str">
        <f t="shared" si="819"/>
        <v/>
      </c>
    </row>
    <row r="17107" spans="9:14" x14ac:dyDescent="0.25">
      <c r="I17107" s="11" t="b">
        <f t="shared" si="817"/>
        <v>0</v>
      </c>
      <c r="M17107" s="17" t="str">
        <f t="shared" si="818"/>
        <v/>
      </c>
      <c r="N17107" s="11" t="str">
        <f t="shared" si="819"/>
        <v/>
      </c>
    </row>
    <row r="17108" spans="9:14" x14ac:dyDescent="0.25">
      <c r="I17108" s="11" t="b">
        <f t="shared" si="817"/>
        <v>0</v>
      </c>
      <c r="M17108" s="17" t="str">
        <f t="shared" si="818"/>
        <v/>
      </c>
      <c r="N17108" s="11" t="str">
        <f t="shared" si="819"/>
        <v/>
      </c>
    </row>
    <row r="17109" spans="9:14" x14ac:dyDescent="0.25">
      <c r="I17109" s="11" t="b">
        <f t="shared" si="817"/>
        <v>0</v>
      </c>
      <c r="M17109" s="17" t="str">
        <f t="shared" si="818"/>
        <v/>
      </c>
      <c r="N17109" s="11" t="str">
        <f t="shared" si="819"/>
        <v/>
      </c>
    </row>
    <row r="17110" spans="9:14" x14ac:dyDescent="0.25">
      <c r="I17110" s="11" t="b">
        <f t="shared" si="817"/>
        <v>0</v>
      </c>
      <c r="M17110" s="17" t="str">
        <f t="shared" si="818"/>
        <v/>
      </c>
      <c r="N17110" s="11" t="str">
        <f t="shared" si="819"/>
        <v/>
      </c>
    </row>
    <row r="17111" spans="9:14" x14ac:dyDescent="0.25">
      <c r="I17111" s="11" t="b">
        <f t="shared" si="817"/>
        <v>0</v>
      </c>
      <c r="M17111" s="17" t="str">
        <f t="shared" si="818"/>
        <v/>
      </c>
      <c r="N17111" s="11" t="str">
        <f t="shared" si="819"/>
        <v/>
      </c>
    </row>
    <row r="17112" spans="9:14" x14ac:dyDescent="0.25">
      <c r="I17112" s="11" t="b">
        <f t="shared" si="817"/>
        <v>0</v>
      </c>
      <c r="M17112" s="17" t="str">
        <f t="shared" si="818"/>
        <v/>
      </c>
      <c r="N17112" s="11" t="str">
        <f t="shared" si="819"/>
        <v/>
      </c>
    </row>
    <row r="17113" spans="9:14" x14ac:dyDescent="0.25">
      <c r="I17113" s="11" t="b">
        <f t="shared" si="817"/>
        <v>0</v>
      </c>
      <c r="M17113" s="17" t="str">
        <f t="shared" si="818"/>
        <v/>
      </c>
      <c r="N17113" s="11" t="str">
        <f t="shared" si="819"/>
        <v/>
      </c>
    </row>
    <row r="17114" spans="9:14" x14ac:dyDescent="0.25">
      <c r="I17114" s="11" t="b">
        <f t="shared" si="817"/>
        <v>0</v>
      </c>
      <c r="M17114" s="17" t="str">
        <f t="shared" si="818"/>
        <v/>
      </c>
      <c r="N17114" s="11" t="str">
        <f t="shared" si="819"/>
        <v/>
      </c>
    </row>
    <row r="17115" spans="9:14" x14ac:dyDescent="0.25">
      <c r="I17115" s="11" t="b">
        <f t="shared" si="817"/>
        <v>0</v>
      </c>
      <c r="M17115" s="17" t="str">
        <f t="shared" si="818"/>
        <v/>
      </c>
      <c r="N17115" s="11" t="str">
        <f t="shared" si="819"/>
        <v/>
      </c>
    </row>
    <row r="17116" spans="9:14" x14ac:dyDescent="0.25">
      <c r="I17116" s="11" t="b">
        <f t="shared" si="817"/>
        <v>0</v>
      </c>
      <c r="M17116" s="17" t="str">
        <f t="shared" si="818"/>
        <v/>
      </c>
      <c r="N17116" s="11" t="str">
        <f t="shared" si="819"/>
        <v/>
      </c>
    </row>
    <row r="17117" spans="9:14" x14ac:dyDescent="0.25">
      <c r="I17117" s="11" t="b">
        <f t="shared" ref="I17117:I17180" si="820">IF(AND(G17117="MERCADO PAGO",A17117="FATURAMENTO"),1,IF(AND(OR(G17117="MERCADO PAGO",G17117="pix mercado pago",G17117= "débito automático mercado pago", G17117= "boleto mercado pago"),A17117="DESPESAS"),4,IF(AND(G17117="SAFRA",A17117="FATURAMENTO"),2,IF(AND(OR(G17117="SAFRA",G17117="PIX SAFRA", G17117="DÉBITO AUTOMÁTICO SAFRA", G17117= "BOLETO SAFRA", G17117= "transferência safra"), A17117="DESPESAS"),5,IF(AND(G17117="espécie",A17117="FATURAMENTO"),3,IF(AND(G17117="espécie",A17117="DESPESAS"),6))))))</f>
        <v>0</v>
      </c>
      <c r="M17117" s="17" t="str">
        <f t="shared" si="818"/>
        <v/>
      </c>
      <c r="N17117" s="11" t="str">
        <f t="shared" si="819"/>
        <v/>
      </c>
    </row>
    <row r="17118" spans="9:14" x14ac:dyDescent="0.25">
      <c r="I17118" s="11" t="b">
        <f t="shared" si="820"/>
        <v>0</v>
      </c>
      <c r="M17118" s="17" t="str">
        <f t="shared" si="818"/>
        <v/>
      </c>
      <c r="N17118" s="11" t="str">
        <f t="shared" si="819"/>
        <v/>
      </c>
    </row>
    <row r="17119" spans="9:14" x14ac:dyDescent="0.25">
      <c r="I17119" s="11" t="b">
        <f t="shared" si="820"/>
        <v>0</v>
      </c>
      <c r="M17119" s="17" t="str">
        <f t="shared" si="818"/>
        <v/>
      </c>
      <c r="N17119" s="11" t="str">
        <f t="shared" si="819"/>
        <v/>
      </c>
    </row>
    <row r="17120" spans="9:14" x14ac:dyDescent="0.25">
      <c r="I17120" s="11" t="b">
        <f t="shared" si="820"/>
        <v>0</v>
      </c>
      <c r="M17120" s="17" t="str">
        <f t="shared" si="818"/>
        <v/>
      </c>
      <c r="N17120" s="11" t="str">
        <f t="shared" si="819"/>
        <v/>
      </c>
    </row>
    <row r="17121" spans="9:14" x14ac:dyDescent="0.25">
      <c r="I17121" s="11" t="b">
        <f t="shared" si="820"/>
        <v>0</v>
      </c>
      <c r="M17121" s="17" t="str">
        <f t="shared" si="818"/>
        <v/>
      </c>
      <c r="N17121" s="11" t="str">
        <f t="shared" si="819"/>
        <v/>
      </c>
    </row>
    <row r="17122" spans="9:14" x14ac:dyDescent="0.25">
      <c r="I17122" s="11" t="b">
        <f t="shared" si="820"/>
        <v>0</v>
      </c>
      <c r="M17122" s="17" t="str">
        <f t="shared" si="818"/>
        <v/>
      </c>
      <c r="N17122" s="11" t="str">
        <f t="shared" si="819"/>
        <v/>
      </c>
    </row>
    <row r="17123" spans="9:14" x14ac:dyDescent="0.25">
      <c r="I17123" s="11" t="b">
        <f t="shared" si="820"/>
        <v>0</v>
      </c>
      <c r="M17123" s="17" t="str">
        <f t="shared" si="818"/>
        <v/>
      </c>
      <c r="N17123" s="11" t="str">
        <f t="shared" si="819"/>
        <v/>
      </c>
    </row>
    <row r="17124" spans="9:14" x14ac:dyDescent="0.25">
      <c r="I17124" s="11" t="b">
        <f t="shared" si="820"/>
        <v>0</v>
      </c>
      <c r="M17124" s="17" t="str">
        <f t="shared" si="818"/>
        <v/>
      </c>
      <c r="N17124" s="11" t="str">
        <f t="shared" si="819"/>
        <v/>
      </c>
    </row>
    <row r="17125" spans="9:14" x14ac:dyDescent="0.25">
      <c r="I17125" s="11" t="b">
        <f t="shared" si="820"/>
        <v>0</v>
      </c>
      <c r="M17125" s="17" t="str">
        <f t="shared" si="818"/>
        <v/>
      </c>
      <c r="N17125" s="11" t="str">
        <f t="shared" si="819"/>
        <v/>
      </c>
    </row>
    <row r="17126" spans="9:14" x14ac:dyDescent="0.25">
      <c r="I17126" s="11" t="b">
        <f t="shared" si="820"/>
        <v>0</v>
      </c>
      <c r="M17126" s="17" t="str">
        <f t="shared" si="818"/>
        <v/>
      </c>
      <c r="N17126" s="11" t="str">
        <f t="shared" si="819"/>
        <v/>
      </c>
    </row>
    <row r="17127" spans="9:14" x14ac:dyDescent="0.25">
      <c r="I17127" s="11" t="b">
        <f t="shared" si="820"/>
        <v>0</v>
      </c>
      <c r="M17127" s="17" t="str">
        <f t="shared" si="818"/>
        <v/>
      </c>
      <c r="N17127" s="11" t="str">
        <f t="shared" si="819"/>
        <v/>
      </c>
    </row>
    <row r="17128" spans="9:14" x14ac:dyDescent="0.25">
      <c r="I17128" s="11" t="b">
        <f t="shared" si="820"/>
        <v>0</v>
      </c>
      <c r="M17128" s="17" t="str">
        <f t="shared" si="818"/>
        <v/>
      </c>
      <c r="N17128" s="11" t="str">
        <f t="shared" si="819"/>
        <v/>
      </c>
    </row>
    <row r="17129" spans="9:14" x14ac:dyDescent="0.25">
      <c r="I17129" s="11" t="b">
        <f t="shared" si="820"/>
        <v>0</v>
      </c>
      <c r="M17129" s="17" t="str">
        <f t="shared" si="818"/>
        <v/>
      </c>
      <c r="N17129" s="11" t="str">
        <f t="shared" si="819"/>
        <v/>
      </c>
    </row>
    <row r="17130" spans="9:14" x14ac:dyDescent="0.25">
      <c r="I17130" s="11" t="b">
        <f t="shared" si="820"/>
        <v>0</v>
      </c>
      <c r="M17130" s="17" t="str">
        <f t="shared" si="818"/>
        <v/>
      </c>
      <c r="N17130" s="11" t="str">
        <f t="shared" si="819"/>
        <v/>
      </c>
    </row>
    <row r="17131" spans="9:14" x14ac:dyDescent="0.25">
      <c r="I17131" s="11" t="b">
        <f t="shared" si="820"/>
        <v>0</v>
      </c>
      <c r="M17131" s="17" t="str">
        <f t="shared" si="818"/>
        <v/>
      </c>
      <c r="N17131" s="11" t="str">
        <f t="shared" si="819"/>
        <v/>
      </c>
    </row>
    <row r="17132" spans="9:14" x14ac:dyDescent="0.25">
      <c r="I17132" s="11" t="b">
        <f t="shared" si="820"/>
        <v>0</v>
      </c>
      <c r="M17132" s="17" t="str">
        <f t="shared" si="818"/>
        <v/>
      </c>
      <c r="N17132" s="11" t="str">
        <f t="shared" si="819"/>
        <v/>
      </c>
    </row>
    <row r="17133" spans="9:14" x14ac:dyDescent="0.25">
      <c r="I17133" s="11" t="b">
        <f t="shared" si="820"/>
        <v>0</v>
      </c>
      <c r="M17133" s="17" t="str">
        <f t="shared" si="818"/>
        <v/>
      </c>
      <c r="N17133" s="11" t="str">
        <f t="shared" si="819"/>
        <v/>
      </c>
    </row>
    <row r="17134" spans="9:14" x14ac:dyDescent="0.25">
      <c r="I17134" s="11" t="b">
        <f t="shared" si="820"/>
        <v>0</v>
      </c>
      <c r="M17134" s="17" t="str">
        <f t="shared" si="818"/>
        <v/>
      </c>
      <c r="N17134" s="11" t="str">
        <f t="shared" si="819"/>
        <v/>
      </c>
    </row>
    <row r="17135" spans="9:14" x14ac:dyDescent="0.25">
      <c r="I17135" s="11" t="b">
        <f t="shared" si="820"/>
        <v>0</v>
      </c>
      <c r="M17135" s="17" t="str">
        <f t="shared" si="818"/>
        <v/>
      </c>
      <c r="N17135" s="11" t="str">
        <f t="shared" si="819"/>
        <v/>
      </c>
    </row>
    <row r="17136" spans="9:14" x14ac:dyDescent="0.25">
      <c r="I17136" s="11" t="b">
        <f t="shared" si="820"/>
        <v>0</v>
      </c>
      <c r="M17136" s="17" t="str">
        <f t="shared" si="818"/>
        <v/>
      </c>
      <c r="N17136" s="11" t="str">
        <f t="shared" si="819"/>
        <v/>
      </c>
    </row>
    <row r="17137" spans="9:14" x14ac:dyDescent="0.25">
      <c r="I17137" s="11" t="b">
        <f t="shared" si="820"/>
        <v>0</v>
      </c>
      <c r="M17137" s="17" t="str">
        <f t="shared" si="818"/>
        <v/>
      </c>
      <c r="N17137" s="11" t="str">
        <f t="shared" si="819"/>
        <v/>
      </c>
    </row>
    <row r="17138" spans="9:14" x14ac:dyDescent="0.25">
      <c r="I17138" s="11" t="b">
        <f t="shared" si="820"/>
        <v>0</v>
      </c>
      <c r="M17138" s="17" t="str">
        <f t="shared" si="818"/>
        <v/>
      </c>
      <c r="N17138" s="11" t="str">
        <f t="shared" si="819"/>
        <v/>
      </c>
    </row>
    <row r="17139" spans="9:14" x14ac:dyDescent="0.25">
      <c r="I17139" s="11" t="b">
        <f t="shared" si="820"/>
        <v>0</v>
      </c>
      <c r="M17139" s="17" t="str">
        <f t="shared" si="818"/>
        <v/>
      </c>
      <c r="N17139" s="11" t="str">
        <f t="shared" si="819"/>
        <v/>
      </c>
    </row>
    <row r="17140" spans="9:14" x14ac:dyDescent="0.25">
      <c r="I17140" s="11" t="b">
        <f t="shared" si="820"/>
        <v>0</v>
      </c>
      <c r="M17140" s="17" t="str">
        <f t="shared" si="818"/>
        <v/>
      </c>
      <c r="N17140" s="11" t="str">
        <f t="shared" si="819"/>
        <v/>
      </c>
    </row>
    <row r="17141" spans="9:14" x14ac:dyDescent="0.25">
      <c r="I17141" s="11" t="b">
        <f t="shared" si="820"/>
        <v>0</v>
      </c>
      <c r="M17141" s="17" t="str">
        <f t="shared" si="818"/>
        <v/>
      </c>
      <c r="N17141" s="11" t="str">
        <f t="shared" si="819"/>
        <v/>
      </c>
    </row>
    <row r="17142" spans="9:14" x14ac:dyDescent="0.25">
      <c r="I17142" s="11" t="b">
        <f t="shared" si="820"/>
        <v>0</v>
      </c>
      <c r="M17142" s="17" t="str">
        <f t="shared" si="818"/>
        <v/>
      </c>
      <c r="N17142" s="11" t="str">
        <f t="shared" si="819"/>
        <v/>
      </c>
    </row>
    <row r="17143" spans="9:14" x14ac:dyDescent="0.25">
      <c r="I17143" s="11" t="b">
        <f t="shared" si="820"/>
        <v>0</v>
      </c>
      <c r="M17143" s="17" t="str">
        <f t="shared" si="818"/>
        <v/>
      </c>
      <c r="N17143" s="11" t="str">
        <f t="shared" si="819"/>
        <v/>
      </c>
    </row>
    <row r="17144" spans="9:14" x14ac:dyDescent="0.25">
      <c r="I17144" s="11" t="b">
        <f t="shared" si="820"/>
        <v>0</v>
      </c>
      <c r="M17144" s="17" t="str">
        <f t="shared" si="818"/>
        <v/>
      </c>
      <c r="N17144" s="11" t="str">
        <f t="shared" si="819"/>
        <v/>
      </c>
    </row>
    <row r="17145" spans="9:14" x14ac:dyDescent="0.25">
      <c r="I17145" s="11" t="b">
        <f t="shared" si="820"/>
        <v>0</v>
      </c>
      <c r="M17145" s="17" t="str">
        <f t="shared" si="818"/>
        <v/>
      </c>
      <c r="N17145" s="11" t="str">
        <f t="shared" si="819"/>
        <v/>
      </c>
    </row>
    <row r="17146" spans="9:14" x14ac:dyDescent="0.25">
      <c r="I17146" s="11" t="b">
        <f t="shared" si="820"/>
        <v>0</v>
      </c>
      <c r="M17146" s="17" t="str">
        <f t="shared" si="818"/>
        <v/>
      </c>
      <c r="N17146" s="11" t="str">
        <f t="shared" si="819"/>
        <v/>
      </c>
    </row>
    <row r="17147" spans="9:14" x14ac:dyDescent="0.25">
      <c r="I17147" s="11" t="b">
        <f t="shared" si="820"/>
        <v>0</v>
      </c>
      <c r="M17147" s="17" t="str">
        <f t="shared" si="818"/>
        <v/>
      </c>
      <c r="N17147" s="11" t="str">
        <f t="shared" si="819"/>
        <v/>
      </c>
    </row>
    <row r="17148" spans="9:14" x14ac:dyDescent="0.25">
      <c r="I17148" s="11" t="b">
        <f t="shared" si="820"/>
        <v>0</v>
      </c>
      <c r="M17148" s="17" t="str">
        <f t="shared" si="818"/>
        <v/>
      </c>
      <c r="N17148" s="11" t="str">
        <f t="shared" si="819"/>
        <v/>
      </c>
    </row>
    <row r="17149" spans="9:14" x14ac:dyDescent="0.25">
      <c r="I17149" s="11" t="b">
        <f t="shared" si="820"/>
        <v>0</v>
      </c>
      <c r="M17149" s="17" t="str">
        <f t="shared" si="818"/>
        <v/>
      </c>
      <c r="N17149" s="11" t="str">
        <f t="shared" si="819"/>
        <v/>
      </c>
    </row>
    <row r="17150" spans="9:14" x14ac:dyDescent="0.25">
      <c r="I17150" s="11" t="b">
        <f t="shared" si="820"/>
        <v>0</v>
      </c>
      <c r="M17150" s="17" t="str">
        <f t="shared" si="818"/>
        <v/>
      </c>
      <c r="N17150" s="11" t="str">
        <f t="shared" si="819"/>
        <v/>
      </c>
    </row>
    <row r="17151" spans="9:14" x14ac:dyDescent="0.25">
      <c r="I17151" s="11" t="b">
        <f t="shared" si="820"/>
        <v>0</v>
      </c>
      <c r="M17151" s="17" t="str">
        <f t="shared" si="818"/>
        <v/>
      </c>
      <c r="N17151" s="11" t="str">
        <f t="shared" si="819"/>
        <v/>
      </c>
    </row>
    <row r="17152" spans="9:14" x14ac:dyDescent="0.25">
      <c r="I17152" s="11" t="b">
        <f t="shared" si="820"/>
        <v>0</v>
      </c>
      <c r="M17152" s="17" t="str">
        <f t="shared" si="818"/>
        <v/>
      </c>
      <c r="N17152" s="11" t="str">
        <f t="shared" si="819"/>
        <v/>
      </c>
    </row>
    <row r="17153" spans="9:14" x14ac:dyDescent="0.25">
      <c r="I17153" s="11" t="b">
        <f t="shared" si="820"/>
        <v>0</v>
      </c>
      <c r="M17153" s="17" t="str">
        <f t="shared" ref="M17153:M17216" si="821">IF(B17153=0, "",M17152+ J17153-K17153)</f>
        <v/>
      </c>
      <c r="N17153" s="11" t="str">
        <f t="shared" ref="N17153:N17216" si="822">IF(B17153=0, "", MONTH(B17153))</f>
        <v/>
      </c>
    </row>
    <row r="17154" spans="9:14" x14ac:dyDescent="0.25">
      <c r="I17154" s="11" t="b">
        <f t="shared" si="820"/>
        <v>0</v>
      </c>
      <c r="M17154" s="17" t="str">
        <f t="shared" si="821"/>
        <v/>
      </c>
      <c r="N17154" s="11" t="str">
        <f t="shared" si="822"/>
        <v/>
      </c>
    </row>
    <row r="17155" spans="9:14" x14ac:dyDescent="0.25">
      <c r="I17155" s="11" t="b">
        <f t="shared" si="820"/>
        <v>0</v>
      </c>
      <c r="M17155" s="17" t="str">
        <f t="shared" si="821"/>
        <v/>
      </c>
      <c r="N17155" s="11" t="str">
        <f t="shared" si="822"/>
        <v/>
      </c>
    </row>
    <row r="17156" spans="9:14" x14ac:dyDescent="0.25">
      <c r="I17156" s="11" t="b">
        <f t="shared" si="820"/>
        <v>0</v>
      </c>
      <c r="M17156" s="17" t="str">
        <f t="shared" si="821"/>
        <v/>
      </c>
      <c r="N17156" s="11" t="str">
        <f t="shared" si="822"/>
        <v/>
      </c>
    </row>
    <row r="17157" spans="9:14" x14ac:dyDescent="0.25">
      <c r="I17157" s="11" t="b">
        <f t="shared" si="820"/>
        <v>0</v>
      </c>
      <c r="M17157" s="17" t="str">
        <f t="shared" si="821"/>
        <v/>
      </c>
      <c r="N17157" s="11" t="str">
        <f t="shared" si="822"/>
        <v/>
      </c>
    </row>
    <row r="17158" spans="9:14" x14ac:dyDescent="0.25">
      <c r="I17158" s="11" t="b">
        <f t="shared" si="820"/>
        <v>0</v>
      </c>
      <c r="M17158" s="17" t="str">
        <f t="shared" si="821"/>
        <v/>
      </c>
      <c r="N17158" s="11" t="str">
        <f t="shared" si="822"/>
        <v/>
      </c>
    </row>
    <row r="17159" spans="9:14" x14ac:dyDescent="0.25">
      <c r="I17159" s="11" t="b">
        <f t="shared" si="820"/>
        <v>0</v>
      </c>
      <c r="M17159" s="17" t="str">
        <f t="shared" si="821"/>
        <v/>
      </c>
      <c r="N17159" s="11" t="str">
        <f t="shared" si="822"/>
        <v/>
      </c>
    </row>
    <row r="17160" spans="9:14" x14ac:dyDescent="0.25">
      <c r="I17160" s="11" t="b">
        <f t="shared" si="820"/>
        <v>0</v>
      </c>
      <c r="M17160" s="17" t="str">
        <f t="shared" si="821"/>
        <v/>
      </c>
      <c r="N17160" s="11" t="str">
        <f t="shared" si="822"/>
        <v/>
      </c>
    </row>
    <row r="17161" spans="9:14" x14ac:dyDescent="0.25">
      <c r="I17161" s="11" t="b">
        <f t="shared" si="820"/>
        <v>0</v>
      </c>
      <c r="M17161" s="17" t="str">
        <f t="shared" si="821"/>
        <v/>
      </c>
      <c r="N17161" s="11" t="str">
        <f t="shared" si="822"/>
        <v/>
      </c>
    </row>
    <row r="17162" spans="9:14" x14ac:dyDescent="0.25">
      <c r="I17162" s="11" t="b">
        <f t="shared" si="820"/>
        <v>0</v>
      </c>
      <c r="M17162" s="17" t="str">
        <f t="shared" si="821"/>
        <v/>
      </c>
      <c r="N17162" s="11" t="str">
        <f t="shared" si="822"/>
        <v/>
      </c>
    </row>
    <row r="17163" spans="9:14" x14ac:dyDescent="0.25">
      <c r="I17163" s="11" t="b">
        <f t="shared" si="820"/>
        <v>0</v>
      </c>
      <c r="M17163" s="17" t="str">
        <f t="shared" si="821"/>
        <v/>
      </c>
      <c r="N17163" s="11" t="str">
        <f t="shared" si="822"/>
        <v/>
      </c>
    </row>
    <row r="17164" spans="9:14" x14ac:dyDescent="0.25">
      <c r="I17164" s="11" t="b">
        <f t="shared" si="820"/>
        <v>0</v>
      </c>
      <c r="M17164" s="17" t="str">
        <f t="shared" si="821"/>
        <v/>
      </c>
      <c r="N17164" s="11" t="str">
        <f t="shared" si="822"/>
        <v/>
      </c>
    </row>
    <row r="17165" spans="9:14" x14ac:dyDescent="0.25">
      <c r="I17165" s="11" t="b">
        <f t="shared" si="820"/>
        <v>0</v>
      </c>
      <c r="M17165" s="17" t="str">
        <f t="shared" si="821"/>
        <v/>
      </c>
      <c r="N17165" s="11" t="str">
        <f t="shared" si="822"/>
        <v/>
      </c>
    </row>
    <row r="17166" spans="9:14" x14ac:dyDescent="0.25">
      <c r="I17166" s="11" t="b">
        <f t="shared" si="820"/>
        <v>0</v>
      </c>
      <c r="M17166" s="17" t="str">
        <f t="shared" si="821"/>
        <v/>
      </c>
      <c r="N17166" s="11" t="str">
        <f t="shared" si="822"/>
        <v/>
      </c>
    </row>
    <row r="17167" spans="9:14" x14ac:dyDescent="0.25">
      <c r="I17167" s="11" t="b">
        <f t="shared" si="820"/>
        <v>0</v>
      </c>
      <c r="M17167" s="17" t="str">
        <f t="shared" si="821"/>
        <v/>
      </c>
      <c r="N17167" s="11" t="str">
        <f t="shared" si="822"/>
        <v/>
      </c>
    </row>
    <row r="17168" spans="9:14" x14ac:dyDescent="0.25">
      <c r="I17168" s="11" t="b">
        <f t="shared" si="820"/>
        <v>0</v>
      </c>
      <c r="M17168" s="17" t="str">
        <f t="shared" si="821"/>
        <v/>
      </c>
      <c r="N17168" s="11" t="str">
        <f t="shared" si="822"/>
        <v/>
      </c>
    </row>
    <row r="17169" spans="9:14" x14ac:dyDescent="0.25">
      <c r="I17169" s="11" t="b">
        <f t="shared" si="820"/>
        <v>0</v>
      </c>
      <c r="M17169" s="17" t="str">
        <f t="shared" si="821"/>
        <v/>
      </c>
      <c r="N17169" s="11" t="str">
        <f t="shared" si="822"/>
        <v/>
      </c>
    </row>
    <row r="17170" spans="9:14" x14ac:dyDescent="0.25">
      <c r="I17170" s="11" t="b">
        <f t="shared" si="820"/>
        <v>0</v>
      </c>
      <c r="M17170" s="17" t="str">
        <f t="shared" si="821"/>
        <v/>
      </c>
      <c r="N17170" s="11" t="str">
        <f t="shared" si="822"/>
        <v/>
      </c>
    </row>
    <row r="17171" spans="9:14" x14ac:dyDescent="0.25">
      <c r="I17171" s="11" t="b">
        <f t="shared" si="820"/>
        <v>0</v>
      </c>
      <c r="M17171" s="17" t="str">
        <f t="shared" si="821"/>
        <v/>
      </c>
      <c r="N17171" s="11" t="str">
        <f t="shared" si="822"/>
        <v/>
      </c>
    </row>
    <row r="17172" spans="9:14" x14ac:dyDescent="0.25">
      <c r="I17172" s="11" t="b">
        <f t="shared" si="820"/>
        <v>0</v>
      </c>
      <c r="M17172" s="17" t="str">
        <f t="shared" si="821"/>
        <v/>
      </c>
      <c r="N17172" s="11" t="str">
        <f t="shared" si="822"/>
        <v/>
      </c>
    </row>
    <row r="17173" spans="9:14" x14ac:dyDescent="0.25">
      <c r="I17173" s="11" t="b">
        <f t="shared" si="820"/>
        <v>0</v>
      </c>
      <c r="M17173" s="17" t="str">
        <f t="shared" si="821"/>
        <v/>
      </c>
      <c r="N17173" s="11" t="str">
        <f t="shared" si="822"/>
        <v/>
      </c>
    </row>
    <row r="17174" spans="9:14" x14ac:dyDescent="0.25">
      <c r="I17174" s="11" t="b">
        <f t="shared" si="820"/>
        <v>0</v>
      </c>
      <c r="M17174" s="17" t="str">
        <f t="shared" si="821"/>
        <v/>
      </c>
      <c r="N17174" s="11" t="str">
        <f t="shared" si="822"/>
        <v/>
      </c>
    </row>
    <row r="17175" spans="9:14" x14ac:dyDescent="0.25">
      <c r="I17175" s="11" t="b">
        <f t="shared" si="820"/>
        <v>0</v>
      </c>
      <c r="M17175" s="17" t="str">
        <f t="shared" si="821"/>
        <v/>
      </c>
      <c r="N17175" s="11" t="str">
        <f t="shared" si="822"/>
        <v/>
      </c>
    </row>
    <row r="17176" spans="9:14" x14ac:dyDescent="0.25">
      <c r="I17176" s="11" t="b">
        <f t="shared" si="820"/>
        <v>0</v>
      </c>
      <c r="M17176" s="17" t="str">
        <f t="shared" si="821"/>
        <v/>
      </c>
      <c r="N17176" s="11" t="str">
        <f t="shared" si="822"/>
        <v/>
      </c>
    </row>
    <row r="17177" spans="9:14" x14ac:dyDescent="0.25">
      <c r="I17177" s="11" t="b">
        <f t="shared" si="820"/>
        <v>0</v>
      </c>
      <c r="M17177" s="17" t="str">
        <f t="shared" si="821"/>
        <v/>
      </c>
      <c r="N17177" s="11" t="str">
        <f t="shared" si="822"/>
        <v/>
      </c>
    </row>
    <row r="17178" spans="9:14" x14ac:dyDescent="0.25">
      <c r="I17178" s="11" t="b">
        <f t="shared" si="820"/>
        <v>0</v>
      </c>
      <c r="M17178" s="17" t="str">
        <f t="shared" si="821"/>
        <v/>
      </c>
      <c r="N17178" s="11" t="str">
        <f t="shared" si="822"/>
        <v/>
      </c>
    </row>
    <row r="17179" spans="9:14" x14ac:dyDescent="0.25">
      <c r="I17179" s="11" t="b">
        <f t="shared" si="820"/>
        <v>0</v>
      </c>
      <c r="M17179" s="17" t="str">
        <f t="shared" si="821"/>
        <v/>
      </c>
      <c r="N17179" s="11" t="str">
        <f t="shared" si="822"/>
        <v/>
      </c>
    </row>
    <row r="17180" spans="9:14" x14ac:dyDescent="0.25">
      <c r="I17180" s="11" t="b">
        <f t="shared" si="820"/>
        <v>0</v>
      </c>
      <c r="M17180" s="17" t="str">
        <f t="shared" si="821"/>
        <v/>
      </c>
      <c r="N17180" s="11" t="str">
        <f t="shared" si="822"/>
        <v/>
      </c>
    </row>
    <row r="17181" spans="9:14" x14ac:dyDescent="0.25">
      <c r="I17181" s="11" t="b">
        <f t="shared" ref="I17181:I17244" si="823">IF(AND(G17181="MERCADO PAGO",A17181="FATURAMENTO"),1,IF(AND(OR(G17181="MERCADO PAGO",G17181="pix mercado pago",G17181= "débito automático mercado pago", G17181= "boleto mercado pago"),A17181="DESPESAS"),4,IF(AND(G17181="SAFRA",A17181="FATURAMENTO"),2,IF(AND(OR(G17181="SAFRA",G17181="PIX SAFRA", G17181="DÉBITO AUTOMÁTICO SAFRA", G17181= "BOLETO SAFRA", G17181= "transferência safra"), A17181="DESPESAS"),5,IF(AND(G17181="espécie",A17181="FATURAMENTO"),3,IF(AND(G17181="espécie",A17181="DESPESAS"),6))))))</f>
        <v>0</v>
      </c>
      <c r="M17181" s="17" t="str">
        <f t="shared" si="821"/>
        <v/>
      </c>
      <c r="N17181" s="11" t="str">
        <f t="shared" si="822"/>
        <v/>
      </c>
    </row>
    <row r="17182" spans="9:14" x14ac:dyDescent="0.25">
      <c r="I17182" s="11" t="b">
        <f t="shared" si="823"/>
        <v>0</v>
      </c>
      <c r="M17182" s="17" t="str">
        <f t="shared" si="821"/>
        <v/>
      </c>
      <c r="N17182" s="11" t="str">
        <f t="shared" si="822"/>
        <v/>
      </c>
    </row>
    <row r="17183" spans="9:14" x14ac:dyDescent="0.25">
      <c r="I17183" s="11" t="b">
        <f t="shared" si="823"/>
        <v>0</v>
      </c>
      <c r="M17183" s="17" t="str">
        <f t="shared" si="821"/>
        <v/>
      </c>
      <c r="N17183" s="11" t="str">
        <f t="shared" si="822"/>
        <v/>
      </c>
    </row>
    <row r="17184" spans="9:14" x14ac:dyDescent="0.25">
      <c r="I17184" s="11" t="b">
        <f t="shared" si="823"/>
        <v>0</v>
      </c>
      <c r="M17184" s="17" t="str">
        <f t="shared" si="821"/>
        <v/>
      </c>
      <c r="N17184" s="11" t="str">
        <f t="shared" si="822"/>
        <v/>
      </c>
    </row>
    <row r="17185" spans="9:14" x14ac:dyDescent="0.25">
      <c r="I17185" s="11" t="b">
        <f t="shared" si="823"/>
        <v>0</v>
      </c>
      <c r="M17185" s="17" t="str">
        <f t="shared" si="821"/>
        <v/>
      </c>
      <c r="N17185" s="11" t="str">
        <f t="shared" si="822"/>
        <v/>
      </c>
    </row>
    <row r="17186" spans="9:14" x14ac:dyDescent="0.25">
      <c r="I17186" s="11" t="b">
        <f t="shared" si="823"/>
        <v>0</v>
      </c>
      <c r="M17186" s="17" t="str">
        <f t="shared" si="821"/>
        <v/>
      </c>
      <c r="N17186" s="11" t="str">
        <f t="shared" si="822"/>
        <v/>
      </c>
    </row>
    <row r="17187" spans="9:14" x14ac:dyDescent="0.25">
      <c r="I17187" s="11" t="b">
        <f t="shared" si="823"/>
        <v>0</v>
      </c>
      <c r="M17187" s="17" t="str">
        <f t="shared" si="821"/>
        <v/>
      </c>
      <c r="N17187" s="11" t="str">
        <f t="shared" si="822"/>
        <v/>
      </c>
    </row>
    <row r="17188" spans="9:14" x14ac:dyDescent="0.25">
      <c r="I17188" s="11" t="b">
        <f t="shared" si="823"/>
        <v>0</v>
      </c>
      <c r="M17188" s="17" t="str">
        <f t="shared" si="821"/>
        <v/>
      </c>
      <c r="N17188" s="11" t="str">
        <f t="shared" si="822"/>
        <v/>
      </c>
    </row>
    <row r="17189" spans="9:14" x14ac:dyDescent="0.25">
      <c r="I17189" s="11" t="b">
        <f t="shared" si="823"/>
        <v>0</v>
      </c>
      <c r="M17189" s="17" t="str">
        <f t="shared" si="821"/>
        <v/>
      </c>
      <c r="N17189" s="11" t="str">
        <f t="shared" si="822"/>
        <v/>
      </c>
    </row>
    <row r="17190" spans="9:14" x14ac:dyDescent="0.25">
      <c r="I17190" s="11" t="b">
        <f t="shared" si="823"/>
        <v>0</v>
      </c>
      <c r="M17190" s="17" t="str">
        <f t="shared" si="821"/>
        <v/>
      </c>
      <c r="N17190" s="11" t="str">
        <f t="shared" si="822"/>
        <v/>
      </c>
    </row>
    <row r="17191" spans="9:14" x14ac:dyDescent="0.25">
      <c r="I17191" s="11" t="b">
        <f t="shared" si="823"/>
        <v>0</v>
      </c>
      <c r="M17191" s="17" t="str">
        <f t="shared" si="821"/>
        <v/>
      </c>
      <c r="N17191" s="11" t="str">
        <f t="shared" si="822"/>
        <v/>
      </c>
    </row>
    <row r="17192" spans="9:14" x14ac:dyDescent="0.25">
      <c r="I17192" s="11" t="b">
        <f t="shared" si="823"/>
        <v>0</v>
      </c>
      <c r="M17192" s="17" t="str">
        <f t="shared" si="821"/>
        <v/>
      </c>
      <c r="N17192" s="11" t="str">
        <f t="shared" si="822"/>
        <v/>
      </c>
    </row>
    <row r="17193" spans="9:14" x14ac:dyDescent="0.25">
      <c r="I17193" s="11" t="b">
        <f t="shared" si="823"/>
        <v>0</v>
      </c>
      <c r="M17193" s="17" t="str">
        <f t="shared" si="821"/>
        <v/>
      </c>
      <c r="N17193" s="11" t="str">
        <f t="shared" si="822"/>
        <v/>
      </c>
    </row>
    <row r="17194" spans="9:14" x14ac:dyDescent="0.25">
      <c r="I17194" s="11" t="b">
        <f t="shared" si="823"/>
        <v>0</v>
      </c>
      <c r="M17194" s="17" t="str">
        <f t="shared" si="821"/>
        <v/>
      </c>
      <c r="N17194" s="11" t="str">
        <f t="shared" si="822"/>
        <v/>
      </c>
    </row>
    <row r="17195" spans="9:14" x14ac:dyDescent="0.25">
      <c r="I17195" s="11" t="b">
        <f t="shared" si="823"/>
        <v>0</v>
      </c>
      <c r="M17195" s="17" t="str">
        <f t="shared" si="821"/>
        <v/>
      </c>
      <c r="N17195" s="11" t="str">
        <f t="shared" si="822"/>
        <v/>
      </c>
    </row>
    <row r="17196" spans="9:14" x14ac:dyDescent="0.25">
      <c r="I17196" s="11" t="b">
        <f t="shared" si="823"/>
        <v>0</v>
      </c>
      <c r="M17196" s="17" t="str">
        <f t="shared" si="821"/>
        <v/>
      </c>
      <c r="N17196" s="11" t="str">
        <f t="shared" si="822"/>
        <v/>
      </c>
    </row>
    <row r="17197" spans="9:14" x14ac:dyDescent="0.25">
      <c r="I17197" s="11" t="b">
        <f t="shared" si="823"/>
        <v>0</v>
      </c>
      <c r="M17197" s="17" t="str">
        <f t="shared" si="821"/>
        <v/>
      </c>
      <c r="N17197" s="11" t="str">
        <f t="shared" si="822"/>
        <v/>
      </c>
    </row>
    <row r="17198" spans="9:14" x14ac:dyDescent="0.25">
      <c r="I17198" s="11" t="b">
        <f t="shared" si="823"/>
        <v>0</v>
      </c>
      <c r="M17198" s="17" t="str">
        <f t="shared" si="821"/>
        <v/>
      </c>
      <c r="N17198" s="11" t="str">
        <f t="shared" si="822"/>
        <v/>
      </c>
    </row>
    <row r="17199" spans="9:14" x14ac:dyDescent="0.25">
      <c r="I17199" s="11" t="b">
        <f t="shared" si="823"/>
        <v>0</v>
      </c>
      <c r="M17199" s="17" t="str">
        <f t="shared" si="821"/>
        <v/>
      </c>
      <c r="N17199" s="11" t="str">
        <f t="shared" si="822"/>
        <v/>
      </c>
    </row>
    <row r="17200" spans="9:14" x14ac:dyDescent="0.25">
      <c r="I17200" s="11" t="b">
        <f t="shared" si="823"/>
        <v>0</v>
      </c>
      <c r="M17200" s="17" t="str">
        <f t="shared" si="821"/>
        <v/>
      </c>
      <c r="N17200" s="11" t="str">
        <f t="shared" si="822"/>
        <v/>
      </c>
    </row>
    <row r="17201" spans="9:14" x14ac:dyDescent="0.25">
      <c r="I17201" s="11" t="b">
        <f t="shared" si="823"/>
        <v>0</v>
      </c>
      <c r="M17201" s="17" t="str">
        <f t="shared" si="821"/>
        <v/>
      </c>
      <c r="N17201" s="11" t="str">
        <f t="shared" si="822"/>
        <v/>
      </c>
    </row>
    <row r="17202" spans="9:14" x14ac:dyDescent="0.25">
      <c r="I17202" s="11" t="b">
        <f t="shared" si="823"/>
        <v>0</v>
      </c>
      <c r="M17202" s="17" t="str">
        <f t="shared" si="821"/>
        <v/>
      </c>
      <c r="N17202" s="11" t="str">
        <f t="shared" si="822"/>
        <v/>
      </c>
    </row>
    <row r="17203" spans="9:14" x14ac:dyDescent="0.25">
      <c r="I17203" s="11" t="b">
        <f t="shared" si="823"/>
        <v>0</v>
      </c>
      <c r="M17203" s="17" t="str">
        <f t="shared" si="821"/>
        <v/>
      </c>
      <c r="N17203" s="11" t="str">
        <f t="shared" si="822"/>
        <v/>
      </c>
    </row>
    <row r="17204" spans="9:14" x14ac:dyDescent="0.25">
      <c r="I17204" s="11" t="b">
        <f t="shared" si="823"/>
        <v>0</v>
      </c>
      <c r="M17204" s="17" t="str">
        <f t="shared" si="821"/>
        <v/>
      </c>
      <c r="N17204" s="11" t="str">
        <f t="shared" si="822"/>
        <v/>
      </c>
    </row>
    <row r="17205" spans="9:14" x14ac:dyDescent="0.25">
      <c r="I17205" s="11" t="b">
        <f t="shared" si="823"/>
        <v>0</v>
      </c>
      <c r="M17205" s="17" t="str">
        <f t="shared" si="821"/>
        <v/>
      </c>
      <c r="N17205" s="11" t="str">
        <f t="shared" si="822"/>
        <v/>
      </c>
    </row>
    <row r="17206" spans="9:14" x14ac:dyDescent="0.25">
      <c r="I17206" s="11" t="b">
        <f t="shared" si="823"/>
        <v>0</v>
      </c>
      <c r="M17206" s="17" t="str">
        <f t="shared" si="821"/>
        <v/>
      </c>
      <c r="N17206" s="11" t="str">
        <f t="shared" si="822"/>
        <v/>
      </c>
    </row>
    <row r="17207" spans="9:14" x14ac:dyDescent="0.25">
      <c r="I17207" s="11" t="b">
        <f t="shared" si="823"/>
        <v>0</v>
      </c>
      <c r="M17207" s="17" t="str">
        <f t="shared" si="821"/>
        <v/>
      </c>
      <c r="N17207" s="11" t="str">
        <f t="shared" si="822"/>
        <v/>
      </c>
    </row>
    <row r="17208" spans="9:14" x14ac:dyDescent="0.25">
      <c r="I17208" s="11" t="b">
        <f t="shared" si="823"/>
        <v>0</v>
      </c>
      <c r="M17208" s="17" t="str">
        <f t="shared" si="821"/>
        <v/>
      </c>
      <c r="N17208" s="11" t="str">
        <f t="shared" si="822"/>
        <v/>
      </c>
    </row>
    <row r="17209" spans="9:14" x14ac:dyDescent="0.25">
      <c r="I17209" s="11" t="b">
        <f t="shared" si="823"/>
        <v>0</v>
      </c>
      <c r="M17209" s="17" t="str">
        <f t="shared" si="821"/>
        <v/>
      </c>
      <c r="N17209" s="11" t="str">
        <f t="shared" si="822"/>
        <v/>
      </c>
    </row>
    <row r="17210" spans="9:14" x14ac:dyDescent="0.25">
      <c r="I17210" s="11" t="b">
        <f t="shared" si="823"/>
        <v>0</v>
      </c>
      <c r="M17210" s="17" t="str">
        <f t="shared" si="821"/>
        <v/>
      </c>
      <c r="N17210" s="11" t="str">
        <f t="shared" si="822"/>
        <v/>
      </c>
    </row>
    <row r="17211" spans="9:14" x14ac:dyDescent="0.25">
      <c r="I17211" s="11" t="b">
        <f t="shared" si="823"/>
        <v>0</v>
      </c>
      <c r="M17211" s="17" t="str">
        <f t="shared" si="821"/>
        <v/>
      </c>
      <c r="N17211" s="11" t="str">
        <f t="shared" si="822"/>
        <v/>
      </c>
    </row>
    <row r="17212" spans="9:14" x14ac:dyDescent="0.25">
      <c r="I17212" s="11" t="b">
        <f t="shared" si="823"/>
        <v>0</v>
      </c>
      <c r="M17212" s="17" t="str">
        <f t="shared" si="821"/>
        <v/>
      </c>
      <c r="N17212" s="11" t="str">
        <f t="shared" si="822"/>
        <v/>
      </c>
    </row>
    <row r="17213" spans="9:14" x14ac:dyDescent="0.25">
      <c r="I17213" s="11" t="b">
        <f t="shared" si="823"/>
        <v>0</v>
      </c>
      <c r="M17213" s="17" t="str">
        <f t="shared" si="821"/>
        <v/>
      </c>
      <c r="N17213" s="11" t="str">
        <f t="shared" si="822"/>
        <v/>
      </c>
    </row>
    <row r="17214" spans="9:14" x14ac:dyDescent="0.25">
      <c r="I17214" s="11" t="b">
        <f t="shared" si="823"/>
        <v>0</v>
      </c>
      <c r="M17214" s="17" t="str">
        <f t="shared" si="821"/>
        <v/>
      </c>
      <c r="N17214" s="11" t="str">
        <f t="shared" si="822"/>
        <v/>
      </c>
    </row>
    <row r="17215" spans="9:14" x14ac:dyDescent="0.25">
      <c r="I17215" s="11" t="b">
        <f t="shared" si="823"/>
        <v>0</v>
      </c>
      <c r="M17215" s="17" t="str">
        <f t="shared" si="821"/>
        <v/>
      </c>
      <c r="N17215" s="11" t="str">
        <f t="shared" si="822"/>
        <v/>
      </c>
    </row>
    <row r="17216" spans="9:14" x14ac:dyDescent="0.25">
      <c r="I17216" s="11" t="b">
        <f t="shared" si="823"/>
        <v>0</v>
      </c>
      <c r="M17216" s="17" t="str">
        <f t="shared" si="821"/>
        <v/>
      </c>
      <c r="N17216" s="11" t="str">
        <f t="shared" si="822"/>
        <v/>
      </c>
    </row>
    <row r="17217" spans="9:14" x14ac:dyDescent="0.25">
      <c r="I17217" s="11" t="b">
        <f t="shared" si="823"/>
        <v>0</v>
      </c>
      <c r="M17217" s="17" t="str">
        <f t="shared" ref="M17217:M17280" si="824">IF(B17217=0, "",M17216+ J17217-K17217)</f>
        <v/>
      </c>
      <c r="N17217" s="11" t="str">
        <f t="shared" ref="N17217:N17280" si="825">IF(B17217=0, "", MONTH(B17217))</f>
        <v/>
      </c>
    </row>
    <row r="17218" spans="9:14" x14ac:dyDescent="0.25">
      <c r="I17218" s="11" t="b">
        <f t="shared" si="823"/>
        <v>0</v>
      </c>
      <c r="M17218" s="17" t="str">
        <f t="shared" si="824"/>
        <v/>
      </c>
      <c r="N17218" s="11" t="str">
        <f t="shared" si="825"/>
        <v/>
      </c>
    </row>
    <row r="17219" spans="9:14" x14ac:dyDescent="0.25">
      <c r="I17219" s="11" t="b">
        <f t="shared" si="823"/>
        <v>0</v>
      </c>
      <c r="M17219" s="17" t="str">
        <f t="shared" si="824"/>
        <v/>
      </c>
      <c r="N17219" s="11" t="str">
        <f t="shared" si="825"/>
        <v/>
      </c>
    </row>
    <row r="17220" spans="9:14" x14ac:dyDescent="0.25">
      <c r="I17220" s="11" t="b">
        <f t="shared" si="823"/>
        <v>0</v>
      </c>
      <c r="M17220" s="17" t="str">
        <f t="shared" si="824"/>
        <v/>
      </c>
      <c r="N17220" s="11" t="str">
        <f t="shared" si="825"/>
        <v/>
      </c>
    </row>
    <row r="17221" spans="9:14" x14ac:dyDescent="0.25">
      <c r="I17221" s="11" t="b">
        <f t="shared" si="823"/>
        <v>0</v>
      </c>
      <c r="M17221" s="17" t="str">
        <f t="shared" si="824"/>
        <v/>
      </c>
      <c r="N17221" s="11" t="str">
        <f t="shared" si="825"/>
        <v/>
      </c>
    </row>
    <row r="17222" spans="9:14" x14ac:dyDescent="0.25">
      <c r="I17222" s="11" t="b">
        <f t="shared" si="823"/>
        <v>0</v>
      </c>
      <c r="M17222" s="17" t="str">
        <f t="shared" si="824"/>
        <v/>
      </c>
      <c r="N17222" s="11" t="str">
        <f t="shared" si="825"/>
        <v/>
      </c>
    </row>
    <row r="17223" spans="9:14" x14ac:dyDescent="0.25">
      <c r="I17223" s="11" t="b">
        <f t="shared" si="823"/>
        <v>0</v>
      </c>
      <c r="M17223" s="17" t="str">
        <f t="shared" si="824"/>
        <v/>
      </c>
      <c r="N17223" s="11" t="str">
        <f t="shared" si="825"/>
        <v/>
      </c>
    </row>
    <row r="17224" spans="9:14" x14ac:dyDescent="0.25">
      <c r="I17224" s="11" t="b">
        <f t="shared" si="823"/>
        <v>0</v>
      </c>
      <c r="M17224" s="17" t="str">
        <f t="shared" si="824"/>
        <v/>
      </c>
      <c r="N17224" s="11" t="str">
        <f t="shared" si="825"/>
        <v/>
      </c>
    </row>
    <row r="17225" spans="9:14" x14ac:dyDescent="0.25">
      <c r="I17225" s="11" t="b">
        <f t="shared" si="823"/>
        <v>0</v>
      </c>
      <c r="M17225" s="17" t="str">
        <f t="shared" si="824"/>
        <v/>
      </c>
      <c r="N17225" s="11" t="str">
        <f t="shared" si="825"/>
        <v/>
      </c>
    </row>
    <row r="17226" spans="9:14" x14ac:dyDescent="0.25">
      <c r="I17226" s="11" t="b">
        <f t="shared" si="823"/>
        <v>0</v>
      </c>
      <c r="M17226" s="17" t="str">
        <f t="shared" si="824"/>
        <v/>
      </c>
      <c r="N17226" s="11" t="str">
        <f t="shared" si="825"/>
        <v/>
      </c>
    </row>
    <row r="17227" spans="9:14" x14ac:dyDescent="0.25">
      <c r="I17227" s="11" t="b">
        <f t="shared" si="823"/>
        <v>0</v>
      </c>
      <c r="M17227" s="17" t="str">
        <f t="shared" si="824"/>
        <v/>
      </c>
      <c r="N17227" s="11" t="str">
        <f t="shared" si="825"/>
        <v/>
      </c>
    </row>
    <row r="17228" spans="9:14" x14ac:dyDescent="0.25">
      <c r="I17228" s="11" t="b">
        <f t="shared" si="823"/>
        <v>0</v>
      </c>
      <c r="M17228" s="17" t="str">
        <f t="shared" si="824"/>
        <v/>
      </c>
      <c r="N17228" s="11" t="str">
        <f t="shared" si="825"/>
        <v/>
      </c>
    </row>
    <row r="17229" spans="9:14" x14ac:dyDescent="0.25">
      <c r="I17229" s="11" t="b">
        <f t="shared" si="823"/>
        <v>0</v>
      </c>
      <c r="M17229" s="17" t="str">
        <f t="shared" si="824"/>
        <v/>
      </c>
      <c r="N17229" s="11" t="str">
        <f t="shared" si="825"/>
        <v/>
      </c>
    </row>
    <row r="17230" spans="9:14" x14ac:dyDescent="0.25">
      <c r="I17230" s="11" t="b">
        <f t="shared" si="823"/>
        <v>0</v>
      </c>
      <c r="M17230" s="17" t="str">
        <f t="shared" si="824"/>
        <v/>
      </c>
      <c r="N17230" s="11" t="str">
        <f t="shared" si="825"/>
        <v/>
      </c>
    </row>
    <row r="17231" spans="9:14" x14ac:dyDescent="0.25">
      <c r="I17231" s="11" t="b">
        <f t="shared" si="823"/>
        <v>0</v>
      </c>
      <c r="M17231" s="17" t="str">
        <f t="shared" si="824"/>
        <v/>
      </c>
      <c r="N17231" s="11" t="str">
        <f t="shared" si="825"/>
        <v/>
      </c>
    </row>
    <row r="17232" spans="9:14" x14ac:dyDescent="0.25">
      <c r="I17232" s="11" t="b">
        <f t="shared" si="823"/>
        <v>0</v>
      </c>
      <c r="M17232" s="17" t="str">
        <f t="shared" si="824"/>
        <v/>
      </c>
      <c r="N17232" s="11" t="str">
        <f t="shared" si="825"/>
        <v/>
      </c>
    </row>
    <row r="17233" spans="9:14" x14ac:dyDescent="0.25">
      <c r="I17233" s="11" t="b">
        <f t="shared" si="823"/>
        <v>0</v>
      </c>
      <c r="M17233" s="17" t="str">
        <f t="shared" si="824"/>
        <v/>
      </c>
      <c r="N17233" s="11" t="str">
        <f t="shared" si="825"/>
        <v/>
      </c>
    </row>
    <row r="17234" spans="9:14" x14ac:dyDescent="0.25">
      <c r="I17234" s="11" t="b">
        <f t="shared" si="823"/>
        <v>0</v>
      </c>
      <c r="M17234" s="17" t="str">
        <f t="shared" si="824"/>
        <v/>
      </c>
      <c r="N17234" s="11" t="str">
        <f t="shared" si="825"/>
        <v/>
      </c>
    </row>
    <row r="17235" spans="9:14" x14ac:dyDescent="0.25">
      <c r="I17235" s="11" t="b">
        <f t="shared" si="823"/>
        <v>0</v>
      </c>
      <c r="M17235" s="17" t="str">
        <f t="shared" si="824"/>
        <v/>
      </c>
      <c r="N17235" s="11" t="str">
        <f t="shared" si="825"/>
        <v/>
      </c>
    </row>
    <row r="17236" spans="9:14" x14ac:dyDescent="0.25">
      <c r="I17236" s="11" t="b">
        <f t="shared" si="823"/>
        <v>0</v>
      </c>
      <c r="M17236" s="17" t="str">
        <f t="shared" si="824"/>
        <v/>
      </c>
      <c r="N17236" s="11" t="str">
        <f t="shared" si="825"/>
        <v/>
      </c>
    </row>
    <row r="17237" spans="9:14" x14ac:dyDescent="0.25">
      <c r="I17237" s="11" t="b">
        <f t="shared" si="823"/>
        <v>0</v>
      </c>
      <c r="M17237" s="17" t="str">
        <f t="shared" si="824"/>
        <v/>
      </c>
      <c r="N17237" s="11" t="str">
        <f t="shared" si="825"/>
        <v/>
      </c>
    </row>
    <row r="17238" spans="9:14" x14ac:dyDescent="0.25">
      <c r="I17238" s="11" t="b">
        <f t="shared" si="823"/>
        <v>0</v>
      </c>
      <c r="M17238" s="17" t="str">
        <f t="shared" si="824"/>
        <v/>
      </c>
      <c r="N17238" s="11" t="str">
        <f t="shared" si="825"/>
        <v/>
      </c>
    </row>
    <row r="17239" spans="9:14" x14ac:dyDescent="0.25">
      <c r="I17239" s="11" t="b">
        <f t="shared" si="823"/>
        <v>0</v>
      </c>
      <c r="M17239" s="17" t="str">
        <f t="shared" si="824"/>
        <v/>
      </c>
      <c r="N17239" s="11" t="str">
        <f t="shared" si="825"/>
        <v/>
      </c>
    </row>
    <row r="17240" spans="9:14" x14ac:dyDescent="0.25">
      <c r="I17240" s="11" t="b">
        <f t="shared" si="823"/>
        <v>0</v>
      </c>
      <c r="M17240" s="17" t="str">
        <f t="shared" si="824"/>
        <v/>
      </c>
      <c r="N17240" s="11" t="str">
        <f t="shared" si="825"/>
        <v/>
      </c>
    </row>
    <row r="17241" spans="9:14" x14ac:dyDescent="0.25">
      <c r="I17241" s="11" t="b">
        <f t="shared" si="823"/>
        <v>0</v>
      </c>
      <c r="M17241" s="17" t="str">
        <f t="shared" si="824"/>
        <v/>
      </c>
      <c r="N17241" s="11" t="str">
        <f t="shared" si="825"/>
        <v/>
      </c>
    </row>
    <row r="17242" spans="9:14" x14ac:dyDescent="0.25">
      <c r="I17242" s="11" t="b">
        <f t="shared" si="823"/>
        <v>0</v>
      </c>
      <c r="M17242" s="17" t="str">
        <f t="shared" si="824"/>
        <v/>
      </c>
      <c r="N17242" s="11" t="str">
        <f t="shared" si="825"/>
        <v/>
      </c>
    </row>
    <row r="17243" spans="9:14" x14ac:dyDescent="0.25">
      <c r="I17243" s="11" t="b">
        <f t="shared" si="823"/>
        <v>0</v>
      </c>
      <c r="M17243" s="17" t="str">
        <f t="shared" si="824"/>
        <v/>
      </c>
      <c r="N17243" s="11" t="str">
        <f t="shared" si="825"/>
        <v/>
      </c>
    </row>
    <row r="17244" spans="9:14" x14ac:dyDescent="0.25">
      <c r="I17244" s="11" t="b">
        <f t="shared" si="823"/>
        <v>0</v>
      </c>
      <c r="M17244" s="17" t="str">
        <f t="shared" si="824"/>
        <v/>
      </c>
      <c r="N17244" s="11" t="str">
        <f t="shared" si="825"/>
        <v/>
      </c>
    </row>
    <row r="17245" spans="9:14" x14ac:dyDescent="0.25">
      <c r="I17245" s="11" t="b">
        <f t="shared" ref="I17245:I17308" si="826">IF(AND(G17245="MERCADO PAGO",A17245="FATURAMENTO"),1,IF(AND(OR(G17245="MERCADO PAGO",G17245="pix mercado pago",G17245= "débito automático mercado pago", G17245= "boleto mercado pago"),A17245="DESPESAS"),4,IF(AND(G17245="SAFRA",A17245="FATURAMENTO"),2,IF(AND(OR(G17245="SAFRA",G17245="PIX SAFRA", G17245="DÉBITO AUTOMÁTICO SAFRA", G17245= "BOLETO SAFRA", G17245= "transferência safra"), A17245="DESPESAS"),5,IF(AND(G17245="espécie",A17245="FATURAMENTO"),3,IF(AND(G17245="espécie",A17245="DESPESAS"),6))))))</f>
        <v>0</v>
      </c>
      <c r="M17245" s="17" t="str">
        <f t="shared" si="824"/>
        <v/>
      </c>
      <c r="N17245" s="11" t="str">
        <f t="shared" si="825"/>
        <v/>
      </c>
    </row>
    <row r="17246" spans="9:14" x14ac:dyDescent="0.25">
      <c r="I17246" s="11" t="b">
        <f t="shared" si="826"/>
        <v>0</v>
      </c>
      <c r="M17246" s="17" t="str">
        <f t="shared" si="824"/>
        <v/>
      </c>
      <c r="N17246" s="11" t="str">
        <f t="shared" si="825"/>
        <v/>
      </c>
    </row>
    <row r="17247" spans="9:14" x14ac:dyDescent="0.25">
      <c r="I17247" s="11" t="b">
        <f t="shared" si="826"/>
        <v>0</v>
      </c>
      <c r="M17247" s="17" t="str">
        <f t="shared" si="824"/>
        <v/>
      </c>
      <c r="N17247" s="11" t="str">
        <f t="shared" si="825"/>
        <v/>
      </c>
    </row>
    <row r="17248" spans="9:14" x14ac:dyDescent="0.25">
      <c r="I17248" s="11" t="b">
        <f t="shared" si="826"/>
        <v>0</v>
      </c>
      <c r="M17248" s="17" t="str">
        <f t="shared" si="824"/>
        <v/>
      </c>
      <c r="N17248" s="11" t="str">
        <f t="shared" si="825"/>
        <v/>
      </c>
    </row>
    <row r="17249" spans="9:14" x14ac:dyDescent="0.25">
      <c r="I17249" s="11" t="b">
        <f t="shared" si="826"/>
        <v>0</v>
      </c>
      <c r="M17249" s="17" t="str">
        <f t="shared" si="824"/>
        <v/>
      </c>
      <c r="N17249" s="11" t="str">
        <f t="shared" si="825"/>
        <v/>
      </c>
    </row>
    <row r="17250" spans="9:14" x14ac:dyDescent="0.25">
      <c r="I17250" s="11" t="b">
        <f t="shared" si="826"/>
        <v>0</v>
      </c>
      <c r="M17250" s="17" t="str">
        <f t="shared" si="824"/>
        <v/>
      </c>
      <c r="N17250" s="11" t="str">
        <f t="shared" si="825"/>
        <v/>
      </c>
    </row>
    <row r="17251" spans="9:14" x14ac:dyDescent="0.25">
      <c r="I17251" s="11" t="b">
        <f t="shared" si="826"/>
        <v>0</v>
      </c>
      <c r="M17251" s="17" t="str">
        <f t="shared" si="824"/>
        <v/>
      </c>
      <c r="N17251" s="11" t="str">
        <f t="shared" si="825"/>
        <v/>
      </c>
    </row>
    <row r="17252" spans="9:14" x14ac:dyDescent="0.25">
      <c r="I17252" s="11" t="b">
        <f t="shared" si="826"/>
        <v>0</v>
      </c>
      <c r="M17252" s="17" t="str">
        <f t="shared" si="824"/>
        <v/>
      </c>
      <c r="N17252" s="11" t="str">
        <f t="shared" si="825"/>
        <v/>
      </c>
    </row>
    <row r="17253" spans="9:14" x14ac:dyDescent="0.25">
      <c r="I17253" s="11" t="b">
        <f t="shared" si="826"/>
        <v>0</v>
      </c>
      <c r="M17253" s="17" t="str">
        <f t="shared" si="824"/>
        <v/>
      </c>
      <c r="N17253" s="11" t="str">
        <f t="shared" si="825"/>
        <v/>
      </c>
    </row>
    <row r="17254" spans="9:14" x14ac:dyDescent="0.25">
      <c r="I17254" s="11" t="b">
        <f t="shared" si="826"/>
        <v>0</v>
      </c>
      <c r="M17254" s="17" t="str">
        <f t="shared" si="824"/>
        <v/>
      </c>
      <c r="N17254" s="11" t="str">
        <f t="shared" si="825"/>
        <v/>
      </c>
    </row>
    <row r="17255" spans="9:14" x14ac:dyDescent="0.25">
      <c r="I17255" s="11" t="b">
        <f t="shared" si="826"/>
        <v>0</v>
      </c>
      <c r="M17255" s="17" t="str">
        <f t="shared" si="824"/>
        <v/>
      </c>
      <c r="N17255" s="11" t="str">
        <f t="shared" si="825"/>
        <v/>
      </c>
    </row>
    <row r="17256" spans="9:14" x14ac:dyDescent="0.25">
      <c r="I17256" s="11" t="b">
        <f t="shared" si="826"/>
        <v>0</v>
      </c>
      <c r="M17256" s="17" t="str">
        <f t="shared" si="824"/>
        <v/>
      </c>
      <c r="N17256" s="11" t="str">
        <f t="shared" si="825"/>
        <v/>
      </c>
    </row>
    <row r="17257" spans="9:14" x14ac:dyDescent="0.25">
      <c r="I17257" s="11" t="b">
        <f t="shared" si="826"/>
        <v>0</v>
      </c>
      <c r="M17257" s="17" t="str">
        <f t="shared" si="824"/>
        <v/>
      </c>
      <c r="N17257" s="11" t="str">
        <f t="shared" si="825"/>
        <v/>
      </c>
    </row>
    <row r="17258" spans="9:14" x14ac:dyDescent="0.25">
      <c r="I17258" s="11" t="b">
        <f t="shared" si="826"/>
        <v>0</v>
      </c>
      <c r="M17258" s="17" t="str">
        <f t="shared" si="824"/>
        <v/>
      </c>
      <c r="N17258" s="11" t="str">
        <f t="shared" si="825"/>
        <v/>
      </c>
    </row>
    <row r="17259" spans="9:14" x14ac:dyDescent="0.25">
      <c r="I17259" s="11" t="b">
        <f t="shared" si="826"/>
        <v>0</v>
      </c>
      <c r="M17259" s="17" t="str">
        <f t="shared" si="824"/>
        <v/>
      </c>
      <c r="N17259" s="11" t="str">
        <f t="shared" si="825"/>
        <v/>
      </c>
    </row>
    <row r="17260" spans="9:14" x14ac:dyDescent="0.25">
      <c r="I17260" s="11" t="b">
        <f t="shared" si="826"/>
        <v>0</v>
      </c>
      <c r="M17260" s="17" t="str">
        <f t="shared" si="824"/>
        <v/>
      </c>
      <c r="N17260" s="11" t="str">
        <f t="shared" si="825"/>
        <v/>
      </c>
    </row>
    <row r="17261" spans="9:14" x14ac:dyDescent="0.25">
      <c r="I17261" s="11" t="b">
        <f t="shared" si="826"/>
        <v>0</v>
      </c>
      <c r="M17261" s="17" t="str">
        <f t="shared" si="824"/>
        <v/>
      </c>
      <c r="N17261" s="11" t="str">
        <f t="shared" si="825"/>
        <v/>
      </c>
    </row>
    <row r="17262" spans="9:14" x14ac:dyDescent="0.25">
      <c r="I17262" s="11" t="b">
        <f t="shared" si="826"/>
        <v>0</v>
      </c>
      <c r="M17262" s="17" t="str">
        <f t="shared" si="824"/>
        <v/>
      </c>
      <c r="N17262" s="11" t="str">
        <f t="shared" si="825"/>
        <v/>
      </c>
    </row>
    <row r="17263" spans="9:14" x14ac:dyDescent="0.25">
      <c r="I17263" s="11" t="b">
        <f t="shared" si="826"/>
        <v>0</v>
      </c>
      <c r="M17263" s="17" t="str">
        <f t="shared" si="824"/>
        <v/>
      </c>
      <c r="N17263" s="11" t="str">
        <f t="shared" si="825"/>
        <v/>
      </c>
    </row>
    <row r="17264" spans="9:14" x14ac:dyDescent="0.25">
      <c r="I17264" s="11" t="b">
        <f t="shared" si="826"/>
        <v>0</v>
      </c>
      <c r="M17264" s="17" t="str">
        <f t="shared" si="824"/>
        <v/>
      </c>
      <c r="N17264" s="11" t="str">
        <f t="shared" si="825"/>
        <v/>
      </c>
    </row>
    <row r="17265" spans="9:14" x14ac:dyDescent="0.25">
      <c r="I17265" s="11" t="b">
        <f t="shared" si="826"/>
        <v>0</v>
      </c>
      <c r="M17265" s="17" t="str">
        <f t="shared" si="824"/>
        <v/>
      </c>
      <c r="N17265" s="11" t="str">
        <f t="shared" si="825"/>
        <v/>
      </c>
    </row>
    <row r="17266" spans="9:14" x14ac:dyDescent="0.25">
      <c r="I17266" s="11" t="b">
        <f t="shared" si="826"/>
        <v>0</v>
      </c>
      <c r="M17266" s="17" t="str">
        <f t="shared" si="824"/>
        <v/>
      </c>
      <c r="N17266" s="11" t="str">
        <f t="shared" si="825"/>
        <v/>
      </c>
    </row>
    <row r="17267" spans="9:14" x14ac:dyDescent="0.25">
      <c r="I17267" s="11" t="b">
        <f t="shared" si="826"/>
        <v>0</v>
      </c>
      <c r="M17267" s="17" t="str">
        <f t="shared" si="824"/>
        <v/>
      </c>
      <c r="N17267" s="11" t="str">
        <f t="shared" si="825"/>
        <v/>
      </c>
    </row>
    <row r="17268" spans="9:14" x14ac:dyDescent="0.25">
      <c r="I17268" s="11" t="b">
        <f t="shared" si="826"/>
        <v>0</v>
      </c>
      <c r="M17268" s="17" t="str">
        <f t="shared" si="824"/>
        <v/>
      </c>
      <c r="N17268" s="11" t="str">
        <f t="shared" si="825"/>
        <v/>
      </c>
    </row>
    <row r="17269" spans="9:14" x14ac:dyDescent="0.25">
      <c r="I17269" s="11" t="b">
        <f t="shared" si="826"/>
        <v>0</v>
      </c>
      <c r="M17269" s="17" t="str">
        <f t="shared" si="824"/>
        <v/>
      </c>
      <c r="N17269" s="11" t="str">
        <f t="shared" si="825"/>
        <v/>
      </c>
    </row>
    <row r="17270" spans="9:14" x14ac:dyDescent="0.25">
      <c r="I17270" s="11" t="b">
        <f t="shared" si="826"/>
        <v>0</v>
      </c>
      <c r="M17270" s="17" t="str">
        <f t="shared" si="824"/>
        <v/>
      </c>
      <c r="N17270" s="11" t="str">
        <f t="shared" si="825"/>
        <v/>
      </c>
    </row>
    <row r="17271" spans="9:14" x14ac:dyDescent="0.25">
      <c r="I17271" s="11" t="b">
        <f t="shared" si="826"/>
        <v>0</v>
      </c>
      <c r="M17271" s="17" t="str">
        <f t="shared" si="824"/>
        <v/>
      </c>
      <c r="N17271" s="11" t="str">
        <f t="shared" si="825"/>
        <v/>
      </c>
    </row>
    <row r="17272" spans="9:14" x14ac:dyDescent="0.25">
      <c r="I17272" s="11" t="b">
        <f t="shared" si="826"/>
        <v>0</v>
      </c>
      <c r="M17272" s="17" t="str">
        <f t="shared" si="824"/>
        <v/>
      </c>
      <c r="N17272" s="11" t="str">
        <f t="shared" si="825"/>
        <v/>
      </c>
    </row>
    <row r="17273" spans="9:14" x14ac:dyDescent="0.25">
      <c r="I17273" s="11" t="b">
        <f t="shared" si="826"/>
        <v>0</v>
      </c>
      <c r="M17273" s="17" t="str">
        <f t="shared" si="824"/>
        <v/>
      </c>
      <c r="N17273" s="11" t="str">
        <f t="shared" si="825"/>
        <v/>
      </c>
    </row>
    <row r="17274" spans="9:14" x14ac:dyDescent="0.25">
      <c r="I17274" s="11" t="b">
        <f t="shared" si="826"/>
        <v>0</v>
      </c>
      <c r="M17274" s="17" t="str">
        <f t="shared" si="824"/>
        <v/>
      </c>
      <c r="N17274" s="11" t="str">
        <f t="shared" si="825"/>
        <v/>
      </c>
    </row>
    <row r="17275" spans="9:14" x14ac:dyDescent="0.25">
      <c r="I17275" s="11" t="b">
        <f t="shared" si="826"/>
        <v>0</v>
      </c>
      <c r="M17275" s="17" t="str">
        <f t="shared" si="824"/>
        <v/>
      </c>
      <c r="N17275" s="11" t="str">
        <f t="shared" si="825"/>
        <v/>
      </c>
    </row>
    <row r="17276" spans="9:14" x14ac:dyDescent="0.25">
      <c r="I17276" s="11" t="b">
        <f t="shared" si="826"/>
        <v>0</v>
      </c>
      <c r="M17276" s="17" t="str">
        <f t="shared" si="824"/>
        <v/>
      </c>
      <c r="N17276" s="11" t="str">
        <f t="shared" si="825"/>
        <v/>
      </c>
    </row>
    <row r="17277" spans="9:14" x14ac:dyDescent="0.25">
      <c r="I17277" s="11" t="b">
        <f t="shared" si="826"/>
        <v>0</v>
      </c>
      <c r="M17277" s="17" t="str">
        <f t="shared" si="824"/>
        <v/>
      </c>
      <c r="N17277" s="11" t="str">
        <f t="shared" si="825"/>
        <v/>
      </c>
    </row>
    <row r="17278" spans="9:14" x14ac:dyDescent="0.25">
      <c r="I17278" s="11" t="b">
        <f t="shared" si="826"/>
        <v>0</v>
      </c>
      <c r="M17278" s="17" t="str">
        <f t="shared" si="824"/>
        <v/>
      </c>
      <c r="N17278" s="11" t="str">
        <f t="shared" si="825"/>
        <v/>
      </c>
    </row>
    <row r="17279" spans="9:14" x14ac:dyDescent="0.25">
      <c r="I17279" s="11" t="b">
        <f t="shared" si="826"/>
        <v>0</v>
      </c>
      <c r="M17279" s="17" t="str">
        <f t="shared" si="824"/>
        <v/>
      </c>
      <c r="N17279" s="11" t="str">
        <f t="shared" si="825"/>
        <v/>
      </c>
    </row>
    <row r="17280" spans="9:14" x14ac:dyDescent="0.25">
      <c r="I17280" s="11" t="b">
        <f t="shared" si="826"/>
        <v>0</v>
      </c>
      <c r="M17280" s="17" t="str">
        <f t="shared" si="824"/>
        <v/>
      </c>
      <c r="N17280" s="11" t="str">
        <f t="shared" si="825"/>
        <v/>
      </c>
    </row>
    <row r="17281" spans="9:14" x14ac:dyDescent="0.25">
      <c r="I17281" s="11" t="b">
        <f t="shared" si="826"/>
        <v>0</v>
      </c>
      <c r="M17281" s="17" t="str">
        <f t="shared" ref="M17281:M17344" si="827">IF(B17281=0, "",M17280+ J17281-K17281)</f>
        <v/>
      </c>
      <c r="N17281" s="11" t="str">
        <f t="shared" ref="N17281:N17344" si="828">IF(B17281=0, "", MONTH(B17281))</f>
        <v/>
      </c>
    </row>
    <row r="17282" spans="9:14" x14ac:dyDescent="0.25">
      <c r="I17282" s="11" t="b">
        <f t="shared" si="826"/>
        <v>0</v>
      </c>
      <c r="M17282" s="17" t="str">
        <f t="shared" si="827"/>
        <v/>
      </c>
      <c r="N17282" s="11" t="str">
        <f t="shared" si="828"/>
        <v/>
      </c>
    </row>
    <row r="17283" spans="9:14" x14ac:dyDescent="0.25">
      <c r="I17283" s="11" t="b">
        <f t="shared" si="826"/>
        <v>0</v>
      </c>
      <c r="M17283" s="17" t="str">
        <f t="shared" si="827"/>
        <v/>
      </c>
      <c r="N17283" s="11" t="str">
        <f t="shared" si="828"/>
        <v/>
      </c>
    </row>
    <row r="17284" spans="9:14" x14ac:dyDescent="0.25">
      <c r="I17284" s="11" t="b">
        <f t="shared" si="826"/>
        <v>0</v>
      </c>
      <c r="M17284" s="17" t="str">
        <f t="shared" si="827"/>
        <v/>
      </c>
      <c r="N17284" s="11" t="str">
        <f t="shared" si="828"/>
        <v/>
      </c>
    </row>
    <row r="17285" spans="9:14" x14ac:dyDescent="0.25">
      <c r="I17285" s="11" t="b">
        <f t="shared" si="826"/>
        <v>0</v>
      </c>
      <c r="M17285" s="17" t="str">
        <f t="shared" si="827"/>
        <v/>
      </c>
      <c r="N17285" s="11" t="str">
        <f t="shared" si="828"/>
        <v/>
      </c>
    </row>
    <row r="17286" spans="9:14" x14ac:dyDescent="0.25">
      <c r="I17286" s="11" t="b">
        <f t="shared" si="826"/>
        <v>0</v>
      </c>
      <c r="M17286" s="17" t="str">
        <f t="shared" si="827"/>
        <v/>
      </c>
      <c r="N17286" s="11" t="str">
        <f t="shared" si="828"/>
        <v/>
      </c>
    </row>
    <row r="17287" spans="9:14" x14ac:dyDescent="0.25">
      <c r="I17287" s="11" t="b">
        <f t="shared" si="826"/>
        <v>0</v>
      </c>
      <c r="M17287" s="17" t="str">
        <f t="shared" si="827"/>
        <v/>
      </c>
      <c r="N17287" s="11" t="str">
        <f t="shared" si="828"/>
        <v/>
      </c>
    </row>
    <row r="17288" spans="9:14" x14ac:dyDescent="0.25">
      <c r="I17288" s="11" t="b">
        <f t="shared" si="826"/>
        <v>0</v>
      </c>
      <c r="M17288" s="17" t="str">
        <f t="shared" si="827"/>
        <v/>
      </c>
      <c r="N17288" s="11" t="str">
        <f t="shared" si="828"/>
        <v/>
      </c>
    </row>
    <row r="17289" spans="9:14" x14ac:dyDescent="0.25">
      <c r="I17289" s="11" t="b">
        <f t="shared" si="826"/>
        <v>0</v>
      </c>
      <c r="M17289" s="17" t="str">
        <f t="shared" si="827"/>
        <v/>
      </c>
      <c r="N17289" s="11" t="str">
        <f t="shared" si="828"/>
        <v/>
      </c>
    </row>
    <row r="17290" spans="9:14" x14ac:dyDescent="0.25">
      <c r="I17290" s="11" t="b">
        <f t="shared" si="826"/>
        <v>0</v>
      </c>
      <c r="M17290" s="17" t="str">
        <f t="shared" si="827"/>
        <v/>
      </c>
      <c r="N17290" s="11" t="str">
        <f t="shared" si="828"/>
        <v/>
      </c>
    </row>
    <row r="17291" spans="9:14" x14ac:dyDescent="0.25">
      <c r="I17291" s="11" t="b">
        <f t="shared" si="826"/>
        <v>0</v>
      </c>
      <c r="M17291" s="17" t="str">
        <f t="shared" si="827"/>
        <v/>
      </c>
      <c r="N17291" s="11" t="str">
        <f t="shared" si="828"/>
        <v/>
      </c>
    </row>
    <row r="17292" spans="9:14" x14ac:dyDescent="0.25">
      <c r="I17292" s="11" t="b">
        <f t="shared" si="826"/>
        <v>0</v>
      </c>
      <c r="M17292" s="17" t="str">
        <f t="shared" si="827"/>
        <v/>
      </c>
      <c r="N17292" s="11" t="str">
        <f t="shared" si="828"/>
        <v/>
      </c>
    </row>
    <row r="17293" spans="9:14" x14ac:dyDescent="0.25">
      <c r="I17293" s="11" t="b">
        <f t="shared" si="826"/>
        <v>0</v>
      </c>
      <c r="M17293" s="17" t="str">
        <f t="shared" si="827"/>
        <v/>
      </c>
      <c r="N17293" s="11" t="str">
        <f t="shared" si="828"/>
        <v/>
      </c>
    </row>
    <row r="17294" spans="9:14" x14ac:dyDescent="0.25">
      <c r="I17294" s="11" t="b">
        <f t="shared" si="826"/>
        <v>0</v>
      </c>
      <c r="M17294" s="17" t="str">
        <f t="shared" si="827"/>
        <v/>
      </c>
      <c r="N17294" s="11" t="str">
        <f t="shared" si="828"/>
        <v/>
      </c>
    </row>
    <row r="17295" spans="9:14" x14ac:dyDescent="0.25">
      <c r="I17295" s="11" t="b">
        <f t="shared" si="826"/>
        <v>0</v>
      </c>
      <c r="M17295" s="17" t="str">
        <f t="shared" si="827"/>
        <v/>
      </c>
      <c r="N17295" s="11" t="str">
        <f t="shared" si="828"/>
        <v/>
      </c>
    </row>
    <row r="17296" spans="9:14" x14ac:dyDescent="0.25">
      <c r="I17296" s="11" t="b">
        <f t="shared" si="826"/>
        <v>0</v>
      </c>
      <c r="M17296" s="17" t="str">
        <f t="shared" si="827"/>
        <v/>
      </c>
      <c r="N17296" s="11" t="str">
        <f t="shared" si="828"/>
        <v/>
      </c>
    </row>
    <row r="17297" spans="9:14" x14ac:dyDescent="0.25">
      <c r="I17297" s="11" t="b">
        <f t="shared" si="826"/>
        <v>0</v>
      </c>
      <c r="M17297" s="17" t="str">
        <f t="shared" si="827"/>
        <v/>
      </c>
      <c r="N17297" s="11" t="str">
        <f t="shared" si="828"/>
        <v/>
      </c>
    </row>
    <row r="17298" spans="9:14" x14ac:dyDescent="0.25">
      <c r="I17298" s="11" t="b">
        <f t="shared" si="826"/>
        <v>0</v>
      </c>
      <c r="M17298" s="17" t="str">
        <f t="shared" si="827"/>
        <v/>
      </c>
      <c r="N17298" s="11" t="str">
        <f t="shared" si="828"/>
        <v/>
      </c>
    </row>
    <row r="17299" spans="9:14" x14ac:dyDescent="0.25">
      <c r="I17299" s="11" t="b">
        <f t="shared" si="826"/>
        <v>0</v>
      </c>
      <c r="M17299" s="17" t="str">
        <f t="shared" si="827"/>
        <v/>
      </c>
      <c r="N17299" s="11" t="str">
        <f t="shared" si="828"/>
        <v/>
      </c>
    </row>
    <row r="17300" spans="9:14" x14ac:dyDescent="0.25">
      <c r="I17300" s="11" t="b">
        <f t="shared" si="826"/>
        <v>0</v>
      </c>
      <c r="M17300" s="17" t="str">
        <f t="shared" si="827"/>
        <v/>
      </c>
      <c r="N17300" s="11" t="str">
        <f t="shared" si="828"/>
        <v/>
      </c>
    </row>
    <row r="17301" spans="9:14" x14ac:dyDescent="0.25">
      <c r="I17301" s="11" t="b">
        <f t="shared" si="826"/>
        <v>0</v>
      </c>
      <c r="M17301" s="17" t="str">
        <f t="shared" si="827"/>
        <v/>
      </c>
      <c r="N17301" s="11" t="str">
        <f t="shared" si="828"/>
        <v/>
      </c>
    </row>
    <row r="17302" spans="9:14" x14ac:dyDescent="0.25">
      <c r="I17302" s="11" t="b">
        <f t="shared" si="826"/>
        <v>0</v>
      </c>
      <c r="M17302" s="17" t="str">
        <f t="shared" si="827"/>
        <v/>
      </c>
      <c r="N17302" s="11" t="str">
        <f t="shared" si="828"/>
        <v/>
      </c>
    </row>
    <row r="17303" spans="9:14" x14ac:dyDescent="0.25">
      <c r="I17303" s="11" t="b">
        <f t="shared" si="826"/>
        <v>0</v>
      </c>
      <c r="M17303" s="17" t="str">
        <f t="shared" si="827"/>
        <v/>
      </c>
      <c r="N17303" s="11" t="str">
        <f t="shared" si="828"/>
        <v/>
      </c>
    </row>
    <row r="17304" spans="9:14" x14ac:dyDescent="0.25">
      <c r="I17304" s="11" t="b">
        <f t="shared" si="826"/>
        <v>0</v>
      </c>
      <c r="M17304" s="17" t="str">
        <f t="shared" si="827"/>
        <v/>
      </c>
      <c r="N17304" s="11" t="str">
        <f t="shared" si="828"/>
        <v/>
      </c>
    </row>
    <row r="17305" spans="9:14" x14ac:dyDescent="0.25">
      <c r="I17305" s="11" t="b">
        <f t="shared" si="826"/>
        <v>0</v>
      </c>
      <c r="M17305" s="17" t="str">
        <f t="shared" si="827"/>
        <v/>
      </c>
      <c r="N17305" s="11" t="str">
        <f t="shared" si="828"/>
        <v/>
      </c>
    </row>
    <row r="17306" spans="9:14" x14ac:dyDescent="0.25">
      <c r="I17306" s="11" t="b">
        <f t="shared" si="826"/>
        <v>0</v>
      </c>
      <c r="M17306" s="17" t="str">
        <f t="shared" si="827"/>
        <v/>
      </c>
      <c r="N17306" s="11" t="str">
        <f t="shared" si="828"/>
        <v/>
      </c>
    </row>
    <row r="17307" spans="9:14" x14ac:dyDescent="0.25">
      <c r="I17307" s="11" t="b">
        <f t="shared" si="826"/>
        <v>0</v>
      </c>
      <c r="M17307" s="17" t="str">
        <f t="shared" si="827"/>
        <v/>
      </c>
      <c r="N17307" s="11" t="str">
        <f t="shared" si="828"/>
        <v/>
      </c>
    </row>
    <row r="17308" spans="9:14" x14ac:dyDescent="0.25">
      <c r="I17308" s="11" t="b">
        <f t="shared" si="826"/>
        <v>0</v>
      </c>
      <c r="M17308" s="17" t="str">
        <f t="shared" si="827"/>
        <v/>
      </c>
      <c r="N17308" s="11" t="str">
        <f t="shared" si="828"/>
        <v/>
      </c>
    </row>
    <row r="17309" spans="9:14" x14ac:dyDescent="0.25">
      <c r="I17309" s="11" t="b">
        <f t="shared" ref="I17309:I17372" si="829">IF(AND(G17309="MERCADO PAGO",A17309="FATURAMENTO"),1,IF(AND(OR(G17309="MERCADO PAGO",G17309="pix mercado pago",G17309= "débito automático mercado pago", G17309= "boleto mercado pago"),A17309="DESPESAS"),4,IF(AND(G17309="SAFRA",A17309="FATURAMENTO"),2,IF(AND(OR(G17309="SAFRA",G17309="PIX SAFRA", G17309="DÉBITO AUTOMÁTICO SAFRA", G17309= "BOLETO SAFRA", G17309= "transferência safra"), A17309="DESPESAS"),5,IF(AND(G17309="espécie",A17309="FATURAMENTO"),3,IF(AND(G17309="espécie",A17309="DESPESAS"),6))))))</f>
        <v>0</v>
      </c>
      <c r="M17309" s="17" t="str">
        <f t="shared" si="827"/>
        <v/>
      </c>
      <c r="N17309" s="11" t="str">
        <f t="shared" si="828"/>
        <v/>
      </c>
    </row>
    <row r="17310" spans="9:14" x14ac:dyDescent="0.25">
      <c r="I17310" s="11" t="b">
        <f t="shared" si="829"/>
        <v>0</v>
      </c>
      <c r="M17310" s="17" t="str">
        <f t="shared" si="827"/>
        <v/>
      </c>
      <c r="N17310" s="11" t="str">
        <f t="shared" si="828"/>
        <v/>
      </c>
    </row>
    <row r="17311" spans="9:14" x14ac:dyDescent="0.25">
      <c r="I17311" s="11" t="b">
        <f t="shared" si="829"/>
        <v>0</v>
      </c>
      <c r="M17311" s="17" t="str">
        <f t="shared" si="827"/>
        <v/>
      </c>
      <c r="N17311" s="11" t="str">
        <f t="shared" si="828"/>
        <v/>
      </c>
    </row>
    <row r="17312" spans="9:14" x14ac:dyDescent="0.25">
      <c r="I17312" s="11" t="b">
        <f t="shared" si="829"/>
        <v>0</v>
      </c>
      <c r="M17312" s="17" t="str">
        <f t="shared" si="827"/>
        <v/>
      </c>
      <c r="N17312" s="11" t="str">
        <f t="shared" si="828"/>
        <v/>
      </c>
    </row>
    <row r="17313" spans="9:14" x14ac:dyDescent="0.25">
      <c r="I17313" s="11" t="b">
        <f t="shared" si="829"/>
        <v>0</v>
      </c>
      <c r="M17313" s="17" t="str">
        <f t="shared" si="827"/>
        <v/>
      </c>
      <c r="N17313" s="11" t="str">
        <f t="shared" si="828"/>
        <v/>
      </c>
    </row>
    <row r="17314" spans="9:14" x14ac:dyDescent="0.25">
      <c r="I17314" s="11" t="b">
        <f t="shared" si="829"/>
        <v>0</v>
      </c>
      <c r="M17314" s="17" t="str">
        <f t="shared" si="827"/>
        <v/>
      </c>
      <c r="N17314" s="11" t="str">
        <f t="shared" si="828"/>
        <v/>
      </c>
    </row>
    <row r="17315" spans="9:14" x14ac:dyDescent="0.25">
      <c r="I17315" s="11" t="b">
        <f t="shared" si="829"/>
        <v>0</v>
      </c>
      <c r="M17315" s="17" t="str">
        <f t="shared" si="827"/>
        <v/>
      </c>
      <c r="N17315" s="11" t="str">
        <f t="shared" si="828"/>
        <v/>
      </c>
    </row>
    <row r="17316" spans="9:14" x14ac:dyDescent="0.25">
      <c r="I17316" s="11" t="b">
        <f t="shared" si="829"/>
        <v>0</v>
      </c>
      <c r="M17316" s="17" t="str">
        <f t="shared" si="827"/>
        <v/>
      </c>
      <c r="N17316" s="11" t="str">
        <f t="shared" si="828"/>
        <v/>
      </c>
    </row>
    <row r="17317" spans="9:14" x14ac:dyDescent="0.25">
      <c r="I17317" s="11" t="b">
        <f t="shared" si="829"/>
        <v>0</v>
      </c>
      <c r="M17317" s="17" t="str">
        <f t="shared" si="827"/>
        <v/>
      </c>
      <c r="N17317" s="11" t="str">
        <f t="shared" si="828"/>
        <v/>
      </c>
    </row>
    <row r="17318" spans="9:14" x14ac:dyDescent="0.25">
      <c r="I17318" s="11" t="b">
        <f t="shared" si="829"/>
        <v>0</v>
      </c>
      <c r="M17318" s="17" t="str">
        <f t="shared" si="827"/>
        <v/>
      </c>
      <c r="N17318" s="11" t="str">
        <f t="shared" si="828"/>
        <v/>
      </c>
    </row>
    <row r="17319" spans="9:14" x14ac:dyDescent="0.25">
      <c r="I17319" s="11" t="b">
        <f t="shared" si="829"/>
        <v>0</v>
      </c>
      <c r="M17319" s="17" t="str">
        <f t="shared" si="827"/>
        <v/>
      </c>
      <c r="N17319" s="11" t="str">
        <f t="shared" si="828"/>
        <v/>
      </c>
    </row>
    <row r="17320" spans="9:14" x14ac:dyDescent="0.25">
      <c r="I17320" s="11" t="b">
        <f t="shared" si="829"/>
        <v>0</v>
      </c>
      <c r="M17320" s="17" t="str">
        <f t="shared" si="827"/>
        <v/>
      </c>
      <c r="N17320" s="11" t="str">
        <f t="shared" si="828"/>
        <v/>
      </c>
    </row>
    <row r="17321" spans="9:14" x14ac:dyDescent="0.25">
      <c r="I17321" s="11" t="b">
        <f t="shared" si="829"/>
        <v>0</v>
      </c>
      <c r="M17321" s="17" t="str">
        <f t="shared" si="827"/>
        <v/>
      </c>
      <c r="N17321" s="11" t="str">
        <f t="shared" si="828"/>
        <v/>
      </c>
    </row>
    <row r="17322" spans="9:14" x14ac:dyDescent="0.25">
      <c r="I17322" s="11" t="b">
        <f t="shared" si="829"/>
        <v>0</v>
      </c>
      <c r="M17322" s="17" t="str">
        <f t="shared" si="827"/>
        <v/>
      </c>
      <c r="N17322" s="11" t="str">
        <f t="shared" si="828"/>
        <v/>
      </c>
    </row>
    <row r="17323" spans="9:14" x14ac:dyDescent="0.25">
      <c r="I17323" s="11" t="b">
        <f t="shared" si="829"/>
        <v>0</v>
      </c>
      <c r="M17323" s="17" t="str">
        <f t="shared" si="827"/>
        <v/>
      </c>
      <c r="N17323" s="11" t="str">
        <f t="shared" si="828"/>
        <v/>
      </c>
    </row>
    <row r="17324" spans="9:14" x14ac:dyDescent="0.25">
      <c r="I17324" s="11" t="b">
        <f t="shared" si="829"/>
        <v>0</v>
      </c>
      <c r="M17324" s="17" t="str">
        <f t="shared" si="827"/>
        <v/>
      </c>
      <c r="N17324" s="11" t="str">
        <f t="shared" si="828"/>
        <v/>
      </c>
    </row>
    <row r="17325" spans="9:14" x14ac:dyDescent="0.25">
      <c r="I17325" s="11" t="b">
        <f t="shared" si="829"/>
        <v>0</v>
      </c>
      <c r="M17325" s="17" t="str">
        <f t="shared" si="827"/>
        <v/>
      </c>
      <c r="N17325" s="11" t="str">
        <f t="shared" si="828"/>
        <v/>
      </c>
    </row>
    <row r="17326" spans="9:14" x14ac:dyDescent="0.25">
      <c r="I17326" s="11" t="b">
        <f t="shared" si="829"/>
        <v>0</v>
      </c>
      <c r="M17326" s="17" t="str">
        <f t="shared" si="827"/>
        <v/>
      </c>
      <c r="N17326" s="11" t="str">
        <f t="shared" si="828"/>
        <v/>
      </c>
    </row>
    <row r="17327" spans="9:14" x14ac:dyDescent="0.25">
      <c r="I17327" s="11" t="b">
        <f t="shared" si="829"/>
        <v>0</v>
      </c>
      <c r="M17327" s="17" t="str">
        <f t="shared" si="827"/>
        <v/>
      </c>
      <c r="N17327" s="11" t="str">
        <f t="shared" si="828"/>
        <v/>
      </c>
    </row>
    <row r="17328" spans="9:14" x14ac:dyDescent="0.25">
      <c r="I17328" s="11" t="b">
        <f t="shared" si="829"/>
        <v>0</v>
      </c>
      <c r="M17328" s="17" t="str">
        <f t="shared" si="827"/>
        <v/>
      </c>
      <c r="N17328" s="11" t="str">
        <f t="shared" si="828"/>
        <v/>
      </c>
    </row>
    <row r="17329" spans="9:14" x14ac:dyDescent="0.25">
      <c r="I17329" s="11" t="b">
        <f t="shared" si="829"/>
        <v>0</v>
      </c>
      <c r="M17329" s="17" t="str">
        <f t="shared" si="827"/>
        <v/>
      </c>
      <c r="N17329" s="11" t="str">
        <f t="shared" si="828"/>
        <v/>
      </c>
    </row>
    <row r="17330" spans="9:14" x14ac:dyDescent="0.25">
      <c r="I17330" s="11" t="b">
        <f t="shared" si="829"/>
        <v>0</v>
      </c>
      <c r="M17330" s="17" t="str">
        <f t="shared" si="827"/>
        <v/>
      </c>
      <c r="N17330" s="11" t="str">
        <f t="shared" si="828"/>
        <v/>
      </c>
    </row>
    <row r="17331" spans="9:14" x14ac:dyDescent="0.25">
      <c r="I17331" s="11" t="b">
        <f t="shared" si="829"/>
        <v>0</v>
      </c>
      <c r="M17331" s="17" t="str">
        <f t="shared" si="827"/>
        <v/>
      </c>
      <c r="N17331" s="11" t="str">
        <f t="shared" si="828"/>
        <v/>
      </c>
    </row>
    <row r="17332" spans="9:14" x14ac:dyDescent="0.25">
      <c r="I17332" s="11" t="b">
        <f t="shared" si="829"/>
        <v>0</v>
      </c>
      <c r="M17332" s="17" t="str">
        <f t="shared" si="827"/>
        <v/>
      </c>
      <c r="N17332" s="11" t="str">
        <f t="shared" si="828"/>
        <v/>
      </c>
    </row>
    <row r="17333" spans="9:14" x14ac:dyDescent="0.25">
      <c r="I17333" s="11" t="b">
        <f t="shared" si="829"/>
        <v>0</v>
      </c>
      <c r="M17333" s="17" t="str">
        <f t="shared" si="827"/>
        <v/>
      </c>
      <c r="N17333" s="11" t="str">
        <f t="shared" si="828"/>
        <v/>
      </c>
    </row>
    <row r="17334" spans="9:14" x14ac:dyDescent="0.25">
      <c r="I17334" s="11" t="b">
        <f t="shared" si="829"/>
        <v>0</v>
      </c>
      <c r="M17334" s="17" t="str">
        <f t="shared" si="827"/>
        <v/>
      </c>
      <c r="N17334" s="11" t="str">
        <f t="shared" si="828"/>
        <v/>
      </c>
    </row>
    <row r="17335" spans="9:14" x14ac:dyDescent="0.25">
      <c r="I17335" s="11" t="b">
        <f t="shared" si="829"/>
        <v>0</v>
      </c>
      <c r="M17335" s="17" t="str">
        <f t="shared" si="827"/>
        <v/>
      </c>
      <c r="N17335" s="11" t="str">
        <f t="shared" si="828"/>
        <v/>
      </c>
    </row>
    <row r="17336" spans="9:14" x14ac:dyDescent="0.25">
      <c r="I17336" s="11" t="b">
        <f t="shared" si="829"/>
        <v>0</v>
      </c>
      <c r="M17336" s="17" t="str">
        <f t="shared" si="827"/>
        <v/>
      </c>
      <c r="N17336" s="11" t="str">
        <f t="shared" si="828"/>
        <v/>
      </c>
    </row>
    <row r="17337" spans="9:14" x14ac:dyDescent="0.25">
      <c r="I17337" s="11" t="b">
        <f t="shared" si="829"/>
        <v>0</v>
      </c>
      <c r="M17337" s="17" t="str">
        <f t="shared" si="827"/>
        <v/>
      </c>
      <c r="N17337" s="11" t="str">
        <f t="shared" si="828"/>
        <v/>
      </c>
    </row>
    <row r="17338" spans="9:14" x14ac:dyDescent="0.25">
      <c r="I17338" s="11" t="b">
        <f t="shared" si="829"/>
        <v>0</v>
      </c>
      <c r="M17338" s="17" t="str">
        <f t="shared" si="827"/>
        <v/>
      </c>
      <c r="N17338" s="11" t="str">
        <f t="shared" si="828"/>
        <v/>
      </c>
    </row>
    <row r="17339" spans="9:14" x14ac:dyDescent="0.25">
      <c r="I17339" s="11" t="b">
        <f t="shared" si="829"/>
        <v>0</v>
      </c>
      <c r="M17339" s="17" t="str">
        <f t="shared" si="827"/>
        <v/>
      </c>
      <c r="N17339" s="11" t="str">
        <f t="shared" si="828"/>
        <v/>
      </c>
    </row>
    <row r="17340" spans="9:14" x14ac:dyDescent="0.25">
      <c r="I17340" s="11" t="b">
        <f t="shared" si="829"/>
        <v>0</v>
      </c>
      <c r="M17340" s="17" t="str">
        <f t="shared" si="827"/>
        <v/>
      </c>
      <c r="N17340" s="11" t="str">
        <f t="shared" si="828"/>
        <v/>
      </c>
    </row>
    <row r="17341" spans="9:14" x14ac:dyDescent="0.25">
      <c r="I17341" s="11" t="b">
        <f t="shared" si="829"/>
        <v>0</v>
      </c>
      <c r="M17341" s="17" t="str">
        <f t="shared" si="827"/>
        <v/>
      </c>
      <c r="N17341" s="11" t="str">
        <f t="shared" si="828"/>
        <v/>
      </c>
    </row>
    <row r="17342" spans="9:14" x14ac:dyDescent="0.25">
      <c r="I17342" s="11" t="b">
        <f t="shared" si="829"/>
        <v>0</v>
      </c>
      <c r="M17342" s="17" t="str">
        <f t="shared" si="827"/>
        <v/>
      </c>
      <c r="N17342" s="11" t="str">
        <f t="shared" si="828"/>
        <v/>
      </c>
    </row>
    <row r="17343" spans="9:14" x14ac:dyDescent="0.25">
      <c r="I17343" s="11" t="b">
        <f t="shared" si="829"/>
        <v>0</v>
      </c>
      <c r="M17343" s="17" t="str">
        <f t="shared" si="827"/>
        <v/>
      </c>
      <c r="N17343" s="11" t="str">
        <f t="shared" si="828"/>
        <v/>
      </c>
    </row>
    <row r="17344" spans="9:14" x14ac:dyDescent="0.25">
      <c r="I17344" s="11" t="b">
        <f t="shared" si="829"/>
        <v>0</v>
      </c>
      <c r="M17344" s="17" t="str">
        <f t="shared" si="827"/>
        <v/>
      </c>
      <c r="N17344" s="11" t="str">
        <f t="shared" si="828"/>
        <v/>
      </c>
    </row>
    <row r="17345" spans="9:14" x14ac:dyDescent="0.25">
      <c r="I17345" s="11" t="b">
        <f t="shared" si="829"/>
        <v>0</v>
      </c>
      <c r="M17345" s="17" t="str">
        <f t="shared" ref="M17345:M17408" si="830">IF(B17345=0, "",M17344+ J17345-K17345)</f>
        <v/>
      </c>
      <c r="N17345" s="11" t="str">
        <f t="shared" ref="N17345:N17408" si="831">IF(B17345=0, "", MONTH(B17345))</f>
        <v/>
      </c>
    </row>
    <row r="17346" spans="9:14" x14ac:dyDescent="0.25">
      <c r="I17346" s="11" t="b">
        <f t="shared" si="829"/>
        <v>0</v>
      </c>
      <c r="M17346" s="17" t="str">
        <f t="shared" si="830"/>
        <v/>
      </c>
      <c r="N17346" s="11" t="str">
        <f t="shared" si="831"/>
        <v/>
      </c>
    </row>
    <row r="17347" spans="9:14" x14ac:dyDescent="0.25">
      <c r="I17347" s="11" t="b">
        <f t="shared" si="829"/>
        <v>0</v>
      </c>
      <c r="M17347" s="17" t="str">
        <f t="shared" si="830"/>
        <v/>
      </c>
      <c r="N17347" s="11" t="str">
        <f t="shared" si="831"/>
        <v/>
      </c>
    </row>
    <row r="17348" spans="9:14" x14ac:dyDescent="0.25">
      <c r="I17348" s="11" t="b">
        <f t="shared" si="829"/>
        <v>0</v>
      </c>
      <c r="M17348" s="17" t="str">
        <f t="shared" si="830"/>
        <v/>
      </c>
      <c r="N17348" s="11" t="str">
        <f t="shared" si="831"/>
        <v/>
      </c>
    </row>
    <row r="17349" spans="9:14" x14ac:dyDescent="0.25">
      <c r="I17349" s="11" t="b">
        <f t="shared" si="829"/>
        <v>0</v>
      </c>
      <c r="M17349" s="17" t="str">
        <f t="shared" si="830"/>
        <v/>
      </c>
      <c r="N17349" s="11" t="str">
        <f t="shared" si="831"/>
        <v/>
      </c>
    </row>
    <row r="17350" spans="9:14" x14ac:dyDescent="0.25">
      <c r="I17350" s="11" t="b">
        <f t="shared" si="829"/>
        <v>0</v>
      </c>
      <c r="M17350" s="17" t="str">
        <f t="shared" si="830"/>
        <v/>
      </c>
      <c r="N17350" s="11" t="str">
        <f t="shared" si="831"/>
        <v/>
      </c>
    </row>
    <row r="17351" spans="9:14" x14ac:dyDescent="0.25">
      <c r="I17351" s="11" t="b">
        <f t="shared" si="829"/>
        <v>0</v>
      </c>
      <c r="M17351" s="17" t="str">
        <f t="shared" si="830"/>
        <v/>
      </c>
      <c r="N17351" s="11" t="str">
        <f t="shared" si="831"/>
        <v/>
      </c>
    </row>
    <row r="17352" spans="9:14" x14ac:dyDescent="0.25">
      <c r="I17352" s="11" t="b">
        <f t="shared" si="829"/>
        <v>0</v>
      </c>
      <c r="M17352" s="17" t="str">
        <f t="shared" si="830"/>
        <v/>
      </c>
      <c r="N17352" s="11" t="str">
        <f t="shared" si="831"/>
        <v/>
      </c>
    </row>
    <row r="17353" spans="9:14" x14ac:dyDescent="0.25">
      <c r="I17353" s="11" t="b">
        <f t="shared" si="829"/>
        <v>0</v>
      </c>
      <c r="M17353" s="17" t="str">
        <f t="shared" si="830"/>
        <v/>
      </c>
      <c r="N17353" s="11" t="str">
        <f t="shared" si="831"/>
        <v/>
      </c>
    </row>
    <row r="17354" spans="9:14" x14ac:dyDescent="0.25">
      <c r="I17354" s="11" t="b">
        <f t="shared" si="829"/>
        <v>0</v>
      </c>
      <c r="M17354" s="17" t="str">
        <f t="shared" si="830"/>
        <v/>
      </c>
      <c r="N17354" s="11" t="str">
        <f t="shared" si="831"/>
        <v/>
      </c>
    </row>
    <row r="17355" spans="9:14" x14ac:dyDescent="0.25">
      <c r="I17355" s="11" t="b">
        <f t="shared" si="829"/>
        <v>0</v>
      </c>
      <c r="M17355" s="17" t="str">
        <f t="shared" si="830"/>
        <v/>
      </c>
      <c r="N17355" s="11" t="str">
        <f t="shared" si="831"/>
        <v/>
      </c>
    </row>
    <row r="17356" spans="9:14" x14ac:dyDescent="0.25">
      <c r="I17356" s="11" t="b">
        <f t="shared" si="829"/>
        <v>0</v>
      </c>
      <c r="M17356" s="17" t="str">
        <f t="shared" si="830"/>
        <v/>
      </c>
      <c r="N17356" s="11" t="str">
        <f t="shared" si="831"/>
        <v/>
      </c>
    </row>
    <row r="17357" spans="9:14" x14ac:dyDescent="0.25">
      <c r="I17357" s="11" t="b">
        <f t="shared" si="829"/>
        <v>0</v>
      </c>
      <c r="M17357" s="17" t="str">
        <f t="shared" si="830"/>
        <v/>
      </c>
      <c r="N17357" s="11" t="str">
        <f t="shared" si="831"/>
        <v/>
      </c>
    </row>
    <row r="17358" spans="9:14" x14ac:dyDescent="0.25">
      <c r="I17358" s="11" t="b">
        <f t="shared" si="829"/>
        <v>0</v>
      </c>
      <c r="M17358" s="17" t="str">
        <f t="shared" si="830"/>
        <v/>
      </c>
      <c r="N17358" s="11" t="str">
        <f t="shared" si="831"/>
        <v/>
      </c>
    </row>
    <row r="17359" spans="9:14" x14ac:dyDescent="0.25">
      <c r="I17359" s="11" t="b">
        <f t="shared" si="829"/>
        <v>0</v>
      </c>
      <c r="M17359" s="17" t="str">
        <f t="shared" si="830"/>
        <v/>
      </c>
      <c r="N17359" s="11" t="str">
        <f t="shared" si="831"/>
        <v/>
      </c>
    </row>
    <row r="17360" spans="9:14" x14ac:dyDescent="0.25">
      <c r="I17360" s="11" t="b">
        <f t="shared" si="829"/>
        <v>0</v>
      </c>
      <c r="M17360" s="17" t="str">
        <f t="shared" si="830"/>
        <v/>
      </c>
      <c r="N17360" s="11" t="str">
        <f t="shared" si="831"/>
        <v/>
      </c>
    </row>
    <row r="17361" spans="9:14" x14ac:dyDescent="0.25">
      <c r="I17361" s="11" t="b">
        <f t="shared" si="829"/>
        <v>0</v>
      </c>
      <c r="M17361" s="17" t="str">
        <f t="shared" si="830"/>
        <v/>
      </c>
      <c r="N17361" s="11" t="str">
        <f t="shared" si="831"/>
        <v/>
      </c>
    </row>
    <row r="17362" spans="9:14" x14ac:dyDescent="0.25">
      <c r="I17362" s="11" t="b">
        <f t="shared" si="829"/>
        <v>0</v>
      </c>
      <c r="M17362" s="17" t="str">
        <f t="shared" si="830"/>
        <v/>
      </c>
      <c r="N17362" s="11" t="str">
        <f t="shared" si="831"/>
        <v/>
      </c>
    </row>
    <row r="17363" spans="9:14" x14ac:dyDescent="0.25">
      <c r="I17363" s="11" t="b">
        <f t="shared" si="829"/>
        <v>0</v>
      </c>
      <c r="M17363" s="17" t="str">
        <f t="shared" si="830"/>
        <v/>
      </c>
      <c r="N17363" s="11" t="str">
        <f t="shared" si="831"/>
        <v/>
      </c>
    </row>
    <row r="17364" spans="9:14" x14ac:dyDescent="0.25">
      <c r="I17364" s="11" t="b">
        <f t="shared" si="829"/>
        <v>0</v>
      </c>
      <c r="M17364" s="17" t="str">
        <f t="shared" si="830"/>
        <v/>
      </c>
      <c r="N17364" s="11" t="str">
        <f t="shared" si="831"/>
        <v/>
      </c>
    </row>
    <row r="17365" spans="9:14" x14ac:dyDescent="0.25">
      <c r="I17365" s="11" t="b">
        <f t="shared" si="829"/>
        <v>0</v>
      </c>
      <c r="M17365" s="17" t="str">
        <f t="shared" si="830"/>
        <v/>
      </c>
      <c r="N17365" s="11" t="str">
        <f t="shared" si="831"/>
        <v/>
      </c>
    </row>
    <row r="17366" spans="9:14" x14ac:dyDescent="0.25">
      <c r="I17366" s="11" t="b">
        <f t="shared" si="829"/>
        <v>0</v>
      </c>
      <c r="M17366" s="17" t="str">
        <f t="shared" si="830"/>
        <v/>
      </c>
      <c r="N17366" s="11" t="str">
        <f t="shared" si="831"/>
        <v/>
      </c>
    </row>
    <row r="17367" spans="9:14" x14ac:dyDescent="0.25">
      <c r="I17367" s="11" t="b">
        <f t="shared" si="829"/>
        <v>0</v>
      </c>
      <c r="M17367" s="17" t="str">
        <f t="shared" si="830"/>
        <v/>
      </c>
      <c r="N17367" s="11" t="str">
        <f t="shared" si="831"/>
        <v/>
      </c>
    </row>
    <row r="17368" spans="9:14" x14ac:dyDescent="0.25">
      <c r="I17368" s="11" t="b">
        <f t="shared" si="829"/>
        <v>0</v>
      </c>
      <c r="M17368" s="17" t="str">
        <f t="shared" si="830"/>
        <v/>
      </c>
      <c r="N17368" s="11" t="str">
        <f t="shared" si="831"/>
        <v/>
      </c>
    </row>
    <row r="17369" spans="9:14" x14ac:dyDescent="0.25">
      <c r="I17369" s="11" t="b">
        <f t="shared" si="829"/>
        <v>0</v>
      </c>
      <c r="M17369" s="17" t="str">
        <f t="shared" si="830"/>
        <v/>
      </c>
      <c r="N17369" s="11" t="str">
        <f t="shared" si="831"/>
        <v/>
      </c>
    </row>
    <row r="17370" spans="9:14" x14ac:dyDescent="0.25">
      <c r="I17370" s="11" t="b">
        <f t="shared" si="829"/>
        <v>0</v>
      </c>
      <c r="M17370" s="17" t="str">
        <f t="shared" si="830"/>
        <v/>
      </c>
      <c r="N17370" s="11" t="str">
        <f t="shared" si="831"/>
        <v/>
      </c>
    </row>
    <row r="17371" spans="9:14" x14ac:dyDescent="0.25">
      <c r="I17371" s="11" t="b">
        <f t="shared" si="829"/>
        <v>0</v>
      </c>
      <c r="M17371" s="17" t="str">
        <f t="shared" si="830"/>
        <v/>
      </c>
      <c r="N17371" s="11" t="str">
        <f t="shared" si="831"/>
        <v/>
      </c>
    </row>
    <row r="17372" spans="9:14" x14ac:dyDescent="0.25">
      <c r="I17372" s="11" t="b">
        <f t="shared" si="829"/>
        <v>0</v>
      </c>
      <c r="M17372" s="17" t="str">
        <f t="shared" si="830"/>
        <v/>
      </c>
      <c r="N17372" s="11" t="str">
        <f t="shared" si="831"/>
        <v/>
      </c>
    </row>
    <row r="17373" spans="9:14" x14ac:dyDescent="0.25">
      <c r="I17373" s="11" t="b">
        <f t="shared" ref="I17373:I17436" si="832">IF(AND(G17373="MERCADO PAGO",A17373="FATURAMENTO"),1,IF(AND(OR(G17373="MERCADO PAGO",G17373="pix mercado pago",G17373= "débito automático mercado pago", G17373= "boleto mercado pago"),A17373="DESPESAS"),4,IF(AND(G17373="SAFRA",A17373="FATURAMENTO"),2,IF(AND(OR(G17373="SAFRA",G17373="PIX SAFRA", G17373="DÉBITO AUTOMÁTICO SAFRA", G17373= "BOLETO SAFRA", G17373= "transferência safra"), A17373="DESPESAS"),5,IF(AND(G17373="espécie",A17373="FATURAMENTO"),3,IF(AND(G17373="espécie",A17373="DESPESAS"),6))))))</f>
        <v>0</v>
      </c>
      <c r="M17373" s="17" t="str">
        <f t="shared" si="830"/>
        <v/>
      </c>
      <c r="N17373" s="11" t="str">
        <f t="shared" si="831"/>
        <v/>
      </c>
    </row>
    <row r="17374" spans="9:14" x14ac:dyDescent="0.25">
      <c r="I17374" s="11" t="b">
        <f t="shared" si="832"/>
        <v>0</v>
      </c>
      <c r="M17374" s="17" t="str">
        <f t="shared" si="830"/>
        <v/>
      </c>
      <c r="N17374" s="11" t="str">
        <f t="shared" si="831"/>
        <v/>
      </c>
    </row>
    <row r="17375" spans="9:14" x14ac:dyDescent="0.25">
      <c r="I17375" s="11" t="b">
        <f t="shared" si="832"/>
        <v>0</v>
      </c>
      <c r="M17375" s="17" t="str">
        <f t="shared" si="830"/>
        <v/>
      </c>
      <c r="N17375" s="11" t="str">
        <f t="shared" si="831"/>
        <v/>
      </c>
    </row>
    <row r="17376" spans="9:14" x14ac:dyDescent="0.25">
      <c r="I17376" s="11" t="b">
        <f t="shared" si="832"/>
        <v>0</v>
      </c>
      <c r="M17376" s="17" t="str">
        <f t="shared" si="830"/>
        <v/>
      </c>
      <c r="N17376" s="11" t="str">
        <f t="shared" si="831"/>
        <v/>
      </c>
    </row>
    <row r="17377" spans="9:14" x14ac:dyDescent="0.25">
      <c r="I17377" s="11" t="b">
        <f t="shared" si="832"/>
        <v>0</v>
      </c>
      <c r="M17377" s="17" t="str">
        <f t="shared" si="830"/>
        <v/>
      </c>
      <c r="N17377" s="11" t="str">
        <f t="shared" si="831"/>
        <v/>
      </c>
    </row>
    <row r="17378" spans="9:14" x14ac:dyDescent="0.25">
      <c r="I17378" s="11" t="b">
        <f t="shared" si="832"/>
        <v>0</v>
      </c>
      <c r="M17378" s="17" t="str">
        <f t="shared" si="830"/>
        <v/>
      </c>
      <c r="N17378" s="11" t="str">
        <f t="shared" si="831"/>
        <v/>
      </c>
    </row>
    <row r="17379" spans="9:14" x14ac:dyDescent="0.25">
      <c r="I17379" s="11" t="b">
        <f t="shared" si="832"/>
        <v>0</v>
      </c>
      <c r="M17379" s="17" t="str">
        <f t="shared" si="830"/>
        <v/>
      </c>
      <c r="N17379" s="11" t="str">
        <f t="shared" si="831"/>
        <v/>
      </c>
    </row>
    <row r="17380" spans="9:14" x14ac:dyDescent="0.25">
      <c r="I17380" s="11" t="b">
        <f t="shared" si="832"/>
        <v>0</v>
      </c>
      <c r="M17380" s="17" t="str">
        <f t="shared" si="830"/>
        <v/>
      </c>
      <c r="N17380" s="11" t="str">
        <f t="shared" si="831"/>
        <v/>
      </c>
    </row>
    <row r="17381" spans="9:14" x14ac:dyDescent="0.25">
      <c r="I17381" s="11" t="b">
        <f t="shared" si="832"/>
        <v>0</v>
      </c>
      <c r="M17381" s="17" t="str">
        <f t="shared" si="830"/>
        <v/>
      </c>
      <c r="N17381" s="11" t="str">
        <f t="shared" si="831"/>
        <v/>
      </c>
    </row>
    <row r="17382" spans="9:14" x14ac:dyDescent="0.25">
      <c r="I17382" s="11" t="b">
        <f t="shared" si="832"/>
        <v>0</v>
      </c>
      <c r="M17382" s="17" t="str">
        <f t="shared" si="830"/>
        <v/>
      </c>
      <c r="N17382" s="11" t="str">
        <f t="shared" si="831"/>
        <v/>
      </c>
    </row>
    <row r="17383" spans="9:14" x14ac:dyDescent="0.25">
      <c r="I17383" s="11" t="b">
        <f t="shared" si="832"/>
        <v>0</v>
      </c>
      <c r="M17383" s="17" t="str">
        <f t="shared" si="830"/>
        <v/>
      </c>
      <c r="N17383" s="11" t="str">
        <f t="shared" si="831"/>
        <v/>
      </c>
    </row>
    <row r="17384" spans="9:14" x14ac:dyDescent="0.25">
      <c r="I17384" s="11" t="b">
        <f t="shared" si="832"/>
        <v>0</v>
      </c>
      <c r="M17384" s="17" t="str">
        <f t="shared" si="830"/>
        <v/>
      </c>
      <c r="N17384" s="11" t="str">
        <f t="shared" si="831"/>
        <v/>
      </c>
    </row>
    <row r="17385" spans="9:14" x14ac:dyDescent="0.25">
      <c r="I17385" s="11" t="b">
        <f t="shared" si="832"/>
        <v>0</v>
      </c>
      <c r="M17385" s="17" t="str">
        <f t="shared" si="830"/>
        <v/>
      </c>
      <c r="N17385" s="11" t="str">
        <f t="shared" si="831"/>
        <v/>
      </c>
    </row>
    <row r="17386" spans="9:14" x14ac:dyDescent="0.25">
      <c r="I17386" s="11" t="b">
        <f t="shared" si="832"/>
        <v>0</v>
      </c>
      <c r="M17386" s="17" t="str">
        <f t="shared" si="830"/>
        <v/>
      </c>
      <c r="N17386" s="11" t="str">
        <f t="shared" si="831"/>
        <v/>
      </c>
    </row>
    <row r="17387" spans="9:14" x14ac:dyDescent="0.25">
      <c r="I17387" s="11" t="b">
        <f t="shared" si="832"/>
        <v>0</v>
      </c>
      <c r="M17387" s="17" t="str">
        <f t="shared" si="830"/>
        <v/>
      </c>
      <c r="N17387" s="11" t="str">
        <f t="shared" si="831"/>
        <v/>
      </c>
    </row>
    <row r="17388" spans="9:14" x14ac:dyDescent="0.25">
      <c r="I17388" s="11" t="b">
        <f t="shared" si="832"/>
        <v>0</v>
      </c>
      <c r="M17388" s="17" t="str">
        <f t="shared" si="830"/>
        <v/>
      </c>
      <c r="N17388" s="11" t="str">
        <f t="shared" si="831"/>
        <v/>
      </c>
    </row>
    <row r="17389" spans="9:14" x14ac:dyDescent="0.25">
      <c r="I17389" s="11" t="b">
        <f t="shared" si="832"/>
        <v>0</v>
      </c>
      <c r="M17389" s="17" t="str">
        <f t="shared" si="830"/>
        <v/>
      </c>
      <c r="N17389" s="11" t="str">
        <f t="shared" si="831"/>
        <v/>
      </c>
    </row>
    <row r="17390" spans="9:14" x14ac:dyDescent="0.25">
      <c r="I17390" s="11" t="b">
        <f t="shared" si="832"/>
        <v>0</v>
      </c>
      <c r="M17390" s="17" t="str">
        <f t="shared" si="830"/>
        <v/>
      </c>
      <c r="N17390" s="11" t="str">
        <f t="shared" si="831"/>
        <v/>
      </c>
    </row>
    <row r="17391" spans="9:14" x14ac:dyDescent="0.25">
      <c r="I17391" s="11" t="b">
        <f t="shared" si="832"/>
        <v>0</v>
      </c>
      <c r="M17391" s="17" t="str">
        <f t="shared" si="830"/>
        <v/>
      </c>
      <c r="N17391" s="11" t="str">
        <f t="shared" si="831"/>
        <v/>
      </c>
    </row>
    <row r="17392" spans="9:14" x14ac:dyDescent="0.25">
      <c r="I17392" s="11" t="b">
        <f t="shared" si="832"/>
        <v>0</v>
      </c>
      <c r="M17392" s="17" t="str">
        <f t="shared" si="830"/>
        <v/>
      </c>
      <c r="N17392" s="11" t="str">
        <f t="shared" si="831"/>
        <v/>
      </c>
    </row>
    <row r="17393" spans="9:14" x14ac:dyDescent="0.25">
      <c r="I17393" s="11" t="b">
        <f t="shared" si="832"/>
        <v>0</v>
      </c>
      <c r="M17393" s="17" t="str">
        <f t="shared" si="830"/>
        <v/>
      </c>
      <c r="N17393" s="11" t="str">
        <f t="shared" si="831"/>
        <v/>
      </c>
    </row>
    <row r="17394" spans="9:14" x14ac:dyDescent="0.25">
      <c r="I17394" s="11" t="b">
        <f t="shared" si="832"/>
        <v>0</v>
      </c>
      <c r="M17394" s="17" t="str">
        <f t="shared" si="830"/>
        <v/>
      </c>
      <c r="N17394" s="11" t="str">
        <f t="shared" si="831"/>
        <v/>
      </c>
    </row>
    <row r="17395" spans="9:14" x14ac:dyDescent="0.25">
      <c r="I17395" s="11" t="b">
        <f t="shared" si="832"/>
        <v>0</v>
      </c>
      <c r="M17395" s="17" t="str">
        <f t="shared" si="830"/>
        <v/>
      </c>
      <c r="N17395" s="11" t="str">
        <f t="shared" si="831"/>
        <v/>
      </c>
    </row>
    <row r="17396" spans="9:14" x14ac:dyDescent="0.25">
      <c r="I17396" s="11" t="b">
        <f t="shared" si="832"/>
        <v>0</v>
      </c>
      <c r="M17396" s="17" t="str">
        <f t="shared" si="830"/>
        <v/>
      </c>
      <c r="N17396" s="11" t="str">
        <f t="shared" si="831"/>
        <v/>
      </c>
    </row>
    <row r="17397" spans="9:14" x14ac:dyDescent="0.25">
      <c r="I17397" s="11" t="b">
        <f t="shared" si="832"/>
        <v>0</v>
      </c>
      <c r="M17397" s="17" t="str">
        <f t="shared" si="830"/>
        <v/>
      </c>
      <c r="N17397" s="11" t="str">
        <f t="shared" si="831"/>
        <v/>
      </c>
    </row>
    <row r="17398" spans="9:14" x14ac:dyDescent="0.25">
      <c r="I17398" s="11" t="b">
        <f t="shared" si="832"/>
        <v>0</v>
      </c>
      <c r="M17398" s="17" t="str">
        <f t="shared" si="830"/>
        <v/>
      </c>
      <c r="N17398" s="11" t="str">
        <f t="shared" si="831"/>
        <v/>
      </c>
    </row>
    <row r="17399" spans="9:14" x14ac:dyDescent="0.25">
      <c r="I17399" s="11" t="b">
        <f t="shared" si="832"/>
        <v>0</v>
      </c>
      <c r="M17399" s="17" t="str">
        <f t="shared" si="830"/>
        <v/>
      </c>
      <c r="N17399" s="11" t="str">
        <f t="shared" si="831"/>
        <v/>
      </c>
    </row>
    <row r="17400" spans="9:14" x14ac:dyDescent="0.25">
      <c r="I17400" s="11" t="b">
        <f t="shared" si="832"/>
        <v>0</v>
      </c>
      <c r="M17400" s="17" t="str">
        <f t="shared" si="830"/>
        <v/>
      </c>
      <c r="N17400" s="11" t="str">
        <f t="shared" si="831"/>
        <v/>
      </c>
    </row>
    <row r="17401" spans="9:14" x14ac:dyDescent="0.25">
      <c r="I17401" s="11" t="b">
        <f t="shared" si="832"/>
        <v>0</v>
      </c>
      <c r="M17401" s="17" t="str">
        <f t="shared" si="830"/>
        <v/>
      </c>
      <c r="N17401" s="11" t="str">
        <f t="shared" si="831"/>
        <v/>
      </c>
    </row>
    <row r="17402" spans="9:14" x14ac:dyDescent="0.25">
      <c r="I17402" s="11" t="b">
        <f t="shared" si="832"/>
        <v>0</v>
      </c>
      <c r="M17402" s="17" t="str">
        <f t="shared" si="830"/>
        <v/>
      </c>
      <c r="N17402" s="11" t="str">
        <f t="shared" si="831"/>
        <v/>
      </c>
    </row>
    <row r="17403" spans="9:14" x14ac:dyDescent="0.25">
      <c r="I17403" s="11" t="b">
        <f t="shared" si="832"/>
        <v>0</v>
      </c>
      <c r="M17403" s="17" t="str">
        <f t="shared" si="830"/>
        <v/>
      </c>
      <c r="N17403" s="11" t="str">
        <f t="shared" si="831"/>
        <v/>
      </c>
    </row>
    <row r="17404" spans="9:14" x14ac:dyDescent="0.25">
      <c r="I17404" s="11" t="b">
        <f t="shared" si="832"/>
        <v>0</v>
      </c>
      <c r="M17404" s="17" t="str">
        <f t="shared" si="830"/>
        <v/>
      </c>
      <c r="N17404" s="11" t="str">
        <f t="shared" si="831"/>
        <v/>
      </c>
    </row>
    <row r="17405" spans="9:14" x14ac:dyDescent="0.25">
      <c r="I17405" s="11" t="b">
        <f t="shared" si="832"/>
        <v>0</v>
      </c>
      <c r="M17405" s="17" t="str">
        <f t="shared" si="830"/>
        <v/>
      </c>
      <c r="N17405" s="11" t="str">
        <f t="shared" si="831"/>
        <v/>
      </c>
    </row>
    <row r="17406" spans="9:14" x14ac:dyDescent="0.25">
      <c r="I17406" s="11" t="b">
        <f t="shared" si="832"/>
        <v>0</v>
      </c>
      <c r="M17406" s="17" t="str">
        <f t="shared" si="830"/>
        <v/>
      </c>
      <c r="N17406" s="11" t="str">
        <f t="shared" si="831"/>
        <v/>
      </c>
    </row>
    <row r="17407" spans="9:14" x14ac:dyDescent="0.25">
      <c r="I17407" s="11" t="b">
        <f t="shared" si="832"/>
        <v>0</v>
      </c>
      <c r="M17407" s="17" t="str">
        <f t="shared" si="830"/>
        <v/>
      </c>
      <c r="N17407" s="11" t="str">
        <f t="shared" si="831"/>
        <v/>
      </c>
    </row>
    <row r="17408" spans="9:14" x14ac:dyDescent="0.25">
      <c r="I17408" s="11" t="b">
        <f t="shared" si="832"/>
        <v>0</v>
      </c>
      <c r="M17408" s="17" t="str">
        <f t="shared" si="830"/>
        <v/>
      </c>
      <c r="N17408" s="11" t="str">
        <f t="shared" si="831"/>
        <v/>
      </c>
    </row>
    <row r="17409" spans="9:14" x14ac:dyDescent="0.25">
      <c r="I17409" s="11" t="b">
        <f t="shared" si="832"/>
        <v>0</v>
      </c>
      <c r="M17409" s="17" t="str">
        <f t="shared" ref="M17409:M17472" si="833">IF(B17409=0, "",M17408+ J17409-K17409)</f>
        <v/>
      </c>
      <c r="N17409" s="11" t="str">
        <f t="shared" ref="N17409:N17472" si="834">IF(B17409=0, "", MONTH(B17409))</f>
        <v/>
      </c>
    </row>
    <row r="17410" spans="9:14" x14ac:dyDescent="0.25">
      <c r="I17410" s="11" t="b">
        <f t="shared" si="832"/>
        <v>0</v>
      </c>
      <c r="M17410" s="17" t="str">
        <f t="shared" si="833"/>
        <v/>
      </c>
      <c r="N17410" s="11" t="str">
        <f t="shared" si="834"/>
        <v/>
      </c>
    </row>
    <row r="17411" spans="9:14" x14ac:dyDescent="0.25">
      <c r="I17411" s="11" t="b">
        <f t="shared" si="832"/>
        <v>0</v>
      </c>
      <c r="M17411" s="17" t="str">
        <f t="shared" si="833"/>
        <v/>
      </c>
      <c r="N17411" s="11" t="str">
        <f t="shared" si="834"/>
        <v/>
      </c>
    </row>
    <row r="17412" spans="9:14" x14ac:dyDescent="0.25">
      <c r="I17412" s="11" t="b">
        <f t="shared" si="832"/>
        <v>0</v>
      </c>
      <c r="M17412" s="17" t="str">
        <f t="shared" si="833"/>
        <v/>
      </c>
      <c r="N17412" s="11" t="str">
        <f t="shared" si="834"/>
        <v/>
      </c>
    </row>
    <row r="17413" spans="9:14" x14ac:dyDescent="0.25">
      <c r="I17413" s="11" t="b">
        <f t="shared" si="832"/>
        <v>0</v>
      </c>
      <c r="M17413" s="17" t="str">
        <f t="shared" si="833"/>
        <v/>
      </c>
      <c r="N17413" s="11" t="str">
        <f t="shared" si="834"/>
        <v/>
      </c>
    </row>
    <row r="17414" spans="9:14" x14ac:dyDescent="0.25">
      <c r="I17414" s="11" t="b">
        <f t="shared" si="832"/>
        <v>0</v>
      </c>
      <c r="M17414" s="17" t="str">
        <f t="shared" si="833"/>
        <v/>
      </c>
      <c r="N17414" s="11" t="str">
        <f t="shared" si="834"/>
        <v/>
      </c>
    </row>
    <row r="17415" spans="9:14" x14ac:dyDescent="0.25">
      <c r="I17415" s="11" t="b">
        <f t="shared" si="832"/>
        <v>0</v>
      </c>
      <c r="M17415" s="17" t="str">
        <f t="shared" si="833"/>
        <v/>
      </c>
      <c r="N17415" s="11" t="str">
        <f t="shared" si="834"/>
        <v/>
      </c>
    </row>
    <row r="17416" spans="9:14" x14ac:dyDescent="0.25">
      <c r="I17416" s="11" t="b">
        <f t="shared" si="832"/>
        <v>0</v>
      </c>
      <c r="M17416" s="17" t="str">
        <f t="shared" si="833"/>
        <v/>
      </c>
      <c r="N17416" s="11" t="str">
        <f t="shared" si="834"/>
        <v/>
      </c>
    </row>
    <row r="17417" spans="9:14" x14ac:dyDescent="0.25">
      <c r="I17417" s="11" t="b">
        <f t="shared" si="832"/>
        <v>0</v>
      </c>
      <c r="M17417" s="17" t="str">
        <f t="shared" si="833"/>
        <v/>
      </c>
      <c r="N17417" s="11" t="str">
        <f t="shared" si="834"/>
        <v/>
      </c>
    </row>
    <row r="17418" spans="9:14" x14ac:dyDescent="0.25">
      <c r="I17418" s="11" t="b">
        <f t="shared" si="832"/>
        <v>0</v>
      </c>
      <c r="M17418" s="17" t="str">
        <f t="shared" si="833"/>
        <v/>
      </c>
      <c r="N17418" s="11" t="str">
        <f t="shared" si="834"/>
        <v/>
      </c>
    </row>
    <row r="17419" spans="9:14" x14ac:dyDescent="0.25">
      <c r="I17419" s="11" t="b">
        <f t="shared" si="832"/>
        <v>0</v>
      </c>
      <c r="M17419" s="17" t="str">
        <f t="shared" si="833"/>
        <v/>
      </c>
      <c r="N17419" s="11" t="str">
        <f t="shared" si="834"/>
        <v/>
      </c>
    </row>
    <row r="17420" spans="9:14" x14ac:dyDescent="0.25">
      <c r="I17420" s="11" t="b">
        <f t="shared" si="832"/>
        <v>0</v>
      </c>
      <c r="M17420" s="17" t="str">
        <f t="shared" si="833"/>
        <v/>
      </c>
      <c r="N17420" s="11" t="str">
        <f t="shared" si="834"/>
        <v/>
      </c>
    </row>
    <row r="17421" spans="9:14" x14ac:dyDescent="0.25">
      <c r="I17421" s="11" t="b">
        <f t="shared" si="832"/>
        <v>0</v>
      </c>
      <c r="M17421" s="17" t="str">
        <f t="shared" si="833"/>
        <v/>
      </c>
      <c r="N17421" s="11" t="str">
        <f t="shared" si="834"/>
        <v/>
      </c>
    </row>
    <row r="17422" spans="9:14" x14ac:dyDescent="0.25">
      <c r="I17422" s="11" t="b">
        <f t="shared" si="832"/>
        <v>0</v>
      </c>
      <c r="M17422" s="17" t="str">
        <f t="shared" si="833"/>
        <v/>
      </c>
      <c r="N17422" s="11" t="str">
        <f t="shared" si="834"/>
        <v/>
      </c>
    </row>
    <row r="17423" spans="9:14" x14ac:dyDescent="0.25">
      <c r="I17423" s="11" t="b">
        <f t="shared" si="832"/>
        <v>0</v>
      </c>
      <c r="M17423" s="17" t="str">
        <f t="shared" si="833"/>
        <v/>
      </c>
      <c r="N17423" s="11" t="str">
        <f t="shared" si="834"/>
        <v/>
      </c>
    </row>
    <row r="17424" spans="9:14" x14ac:dyDescent="0.25">
      <c r="I17424" s="11" t="b">
        <f t="shared" si="832"/>
        <v>0</v>
      </c>
      <c r="M17424" s="17" t="str">
        <f t="shared" si="833"/>
        <v/>
      </c>
      <c r="N17424" s="11" t="str">
        <f t="shared" si="834"/>
        <v/>
      </c>
    </row>
    <row r="17425" spans="9:14" x14ac:dyDescent="0.25">
      <c r="I17425" s="11" t="b">
        <f t="shared" si="832"/>
        <v>0</v>
      </c>
      <c r="M17425" s="17" t="str">
        <f t="shared" si="833"/>
        <v/>
      </c>
      <c r="N17425" s="11" t="str">
        <f t="shared" si="834"/>
        <v/>
      </c>
    </row>
    <row r="17426" spans="9:14" x14ac:dyDescent="0.25">
      <c r="I17426" s="11" t="b">
        <f t="shared" si="832"/>
        <v>0</v>
      </c>
      <c r="M17426" s="17" t="str">
        <f t="shared" si="833"/>
        <v/>
      </c>
      <c r="N17426" s="11" t="str">
        <f t="shared" si="834"/>
        <v/>
      </c>
    </row>
    <row r="17427" spans="9:14" x14ac:dyDescent="0.25">
      <c r="I17427" s="11" t="b">
        <f t="shared" si="832"/>
        <v>0</v>
      </c>
      <c r="M17427" s="17" t="str">
        <f t="shared" si="833"/>
        <v/>
      </c>
      <c r="N17427" s="11" t="str">
        <f t="shared" si="834"/>
        <v/>
      </c>
    </row>
    <row r="17428" spans="9:14" x14ac:dyDescent="0.25">
      <c r="I17428" s="11" t="b">
        <f t="shared" si="832"/>
        <v>0</v>
      </c>
      <c r="M17428" s="17" t="str">
        <f t="shared" si="833"/>
        <v/>
      </c>
      <c r="N17428" s="11" t="str">
        <f t="shared" si="834"/>
        <v/>
      </c>
    </row>
    <row r="17429" spans="9:14" x14ac:dyDescent="0.25">
      <c r="I17429" s="11" t="b">
        <f t="shared" si="832"/>
        <v>0</v>
      </c>
      <c r="M17429" s="17" t="str">
        <f t="shared" si="833"/>
        <v/>
      </c>
      <c r="N17429" s="11" t="str">
        <f t="shared" si="834"/>
        <v/>
      </c>
    </row>
    <row r="17430" spans="9:14" x14ac:dyDescent="0.25">
      <c r="I17430" s="11" t="b">
        <f t="shared" si="832"/>
        <v>0</v>
      </c>
      <c r="M17430" s="17" t="str">
        <f t="shared" si="833"/>
        <v/>
      </c>
      <c r="N17430" s="11" t="str">
        <f t="shared" si="834"/>
        <v/>
      </c>
    </row>
    <row r="17431" spans="9:14" x14ac:dyDescent="0.25">
      <c r="I17431" s="11" t="b">
        <f t="shared" si="832"/>
        <v>0</v>
      </c>
      <c r="M17431" s="17" t="str">
        <f t="shared" si="833"/>
        <v/>
      </c>
      <c r="N17431" s="11" t="str">
        <f t="shared" si="834"/>
        <v/>
      </c>
    </row>
    <row r="17432" spans="9:14" x14ac:dyDescent="0.25">
      <c r="I17432" s="11" t="b">
        <f t="shared" si="832"/>
        <v>0</v>
      </c>
      <c r="M17432" s="17" t="str">
        <f t="shared" si="833"/>
        <v/>
      </c>
      <c r="N17432" s="11" t="str">
        <f t="shared" si="834"/>
        <v/>
      </c>
    </row>
    <row r="17433" spans="9:14" x14ac:dyDescent="0.25">
      <c r="I17433" s="11" t="b">
        <f t="shared" si="832"/>
        <v>0</v>
      </c>
      <c r="M17433" s="17" t="str">
        <f t="shared" si="833"/>
        <v/>
      </c>
      <c r="N17433" s="11" t="str">
        <f t="shared" si="834"/>
        <v/>
      </c>
    </row>
    <row r="17434" spans="9:14" x14ac:dyDescent="0.25">
      <c r="I17434" s="11" t="b">
        <f t="shared" si="832"/>
        <v>0</v>
      </c>
      <c r="M17434" s="17" t="str">
        <f t="shared" si="833"/>
        <v/>
      </c>
      <c r="N17434" s="11" t="str">
        <f t="shared" si="834"/>
        <v/>
      </c>
    </row>
    <row r="17435" spans="9:14" x14ac:dyDescent="0.25">
      <c r="I17435" s="11" t="b">
        <f t="shared" si="832"/>
        <v>0</v>
      </c>
      <c r="M17435" s="17" t="str">
        <f t="shared" si="833"/>
        <v/>
      </c>
      <c r="N17435" s="11" t="str">
        <f t="shared" si="834"/>
        <v/>
      </c>
    </row>
    <row r="17436" spans="9:14" x14ac:dyDescent="0.25">
      <c r="I17436" s="11" t="b">
        <f t="shared" si="832"/>
        <v>0</v>
      </c>
      <c r="M17436" s="17" t="str">
        <f t="shared" si="833"/>
        <v/>
      </c>
      <c r="N17436" s="11" t="str">
        <f t="shared" si="834"/>
        <v/>
      </c>
    </row>
    <row r="17437" spans="9:14" x14ac:dyDescent="0.25">
      <c r="I17437" s="11" t="b">
        <f t="shared" ref="I17437:I17500" si="835">IF(AND(G17437="MERCADO PAGO",A17437="FATURAMENTO"),1,IF(AND(OR(G17437="MERCADO PAGO",G17437="pix mercado pago",G17437= "débito automático mercado pago", G17437= "boleto mercado pago"),A17437="DESPESAS"),4,IF(AND(G17437="SAFRA",A17437="FATURAMENTO"),2,IF(AND(OR(G17437="SAFRA",G17437="PIX SAFRA", G17437="DÉBITO AUTOMÁTICO SAFRA", G17437= "BOLETO SAFRA", G17437= "transferência safra"), A17437="DESPESAS"),5,IF(AND(G17437="espécie",A17437="FATURAMENTO"),3,IF(AND(G17437="espécie",A17437="DESPESAS"),6))))))</f>
        <v>0</v>
      </c>
      <c r="M17437" s="17" t="str">
        <f t="shared" si="833"/>
        <v/>
      </c>
      <c r="N17437" s="11" t="str">
        <f t="shared" si="834"/>
        <v/>
      </c>
    </row>
    <row r="17438" spans="9:14" x14ac:dyDescent="0.25">
      <c r="I17438" s="11" t="b">
        <f t="shared" si="835"/>
        <v>0</v>
      </c>
      <c r="M17438" s="17" t="str">
        <f t="shared" si="833"/>
        <v/>
      </c>
      <c r="N17438" s="11" t="str">
        <f t="shared" si="834"/>
        <v/>
      </c>
    </row>
    <row r="17439" spans="9:14" x14ac:dyDescent="0.25">
      <c r="I17439" s="11" t="b">
        <f t="shared" si="835"/>
        <v>0</v>
      </c>
      <c r="M17439" s="17" t="str">
        <f t="shared" si="833"/>
        <v/>
      </c>
      <c r="N17439" s="11" t="str">
        <f t="shared" si="834"/>
        <v/>
      </c>
    </row>
    <row r="17440" spans="9:14" x14ac:dyDescent="0.25">
      <c r="I17440" s="11" t="b">
        <f t="shared" si="835"/>
        <v>0</v>
      </c>
      <c r="M17440" s="17" t="str">
        <f t="shared" si="833"/>
        <v/>
      </c>
      <c r="N17440" s="11" t="str">
        <f t="shared" si="834"/>
        <v/>
      </c>
    </row>
    <row r="17441" spans="9:14" x14ac:dyDescent="0.25">
      <c r="I17441" s="11" t="b">
        <f t="shared" si="835"/>
        <v>0</v>
      </c>
      <c r="M17441" s="17" t="str">
        <f t="shared" si="833"/>
        <v/>
      </c>
      <c r="N17441" s="11" t="str">
        <f t="shared" si="834"/>
        <v/>
      </c>
    </row>
    <row r="17442" spans="9:14" x14ac:dyDescent="0.25">
      <c r="I17442" s="11" t="b">
        <f t="shared" si="835"/>
        <v>0</v>
      </c>
      <c r="M17442" s="17" t="str">
        <f t="shared" si="833"/>
        <v/>
      </c>
      <c r="N17442" s="11" t="str">
        <f t="shared" si="834"/>
        <v/>
      </c>
    </row>
    <row r="17443" spans="9:14" x14ac:dyDescent="0.25">
      <c r="I17443" s="11" t="b">
        <f t="shared" si="835"/>
        <v>0</v>
      </c>
      <c r="M17443" s="17" t="str">
        <f t="shared" si="833"/>
        <v/>
      </c>
      <c r="N17443" s="11" t="str">
        <f t="shared" si="834"/>
        <v/>
      </c>
    </row>
    <row r="17444" spans="9:14" x14ac:dyDescent="0.25">
      <c r="I17444" s="11" t="b">
        <f t="shared" si="835"/>
        <v>0</v>
      </c>
      <c r="M17444" s="17" t="str">
        <f t="shared" si="833"/>
        <v/>
      </c>
      <c r="N17444" s="11" t="str">
        <f t="shared" si="834"/>
        <v/>
      </c>
    </row>
    <row r="17445" spans="9:14" x14ac:dyDescent="0.25">
      <c r="I17445" s="11" t="b">
        <f t="shared" si="835"/>
        <v>0</v>
      </c>
      <c r="M17445" s="17" t="str">
        <f t="shared" si="833"/>
        <v/>
      </c>
      <c r="N17445" s="11" t="str">
        <f t="shared" si="834"/>
        <v/>
      </c>
    </row>
    <row r="17446" spans="9:14" x14ac:dyDescent="0.25">
      <c r="I17446" s="11" t="b">
        <f t="shared" si="835"/>
        <v>0</v>
      </c>
      <c r="M17446" s="17" t="str">
        <f t="shared" si="833"/>
        <v/>
      </c>
      <c r="N17446" s="11" t="str">
        <f t="shared" si="834"/>
        <v/>
      </c>
    </row>
    <row r="17447" spans="9:14" x14ac:dyDescent="0.25">
      <c r="I17447" s="11" t="b">
        <f t="shared" si="835"/>
        <v>0</v>
      </c>
      <c r="M17447" s="17" t="str">
        <f t="shared" si="833"/>
        <v/>
      </c>
      <c r="N17447" s="11" t="str">
        <f t="shared" si="834"/>
        <v/>
      </c>
    </row>
    <row r="17448" spans="9:14" x14ac:dyDescent="0.25">
      <c r="I17448" s="11" t="b">
        <f t="shared" si="835"/>
        <v>0</v>
      </c>
      <c r="M17448" s="17" t="str">
        <f t="shared" si="833"/>
        <v/>
      </c>
      <c r="N17448" s="11" t="str">
        <f t="shared" si="834"/>
        <v/>
      </c>
    </row>
    <row r="17449" spans="9:14" x14ac:dyDescent="0.25">
      <c r="I17449" s="11" t="b">
        <f t="shared" si="835"/>
        <v>0</v>
      </c>
      <c r="M17449" s="17" t="str">
        <f t="shared" si="833"/>
        <v/>
      </c>
      <c r="N17449" s="11" t="str">
        <f t="shared" si="834"/>
        <v/>
      </c>
    </row>
    <row r="17450" spans="9:14" x14ac:dyDescent="0.25">
      <c r="I17450" s="11" t="b">
        <f t="shared" si="835"/>
        <v>0</v>
      </c>
      <c r="M17450" s="17" t="str">
        <f t="shared" si="833"/>
        <v/>
      </c>
      <c r="N17450" s="11" t="str">
        <f t="shared" si="834"/>
        <v/>
      </c>
    </row>
    <row r="17451" spans="9:14" x14ac:dyDescent="0.25">
      <c r="I17451" s="11" t="b">
        <f t="shared" si="835"/>
        <v>0</v>
      </c>
      <c r="M17451" s="17" t="str">
        <f t="shared" si="833"/>
        <v/>
      </c>
      <c r="N17451" s="11" t="str">
        <f t="shared" si="834"/>
        <v/>
      </c>
    </row>
    <row r="17452" spans="9:14" x14ac:dyDescent="0.25">
      <c r="I17452" s="11" t="b">
        <f t="shared" si="835"/>
        <v>0</v>
      </c>
      <c r="M17452" s="17" t="str">
        <f t="shared" si="833"/>
        <v/>
      </c>
      <c r="N17452" s="11" t="str">
        <f t="shared" si="834"/>
        <v/>
      </c>
    </row>
    <row r="17453" spans="9:14" x14ac:dyDescent="0.25">
      <c r="I17453" s="11" t="b">
        <f t="shared" si="835"/>
        <v>0</v>
      </c>
      <c r="M17453" s="17" t="str">
        <f t="shared" si="833"/>
        <v/>
      </c>
      <c r="N17453" s="11" t="str">
        <f t="shared" si="834"/>
        <v/>
      </c>
    </row>
    <row r="17454" spans="9:14" x14ac:dyDescent="0.25">
      <c r="I17454" s="11" t="b">
        <f t="shared" si="835"/>
        <v>0</v>
      </c>
      <c r="M17454" s="17" t="str">
        <f t="shared" si="833"/>
        <v/>
      </c>
      <c r="N17454" s="11" t="str">
        <f t="shared" si="834"/>
        <v/>
      </c>
    </row>
    <row r="17455" spans="9:14" x14ac:dyDescent="0.25">
      <c r="I17455" s="11" t="b">
        <f t="shared" si="835"/>
        <v>0</v>
      </c>
      <c r="M17455" s="17" t="str">
        <f t="shared" si="833"/>
        <v/>
      </c>
      <c r="N17455" s="11" t="str">
        <f t="shared" si="834"/>
        <v/>
      </c>
    </row>
    <row r="17456" spans="9:14" x14ac:dyDescent="0.25">
      <c r="I17456" s="11" t="b">
        <f t="shared" si="835"/>
        <v>0</v>
      </c>
      <c r="M17456" s="17" t="str">
        <f t="shared" si="833"/>
        <v/>
      </c>
      <c r="N17456" s="11" t="str">
        <f t="shared" si="834"/>
        <v/>
      </c>
    </row>
    <row r="17457" spans="9:14" x14ac:dyDescent="0.25">
      <c r="I17457" s="11" t="b">
        <f t="shared" si="835"/>
        <v>0</v>
      </c>
      <c r="M17457" s="17" t="str">
        <f t="shared" si="833"/>
        <v/>
      </c>
      <c r="N17457" s="11" t="str">
        <f t="shared" si="834"/>
        <v/>
      </c>
    </row>
    <row r="17458" spans="9:14" x14ac:dyDescent="0.25">
      <c r="I17458" s="11" t="b">
        <f t="shared" si="835"/>
        <v>0</v>
      </c>
      <c r="M17458" s="17" t="str">
        <f t="shared" si="833"/>
        <v/>
      </c>
      <c r="N17458" s="11" t="str">
        <f t="shared" si="834"/>
        <v/>
      </c>
    </row>
    <row r="17459" spans="9:14" x14ac:dyDescent="0.25">
      <c r="I17459" s="11" t="b">
        <f t="shared" si="835"/>
        <v>0</v>
      </c>
      <c r="M17459" s="17" t="str">
        <f t="shared" si="833"/>
        <v/>
      </c>
      <c r="N17459" s="11" t="str">
        <f t="shared" si="834"/>
        <v/>
      </c>
    </row>
    <row r="17460" spans="9:14" x14ac:dyDescent="0.25">
      <c r="I17460" s="11" t="b">
        <f t="shared" si="835"/>
        <v>0</v>
      </c>
      <c r="M17460" s="17" t="str">
        <f t="shared" si="833"/>
        <v/>
      </c>
      <c r="N17460" s="11" t="str">
        <f t="shared" si="834"/>
        <v/>
      </c>
    </row>
    <row r="17461" spans="9:14" x14ac:dyDescent="0.25">
      <c r="I17461" s="11" t="b">
        <f t="shared" si="835"/>
        <v>0</v>
      </c>
      <c r="M17461" s="17" t="str">
        <f t="shared" si="833"/>
        <v/>
      </c>
      <c r="N17461" s="11" t="str">
        <f t="shared" si="834"/>
        <v/>
      </c>
    </row>
    <row r="17462" spans="9:14" x14ac:dyDescent="0.25">
      <c r="I17462" s="11" t="b">
        <f t="shared" si="835"/>
        <v>0</v>
      </c>
      <c r="M17462" s="17" t="str">
        <f t="shared" si="833"/>
        <v/>
      </c>
      <c r="N17462" s="11" t="str">
        <f t="shared" si="834"/>
        <v/>
      </c>
    </row>
    <row r="17463" spans="9:14" x14ac:dyDescent="0.25">
      <c r="I17463" s="11" t="b">
        <f t="shared" si="835"/>
        <v>0</v>
      </c>
      <c r="M17463" s="17" t="str">
        <f t="shared" si="833"/>
        <v/>
      </c>
      <c r="N17463" s="11" t="str">
        <f t="shared" si="834"/>
        <v/>
      </c>
    </row>
    <row r="17464" spans="9:14" x14ac:dyDescent="0.25">
      <c r="I17464" s="11" t="b">
        <f t="shared" si="835"/>
        <v>0</v>
      </c>
      <c r="M17464" s="17" t="str">
        <f t="shared" si="833"/>
        <v/>
      </c>
      <c r="N17464" s="11" t="str">
        <f t="shared" si="834"/>
        <v/>
      </c>
    </row>
    <row r="17465" spans="9:14" x14ac:dyDescent="0.25">
      <c r="I17465" s="11" t="b">
        <f t="shared" si="835"/>
        <v>0</v>
      </c>
      <c r="M17465" s="17" t="str">
        <f t="shared" si="833"/>
        <v/>
      </c>
      <c r="N17465" s="11" t="str">
        <f t="shared" si="834"/>
        <v/>
      </c>
    </row>
    <row r="17466" spans="9:14" x14ac:dyDescent="0.25">
      <c r="I17466" s="11" t="b">
        <f t="shared" si="835"/>
        <v>0</v>
      </c>
      <c r="M17466" s="17" t="str">
        <f t="shared" si="833"/>
        <v/>
      </c>
      <c r="N17466" s="11" t="str">
        <f t="shared" si="834"/>
        <v/>
      </c>
    </row>
    <row r="17467" spans="9:14" x14ac:dyDescent="0.25">
      <c r="I17467" s="11" t="b">
        <f t="shared" si="835"/>
        <v>0</v>
      </c>
      <c r="M17467" s="17" t="str">
        <f t="shared" si="833"/>
        <v/>
      </c>
      <c r="N17467" s="11" t="str">
        <f t="shared" si="834"/>
        <v/>
      </c>
    </row>
    <row r="17468" spans="9:14" x14ac:dyDescent="0.25">
      <c r="I17468" s="11" t="b">
        <f t="shared" si="835"/>
        <v>0</v>
      </c>
      <c r="M17468" s="17" t="str">
        <f t="shared" si="833"/>
        <v/>
      </c>
      <c r="N17468" s="11" t="str">
        <f t="shared" si="834"/>
        <v/>
      </c>
    </row>
    <row r="17469" spans="9:14" x14ac:dyDescent="0.25">
      <c r="I17469" s="11" t="b">
        <f t="shared" si="835"/>
        <v>0</v>
      </c>
      <c r="M17469" s="17" t="str">
        <f t="shared" si="833"/>
        <v/>
      </c>
      <c r="N17469" s="11" t="str">
        <f t="shared" si="834"/>
        <v/>
      </c>
    </row>
    <row r="17470" spans="9:14" x14ac:dyDescent="0.25">
      <c r="I17470" s="11" t="b">
        <f t="shared" si="835"/>
        <v>0</v>
      </c>
      <c r="M17470" s="17" t="str">
        <f t="shared" si="833"/>
        <v/>
      </c>
      <c r="N17470" s="11" t="str">
        <f t="shared" si="834"/>
        <v/>
      </c>
    </row>
    <row r="17471" spans="9:14" x14ac:dyDescent="0.25">
      <c r="I17471" s="11" t="b">
        <f t="shared" si="835"/>
        <v>0</v>
      </c>
      <c r="M17471" s="17" t="str">
        <f t="shared" si="833"/>
        <v/>
      </c>
      <c r="N17471" s="11" t="str">
        <f t="shared" si="834"/>
        <v/>
      </c>
    </row>
    <row r="17472" spans="9:14" x14ac:dyDescent="0.25">
      <c r="I17472" s="11" t="b">
        <f t="shared" si="835"/>
        <v>0</v>
      </c>
      <c r="M17472" s="17" t="str">
        <f t="shared" si="833"/>
        <v/>
      </c>
      <c r="N17472" s="11" t="str">
        <f t="shared" si="834"/>
        <v/>
      </c>
    </row>
    <row r="17473" spans="9:14" x14ac:dyDescent="0.25">
      <c r="I17473" s="11" t="b">
        <f t="shared" si="835"/>
        <v>0</v>
      </c>
      <c r="M17473" s="17" t="str">
        <f t="shared" ref="M17473:M17536" si="836">IF(B17473=0, "",M17472+ J17473-K17473)</f>
        <v/>
      </c>
      <c r="N17473" s="11" t="str">
        <f t="shared" ref="N17473:N17536" si="837">IF(B17473=0, "", MONTH(B17473))</f>
        <v/>
      </c>
    </row>
    <row r="17474" spans="9:14" x14ac:dyDescent="0.25">
      <c r="I17474" s="11" t="b">
        <f t="shared" si="835"/>
        <v>0</v>
      </c>
      <c r="M17474" s="17" t="str">
        <f t="shared" si="836"/>
        <v/>
      </c>
      <c r="N17474" s="11" t="str">
        <f t="shared" si="837"/>
        <v/>
      </c>
    </row>
    <row r="17475" spans="9:14" x14ac:dyDescent="0.25">
      <c r="I17475" s="11" t="b">
        <f t="shared" si="835"/>
        <v>0</v>
      </c>
      <c r="M17475" s="17" t="str">
        <f t="shared" si="836"/>
        <v/>
      </c>
      <c r="N17475" s="11" t="str">
        <f t="shared" si="837"/>
        <v/>
      </c>
    </row>
    <row r="17476" spans="9:14" x14ac:dyDescent="0.25">
      <c r="I17476" s="11" t="b">
        <f t="shared" si="835"/>
        <v>0</v>
      </c>
      <c r="M17476" s="17" t="str">
        <f t="shared" si="836"/>
        <v/>
      </c>
      <c r="N17476" s="11" t="str">
        <f t="shared" si="837"/>
        <v/>
      </c>
    </row>
    <row r="17477" spans="9:14" x14ac:dyDescent="0.25">
      <c r="I17477" s="11" t="b">
        <f t="shared" si="835"/>
        <v>0</v>
      </c>
      <c r="M17477" s="17" t="str">
        <f t="shared" si="836"/>
        <v/>
      </c>
      <c r="N17477" s="11" t="str">
        <f t="shared" si="837"/>
        <v/>
      </c>
    </row>
    <row r="17478" spans="9:14" x14ac:dyDescent="0.25">
      <c r="I17478" s="11" t="b">
        <f t="shared" si="835"/>
        <v>0</v>
      </c>
      <c r="M17478" s="17" t="str">
        <f t="shared" si="836"/>
        <v/>
      </c>
      <c r="N17478" s="11" t="str">
        <f t="shared" si="837"/>
        <v/>
      </c>
    </row>
    <row r="17479" spans="9:14" x14ac:dyDescent="0.25">
      <c r="I17479" s="11" t="b">
        <f t="shared" si="835"/>
        <v>0</v>
      </c>
      <c r="M17479" s="17" t="str">
        <f t="shared" si="836"/>
        <v/>
      </c>
      <c r="N17479" s="11" t="str">
        <f t="shared" si="837"/>
        <v/>
      </c>
    </row>
    <row r="17480" spans="9:14" x14ac:dyDescent="0.25">
      <c r="I17480" s="11" t="b">
        <f t="shared" si="835"/>
        <v>0</v>
      </c>
      <c r="M17480" s="17" t="str">
        <f t="shared" si="836"/>
        <v/>
      </c>
      <c r="N17480" s="11" t="str">
        <f t="shared" si="837"/>
        <v/>
      </c>
    </row>
    <row r="17481" spans="9:14" x14ac:dyDescent="0.25">
      <c r="I17481" s="11" t="b">
        <f t="shared" si="835"/>
        <v>0</v>
      </c>
      <c r="M17481" s="17" t="str">
        <f t="shared" si="836"/>
        <v/>
      </c>
      <c r="N17481" s="11" t="str">
        <f t="shared" si="837"/>
        <v/>
      </c>
    </row>
    <row r="17482" spans="9:14" x14ac:dyDescent="0.25">
      <c r="I17482" s="11" t="b">
        <f t="shared" si="835"/>
        <v>0</v>
      </c>
      <c r="M17482" s="17" t="str">
        <f t="shared" si="836"/>
        <v/>
      </c>
      <c r="N17482" s="11" t="str">
        <f t="shared" si="837"/>
        <v/>
      </c>
    </row>
    <row r="17483" spans="9:14" x14ac:dyDescent="0.25">
      <c r="I17483" s="11" t="b">
        <f t="shared" si="835"/>
        <v>0</v>
      </c>
      <c r="M17483" s="17" t="str">
        <f t="shared" si="836"/>
        <v/>
      </c>
      <c r="N17483" s="11" t="str">
        <f t="shared" si="837"/>
        <v/>
      </c>
    </row>
    <row r="17484" spans="9:14" x14ac:dyDescent="0.25">
      <c r="I17484" s="11" t="b">
        <f t="shared" si="835"/>
        <v>0</v>
      </c>
      <c r="M17484" s="17" t="str">
        <f t="shared" si="836"/>
        <v/>
      </c>
      <c r="N17484" s="11" t="str">
        <f t="shared" si="837"/>
        <v/>
      </c>
    </row>
    <row r="17485" spans="9:14" x14ac:dyDescent="0.25">
      <c r="I17485" s="11" t="b">
        <f t="shared" si="835"/>
        <v>0</v>
      </c>
      <c r="M17485" s="17" t="str">
        <f t="shared" si="836"/>
        <v/>
      </c>
      <c r="N17485" s="11" t="str">
        <f t="shared" si="837"/>
        <v/>
      </c>
    </row>
    <row r="17486" spans="9:14" x14ac:dyDescent="0.25">
      <c r="I17486" s="11" t="b">
        <f t="shared" si="835"/>
        <v>0</v>
      </c>
      <c r="M17486" s="17" t="str">
        <f t="shared" si="836"/>
        <v/>
      </c>
      <c r="N17486" s="11" t="str">
        <f t="shared" si="837"/>
        <v/>
      </c>
    </row>
    <row r="17487" spans="9:14" x14ac:dyDescent="0.25">
      <c r="I17487" s="11" t="b">
        <f t="shared" si="835"/>
        <v>0</v>
      </c>
      <c r="M17487" s="17" t="str">
        <f t="shared" si="836"/>
        <v/>
      </c>
      <c r="N17487" s="11" t="str">
        <f t="shared" si="837"/>
        <v/>
      </c>
    </row>
    <row r="17488" spans="9:14" x14ac:dyDescent="0.25">
      <c r="I17488" s="11" t="b">
        <f t="shared" si="835"/>
        <v>0</v>
      </c>
      <c r="M17488" s="17" t="str">
        <f t="shared" si="836"/>
        <v/>
      </c>
      <c r="N17488" s="11" t="str">
        <f t="shared" si="837"/>
        <v/>
      </c>
    </row>
    <row r="17489" spans="9:14" x14ac:dyDescent="0.25">
      <c r="I17489" s="11" t="b">
        <f t="shared" si="835"/>
        <v>0</v>
      </c>
      <c r="M17489" s="17" t="str">
        <f t="shared" si="836"/>
        <v/>
      </c>
      <c r="N17489" s="11" t="str">
        <f t="shared" si="837"/>
        <v/>
      </c>
    </row>
    <row r="17490" spans="9:14" x14ac:dyDescent="0.25">
      <c r="I17490" s="11" t="b">
        <f t="shared" si="835"/>
        <v>0</v>
      </c>
      <c r="M17490" s="17" t="str">
        <f t="shared" si="836"/>
        <v/>
      </c>
      <c r="N17490" s="11" t="str">
        <f t="shared" si="837"/>
        <v/>
      </c>
    </row>
    <row r="17491" spans="9:14" x14ac:dyDescent="0.25">
      <c r="I17491" s="11" t="b">
        <f t="shared" si="835"/>
        <v>0</v>
      </c>
      <c r="M17491" s="17" t="str">
        <f t="shared" si="836"/>
        <v/>
      </c>
      <c r="N17491" s="11" t="str">
        <f t="shared" si="837"/>
        <v/>
      </c>
    </row>
    <row r="17492" spans="9:14" x14ac:dyDescent="0.25">
      <c r="I17492" s="11" t="b">
        <f t="shared" si="835"/>
        <v>0</v>
      </c>
      <c r="M17492" s="17" t="str">
        <f t="shared" si="836"/>
        <v/>
      </c>
      <c r="N17492" s="11" t="str">
        <f t="shared" si="837"/>
        <v/>
      </c>
    </row>
    <row r="17493" spans="9:14" x14ac:dyDescent="0.25">
      <c r="I17493" s="11" t="b">
        <f t="shared" si="835"/>
        <v>0</v>
      </c>
      <c r="M17493" s="17" t="str">
        <f t="shared" si="836"/>
        <v/>
      </c>
      <c r="N17493" s="11" t="str">
        <f t="shared" si="837"/>
        <v/>
      </c>
    </row>
    <row r="17494" spans="9:14" x14ac:dyDescent="0.25">
      <c r="I17494" s="11" t="b">
        <f t="shared" si="835"/>
        <v>0</v>
      </c>
      <c r="M17494" s="17" t="str">
        <f t="shared" si="836"/>
        <v/>
      </c>
      <c r="N17494" s="11" t="str">
        <f t="shared" si="837"/>
        <v/>
      </c>
    </row>
    <row r="17495" spans="9:14" x14ac:dyDescent="0.25">
      <c r="I17495" s="11" t="b">
        <f t="shared" si="835"/>
        <v>0</v>
      </c>
      <c r="M17495" s="17" t="str">
        <f t="shared" si="836"/>
        <v/>
      </c>
      <c r="N17495" s="11" t="str">
        <f t="shared" si="837"/>
        <v/>
      </c>
    </row>
    <row r="17496" spans="9:14" x14ac:dyDescent="0.25">
      <c r="I17496" s="11" t="b">
        <f t="shared" si="835"/>
        <v>0</v>
      </c>
      <c r="M17496" s="17" t="str">
        <f t="shared" si="836"/>
        <v/>
      </c>
      <c r="N17496" s="11" t="str">
        <f t="shared" si="837"/>
        <v/>
      </c>
    </row>
    <row r="17497" spans="9:14" x14ac:dyDescent="0.25">
      <c r="I17497" s="11" t="b">
        <f t="shared" si="835"/>
        <v>0</v>
      </c>
      <c r="M17497" s="17" t="str">
        <f t="shared" si="836"/>
        <v/>
      </c>
      <c r="N17497" s="11" t="str">
        <f t="shared" si="837"/>
        <v/>
      </c>
    </row>
    <row r="17498" spans="9:14" x14ac:dyDescent="0.25">
      <c r="I17498" s="11" t="b">
        <f t="shared" si="835"/>
        <v>0</v>
      </c>
      <c r="M17498" s="17" t="str">
        <f t="shared" si="836"/>
        <v/>
      </c>
      <c r="N17498" s="11" t="str">
        <f t="shared" si="837"/>
        <v/>
      </c>
    </row>
    <row r="17499" spans="9:14" x14ac:dyDescent="0.25">
      <c r="I17499" s="11" t="b">
        <f t="shared" si="835"/>
        <v>0</v>
      </c>
      <c r="M17499" s="17" t="str">
        <f t="shared" si="836"/>
        <v/>
      </c>
      <c r="N17499" s="11" t="str">
        <f t="shared" si="837"/>
        <v/>
      </c>
    </row>
    <row r="17500" spans="9:14" x14ac:dyDescent="0.25">
      <c r="I17500" s="11" t="b">
        <f t="shared" si="835"/>
        <v>0</v>
      </c>
      <c r="M17500" s="17" t="str">
        <f t="shared" si="836"/>
        <v/>
      </c>
      <c r="N17500" s="11" t="str">
        <f t="shared" si="837"/>
        <v/>
      </c>
    </row>
    <row r="17501" spans="9:14" x14ac:dyDescent="0.25">
      <c r="I17501" s="11" t="b">
        <f t="shared" ref="I17501:I17564" si="838">IF(AND(G17501="MERCADO PAGO",A17501="FATURAMENTO"),1,IF(AND(OR(G17501="MERCADO PAGO",G17501="pix mercado pago",G17501= "débito automático mercado pago", G17501= "boleto mercado pago"),A17501="DESPESAS"),4,IF(AND(G17501="SAFRA",A17501="FATURAMENTO"),2,IF(AND(OR(G17501="SAFRA",G17501="PIX SAFRA", G17501="DÉBITO AUTOMÁTICO SAFRA", G17501= "BOLETO SAFRA", G17501= "transferência safra"), A17501="DESPESAS"),5,IF(AND(G17501="espécie",A17501="FATURAMENTO"),3,IF(AND(G17501="espécie",A17501="DESPESAS"),6))))))</f>
        <v>0</v>
      </c>
      <c r="M17501" s="17" t="str">
        <f t="shared" si="836"/>
        <v/>
      </c>
      <c r="N17501" s="11" t="str">
        <f t="shared" si="837"/>
        <v/>
      </c>
    </row>
    <row r="17502" spans="9:14" x14ac:dyDescent="0.25">
      <c r="I17502" s="11" t="b">
        <f t="shared" si="838"/>
        <v>0</v>
      </c>
      <c r="M17502" s="17" t="str">
        <f t="shared" si="836"/>
        <v/>
      </c>
      <c r="N17502" s="11" t="str">
        <f t="shared" si="837"/>
        <v/>
      </c>
    </row>
    <row r="17503" spans="9:14" x14ac:dyDescent="0.25">
      <c r="I17503" s="11" t="b">
        <f t="shared" si="838"/>
        <v>0</v>
      </c>
      <c r="M17503" s="17" t="str">
        <f t="shared" si="836"/>
        <v/>
      </c>
      <c r="N17503" s="11" t="str">
        <f t="shared" si="837"/>
        <v/>
      </c>
    </row>
    <row r="17504" spans="9:14" x14ac:dyDescent="0.25">
      <c r="I17504" s="11" t="b">
        <f t="shared" si="838"/>
        <v>0</v>
      </c>
      <c r="M17504" s="17" t="str">
        <f t="shared" si="836"/>
        <v/>
      </c>
      <c r="N17504" s="11" t="str">
        <f t="shared" si="837"/>
        <v/>
      </c>
    </row>
    <row r="17505" spans="9:14" x14ac:dyDescent="0.25">
      <c r="I17505" s="11" t="b">
        <f t="shared" si="838"/>
        <v>0</v>
      </c>
      <c r="M17505" s="17" t="str">
        <f t="shared" si="836"/>
        <v/>
      </c>
      <c r="N17505" s="11" t="str">
        <f t="shared" si="837"/>
        <v/>
      </c>
    </row>
    <row r="17506" spans="9:14" x14ac:dyDescent="0.25">
      <c r="I17506" s="11" t="b">
        <f t="shared" si="838"/>
        <v>0</v>
      </c>
      <c r="M17506" s="17" t="str">
        <f t="shared" si="836"/>
        <v/>
      </c>
      <c r="N17506" s="11" t="str">
        <f t="shared" si="837"/>
        <v/>
      </c>
    </row>
    <row r="17507" spans="9:14" x14ac:dyDescent="0.25">
      <c r="I17507" s="11" t="b">
        <f t="shared" si="838"/>
        <v>0</v>
      </c>
      <c r="M17507" s="17" t="str">
        <f t="shared" si="836"/>
        <v/>
      </c>
      <c r="N17507" s="11" t="str">
        <f t="shared" si="837"/>
        <v/>
      </c>
    </row>
    <row r="17508" spans="9:14" x14ac:dyDescent="0.25">
      <c r="I17508" s="11" t="b">
        <f t="shared" si="838"/>
        <v>0</v>
      </c>
      <c r="M17508" s="17" t="str">
        <f t="shared" si="836"/>
        <v/>
      </c>
      <c r="N17508" s="11" t="str">
        <f t="shared" si="837"/>
        <v/>
      </c>
    </row>
    <row r="17509" spans="9:14" x14ac:dyDescent="0.25">
      <c r="I17509" s="11" t="b">
        <f t="shared" si="838"/>
        <v>0</v>
      </c>
      <c r="M17509" s="17" t="str">
        <f t="shared" si="836"/>
        <v/>
      </c>
      <c r="N17509" s="11" t="str">
        <f t="shared" si="837"/>
        <v/>
      </c>
    </row>
    <row r="17510" spans="9:14" x14ac:dyDescent="0.25">
      <c r="I17510" s="11" t="b">
        <f t="shared" si="838"/>
        <v>0</v>
      </c>
      <c r="M17510" s="17" t="str">
        <f t="shared" si="836"/>
        <v/>
      </c>
      <c r="N17510" s="11" t="str">
        <f t="shared" si="837"/>
        <v/>
      </c>
    </row>
    <row r="17511" spans="9:14" x14ac:dyDescent="0.25">
      <c r="I17511" s="11" t="b">
        <f t="shared" si="838"/>
        <v>0</v>
      </c>
      <c r="M17511" s="17" t="str">
        <f t="shared" si="836"/>
        <v/>
      </c>
      <c r="N17511" s="11" t="str">
        <f t="shared" si="837"/>
        <v/>
      </c>
    </row>
    <row r="17512" spans="9:14" x14ac:dyDescent="0.25">
      <c r="I17512" s="11" t="b">
        <f t="shared" si="838"/>
        <v>0</v>
      </c>
      <c r="M17512" s="17" t="str">
        <f t="shared" si="836"/>
        <v/>
      </c>
      <c r="N17512" s="11" t="str">
        <f t="shared" si="837"/>
        <v/>
      </c>
    </row>
    <row r="17513" spans="9:14" x14ac:dyDescent="0.25">
      <c r="I17513" s="11" t="b">
        <f t="shared" si="838"/>
        <v>0</v>
      </c>
      <c r="M17513" s="17" t="str">
        <f t="shared" si="836"/>
        <v/>
      </c>
      <c r="N17513" s="11" t="str">
        <f t="shared" si="837"/>
        <v/>
      </c>
    </row>
    <row r="17514" spans="9:14" x14ac:dyDescent="0.25">
      <c r="I17514" s="11" t="b">
        <f t="shared" si="838"/>
        <v>0</v>
      </c>
      <c r="M17514" s="17" t="str">
        <f t="shared" si="836"/>
        <v/>
      </c>
      <c r="N17514" s="11" t="str">
        <f t="shared" si="837"/>
        <v/>
      </c>
    </row>
    <row r="17515" spans="9:14" x14ac:dyDescent="0.25">
      <c r="I17515" s="11" t="b">
        <f t="shared" si="838"/>
        <v>0</v>
      </c>
      <c r="M17515" s="17" t="str">
        <f t="shared" si="836"/>
        <v/>
      </c>
      <c r="N17515" s="11" t="str">
        <f t="shared" si="837"/>
        <v/>
      </c>
    </row>
    <row r="17516" spans="9:14" x14ac:dyDescent="0.25">
      <c r="I17516" s="11" t="b">
        <f t="shared" si="838"/>
        <v>0</v>
      </c>
      <c r="M17516" s="17" t="str">
        <f t="shared" si="836"/>
        <v/>
      </c>
      <c r="N17516" s="11" t="str">
        <f t="shared" si="837"/>
        <v/>
      </c>
    </row>
    <row r="17517" spans="9:14" x14ac:dyDescent="0.25">
      <c r="I17517" s="11" t="b">
        <f t="shared" si="838"/>
        <v>0</v>
      </c>
      <c r="M17517" s="17" t="str">
        <f t="shared" si="836"/>
        <v/>
      </c>
      <c r="N17517" s="11" t="str">
        <f t="shared" si="837"/>
        <v/>
      </c>
    </row>
    <row r="17518" spans="9:14" x14ac:dyDescent="0.25">
      <c r="I17518" s="11" t="b">
        <f t="shared" si="838"/>
        <v>0</v>
      </c>
      <c r="M17518" s="17" t="str">
        <f t="shared" si="836"/>
        <v/>
      </c>
      <c r="N17518" s="11" t="str">
        <f t="shared" si="837"/>
        <v/>
      </c>
    </row>
    <row r="17519" spans="9:14" x14ac:dyDescent="0.25">
      <c r="I17519" s="11" t="b">
        <f t="shared" si="838"/>
        <v>0</v>
      </c>
      <c r="M17519" s="17" t="str">
        <f t="shared" si="836"/>
        <v/>
      </c>
      <c r="N17519" s="11" t="str">
        <f t="shared" si="837"/>
        <v/>
      </c>
    </row>
    <row r="17520" spans="9:14" x14ac:dyDescent="0.25">
      <c r="I17520" s="11" t="b">
        <f t="shared" si="838"/>
        <v>0</v>
      </c>
      <c r="M17520" s="17" t="str">
        <f t="shared" si="836"/>
        <v/>
      </c>
      <c r="N17520" s="11" t="str">
        <f t="shared" si="837"/>
        <v/>
      </c>
    </row>
    <row r="17521" spans="9:14" x14ac:dyDescent="0.25">
      <c r="I17521" s="11" t="b">
        <f t="shared" si="838"/>
        <v>0</v>
      </c>
      <c r="M17521" s="17" t="str">
        <f t="shared" si="836"/>
        <v/>
      </c>
      <c r="N17521" s="11" t="str">
        <f t="shared" si="837"/>
        <v/>
      </c>
    </row>
    <row r="17522" spans="9:14" x14ac:dyDescent="0.25">
      <c r="I17522" s="11" t="b">
        <f t="shared" si="838"/>
        <v>0</v>
      </c>
      <c r="M17522" s="17" t="str">
        <f t="shared" si="836"/>
        <v/>
      </c>
      <c r="N17522" s="11" t="str">
        <f t="shared" si="837"/>
        <v/>
      </c>
    </row>
    <row r="17523" spans="9:14" x14ac:dyDescent="0.25">
      <c r="I17523" s="11" t="b">
        <f t="shared" si="838"/>
        <v>0</v>
      </c>
      <c r="M17523" s="17" t="str">
        <f t="shared" si="836"/>
        <v/>
      </c>
      <c r="N17523" s="11" t="str">
        <f t="shared" si="837"/>
        <v/>
      </c>
    </row>
    <row r="17524" spans="9:14" x14ac:dyDescent="0.25">
      <c r="I17524" s="11" t="b">
        <f t="shared" si="838"/>
        <v>0</v>
      </c>
      <c r="M17524" s="17" t="str">
        <f t="shared" si="836"/>
        <v/>
      </c>
      <c r="N17524" s="11" t="str">
        <f t="shared" si="837"/>
        <v/>
      </c>
    </row>
    <row r="17525" spans="9:14" x14ac:dyDescent="0.25">
      <c r="I17525" s="11" t="b">
        <f t="shared" si="838"/>
        <v>0</v>
      </c>
      <c r="M17525" s="17" t="str">
        <f t="shared" si="836"/>
        <v/>
      </c>
      <c r="N17525" s="11" t="str">
        <f t="shared" si="837"/>
        <v/>
      </c>
    </row>
    <row r="17526" spans="9:14" x14ac:dyDescent="0.25">
      <c r="I17526" s="11" t="b">
        <f t="shared" si="838"/>
        <v>0</v>
      </c>
      <c r="M17526" s="17" t="str">
        <f t="shared" si="836"/>
        <v/>
      </c>
      <c r="N17526" s="11" t="str">
        <f t="shared" si="837"/>
        <v/>
      </c>
    </row>
    <row r="17527" spans="9:14" x14ac:dyDescent="0.25">
      <c r="I17527" s="11" t="b">
        <f t="shared" si="838"/>
        <v>0</v>
      </c>
      <c r="M17527" s="17" t="str">
        <f t="shared" si="836"/>
        <v/>
      </c>
      <c r="N17527" s="11" t="str">
        <f t="shared" si="837"/>
        <v/>
      </c>
    </row>
    <row r="17528" spans="9:14" x14ac:dyDescent="0.25">
      <c r="I17528" s="11" t="b">
        <f t="shared" si="838"/>
        <v>0</v>
      </c>
      <c r="M17528" s="17" t="str">
        <f t="shared" si="836"/>
        <v/>
      </c>
      <c r="N17528" s="11" t="str">
        <f t="shared" si="837"/>
        <v/>
      </c>
    </row>
    <row r="17529" spans="9:14" x14ac:dyDescent="0.25">
      <c r="I17529" s="11" t="b">
        <f t="shared" si="838"/>
        <v>0</v>
      </c>
      <c r="M17529" s="17" t="str">
        <f t="shared" si="836"/>
        <v/>
      </c>
      <c r="N17529" s="11" t="str">
        <f t="shared" si="837"/>
        <v/>
      </c>
    </row>
    <row r="17530" spans="9:14" x14ac:dyDescent="0.25">
      <c r="I17530" s="11" t="b">
        <f t="shared" si="838"/>
        <v>0</v>
      </c>
      <c r="M17530" s="17" t="str">
        <f t="shared" si="836"/>
        <v/>
      </c>
      <c r="N17530" s="11" t="str">
        <f t="shared" si="837"/>
        <v/>
      </c>
    </row>
    <row r="17531" spans="9:14" x14ac:dyDescent="0.25">
      <c r="I17531" s="11" t="b">
        <f t="shared" si="838"/>
        <v>0</v>
      </c>
      <c r="M17531" s="17" t="str">
        <f t="shared" si="836"/>
        <v/>
      </c>
      <c r="N17531" s="11" t="str">
        <f t="shared" si="837"/>
        <v/>
      </c>
    </row>
    <row r="17532" spans="9:14" x14ac:dyDescent="0.25">
      <c r="I17532" s="11" t="b">
        <f t="shared" si="838"/>
        <v>0</v>
      </c>
      <c r="M17532" s="17" t="str">
        <f t="shared" si="836"/>
        <v/>
      </c>
      <c r="N17532" s="11" t="str">
        <f t="shared" si="837"/>
        <v/>
      </c>
    </row>
    <row r="17533" spans="9:14" x14ac:dyDescent="0.25">
      <c r="I17533" s="11" t="b">
        <f t="shared" si="838"/>
        <v>0</v>
      </c>
      <c r="M17533" s="17" t="str">
        <f t="shared" si="836"/>
        <v/>
      </c>
      <c r="N17533" s="11" t="str">
        <f t="shared" si="837"/>
        <v/>
      </c>
    </row>
    <row r="17534" spans="9:14" x14ac:dyDescent="0.25">
      <c r="I17534" s="11" t="b">
        <f t="shared" si="838"/>
        <v>0</v>
      </c>
      <c r="M17534" s="17" t="str">
        <f t="shared" si="836"/>
        <v/>
      </c>
      <c r="N17534" s="11" t="str">
        <f t="shared" si="837"/>
        <v/>
      </c>
    </row>
    <row r="17535" spans="9:14" x14ac:dyDescent="0.25">
      <c r="I17535" s="11" t="b">
        <f t="shared" si="838"/>
        <v>0</v>
      </c>
      <c r="M17535" s="17" t="str">
        <f t="shared" si="836"/>
        <v/>
      </c>
      <c r="N17535" s="11" t="str">
        <f t="shared" si="837"/>
        <v/>
      </c>
    </row>
    <row r="17536" spans="9:14" x14ac:dyDescent="0.25">
      <c r="I17536" s="11" t="b">
        <f t="shared" si="838"/>
        <v>0</v>
      </c>
      <c r="M17536" s="17" t="str">
        <f t="shared" si="836"/>
        <v/>
      </c>
      <c r="N17536" s="11" t="str">
        <f t="shared" si="837"/>
        <v/>
      </c>
    </row>
    <row r="17537" spans="9:14" x14ac:dyDescent="0.25">
      <c r="I17537" s="11" t="b">
        <f t="shared" si="838"/>
        <v>0</v>
      </c>
      <c r="M17537" s="17" t="str">
        <f t="shared" ref="M17537:M17600" si="839">IF(B17537=0, "",M17536+ J17537-K17537)</f>
        <v/>
      </c>
      <c r="N17537" s="11" t="str">
        <f t="shared" ref="N17537:N17600" si="840">IF(B17537=0, "", MONTH(B17537))</f>
        <v/>
      </c>
    </row>
    <row r="17538" spans="9:14" x14ac:dyDescent="0.25">
      <c r="I17538" s="11" t="b">
        <f t="shared" si="838"/>
        <v>0</v>
      </c>
      <c r="M17538" s="17" t="str">
        <f t="shared" si="839"/>
        <v/>
      </c>
      <c r="N17538" s="11" t="str">
        <f t="shared" si="840"/>
        <v/>
      </c>
    </row>
    <row r="17539" spans="9:14" x14ac:dyDescent="0.25">
      <c r="I17539" s="11" t="b">
        <f t="shared" si="838"/>
        <v>0</v>
      </c>
      <c r="M17539" s="17" t="str">
        <f t="shared" si="839"/>
        <v/>
      </c>
      <c r="N17539" s="11" t="str">
        <f t="shared" si="840"/>
        <v/>
      </c>
    </row>
    <row r="17540" spans="9:14" x14ac:dyDescent="0.25">
      <c r="I17540" s="11" t="b">
        <f t="shared" si="838"/>
        <v>0</v>
      </c>
      <c r="M17540" s="17" t="str">
        <f t="shared" si="839"/>
        <v/>
      </c>
      <c r="N17540" s="11" t="str">
        <f t="shared" si="840"/>
        <v/>
      </c>
    </row>
    <row r="17541" spans="9:14" x14ac:dyDescent="0.25">
      <c r="I17541" s="11" t="b">
        <f t="shared" si="838"/>
        <v>0</v>
      </c>
      <c r="M17541" s="17" t="str">
        <f t="shared" si="839"/>
        <v/>
      </c>
      <c r="N17541" s="11" t="str">
        <f t="shared" si="840"/>
        <v/>
      </c>
    </row>
    <row r="17542" spans="9:14" x14ac:dyDescent="0.25">
      <c r="I17542" s="11" t="b">
        <f t="shared" si="838"/>
        <v>0</v>
      </c>
      <c r="M17542" s="17" t="str">
        <f t="shared" si="839"/>
        <v/>
      </c>
      <c r="N17542" s="11" t="str">
        <f t="shared" si="840"/>
        <v/>
      </c>
    </row>
    <row r="17543" spans="9:14" x14ac:dyDescent="0.25">
      <c r="I17543" s="11" t="b">
        <f t="shared" si="838"/>
        <v>0</v>
      </c>
      <c r="M17543" s="17" t="str">
        <f t="shared" si="839"/>
        <v/>
      </c>
      <c r="N17543" s="11" t="str">
        <f t="shared" si="840"/>
        <v/>
      </c>
    </row>
    <row r="17544" spans="9:14" x14ac:dyDescent="0.25">
      <c r="I17544" s="11" t="b">
        <f t="shared" si="838"/>
        <v>0</v>
      </c>
      <c r="M17544" s="17" t="str">
        <f t="shared" si="839"/>
        <v/>
      </c>
      <c r="N17544" s="11" t="str">
        <f t="shared" si="840"/>
        <v/>
      </c>
    </row>
    <row r="17545" spans="9:14" x14ac:dyDescent="0.25">
      <c r="I17545" s="11" t="b">
        <f t="shared" si="838"/>
        <v>0</v>
      </c>
      <c r="M17545" s="17" t="str">
        <f t="shared" si="839"/>
        <v/>
      </c>
      <c r="N17545" s="11" t="str">
        <f t="shared" si="840"/>
        <v/>
      </c>
    </row>
    <row r="17546" spans="9:14" x14ac:dyDescent="0.25">
      <c r="I17546" s="11" t="b">
        <f t="shared" si="838"/>
        <v>0</v>
      </c>
      <c r="M17546" s="17" t="str">
        <f t="shared" si="839"/>
        <v/>
      </c>
      <c r="N17546" s="11" t="str">
        <f t="shared" si="840"/>
        <v/>
      </c>
    </row>
    <row r="17547" spans="9:14" x14ac:dyDescent="0.25">
      <c r="I17547" s="11" t="b">
        <f t="shared" si="838"/>
        <v>0</v>
      </c>
      <c r="M17547" s="17" t="str">
        <f t="shared" si="839"/>
        <v/>
      </c>
      <c r="N17547" s="11" t="str">
        <f t="shared" si="840"/>
        <v/>
      </c>
    </row>
    <row r="17548" spans="9:14" x14ac:dyDescent="0.25">
      <c r="I17548" s="11" t="b">
        <f t="shared" si="838"/>
        <v>0</v>
      </c>
      <c r="M17548" s="17" t="str">
        <f t="shared" si="839"/>
        <v/>
      </c>
      <c r="N17548" s="11" t="str">
        <f t="shared" si="840"/>
        <v/>
      </c>
    </row>
    <row r="17549" spans="9:14" x14ac:dyDescent="0.25">
      <c r="I17549" s="11" t="b">
        <f t="shared" si="838"/>
        <v>0</v>
      </c>
      <c r="M17549" s="17" t="str">
        <f t="shared" si="839"/>
        <v/>
      </c>
      <c r="N17549" s="11" t="str">
        <f t="shared" si="840"/>
        <v/>
      </c>
    </row>
    <row r="17550" spans="9:14" x14ac:dyDescent="0.25">
      <c r="I17550" s="11" t="b">
        <f t="shared" si="838"/>
        <v>0</v>
      </c>
      <c r="M17550" s="17" t="str">
        <f t="shared" si="839"/>
        <v/>
      </c>
      <c r="N17550" s="11" t="str">
        <f t="shared" si="840"/>
        <v/>
      </c>
    </row>
    <row r="17551" spans="9:14" x14ac:dyDescent="0.25">
      <c r="I17551" s="11" t="b">
        <f t="shared" si="838"/>
        <v>0</v>
      </c>
      <c r="M17551" s="17" t="str">
        <f t="shared" si="839"/>
        <v/>
      </c>
      <c r="N17551" s="11" t="str">
        <f t="shared" si="840"/>
        <v/>
      </c>
    </row>
    <row r="17552" spans="9:14" x14ac:dyDescent="0.25">
      <c r="I17552" s="11" t="b">
        <f t="shared" si="838"/>
        <v>0</v>
      </c>
      <c r="M17552" s="17" t="str">
        <f t="shared" si="839"/>
        <v/>
      </c>
      <c r="N17552" s="11" t="str">
        <f t="shared" si="840"/>
        <v/>
      </c>
    </row>
    <row r="17553" spans="9:14" x14ac:dyDescent="0.25">
      <c r="I17553" s="11" t="b">
        <f t="shared" si="838"/>
        <v>0</v>
      </c>
      <c r="M17553" s="17" t="str">
        <f t="shared" si="839"/>
        <v/>
      </c>
      <c r="N17553" s="11" t="str">
        <f t="shared" si="840"/>
        <v/>
      </c>
    </row>
    <row r="17554" spans="9:14" x14ac:dyDescent="0.25">
      <c r="I17554" s="11" t="b">
        <f t="shared" si="838"/>
        <v>0</v>
      </c>
      <c r="M17554" s="17" t="str">
        <f t="shared" si="839"/>
        <v/>
      </c>
      <c r="N17554" s="11" t="str">
        <f t="shared" si="840"/>
        <v/>
      </c>
    </row>
    <row r="17555" spans="9:14" x14ac:dyDescent="0.25">
      <c r="I17555" s="11" t="b">
        <f t="shared" si="838"/>
        <v>0</v>
      </c>
      <c r="M17555" s="17" t="str">
        <f t="shared" si="839"/>
        <v/>
      </c>
      <c r="N17555" s="11" t="str">
        <f t="shared" si="840"/>
        <v/>
      </c>
    </row>
    <row r="17556" spans="9:14" x14ac:dyDescent="0.25">
      <c r="I17556" s="11" t="b">
        <f t="shared" si="838"/>
        <v>0</v>
      </c>
      <c r="M17556" s="17" t="str">
        <f t="shared" si="839"/>
        <v/>
      </c>
      <c r="N17556" s="11" t="str">
        <f t="shared" si="840"/>
        <v/>
      </c>
    </row>
    <row r="17557" spans="9:14" x14ac:dyDescent="0.25">
      <c r="I17557" s="11" t="b">
        <f t="shared" si="838"/>
        <v>0</v>
      </c>
      <c r="M17557" s="17" t="str">
        <f t="shared" si="839"/>
        <v/>
      </c>
      <c r="N17557" s="11" t="str">
        <f t="shared" si="840"/>
        <v/>
      </c>
    </row>
    <row r="17558" spans="9:14" x14ac:dyDescent="0.25">
      <c r="I17558" s="11" t="b">
        <f t="shared" si="838"/>
        <v>0</v>
      </c>
      <c r="M17558" s="17" t="str">
        <f t="shared" si="839"/>
        <v/>
      </c>
      <c r="N17558" s="11" t="str">
        <f t="shared" si="840"/>
        <v/>
      </c>
    </row>
    <row r="17559" spans="9:14" x14ac:dyDescent="0.25">
      <c r="I17559" s="11" t="b">
        <f t="shared" si="838"/>
        <v>0</v>
      </c>
      <c r="M17559" s="17" t="str">
        <f t="shared" si="839"/>
        <v/>
      </c>
      <c r="N17559" s="11" t="str">
        <f t="shared" si="840"/>
        <v/>
      </c>
    </row>
    <row r="17560" spans="9:14" x14ac:dyDescent="0.25">
      <c r="I17560" s="11" t="b">
        <f t="shared" si="838"/>
        <v>0</v>
      </c>
      <c r="M17560" s="17" t="str">
        <f t="shared" si="839"/>
        <v/>
      </c>
      <c r="N17560" s="11" t="str">
        <f t="shared" si="840"/>
        <v/>
      </c>
    </row>
    <row r="17561" spans="9:14" x14ac:dyDescent="0.25">
      <c r="I17561" s="11" t="b">
        <f t="shared" si="838"/>
        <v>0</v>
      </c>
      <c r="M17561" s="17" t="str">
        <f t="shared" si="839"/>
        <v/>
      </c>
      <c r="N17561" s="11" t="str">
        <f t="shared" si="840"/>
        <v/>
      </c>
    </row>
    <row r="17562" spans="9:14" x14ac:dyDescent="0.25">
      <c r="I17562" s="11" t="b">
        <f t="shared" si="838"/>
        <v>0</v>
      </c>
      <c r="M17562" s="17" t="str">
        <f t="shared" si="839"/>
        <v/>
      </c>
      <c r="N17562" s="11" t="str">
        <f t="shared" si="840"/>
        <v/>
      </c>
    </row>
    <row r="17563" spans="9:14" x14ac:dyDescent="0.25">
      <c r="I17563" s="11" t="b">
        <f t="shared" si="838"/>
        <v>0</v>
      </c>
      <c r="M17563" s="17" t="str">
        <f t="shared" si="839"/>
        <v/>
      </c>
      <c r="N17563" s="11" t="str">
        <f t="shared" si="840"/>
        <v/>
      </c>
    </row>
    <row r="17564" spans="9:14" x14ac:dyDescent="0.25">
      <c r="I17564" s="11" t="b">
        <f t="shared" si="838"/>
        <v>0</v>
      </c>
      <c r="M17564" s="17" t="str">
        <f t="shared" si="839"/>
        <v/>
      </c>
      <c r="N17564" s="11" t="str">
        <f t="shared" si="840"/>
        <v/>
      </c>
    </row>
    <row r="17565" spans="9:14" x14ac:dyDescent="0.25">
      <c r="I17565" s="11" t="b">
        <f t="shared" ref="I17565:I17628" si="841">IF(AND(G17565="MERCADO PAGO",A17565="FATURAMENTO"),1,IF(AND(OR(G17565="MERCADO PAGO",G17565="pix mercado pago",G17565= "débito automático mercado pago", G17565= "boleto mercado pago"),A17565="DESPESAS"),4,IF(AND(G17565="SAFRA",A17565="FATURAMENTO"),2,IF(AND(OR(G17565="SAFRA",G17565="PIX SAFRA", G17565="DÉBITO AUTOMÁTICO SAFRA", G17565= "BOLETO SAFRA", G17565= "transferência safra"), A17565="DESPESAS"),5,IF(AND(G17565="espécie",A17565="FATURAMENTO"),3,IF(AND(G17565="espécie",A17565="DESPESAS"),6))))))</f>
        <v>0</v>
      </c>
      <c r="M17565" s="17" t="str">
        <f t="shared" si="839"/>
        <v/>
      </c>
      <c r="N17565" s="11" t="str">
        <f t="shared" si="840"/>
        <v/>
      </c>
    </row>
    <row r="17566" spans="9:14" x14ac:dyDescent="0.25">
      <c r="I17566" s="11" t="b">
        <f t="shared" si="841"/>
        <v>0</v>
      </c>
      <c r="M17566" s="17" t="str">
        <f t="shared" si="839"/>
        <v/>
      </c>
      <c r="N17566" s="11" t="str">
        <f t="shared" si="840"/>
        <v/>
      </c>
    </row>
    <row r="17567" spans="9:14" x14ac:dyDescent="0.25">
      <c r="I17567" s="11" t="b">
        <f t="shared" si="841"/>
        <v>0</v>
      </c>
      <c r="M17567" s="17" t="str">
        <f t="shared" si="839"/>
        <v/>
      </c>
      <c r="N17567" s="11" t="str">
        <f t="shared" si="840"/>
        <v/>
      </c>
    </row>
    <row r="17568" spans="9:14" x14ac:dyDescent="0.25">
      <c r="I17568" s="11" t="b">
        <f t="shared" si="841"/>
        <v>0</v>
      </c>
      <c r="M17568" s="17" t="str">
        <f t="shared" si="839"/>
        <v/>
      </c>
      <c r="N17568" s="11" t="str">
        <f t="shared" si="840"/>
        <v/>
      </c>
    </row>
    <row r="17569" spans="9:14" x14ac:dyDescent="0.25">
      <c r="I17569" s="11" t="b">
        <f t="shared" si="841"/>
        <v>0</v>
      </c>
      <c r="M17569" s="17" t="str">
        <f t="shared" si="839"/>
        <v/>
      </c>
      <c r="N17569" s="11" t="str">
        <f t="shared" si="840"/>
        <v/>
      </c>
    </row>
    <row r="17570" spans="9:14" x14ac:dyDescent="0.25">
      <c r="I17570" s="11" t="b">
        <f t="shared" si="841"/>
        <v>0</v>
      </c>
      <c r="M17570" s="17" t="str">
        <f t="shared" si="839"/>
        <v/>
      </c>
      <c r="N17570" s="11" t="str">
        <f t="shared" si="840"/>
        <v/>
      </c>
    </row>
    <row r="17571" spans="9:14" x14ac:dyDescent="0.25">
      <c r="I17571" s="11" t="b">
        <f t="shared" si="841"/>
        <v>0</v>
      </c>
      <c r="M17571" s="17" t="str">
        <f t="shared" si="839"/>
        <v/>
      </c>
      <c r="N17571" s="11" t="str">
        <f t="shared" si="840"/>
        <v/>
      </c>
    </row>
    <row r="17572" spans="9:14" x14ac:dyDescent="0.25">
      <c r="I17572" s="11" t="b">
        <f t="shared" si="841"/>
        <v>0</v>
      </c>
      <c r="M17572" s="17" t="str">
        <f t="shared" si="839"/>
        <v/>
      </c>
      <c r="N17572" s="11" t="str">
        <f t="shared" si="840"/>
        <v/>
      </c>
    </row>
    <row r="17573" spans="9:14" x14ac:dyDescent="0.25">
      <c r="I17573" s="11" t="b">
        <f t="shared" si="841"/>
        <v>0</v>
      </c>
      <c r="M17573" s="17" t="str">
        <f t="shared" si="839"/>
        <v/>
      </c>
      <c r="N17573" s="11" t="str">
        <f t="shared" si="840"/>
        <v/>
      </c>
    </row>
    <row r="17574" spans="9:14" x14ac:dyDescent="0.25">
      <c r="I17574" s="11" t="b">
        <f t="shared" si="841"/>
        <v>0</v>
      </c>
      <c r="M17574" s="17" t="str">
        <f t="shared" si="839"/>
        <v/>
      </c>
      <c r="N17574" s="11" t="str">
        <f t="shared" si="840"/>
        <v/>
      </c>
    </row>
    <row r="17575" spans="9:14" x14ac:dyDescent="0.25">
      <c r="I17575" s="11" t="b">
        <f t="shared" si="841"/>
        <v>0</v>
      </c>
      <c r="M17575" s="17" t="str">
        <f t="shared" si="839"/>
        <v/>
      </c>
      <c r="N17575" s="11" t="str">
        <f t="shared" si="840"/>
        <v/>
      </c>
    </row>
    <row r="17576" spans="9:14" x14ac:dyDescent="0.25">
      <c r="I17576" s="11" t="b">
        <f t="shared" si="841"/>
        <v>0</v>
      </c>
      <c r="M17576" s="17" t="str">
        <f t="shared" si="839"/>
        <v/>
      </c>
      <c r="N17576" s="11" t="str">
        <f t="shared" si="840"/>
        <v/>
      </c>
    </row>
    <row r="17577" spans="9:14" x14ac:dyDescent="0.25">
      <c r="I17577" s="11" t="b">
        <f t="shared" si="841"/>
        <v>0</v>
      </c>
      <c r="M17577" s="17" t="str">
        <f t="shared" si="839"/>
        <v/>
      </c>
      <c r="N17577" s="11" t="str">
        <f t="shared" si="840"/>
        <v/>
      </c>
    </row>
    <row r="17578" spans="9:14" x14ac:dyDescent="0.25">
      <c r="I17578" s="11" t="b">
        <f t="shared" si="841"/>
        <v>0</v>
      </c>
      <c r="M17578" s="17" t="str">
        <f t="shared" si="839"/>
        <v/>
      </c>
      <c r="N17578" s="11" t="str">
        <f t="shared" si="840"/>
        <v/>
      </c>
    </row>
    <row r="17579" spans="9:14" x14ac:dyDescent="0.25">
      <c r="I17579" s="11" t="b">
        <f t="shared" si="841"/>
        <v>0</v>
      </c>
      <c r="M17579" s="17" t="str">
        <f t="shared" si="839"/>
        <v/>
      </c>
      <c r="N17579" s="11" t="str">
        <f t="shared" si="840"/>
        <v/>
      </c>
    </row>
    <row r="17580" spans="9:14" x14ac:dyDescent="0.25">
      <c r="I17580" s="11" t="b">
        <f t="shared" si="841"/>
        <v>0</v>
      </c>
      <c r="M17580" s="17" t="str">
        <f t="shared" si="839"/>
        <v/>
      </c>
      <c r="N17580" s="11" t="str">
        <f t="shared" si="840"/>
        <v/>
      </c>
    </row>
    <row r="17581" spans="9:14" x14ac:dyDescent="0.25">
      <c r="I17581" s="11" t="b">
        <f t="shared" si="841"/>
        <v>0</v>
      </c>
      <c r="M17581" s="17" t="str">
        <f t="shared" si="839"/>
        <v/>
      </c>
      <c r="N17581" s="11" t="str">
        <f t="shared" si="840"/>
        <v/>
      </c>
    </row>
    <row r="17582" spans="9:14" x14ac:dyDescent="0.25">
      <c r="I17582" s="11" t="b">
        <f t="shared" si="841"/>
        <v>0</v>
      </c>
      <c r="M17582" s="17" t="str">
        <f t="shared" si="839"/>
        <v/>
      </c>
      <c r="N17582" s="11" t="str">
        <f t="shared" si="840"/>
        <v/>
      </c>
    </row>
    <row r="17583" spans="9:14" x14ac:dyDescent="0.25">
      <c r="I17583" s="11" t="b">
        <f t="shared" si="841"/>
        <v>0</v>
      </c>
      <c r="M17583" s="17" t="str">
        <f t="shared" si="839"/>
        <v/>
      </c>
      <c r="N17583" s="11" t="str">
        <f t="shared" si="840"/>
        <v/>
      </c>
    </row>
    <row r="17584" spans="9:14" x14ac:dyDescent="0.25">
      <c r="I17584" s="11" t="b">
        <f t="shared" si="841"/>
        <v>0</v>
      </c>
      <c r="M17584" s="17" t="str">
        <f t="shared" si="839"/>
        <v/>
      </c>
      <c r="N17584" s="11" t="str">
        <f t="shared" si="840"/>
        <v/>
      </c>
    </row>
    <row r="17585" spans="9:14" x14ac:dyDescent="0.25">
      <c r="I17585" s="11" t="b">
        <f t="shared" si="841"/>
        <v>0</v>
      </c>
      <c r="M17585" s="17" t="str">
        <f t="shared" si="839"/>
        <v/>
      </c>
      <c r="N17585" s="11" t="str">
        <f t="shared" si="840"/>
        <v/>
      </c>
    </row>
    <row r="17586" spans="9:14" x14ac:dyDescent="0.25">
      <c r="I17586" s="11" t="b">
        <f t="shared" si="841"/>
        <v>0</v>
      </c>
      <c r="M17586" s="17" t="str">
        <f t="shared" si="839"/>
        <v/>
      </c>
      <c r="N17586" s="11" t="str">
        <f t="shared" si="840"/>
        <v/>
      </c>
    </row>
    <row r="17587" spans="9:14" x14ac:dyDescent="0.25">
      <c r="I17587" s="11" t="b">
        <f t="shared" si="841"/>
        <v>0</v>
      </c>
      <c r="M17587" s="17" t="str">
        <f t="shared" si="839"/>
        <v/>
      </c>
      <c r="N17587" s="11" t="str">
        <f t="shared" si="840"/>
        <v/>
      </c>
    </row>
    <row r="17588" spans="9:14" x14ac:dyDescent="0.25">
      <c r="I17588" s="11" t="b">
        <f t="shared" si="841"/>
        <v>0</v>
      </c>
      <c r="M17588" s="17" t="str">
        <f t="shared" si="839"/>
        <v/>
      </c>
      <c r="N17588" s="11" t="str">
        <f t="shared" si="840"/>
        <v/>
      </c>
    </row>
    <row r="17589" spans="9:14" x14ac:dyDescent="0.25">
      <c r="I17589" s="11" t="b">
        <f t="shared" si="841"/>
        <v>0</v>
      </c>
      <c r="M17589" s="17" t="str">
        <f t="shared" si="839"/>
        <v/>
      </c>
      <c r="N17589" s="11" t="str">
        <f t="shared" si="840"/>
        <v/>
      </c>
    </row>
    <row r="17590" spans="9:14" x14ac:dyDescent="0.25">
      <c r="I17590" s="11" t="b">
        <f t="shared" si="841"/>
        <v>0</v>
      </c>
      <c r="M17590" s="17" t="str">
        <f t="shared" si="839"/>
        <v/>
      </c>
      <c r="N17590" s="11" t="str">
        <f t="shared" si="840"/>
        <v/>
      </c>
    </row>
    <row r="17591" spans="9:14" x14ac:dyDescent="0.25">
      <c r="I17591" s="11" t="b">
        <f t="shared" si="841"/>
        <v>0</v>
      </c>
      <c r="M17591" s="17" t="str">
        <f t="shared" si="839"/>
        <v/>
      </c>
      <c r="N17591" s="11" t="str">
        <f t="shared" si="840"/>
        <v/>
      </c>
    </row>
    <row r="17592" spans="9:14" x14ac:dyDescent="0.25">
      <c r="I17592" s="11" t="b">
        <f t="shared" si="841"/>
        <v>0</v>
      </c>
      <c r="M17592" s="17" t="str">
        <f t="shared" si="839"/>
        <v/>
      </c>
      <c r="N17592" s="11" t="str">
        <f t="shared" si="840"/>
        <v/>
      </c>
    </row>
    <row r="17593" spans="9:14" x14ac:dyDescent="0.25">
      <c r="I17593" s="11" t="b">
        <f t="shared" si="841"/>
        <v>0</v>
      </c>
      <c r="M17593" s="17" t="str">
        <f t="shared" si="839"/>
        <v/>
      </c>
      <c r="N17593" s="11" t="str">
        <f t="shared" si="840"/>
        <v/>
      </c>
    </row>
    <row r="17594" spans="9:14" x14ac:dyDescent="0.25">
      <c r="I17594" s="11" t="b">
        <f t="shared" si="841"/>
        <v>0</v>
      </c>
      <c r="M17594" s="17" t="str">
        <f t="shared" si="839"/>
        <v/>
      </c>
      <c r="N17594" s="11" t="str">
        <f t="shared" si="840"/>
        <v/>
      </c>
    </row>
    <row r="17595" spans="9:14" x14ac:dyDescent="0.25">
      <c r="I17595" s="11" t="b">
        <f t="shared" si="841"/>
        <v>0</v>
      </c>
      <c r="M17595" s="17" t="str">
        <f t="shared" si="839"/>
        <v/>
      </c>
      <c r="N17595" s="11" t="str">
        <f t="shared" si="840"/>
        <v/>
      </c>
    </row>
    <row r="17596" spans="9:14" x14ac:dyDescent="0.25">
      <c r="I17596" s="11" t="b">
        <f t="shared" si="841"/>
        <v>0</v>
      </c>
      <c r="M17596" s="17" t="str">
        <f t="shared" si="839"/>
        <v/>
      </c>
      <c r="N17596" s="11" t="str">
        <f t="shared" si="840"/>
        <v/>
      </c>
    </row>
    <row r="17597" spans="9:14" x14ac:dyDescent="0.25">
      <c r="I17597" s="11" t="b">
        <f t="shared" si="841"/>
        <v>0</v>
      </c>
      <c r="M17597" s="17" t="str">
        <f t="shared" si="839"/>
        <v/>
      </c>
      <c r="N17597" s="11" t="str">
        <f t="shared" si="840"/>
        <v/>
      </c>
    </row>
    <row r="17598" spans="9:14" x14ac:dyDescent="0.25">
      <c r="I17598" s="11" t="b">
        <f t="shared" si="841"/>
        <v>0</v>
      </c>
      <c r="M17598" s="17" t="str">
        <f t="shared" si="839"/>
        <v/>
      </c>
      <c r="N17598" s="11" t="str">
        <f t="shared" si="840"/>
        <v/>
      </c>
    </row>
    <row r="17599" spans="9:14" x14ac:dyDescent="0.25">
      <c r="I17599" s="11" t="b">
        <f t="shared" si="841"/>
        <v>0</v>
      </c>
      <c r="M17599" s="17" t="str">
        <f t="shared" si="839"/>
        <v/>
      </c>
      <c r="N17599" s="11" t="str">
        <f t="shared" si="840"/>
        <v/>
      </c>
    </row>
    <row r="17600" spans="9:14" x14ac:dyDescent="0.25">
      <c r="I17600" s="11" t="b">
        <f t="shared" si="841"/>
        <v>0</v>
      </c>
      <c r="M17600" s="17" t="str">
        <f t="shared" si="839"/>
        <v/>
      </c>
      <c r="N17600" s="11" t="str">
        <f t="shared" si="840"/>
        <v/>
      </c>
    </row>
    <row r="17601" spans="9:14" x14ac:dyDescent="0.25">
      <c r="I17601" s="11" t="b">
        <f t="shared" si="841"/>
        <v>0</v>
      </c>
      <c r="M17601" s="17" t="str">
        <f t="shared" ref="M17601:M17664" si="842">IF(B17601=0, "",M17600+ J17601-K17601)</f>
        <v/>
      </c>
      <c r="N17601" s="11" t="str">
        <f t="shared" ref="N17601:N17664" si="843">IF(B17601=0, "", MONTH(B17601))</f>
        <v/>
      </c>
    </row>
    <row r="17602" spans="9:14" x14ac:dyDescent="0.25">
      <c r="I17602" s="11" t="b">
        <f t="shared" si="841"/>
        <v>0</v>
      </c>
      <c r="M17602" s="17" t="str">
        <f t="shared" si="842"/>
        <v/>
      </c>
      <c r="N17602" s="11" t="str">
        <f t="shared" si="843"/>
        <v/>
      </c>
    </row>
    <row r="17603" spans="9:14" x14ac:dyDescent="0.25">
      <c r="I17603" s="11" t="b">
        <f t="shared" si="841"/>
        <v>0</v>
      </c>
      <c r="M17603" s="17" t="str">
        <f t="shared" si="842"/>
        <v/>
      </c>
      <c r="N17603" s="11" t="str">
        <f t="shared" si="843"/>
        <v/>
      </c>
    </row>
    <row r="17604" spans="9:14" x14ac:dyDescent="0.25">
      <c r="I17604" s="11" t="b">
        <f t="shared" si="841"/>
        <v>0</v>
      </c>
      <c r="M17604" s="17" t="str">
        <f t="shared" si="842"/>
        <v/>
      </c>
      <c r="N17604" s="11" t="str">
        <f t="shared" si="843"/>
        <v/>
      </c>
    </row>
    <row r="17605" spans="9:14" x14ac:dyDescent="0.25">
      <c r="I17605" s="11" t="b">
        <f t="shared" si="841"/>
        <v>0</v>
      </c>
      <c r="M17605" s="17" t="str">
        <f t="shared" si="842"/>
        <v/>
      </c>
      <c r="N17605" s="11" t="str">
        <f t="shared" si="843"/>
        <v/>
      </c>
    </row>
    <row r="17606" spans="9:14" x14ac:dyDescent="0.25">
      <c r="I17606" s="11" t="b">
        <f t="shared" si="841"/>
        <v>0</v>
      </c>
      <c r="M17606" s="17" t="str">
        <f t="shared" si="842"/>
        <v/>
      </c>
      <c r="N17606" s="11" t="str">
        <f t="shared" si="843"/>
        <v/>
      </c>
    </row>
    <row r="17607" spans="9:14" x14ac:dyDescent="0.25">
      <c r="I17607" s="11" t="b">
        <f t="shared" si="841"/>
        <v>0</v>
      </c>
      <c r="M17607" s="17" t="str">
        <f t="shared" si="842"/>
        <v/>
      </c>
      <c r="N17607" s="11" t="str">
        <f t="shared" si="843"/>
        <v/>
      </c>
    </row>
    <row r="17608" spans="9:14" x14ac:dyDescent="0.25">
      <c r="I17608" s="11" t="b">
        <f t="shared" si="841"/>
        <v>0</v>
      </c>
      <c r="M17608" s="17" t="str">
        <f t="shared" si="842"/>
        <v/>
      </c>
      <c r="N17608" s="11" t="str">
        <f t="shared" si="843"/>
        <v/>
      </c>
    </row>
    <row r="17609" spans="9:14" x14ac:dyDescent="0.25">
      <c r="I17609" s="11" t="b">
        <f t="shared" si="841"/>
        <v>0</v>
      </c>
      <c r="M17609" s="17" t="str">
        <f t="shared" si="842"/>
        <v/>
      </c>
      <c r="N17609" s="11" t="str">
        <f t="shared" si="843"/>
        <v/>
      </c>
    </row>
    <row r="17610" spans="9:14" x14ac:dyDescent="0.25">
      <c r="I17610" s="11" t="b">
        <f t="shared" si="841"/>
        <v>0</v>
      </c>
      <c r="M17610" s="17" t="str">
        <f t="shared" si="842"/>
        <v/>
      </c>
      <c r="N17610" s="11" t="str">
        <f t="shared" si="843"/>
        <v/>
      </c>
    </row>
    <row r="17611" spans="9:14" x14ac:dyDescent="0.25">
      <c r="I17611" s="11" t="b">
        <f t="shared" si="841"/>
        <v>0</v>
      </c>
      <c r="M17611" s="17" t="str">
        <f t="shared" si="842"/>
        <v/>
      </c>
      <c r="N17611" s="11" t="str">
        <f t="shared" si="843"/>
        <v/>
      </c>
    </row>
    <row r="17612" spans="9:14" x14ac:dyDescent="0.25">
      <c r="I17612" s="11" t="b">
        <f t="shared" si="841"/>
        <v>0</v>
      </c>
      <c r="M17612" s="17" t="str">
        <f t="shared" si="842"/>
        <v/>
      </c>
      <c r="N17612" s="11" t="str">
        <f t="shared" si="843"/>
        <v/>
      </c>
    </row>
    <row r="17613" spans="9:14" x14ac:dyDescent="0.25">
      <c r="I17613" s="11" t="b">
        <f t="shared" si="841"/>
        <v>0</v>
      </c>
      <c r="M17613" s="17" t="str">
        <f t="shared" si="842"/>
        <v/>
      </c>
      <c r="N17613" s="11" t="str">
        <f t="shared" si="843"/>
        <v/>
      </c>
    </row>
    <row r="17614" spans="9:14" x14ac:dyDescent="0.25">
      <c r="I17614" s="11" t="b">
        <f t="shared" si="841"/>
        <v>0</v>
      </c>
      <c r="M17614" s="17" t="str">
        <f t="shared" si="842"/>
        <v/>
      </c>
      <c r="N17614" s="11" t="str">
        <f t="shared" si="843"/>
        <v/>
      </c>
    </row>
    <row r="17615" spans="9:14" x14ac:dyDescent="0.25">
      <c r="I17615" s="11" t="b">
        <f t="shared" si="841"/>
        <v>0</v>
      </c>
      <c r="M17615" s="17" t="str">
        <f t="shared" si="842"/>
        <v/>
      </c>
      <c r="N17615" s="11" t="str">
        <f t="shared" si="843"/>
        <v/>
      </c>
    </row>
    <row r="17616" spans="9:14" x14ac:dyDescent="0.25">
      <c r="I17616" s="11" t="b">
        <f t="shared" si="841"/>
        <v>0</v>
      </c>
      <c r="M17616" s="17" t="str">
        <f t="shared" si="842"/>
        <v/>
      </c>
      <c r="N17616" s="11" t="str">
        <f t="shared" si="843"/>
        <v/>
      </c>
    </row>
    <row r="17617" spans="9:14" x14ac:dyDescent="0.25">
      <c r="I17617" s="11" t="b">
        <f t="shared" si="841"/>
        <v>0</v>
      </c>
      <c r="M17617" s="17" t="str">
        <f t="shared" si="842"/>
        <v/>
      </c>
      <c r="N17617" s="11" t="str">
        <f t="shared" si="843"/>
        <v/>
      </c>
    </row>
    <row r="17618" spans="9:14" x14ac:dyDescent="0.25">
      <c r="I17618" s="11" t="b">
        <f t="shared" si="841"/>
        <v>0</v>
      </c>
      <c r="M17618" s="17" t="str">
        <f t="shared" si="842"/>
        <v/>
      </c>
      <c r="N17618" s="11" t="str">
        <f t="shared" si="843"/>
        <v/>
      </c>
    </row>
    <row r="17619" spans="9:14" x14ac:dyDescent="0.25">
      <c r="I17619" s="11" t="b">
        <f t="shared" si="841"/>
        <v>0</v>
      </c>
      <c r="M17619" s="17" t="str">
        <f t="shared" si="842"/>
        <v/>
      </c>
      <c r="N17619" s="11" t="str">
        <f t="shared" si="843"/>
        <v/>
      </c>
    </row>
    <row r="17620" spans="9:14" x14ac:dyDescent="0.25">
      <c r="I17620" s="11" t="b">
        <f t="shared" si="841"/>
        <v>0</v>
      </c>
      <c r="M17620" s="17" t="str">
        <f t="shared" si="842"/>
        <v/>
      </c>
      <c r="N17620" s="11" t="str">
        <f t="shared" si="843"/>
        <v/>
      </c>
    </row>
    <row r="17621" spans="9:14" x14ac:dyDescent="0.25">
      <c r="I17621" s="11" t="b">
        <f t="shared" si="841"/>
        <v>0</v>
      </c>
      <c r="M17621" s="17" t="str">
        <f t="shared" si="842"/>
        <v/>
      </c>
      <c r="N17621" s="11" t="str">
        <f t="shared" si="843"/>
        <v/>
      </c>
    </row>
    <row r="17622" spans="9:14" x14ac:dyDescent="0.25">
      <c r="I17622" s="11" t="b">
        <f t="shared" si="841"/>
        <v>0</v>
      </c>
      <c r="M17622" s="17" t="str">
        <f t="shared" si="842"/>
        <v/>
      </c>
      <c r="N17622" s="11" t="str">
        <f t="shared" si="843"/>
        <v/>
      </c>
    </row>
    <row r="17623" spans="9:14" x14ac:dyDescent="0.25">
      <c r="I17623" s="11" t="b">
        <f t="shared" si="841"/>
        <v>0</v>
      </c>
      <c r="M17623" s="17" t="str">
        <f t="shared" si="842"/>
        <v/>
      </c>
      <c r="N17623" s="11" t="str">
        <f t="shared" si="843"/>
        <v/>
      </c>
    </row>
    <row r="17624" spans="9:14" x14ac:dyDescent="0.25">
      <c r="I17624" s="11" t="b">
        <f t="shared" si="841"/>
        <v>0</v>
      </c>
      <c r="M17624" s="17" t="str">
        <f t="shared" si="842"/>
        <v/>
      </c>
      <c r="N17624" s="11" t="str">
        <f t="shared" si="843"/>
        <v/>
      </c>
    </row>
    <row r="17625" spans="9:14" x14ac:dyDescent="0.25">
      <c r="I17625" s="11" t="b">
        <f t="shared" si="841"/>
        <v>0</v>
      </c>
      <c r="M17625" s="17" t="str">
        <f t="shared" si="842"/>
        <v/>
      </c>
      <c r="N17625" s="11" t="str">
        <f t="shared" si="843"/>
        <v/>
      </c>
    </row>
    <row r="17626" spans="9:14" x14ac:dyDescent="0.25">
      <c r="I17626" s="11" t="b">
        <f t="shared" si="841"/>
        <v>0</v>
      </c>
      <c r="M17626" s="17" t="str">
        <f t="shared" si="842"/>
        <v/>
      </c>
      <c r="N17626" s="11" t="str">
        <f t="shared" si="843"/>
        <v/>
      </c>
    </row>
    <row r="17627" spans="9:14" x14ac:dyDescent="0.25">
      <c r="I17627" s="11" t="b">
        <f t="shared" si="841"/>
        <v>0</v>
      </c>
      <c r="M17627" s="17" t="str">
        <f t="shared" si="842"/>
        <v/>
      </c>
      <c r="N17627" s="11" t="str">
        <f t="shared" si="843"/>
        <v/>
      </c>
    </row>
    <row r="17628" spans="9:14" x14ac:dyDescent="0.25">
      <c r="I17628" s="11" t="b">
        <f t="shared" si="841"/>
        <v>0</v>
      </c>
      <c r="M17628" s="17" t="str">
        <f t="shared" si="842"/>
        <v/>
      </c>
      <c r="N17628" s="11" t="str">
        <f t="shared" si="843"/>
        <v/>
      </c>
    </row>
    <row r="17629" spans="9:14" x14ac:dyDescent="0.25">
      <c r="I17629" s="11" t="b">
        <f t="shared" ref="I17629:I17692" si="844">IF(AND(G17629="MERCADO PAGO",A17629="FATURAMENTO"),1,IF(AND(OR(G17629="MERCADO PAGO",G17629="pix mercado pago",G17629= "débito automático mercado pago", G17629= "boleto mercado pago"),A17629="DESPESAS"),4,IF(AND(G17629="SAFRA",A17629="FATURAMENTO"),2,IF(AND(OR(G17629="SAFRA",G17629="PIX SAFRA", G17629="DÉBITO AUTOMÁTICO SAFRA", G17629= "BOLETO SAFRA", G17629= "transferência safra"), A17629="DESPESAS"),5,IF(AND(G17629="espécie",A17629="FATURAMENTO"),3,IF(AND(G17629="espécie",A17629="DESPESAS"),6))))))</f>
        <v>0</v>
      </c>
      <c r="M17629" s="17" t="str">
        <f t="shared" si="842"/>
        <v/>
      </c>
      <c r="N17629" s="11" t="str">
        <f t="shared" si="843"/>
        <v/>
      </c>
    </row>
    <row r="17630" spans="9:14" x14ac:dyDescent="0.25">
      <c r="I17630" s="11" t="b">
        <f t="shared" si="844"/>
        <v>0</v>
      </c>
      <c r="M17630" s="17" t="str">
        <f t="shared" si="842"/>
        <v/>
      </c>
      <c r="N17630" s="11" t="str">
        <f t="shared" si="843"/>
        <v/>
      </c>
    </row>
    <row r="17631" spans="9:14" x14ac:dyDescent="0.25">
      <c r="I17631" s="11" t="b">
        <f t="shared" si="844"/>
        <v>0</v>
      </c>
      <c r="M17631" s="17" t="str">
        <f t="shared" si="842"/>
        <v/>
      </c>
      <c r="N17631" s="11" t="str">
        <f t="shared" si="843"/>
        <v/>
      </c>
    </row>
    <row r="17632" spans="9:14" x14ac:dyDescent="0.25">
      <c r="I17632" s="11" t="b">
        <f t="shared" si="844"/>
        <v>0</v>
      </c>
      <c r="M17632" s="17" t="str">
        <f t="shared" si="842"/>
        <v/>
      </c>
      <c r="N17632" s="11" t="str">
        <f t="shared" si="843"/>
        <v/>
      </c>
    </row>
    <row r="17633" spans="9:14" x14ac:dyDescent="0.25">
      <c r="I17633" s="11" t="b">
        <f t="shared" si="844"/>
        <v>0</v>
      </c>
      <c r="M17633" s="17" t="str">
        <f t="shared" si="842"/>
        <v/>
      </c>
      <c r="N17633" s="11" t="str">
        <f t="shared" si="843"/>
        <v/>
      </c>
    </row>
    <row r="17634" spans="9:14" x14ac:dyDescent="0.25">
      <c r="I17634" s="11" t="b">
        <f t="shared" si="844"/>
        <v>0</v>
      </c>
      <c r="M17634" s="17" t="str">
        <f t="shared" si="842"/>
        <v/>
      </c>
      <c r="N17634" s="11" t="str">
        <f t="shared" si="843"/>
        <v/>
      </c>
    </row>
    <row r="17635" spans="9:14" x14ac:dyDescent="0.25">
      <c r="I17635" s="11" t="b">
        <f t="shared" si="844"/>
        <v>0</v>
      </c>
      <c r="M17635" s="17" t="str">
        <f t="shared" si="842"/>
        <v/>
      </c>
      <c r="N17635" s="11" t="str">
        <f t="shared" si="843"/>
        <v/>
      </c>
    </row>
    <row r="17636" spans="9:14" x14ac:dyDescent="0.25">
      <c r="I17636" s="11" t="b">
        <f t="shared" si="844"/>
        <v>0</v>
      </c>
      <c r="M17636" s="17" t="str">
        <f t="shared" si="842"/>
        <v/>
      </c>
      <c r="N17636" s="11" t="str">
        <f t="shared" si="843"/>
        <v/>
      </c>
    </row>
    <row r="17637" spans="9:14" x14ac:dyDescent="0.25">
      <c r="I17637" s="11" t="b">
        <f t="shared" si="844"/>
        <v>0</v>
      </c>
      <c r="M17637" s="17" t="str">
        <f t="shared" si="842"/>
        <v/>
      </c>
      <c r="N17637" s="11" t="str">
        <f t="shared" si="843"/>
        <v/>
      </c>
    </row>
    <row r="17638" spans="9:14" x14ac:dyDescent="0.25">
      <c r="I17638" s="11" t="b">
        <f t="shared" si="844"/>
        <v>0</v>
      </c>
      <c r="M17638" s="17" t="str">
        <f t="shared" si="842"/>
        <v/>
      </c>
      <c r="N17638" s="11" t="str">
        <f t="shared" si="843"/>
        <v/>
      </c>
    </row>
    <row r="17639" spans="9:14" x14ac:dyDescent="0.25">
      <c r="I17639" s="11" t="b">
        <f t="shared" si="844"/>
        <v>0</v>
      </c>
      <c r="M17639" s="17" t="str">
        <f t="shared" si="842"/>
        <v/>
      </c>
      <c r="N17639" s="11" t="str">
        <f t="shared" si="843"/>
        <v/>
      </c>
    </row>
    <row r="17640" spans="9:14" x14ac:dyDescent="0.25">
      <c r="I17640" s="11" t="b">
        <f t="shared" si="844"/>
        <v>0</v>
      </c>
      <c r="M17640" s="17" t="str">
        <f t="shared" si="842"/>
        <v/>
      </c>
      <c r="N17640" s="11" t="str">
        <f t="shared" si="843"/>
        <v/>
      </c>
    </row>
    <row r="17641" spans="9:14" x14ac:dyDescent="0.25">
      <c r="I17641" s="11" t="b">
        <f t="shared" si="844"/>
        <v>0</v>
      </c>
      <c r="M17641" s="17" t="str">
        <f t="shared" si="842"/>
        <v/>
      </c>
      <c r="N17641" s="11" t="str">
        <f t="shared" si="843"/>
        <v/>
      </c>
    </row>
    <row r="17642" spans="9:14" x14ac:dyDescent="0.25">
      <c r="I17642" s="11" t="b">
        <f t="shared" si="844"/>
        <v>0</v>
      </c>
      <c r="M17642" s="17" t="str">
        <f t="shared" si="842"/>
        <v/>
      </c>
      <c r="N17642" s="11" t="str">
        <f t="shared" si="843"/>
        <v/>
      </c>
    </row>
    <row r="17643" spans="9:14" x14ac:dyDescent="0.25">
      <c r="I17643" s="11" t="b">
        <f t="shared" si="844"/>
        <v>0</v>
      </c>
      <c r="M17643" s="17" t="str">
        <f t="shared" si="842"/>
        <v/>
      </c>
      <c r="N17643" s="11" t="str">
        <f t="shared" si="843"/>
        <v/>
      </c>
    </row>
    <row r="17644" spans="9:14" x14ac:dyDescent="0.25">
      <c r="I17644" s="11" t="b">
        <f t="shared" si="844"/>
        <v>0</v>
      </c>
      <c r="M17644" s="17" t="str">
        <f t="shared" si="842"/>
        <v/>
      </c>
      <c r="N17644" s="11" t="str">
        <f t="shared" si="843"/>
        <v/>
      </c>
    </row>
    <row r="17645" spans="9:14" x14ac:dyDescent="0.25">
      <c r="I17645" s="11" t="b">
        <f t="shared" si="844"/>
        <v>0</v>
      </c>
      <c r="M17645" s="17" t="str">
        <f t="shared" si="842"/>
        <v/>
      </c>
      <c r="N17645" s="11" t="str">
        <f t="shared" si="843"/>
        <v/>
      </c>
    </row>
    <row r="17646" spans="9:14" x14ac:dyDescent="0.25">
      <c r="I17646" s="11" t="b">
        <f t="shared" si="844"/>
        <v>0</v>
      </c>
      <c r="M17646" s="17" t="str">
        <f t="shared" si="842"/>
        <v/>
      </c>
      <c r="N17646" s="11" t="str">
        <f t="shared" si="843"/>
        <v/>
      </c>
    </row>
    <row r="17647" spans="9:14" x14ac:dyDescent="0.25">
      <c r="I17647" s="11" t="b">
        <f t="shared" si="844"/>
        <v>0</v>
      </c>
      <c r="M17647" s="17" t="str">
        <f t="shared" si="842"/>
        <v/>
      </c>
      <c r="N17647" s="11" t="str">
        <f t="shared" si="843"/>
        <v/>
      </c>
    </row>
    <row r="17648" spans="9:14" x14ac:dyDescent="0.25">
      <c r="I17648" s="11" t="b">
        <f t="shared" si="844"/>
        <v>0</v>
      </c>
      <c r="M17648" s="17" t="str">
        <f t="shared" si="842"/>
        <v/>
      </c>
      <c r="N17648" s="11" t="str">
        <f t="shared" si="843"/>
        <v/>
      </c>
    </row>
    <row r="17649" spans="9:14" x14ac:dyDescent="0.25">
      <c r="I17649" s="11" t="b">
        <f t="shared" si="844"/>
        <v>0</v>
      </c>
      <c r="M17649" s="17" t="str">
        <f t="shared" si="842"/>
        <v/>
      </c>
      <c r="N17649" s="11" t="str">
        <f t="shared" si="843"/>
        <v/>
      </c>
    </row>
    <row r="17650" spans="9:14" x14ac:dyDescent="0.25">
      <c r="I17650" s="11" t="b">
        <f t="shared" si="844"/>
        <v>0</v>
      </c>
      <c r="M17650" s="17" t="str">
        <f t="shared" si="842"/>
        <v/>
      </c>
      <c r="N17650" s="11" t="str">
        <f t="shared" si="843"/>
        <v/>
      </c>
    </row>
    <row r="17651" spans="9:14" x14ac:dyDescent="0.25">
      <c r="I17651" s="11" t="b">
        <f t="shared" si="844"/>
        <v>0</v>
      </c>
      <c r="M17651" s="17" t="str">
        <f t="shared" si="842"/>
        <v/>
      </c>
      <c r="N17651" s="11" t="str">
        <f t="shared" si="843"/>
        <v/>
      </c>
    </row>
    <row r="17652" spans="9:14" x14ac:dyDescent="0.25">
      <c r="I17652" s="11" t="b">
        <f t="shared" si="844"/>
        <v>0</v>
      </c>
      <c r="M17652" s="17" t="str">
        <f t="shared" si="842"/>
        <v/>
      </c>
      <c r="N17652" s="11" t="str">
        <f t="shared" si="843"/>
        <v/>
      </c>
    </row>
    <row r="17653" spans="9:14" x14ac:dyDescent="0.25">
      <c r="I17653" s="11" t="b">
        <f t="shared" si="844"/>
        <v>0</v>
      </c>
      <c r="M17653" s="17" t="str">
        <f t="shared" si="842"/>
        <v/>
      </c>
      <c r="N17653" s="11" t="str">
        <f t="shared" si="843"/>
        <v/>
      </c>
    </row>
    <row r="17654" spans="9:14" x14ac:dyDescent="0.25">
      <c r="I17654" s="11" t="b">
        <f t="shared" si="844"/>
        <v>0</v>
      </c>
      <c r="M17654" s="17" t="str">
        <f t="shared" si="842"/>
        <v/>
      </c>
      <c r="N17654" s="11" t="str">
        <f t="shared" si="843"/>
        <v/>
      </c>
    </row>
    <row r="17655" spans="9:14" x14ac:dyDescent="0.25">
      <c r="I17655" s="11" t="b">
        <f t="shared" si="844"/>
        <v>0</v>
      </c>
      <c r="M17655" s="17" t="str">
        <f t="shared" si="842"/>
        <v/>
      </c>
      <c r="N17655" s="11" t="str">
        <f t="shared" si="843"/>
        <v/>
      </c>
    </row>
    <row r="17656" spans="9:14" x14ac:dyDescent="0.25">
      <c r="I17656" s="11" t="b">
        <f t="shared" si="844"/>
        <v>0</v>
      </c>
      <c r="M17656" s="17" t="str">
        <f t="shared" si="842"/>
        <v/>
      </c>
      <c r="N17656" s="11" t="str">
        <f t="shared" si="843"/>
        <v/>
      </c>
    </row>
    <row r="17657" spans="9:14" x14ac:dyDescent="0.25">
      <c r="I17657" s="11" t="b">
        <f t="shared" si="844"/>
        <v>0</v>
      </c>
      <c r="M17657" s="17" t="str">
        <f t="shared" si="842"/>
        <v/>
      </c>
      <c r="N17657" s="11" t="str">
        <f t="shared" si="843"/>
        <v/>
      </c>
    </row>
    <row r="17658" spans="9:14" x14ac:dyDescent="0.25">
      <c r="I17658" s="11" t="b">
        <f t="shared" si="844"/>
        <v>0</v>
      </c>
      <c r="M17658" s="17" t="str">
        <f t="shared" si="842"/>
        <v/>
      </c>
      <c r="N17658" s="11" t="str">
        <f t="shared" si="843"/>
        <v/>
      </c>
    </row>
    <row r="17659" spans="9:14" x14ac:dyDescent="0.25">
      <c r="I17659" s="11" t="b">
        <f t="shared" si="844"/>
        <v>0</v>
      </c>
      <c r="M17659" s="17" t="str">
        <f t="shared" si="842"/>
        <v/>
      </c>
      <c r="N17659" s="11" t="str">
        <f t="shared" si="843"/>
        <v/>
      </c>
    </row>
    <row r="17660" spans="9:14" x14ac:dyDescent="0.25">
      <c r="I17660" s="11" t="b">
        <f t="shared" si="844"/>
        <v>0</v>
      </c>
      <c r="M17660" s="17" t="str">
        <f t="shared" si="842"/>
        <v/>
      </c>
      <c r="N17660" s="11" t="str">
        <f t="shared" si="843"/>
        <v/>
      </c>
    </row>
    <row r="17661" spans="9:14" x14ac:dyDescent="0.25">
      <c r="I17661" s="11" t="b">
        <f t="shared" si="844"/>
        <v>0</v>
      </c>
      <c r="M17661" s="17" t="str">
        <f t="shared" si="842"/>
        <v/>
      </c>
      <c r="N17661" s="11" t="str">
        <f t="shared" si="843"/>
        <v/>
      </c>
    </row>
    <row r="17662" spans="9:14" x14ac:dyDescent="0.25">
      <c r="I17662" s="11" t="b">
        <f t="shared" si="844"/>
        <v>0</v>
      </c>
      <c r="M17662" s="17" t="str">
        <f t="shared" si="842"/>
        <v/>
      </c>
      <c r="N17662" s="11" t="str">
        <f t="shared" si="843"/>
        <v/>
      </c>
    </row>
    <row r="17663" spans="9:14" x14ac:dyDescent="0.25">
      <c r="I17663" s="11" t="b">
        <f t="shared" si="844"/>
        <v>0</v>
      </c>
      <c r="M17663" s="17" t="str">
        <f t="shared" si="842"/>
        <v/>
      </c>
      <c r="N17663" s="11" t="str">
        <f t="shared" si="843"/>
        <v/>
      </c>
    </row>
    <row r="17664" spans="9:14" x14ac:dyDescent="0.25">
      <c r="I17664" s="11" t="b">
        <f t="shared" si="844"/>
        <v>0</v>
      </c>
      <c r="M17664" s="17" t="str">
        <f t="shared" si="842"/>
        <v/>
      </c>
      <c r="N17664" s="11" t="str">
        <f t="shared" si="843"/>
        <v/>
      </c>
    </row>
    <row r="17665" spans="9:14" x14ac:dyDescent="0.25">
      <c r="I17665" s="11" t="b">
        <f t="shared" si="844"/>
        <v>0</v>
      </c>
      <c r="M17665" s="17" t="str">
        <f t="shared" ref="M17665:M17728" si="845">IF(B17665=0, "",M17664+ J17665-K17665)</f>
        <v/>
      </c>
      <c r="N17665" s="11" t="str">
        <f t="shared" ref="N17665:N17728" si="846">IF(B17665=0, "", MONTH(B17665))</f>
        <v/>
      </c>
    </row>
    <row r="17666" spans="9:14" x14ac:dyDescent="0.25">
      <c r="I17666" s="11" t="b">
        <f t="shared" si="844"/>
        <v>0</v>
      </c>
      <c r="M17666" s="17" t="str">
        <f t="shared" si="845"/>
        <v/>
      </c>
      <c r="N17666" s="11" t="str">
        <f t="shared" si="846"/>
        <v/>
      </c>
    </row>
    <row r="17667" spans="9:14" x14ac:dyDescent="0.25">
      <c r="I17667" s="11" t="b">
        <f t="shared" si="844"/>
        <v>0</v>
      </c>
      <c r="M17667" s="17" t="str">
        <f t="shared" si="845"/>
        <v/>
      </c>
      <c r="N17667" s="11" t="str">
        <f t="shared" si="846"/>
        <v/>
      </c>
    </row>
    <row r="17668" spans="9:14" x14ac:dyDescent="0.25">
      <c r="I17668" s="11" t="b">
        <f t="shared" si="844"/>
        <v>0</v>
      </c>
      <c r="M17668" s="17" t="str">
        <f t="shared" si="845"/>
        <v/>
      </c>
      <c r="N17668" s="11" t="str">
        <f t="shared" si="846"/>
        <v/>
      </c>
    </row>
    <row r="17669" spans="9:14" x14ac:dyDescent="0.25">
      <c r="I17669" s="11" t="b">
        <f t="shared" si="844"/>
        <v>0</v>
      </c>
      <c r="M17669" s="17" t="str">
        <f t="shared" si="845"/>
        <v/>
      </c>
      <c r="N17669" s="11" t="str">
        <f t="shared" si="846"/>
        <v/>
      </c>
    </row>
    <row r="17670" spans="9:14" x14ac:dyDescent="0.25">
      <c r="I17670" s="11" t="b">
        <f t="shared" si="844"/>
        <v>0</v>
      </c>
      <c r="M17670" s="17" t="str">
        <f t="shared" si="845"/>
        <v/>
      </c>
      <c r="N17670" s="11" t="str">
        <f t="shared" si="846"/>
        <v/>
      </c>
    </row>
    <row r="17671" spans="9:14" x14ac:dyDescent="0.25">
      <c r="I17671" s="11" t="b">
        <f t="shared" si="844"/>
        <v>0</v>
      </c>
      <c r="M17671" s="17" t="str">
        <f t="shared" si="845"/>
        <v/>
      </c>
      <c r="N17671" s="11" t="str">
        <f t="shared" si="846"/>
        <v/>
      </c>
    </row>
    <row r="17672" spans="9:14" x14ac:dyDescent="0.25">
      <c r="I17672" s="11" t="b">
        <f t="shared" si="844"/>
        <v>0</v>
      </c>
      <c r="M17672" s="17" t="str">
        <f t="shared" si="845"/>
        <v/>
      </c>
      <c r="N17672" s="11" t="str">
        <f t="shared" si="846"/>
        <v/>
      </c>
    </row>
    <row r="17673" spans="9:14" x14ac:dyDescent="0.25">
      <c r="I17673" s="11" t="b">
        <f t="shared" si="844"/>
        <v>0</v>
      </c>
      <c r="M17673" s="17" t="str">
        <f t="shared" si="845"/>
        <v/>
      </c>
      <c r="N17673" s="11" t="str">
        <f t="shared" si="846"/>
        <v/>
      </c>
    </row>
    <row r="17674" spans="9:14" x14ac:dyDescent="0.25">
      <c r="I17674" s="11" t="b">
        <f t="shared" si="844"/>
        <v>0</v>
      </c>
      <c r="M17674" s="17" t="str">
        <f t="shared" si="845"/>
        <v/>
      </c>
      <c r="N17674" s="11" t="str">
        <f t="shared" si="846"/>
        <v/>
      </c>
    </row>
    <row r="17675" spans="9:14" x14ac:dyDescent="0.25">
      <c r="I17675" s="11" t="b">
        <f t="shared" si="844"/>
        <v>0</v>
      </c>
      <c r="M17675" s="17" t="str">
        <f t="shared" si="845"/>
        <v/>
      </c>
      <c r="N17675" s="11" t="str">
        <f t="shared" si="846"/>
        <v/>
      </c>
    </row>
    <row r="17676" spans="9:14" x14ac:dyDescent="0.25">
      <c r="I17676" s="11" t="b">
        <f t="shared" si="844"/>
        <v>0</v>
      </c>
      <c r="M17676" s="17" t="str">
        <f t="shared" si="845"/>
        <v/>
      </c>
      <c r="N17676" s="11" t="str">
        <f t="shared" si="846"/>
        <v/>
      </c>
    </row>
    <row r="17677" spans="9:14" x14ac:dyDescent="0.25">
      <c r="I17677" s="11" t="b">
        <f t="shared" si="844"/>
        <v>0</v>
      </c>
      <c r="M17677" s="17" t="str">
        <f t="shared" si="845"/>
        <v/>
      </c>
      <c r="N17677" s="11" t="str">
        <f t="shared" si="846"/>
        <v/>
      </c>
    </row>
    <row r="17678" spans="9:14" x14ac:dyDescent="0.25">
      <c r="I17678" s="11" t="b">
        <f t="shared" si="844"/>
        <v>0</v>
      </c>
      <c r="M17678" s="17" t="str">
        <f t="shared" si="845"/>
        <v/>
      </c>
      <c r="N17678" s="11" t="str">
        <f t="shared" si="846"/>
        <v/>
      </c>
    </row>
    <row r="17679" spans="9:14" x14ac:dyDescent="0.25">
      <c r="I17679" s="11" t="b">
        <f t="shared" si="844"/>
        <v>0</v>
      </c>
      <c r="M17679" s="17" t="str">
        <f t="shared" si="845"/>
        <v/>
      </c>
      <c r="N17679" s="11" t="str">
        <f t="shared" si="846"/>
        <v/>
      </c>
    </row>
    <row r="17680" spans="9:14" x14ac:dyDescent="0.25">
      <c r="I17680" s="11" t="b">
        <f t="shared" si="844"/>
        <v>0</v>
      </c>
      <c r="M17680" s="17" t="str">
        <f t="shared" si="845"/>
        <v/>
      </c>
      <c r="N17680" s="11" t="str">
        <f t="shared" si="846"/>
        <v/>
      </c>
    </row>
    <row r="17681" spans="9:14" x14ac:dyDescent="0.25">
      <c r="I17681" s="11" t="b">
        <f t="shared" si="844"/>
        <v>0</v>
      </c>
      <c r="M17681" s="17" t="str">
        <f t="shared" si="845"/>
        <v/>
      </c>
      <c r="N17681" s="11" t="str">
        <f t="shared" si="846"/>
        <v/>
      </c>
    </row>
    <row r="17682" spans="9:14" x14ac:dyDescent="0.25">
      <c r="I17682" s="11" t="b">
        <f t="shared" si="844"/>
        <v>0</v>
      </c>
      <c r="M17682" s="17" t="str">
        <f t="shared" si="845"/>
        <v/>
      </c>
      <c r="N17682" s="11" t="str">
        <f t="shared" si="846"/>
        <v/>
      </c>
    </row>
    <row r="17683" spans="9:14" x14ac:dyDescent="0.25">
      <c r="I17683" s="11" t="b">
        <f t="shared" si="844"/>
        <v>0</v>
      </c>
      <c r="M17683" s="17" t="str">
        <f t="shared" si="845"/>
        <v/>
      </c>
      <c r="N17683" s="11" t="str">
        <f t="shared" si="846"/>
        <v/>
      </c>
    </row>
    <row r="17684" spans="9:14" x14ac:dyDescent="0.25">
      <c r="I17684" s="11" t="b">
        <f t="shared" si="844"/>
        <v>0</v>
      </c>
      <c r="M17684" s="17" t="str">
        <f t="shared" si="845"/>
        <v/>
      </c>
      <c r="N17684" s="11" t="str">
        <f t="shared" si="846"/>
        <v/>
      </c>
    </row>
    <row r="17685" spans="9:14" x14ac:dyDescent="0.25">
      <c r="I17685" s="11" t="b">
        <f t="shared" si="844"/>
        <v>0</v>
      </c>
      <c r="M17685" s="17" t="str">
        <f t="shared" si="845"/>
        <v/>
      </c>
      <c r="N17685" s="11" t="str">
        <f t="shared" si="846"/>
        <v/>
      </c>
    </row>
    <row r="17686" spans="9:14" x14ac:dyDescent="0.25">
      <c r="I17686" s="11" t="b">
        <f t="shared" si="844"/>
        <v>0</v>
      </c>
      <c r="M17686" s="17" t="str">
        <f t="shared" si="845"/>
        <v/>
      </c>
      <c r="N17686" s="11" t="str">
        <f t="shared" si="846"/>
        <v/>
      </c>
    </row>
    <row r="17687" spans="9:14" x14ac:dyDescent="0.25">
      <c r="I17687" s="11" t="b">
        <f t="shared" si="844"/>
        <v>0</v>
      </c>
      <c r="M17687" s="17" t="str">
        <f t="shared" si="845"/>
        <v/>
      </c>
      <c r="N17687" s="11" t="str">
        <f t="shared" si="846"/>
        <v/>
      </c>
    </row>
    <row r="17688" spans="9:14" x14ac:dyDescent="0.25">
      <c r="I17688" s="11" t="b">
        <f t="shared" si="844"/>
        <v>0</v>
      </c>
      <c r="M17688" s="17" t="str">
        <f t="shared" si="845"/>
        <v/>
      </c>
      <c r="N17688" s="11" t="str">
        <f t="shared" si="846"/>
        <v/>
      </c>
    </row>
    <row r="17689" spans="9:14" x14ac:dyDescent="0.25">
      <c r="I17689" s="11" t="b">
        <f t="shared" si="844"/>
        <v>0</v>
      </c>
      <c r="M17689" s="17" t="str">
        <f t="shared" si="845"/>
        <v/>
      </c>
      <c r="N17689" s="11" t="str">
        <f t="shared" si="846"/>
        <v/>
      </c>
    </row>
    <row r="17690" spans="9:14" x14ac:dyDescent="0.25">
      <c r="I17690" s="11" t="b">
        <f t="shared" si="844"/>
        <v>0</v>
      </c>
      <c r="M17690" s="17" t="str">
        <f t="shared" si="845"/>
        <v/>
      </c>
      <c r="N17690" s="11" t="str">
        <f t="shared" si="846"/>
        <v/>
      </c>
    </row>
    <row r="17691" spans="9:14" x14ac:dyDescent="0.25">
      <c r="I17691" s="11" t="b">
        <f t="shared" si="844"/>
        <v>0</v>
      </c>
      <c r="M17691" s="17" t="str">
        <f t="shared" si="845"/>
        <v/>
      </c>
      <c r="N17691" s="11" t="str">
        <f t="shared" si="846"/>
        <v/>
      </c>
    </row>
    <row r="17692" spans="9:14" x14ac:dyDescent="0.25">
      <c r="I17692" s="11" t="b">
        <f t="shared" si="844"/>
        <v>0</v>
      </c>
      <c r="M17692" s="17" t="str">
        <f t="shared" si="845"/>
        <v/>
      </c>
      <c r="N17692" s="11" t="str">
        <f t="shared" si="846"/>
        <v/>
      </c>
    </row>
    <row r="17693" spans="9:14" x14ac:dyDescent="0.25">
      <c r="I17693" s="11" t="b">
        <f t="shared" ref="I17693:I17756" si="847">IF(AND(G17693="MERCADO PAGO",A17693="FATURAMENTO"),1,IF(AND(OR(G17693="MERCADO PAGO",G17693="pix mercado pago",G17693= "débito automático mercado pago", G17693= "boleto mercado pago"),A17693="DESPESAS"),4,IF(AND(G17693="SAFRA",A17693="FATURAMENTO"),2,IF(AND(OR(G17693="SAFRA",G17693="PIX SAFRA", G17693="DÉBITO AUTOMÁTICO SAFRA", G17693= "BOLETO SAFRA", G17693= "transferência safra"), A17693="DESPESAS"),5,IF(AND(G17693="espécie",A17693="FATURAMENTO"),3,IF(AND(G17693="espécie",A17693="DESPESAS"),6))))))</f>
        <v>0</v>
      </c>
      <c r="M17693" s="17" t="str">
        <f t="shared" si="845"/>
        <v/>
      </c>
      <c r="N17693" s="11" t="str">
        <f t="shared" si="846"/>
        <v/>
      </c>
    </row>
    <row r="17694" spans="9:14" x14ac:dyDescent="0.25">
      <c r="I17694" s="11" t="b">
        <f t="shared" si="847"/>
        <v>0</v>
      </c>
      <c r="M17694" s="17" t="str">
        <f t="shared" si="845"/>
        <v/>
      </c>
      <c r="N17694" s="11" t="str">
        <f t="shared" si="846"/>
        <v/>
      </c>
    </row>
    <row r="17695" spans="9:14" x14ac:dyDescent="0.25">
      <c r="I17695" s="11" t="b">
        <f t="shared" si="847"/>
        <v>0</v>
      </c>
      <c r="M17695" s="17" t="str">
        <f t="shared" si="845"/>
        <v/>
      </c>
      <c r="N17695" s="11" t="str">
        <f t="shared" si="846"/>
        <v/>
      </c>
    </row>
    <row r="17696" spans="9:14" x14ac:dyDescent="0.25">
      <c r="I17696" s="11" t="b">
        <f t="shared" si="847"/>
        <v>0</v>
      </c>
      <c r="M17696" s="17" t="str">
        <f t="shared" si="845"/>
        <v/>
      </c>
      <c r="N17696" s="11" t="str">
        <f t="shared" si="846"/>
        <v/>
      </c>
    </row>
    <row r="17697" spans="9:14" x14ac:dyDescent="0.25">
      <c r="I17697" s="11" t="b">
        <f t="shared" si="847"/>
        <v>0</v>
      </c>
      <c r="M17697" s="17" t="str">
        <f t="shared" si="845"/>
        <v/>
      </c>
      <c r="N17697" s="11" t="str">
        <f t="shared" si="846"/>
        <v/>
      </c>
    </row>
    <row r="17698" spans="9:14" x14ac:dyDescent="0.25">
      <c r="I17698" s="11" t="b">
        <f t="shared" si="847"/>
        <v>0</v>
      </c>
      <c r="M17698" s="17" t="str">
        <f t="shared" si="845"/>
        <v/>
      </c>
      <c r="N17698" s="11" t="str">
        <f t="shared" si="846"/>
        <v/>
      </c>
    </row>
    <row r="17699" spans="9:14" x14ac:dyDescent="0.25">
      <c r="I17699" s="11" t="b">
        <f t="shared" si="847"/>
        <v>0</v>
      </c>
      <c r="M17699" s="17" t="str">
        <f t="shared" si="845"/>
        <v/>
      </c>
      <c r="N17699" s="11" t="str">
        <f t="shared" si="846"/>
        <v/>
      </c>
    </row>
    <row r="17700" spans="9:14" x14ac:dyDescent="0.25">
      <c r="I17700" s="11" t="b">
        <f t="shared" si="847"/>
        <v>0</v>
      </c>
      <c r="M17700" s="17" t="str">
        <f t="shared" si="845"/>
        <v/>
      </c>
      <c r="N17700" s="11" t="str">
        <f t="shared" si="846"/>
        <v/>
      </c>
    </row>
    <row r="17701" spans="9:14" x14ac:dyDescent="0.25">
      <c r="I17701" s="11" t="b">
        <f t="shared" si="847"/>
        <v>0</v>
      </c>
      <c r="M17701" s="17" t="str">
        <f t="shared" si="845"/>
        <v/>
      </c>
      <c r="N17701" s="11" t="str">
        <f t="shared" si="846"/>
        <v/>
      </c>
    </row>
    <row r="17702" spans="9:14" x14ac:dyDescent="0.25">
      <c r="I17702" s="11" t="b">
        <f t="shared" si="847"/>
        <v>0</v>
      </c>
      <c r="M17702" s="17" t="str">
        <f t="shared" si="845"/>
        <v/>
      </c>
      <c r="N17702" s="11" t="str">
        <f t="shared" si="846"/>
        <v/>
      </c>
    </row>
    <row r="17703" spans="9:14" x14ac:dyDescent="0.25">
      <c r="I17703" s="11" t="b">
        <f t="shared" si="847"/>
        <v>0</v>
      </c>
      <c r="M17703" s="17" t="str">
        <f t="shared" si="845"/>
        <v/>
      </c>
      <c r="N17703" s="11" t="str">
        <f t="shared" si="846"/>
        <v/>
      </c>
    </row>
    <row r="17704" spans="9:14" x14ac:dyDescent="0.25">
      <c r="I17704" s="11" t="b">
        <f t="shared" si="847"/>
        <v>0</v>
      </c>
      <c r="M17704" s="17" t="str">
        <f t="shared" si="845"/>
        <v/>
      </c>
      <c r="N17704" s="11" t="str">
        <f t="shared" si="846"/>
        <v/>
      </c>
    </row>
    <row r="17705" spans="9:14" x14ac:dyDescent="0.25">
      <c r="I17705" s="11" t="b">
        <f t="shared" si="847"/>
        <v>0</v>
      </c>
      <c r="M17705" s="17" t="str">
        <f t="shared" si="845"/>
        <v/>
      </c>
      <c r="N17705" s="11" t="str">
        <f t="shared" si="846"/>
        <v/>
      </c>
    </row>
    <row r="17706" spans="9:14" x14ac:dyDescent="0.25">
      <c r="I17706" s="11" t="b">
        <f t="shared" si="847"/>
        <v>0</v>
      </c>
      <c r="M17706" s="17" t="str">
        <f t="shared" si="845"/>
        <v/>
      </c>
      <c r="N17706" s="11" t="str">
        <f t="shared" si="846"/>
        <v/>
      </c>
    </row>
    <row r="17707" spans="9:14" x14ac:dyDescent="0.25">
      <c r="I17707" s="11" t="b">
        <f t="shared" si="847"/>
        <v>0</v>
      </c>
      <c r="M17707" s="17" t="str">
        <f t="shared" si="845"/>
        <v/>
      </c>
      <c r="N17707" s="11" t="str">
        <f t="shared" si="846"/>
        <v/>
      </c>
    </row>
    <row r="17708" spans="9:14" x14ac:dyDescent="0.25">
      <c r="I17708" s="11" t="b">
        <f t="shared" si="847"/>
        <v>0</v>
      </c>
      <c r="M17708" s="17" t="str">
        <f t="shared" si="845"/>
        <v/>
      </c>
      <c r="N17708" s="11" t="str">
        <f t="shared" si="846"/>
        <v/>
      </c>
    </row>
    <row r="17709" spans="9:14" x14ac:dyDescent="0.25">
      <c r="I17709" s="11" t="b">
        <f t="shared" si="847"/>
        <v>0</v>
      </c>
      <c r="M17709" s="17" t="str">
        <f t="shared" si="845"/>
        <v/>
      </c>
      <c r="N17709" s="11" t="str">
        <f t="shared" si="846"/>
        <v/>
      </c>
    </row>
    <row r="17710" spans="9:14" x14ac:dyDescent="0.25">
      <c r="I17710" s="11" t="b">
        <f t="shared" si="847"/>
        <v>0</v>
      </c>
      <c r="M17710" s="17" t="str">
        <f t="shared" si="845"/>
        <v/>
      </c>
      <c r="N17710" s="11" t="str">
        <f t="shared" si="846"/>
        <v/>
      </c>
    </row>
    <row r="17711" spans="9:14" x14ac:dyDescent="0.25">
      <c r="I17711" s="11" t="b">
        <f t="shared" si="847"/>
        <v>0</v>
      </c>
      <c r="M17711" s="17" t="str">
        <f t="shared" si="845"/>
        <v/>
      </c>
      <c r="N17711" s="11" t="str">
        <f t="shared" si="846"/>
        <v/>
      </c>
    </row>
    <row r="17712" spans="9:14" x14ac:dyDescent="0.25">
      <c r="I17712" s="11" t="b">
        <f t="shared" si="847"/>
        <v>0</v>
      </c>
      <c r="M17712" s="17" t="str">
        <f t="shared" si="845"/>
        <v/>
      </c>
      <c r="N17712" s="11" t="str">
        <f t="shared" si="846"/>
        <v/>
      </c>
    </row>
    <row r="17713" spans="9:14" x14ac:dyDescent="0.25">
      <c r="I17713" s="11" t="b">
        <f t="shared" si="847"/>
        <v>0</v>
      </c>
      <c r="M17713" s="17" t="str">
        <f t="shared" si="845"/>
        <v/>
      </c>
      <c r="N17713" s="11" t="str">
        <f t="shared" si="846"/>
        <v/>
      </c>
    </row>
    <row r="17714" spans="9:14" x14ac:dyDescent="0.25">
      <c r="I17714" s="11" t="b">
        <f t="shared" si="847"/>
        <v>0</v>
      </c>
      <c r="M17714" s="17" t="str">
        <f t="shared" si="845"/>
        <v/>
      </c>
      <c r="N17714" s="11" t="str">
        <f t="shared" si="846"/>
        <v/>
      </c>
    </row>
    <row r="17715" spans="9:14" x14ac:dyDescent="0.25">
      <c r="I17715" s="11" t="b">
        <f t="shared" si="847"/>
        <v>0</v>
      </c>
      <c r="M17715" s="17" t="str">
        <f t="shared" si="845"/>
        <v/>
      </c>
      <c r="N17715" s="11" t="str">
        <f t="shared" si="846"/>
        <v/>
      </c>
    </row>
    <row r="17716" spans="9:14" x14ac:dyDescent="0.25">
      <c r="I17716" s="11" t="b">
        <f t="shared" si="847"/>
        <v>0</v>
      </c>
      <c r="M17716" s="17" t="str">
        <f t="shared" si="845"/>
        <v/>
      </c>
      <c r="N17716" s="11" t="str">
        <f t="shared" si="846"/>
        <v/>
      </c>
    </row>
    <row r="17717" spans="9:14" x14ac:dyDescent="0.25">
      <c r="I17717" s="11" t="b">
        <f t="shared" si="847"/>
        <v>0</v>
      </c>
      <c r="M17717" s="17" t="str">
        <f t="shared" si="845"/>
        <v/>
      </c>
      <c r="N17717" s="11" t="str">
        <f t="shared" si="846"/>
        <v/>
      </c>
    </row>
    <row r="17718" spans="9:14" x14ac:dyDescent="0.25">
      <c r="I17718" s="11" t="b">
        <f t="shared" si="847"/>
        <v>0</v>
      </c>
      <c r="M17718" s="17" t="str">
        <f t="shared" si="845"/>
        <v/>
      </c>
      <c r="N17718" s="11" t="str">
        <f t="shared" si="846"/>
        <v/>
      </c>
    </row>
    <row r="17719" spans="9:14" x14ac:dyDescent="0.25">
      <c r="I17719" s="11" t="b">
        <f t="shared" si="847"/>
        <v>0</v>
      </c>
      <c r="M17719" s="17" t="str">
        <f t="shared" si="845"/>
        <v/>
      </c>
      <c r="N17719" s="11" t="str">
        <f t="shared" si="846"/>
        <v/>
      </c>
    </row>
    <row r="17720" spans="9:14" x14ac:dyDescent="0.25">
      <c r="I17720" s="11" t="b">
        <f t="shared" si="847"/>
        <v>0</v>
      </c>
      <c r="M17720" s="17" t="str">
        <f t="shared" si="845"/>
        <v/>
      </c>
      <c r="N17720" s="11" t="str">
        <f t="shared" si="846"/>
        <v/>
      </c>
    </row>
    <row r="17721" spans="9:14" x14ac:dyDescent="0.25">
      <c r="I17721" s="11" t="b">
        <f t="shared" si="847"/>
        <v>0</v>
      </c>
      <c r="M17721" s="17" t="str">
        <f t="shared" si="845"/>
        <v/>
      </c>
      <c r="N17721" s="11" t="str">
        <f t="shared" si="846"/>
        <v/>
      </c>
    </row>
    <row r="17722" spans="9:14" x14ac:dyDescent="0.25">
      <c r="I17722" s="11" t="b">
        <f t="shared" si="847"/>
        <v>0</v>
      </c>
      <c r="M17722" s="17" t="str">
        <f t="shared" si="845"/>
        <v/>
      </c>
      <c r="N17722" s="11" t="str">
        <f t="shared" si="846"/>
        <v/>
      </c>
    </row>
    <row r="17723" spans="9:14" x14ac:dyDescent="0.25">
      <c r="I17723" s="11" t="b">
        <f t="shared" si="847"/>
        <v>0</v>
      </c>
      <c r="M17723" s="17" t="str">
        <f t="shared" si="845"/>
        <v/>
      </c>
      <c r="N17723" s="11" t="str">
        <f t="shared" si="846"/>
        <v/>
      </c>
    </row>
    <row r="17724" spans="9:14" x14ac:dyDescent="0.25">
      <c r="I17724" s="11" t="b">
        <f t="shared" si="847"/>
        <v>0</v>
      </c>
      <c r="M17724" s="17" t="str">
        <f t="shared" si="845"/>
        <v/>
      </c>
      <c r="N17724" s="11" t="str">
        <f t="shared" si="846"/>
        <v/>
      </c>
    </row>
    <row r="17725" spans="9:14" x14ac:dyDescent="0.25">
      <c r="I17725" s="11" t="b">
        <f t="shared" si="847"/>
        <v>0</v>
      </c>
      <c r="M17725" s="17" t="str">
        <f t="shared" si="845"/>
        <v/>
      </c>
      <c r="N17725" s="11" t="str">
        <f t="shared" si="846"/>
        <v/>
      </c>
    </row>
    <row r="17726" spans="9:14" x14ac:dyDescent="0.25">
      <c r="I17726" s="11" t="b">
        <f t="shared" si="847"/>
        <v>0</v>
      </c>
      <c r="M17726" s="17" t="str">
        <f t="shared" si="845"/>
        <v/>
      </c>
      <c r="N17726" s="11" t="str">
        <f t="shared" si="846"/>
        <v/>
      </c>
    </row>
    <row r="17727" spans="9:14" x14ac:dyDescent="0.25">
      <c r="I17727" s="11" t="b">
        <f t="shared" si="847"/>
        <v>0</v>
      </c>
      <c r="M17727" s="17" t="str">
        <f t="shared" si="845"/>
        <v/>
      </c>
      <c r="N17727" s="11" t="str">
        <f t="shared" si="846"/>
        <v/>
      </c>
    </row>
    <row r="17728" spans="9:14" x14ac:dyDescent="0.25">
      <c r="I17728" s="11" t="b">
        <f t="shared" si="847"/>
        <v>0</v>
      </c>
      <c r="M17728" s="17" t="str">
        <f t="shared" si="845"/>
        <v/>
      </c>
      <c r="N17728" s="11" t="str">
        <f t="shared" si="846"/>
        <v/>
      </c>
    </row>
    <row r="17729" spans="9:14" x14ac:dyDescent="0.25">
      <c r="I17729" s="11" t="b">
        <f t="shared" si="847"/>
        <v>0</v>
      </c>
      <c r="M17729" s="17" t="str">
        <f t="shared" ref="M17729:M17792" si="848">IF(B17729=0, "",M17728+ J17729-K17729)</f>
        <v/>
      </c>
      <c r="N17729" s="11" t="str">
        <f t="shared" ref="N17729:N17792" si="849">IF(B17729=0, "", MONTH(B17729))</f>
        <v/>
      </c>
    </row>
    <row r="17730" spans="9:14" x14ac:dyDescent="0.25">
      <c r="I17730" s="11" t="b">
        <f t="shared" si="847"/>
        <v>0</v>
      </c>
      <c r="M17730" s="17" t="str">
        <f t="shared" si="848"/>
        <v/>
      </c>
      <c r="N17730" s="11" t="str">
        <f t="shared" si="849"/>
        <v/>
      </c>
    </row>
    <row r="17731" spans="9:14" x14ac:dyDescent="0.25">
      <c r="I17731" s="11" t="b">
        <f t="shared" si="847"/>
        <v>0</v>
      </c>
      <c r="M17731" s="17" t="str">
        <f t="shared" si="848"/>
        <v/>
      </c>
      <c r="N17731" s="11" t="str">
        <f t="shared" si="849"/>
        <v/>
      </c>
    </row>
    <row r="17732" spans="9:14" x14ac:dyDescent="0.25">
      <c r="I17732" s="11" t="b">
        <f t="shared" si="847"/>
        <v>0</v>
      </c>
      <c r="M17732" s="17" t="str">
        <f t="shared" si="848"/>
        <v/>
      </c>
      <c r="N17732" s="11" t="str">
        <f t="shared" si="849"/>
        <v/>
      </c>
    </row>
    <row r="17733" spans="9:14" x14ac:dyDescent="0.25">
      <c r="I17733" s="11" t="b">
        <f t="shared" si="847"/>
        <v>0</v>
      </c>
      <c r="M17733" s="17" t="str">
        <f t="shared" si="848"/>
        <v/>
      </c>
      <c r="N17733" s="11" t="str">
        <f t="shared" si="849"/>
        <v/>
      </c>
    </row>
    <row r="17734" spans="9:14" x14ac:dyDescent="0.25">
      <c r="I17734" s="11" t="b">
        <f t="shared" si="847"/>
        <v>0</v>
      </c>
      <c r="M17734" s="17" t="str">
        <f t="shared" si="848"/>
        <v/>
      </c>
      <c r="N17734" s="11" t="str">
        <f t="shared" si="849"/>
        <v/>
      </c>
    </row>
    <row r="17735" spans="9:14" x14ac:dyDescent="0.25">
      <c r="I17735" s="11" t="b">
        <f t="shared" si="847"/>
        <v>0</v>
      </c>
      <c r="M17735" s="17" t="str">
        <f t="shared" si="848"/>
        <v/>
      </c>
      <c r="N17735" s="11" t="str">
        <f t="shared" si="849"/>
        <v/>
      </c>
    </row>
    <row r="17736" spans="9:14" x14ac:dyDescent="0.25">
      <c r="I17736" s="11" t="b">
        <f t="shared" si="847"/>
        <v>0</v>
      </c>
      <c r="M17736" s="17" t="str">
        <f t="shared" si="848"/>
        <v/>
      </c>
      <c r="N17736" s="11" t="str">
        <f t="shared" si="849"/>
        <v/>
      </c>
    </row>
    <row r="17737" spans="9:14" x14ac:dyDescent="0.25">
      <c r="I17737" s="11" t="b">
        <f t="shared" si="847"/>
        <v>0</v>
      </c>
      <c r="M17737" s="17" t="str">
        <f t="shared" si="848"/>
        <v/>
      </c>
      <c r="N17737" s="11" t="str">
        <f t="shared" si="849"/>
        <v/>
      </c>
    </row>
    <row r="17738" spans="9:14" x14ac:dyDescent="0.25">
      <c r="I17738" s="11" t="b">
        <f t="shared" si="847"/>
        <v>0</v>
      </c>
      <c r="M17738" s="17" t="str">
        <f t="shared" si="848"/>
        <v/>
      </c>
      <c r="N17738" s="11" t="str">
        <f t="shared" si="849"/>
        <v/>
      </c>
    </row>
    <row r="17739" spans="9:14" x14ac:dyDescent="0.25">
      <c r="I17739" s="11" t="b">
        <f t="shared" si="847"/>
        <v>0</v>
      </c>
      <c r="M17739" s="17" t="str">
        <f t="shared" si="848"/>
        <v/>
      </c>
      <c r="N17739" s="11" t="str">
        <f t="shared" si="849"/>
        <v/>
      </c>
    </row>
    <row r="17740" spans="9:14" x14ac:dyDescent="0.25">
      <c r="I17740" s="11" t="b">
        <f t="shared" si="847"/>
        <v>0</v>
      </c>
      <c r="M17740" s="17" t="str">
        <f t="shared" si="848"/>
        <v/>
      </c>
      <c r="N17740" s="11" t="str">
        <f t="shared" si="849"/>
        <v/>
      </c>
    </row>
    <row r="17741" spans="9:14" x14ac:dyDescent="0.25">
      <c r="I17741" s="11" t="b">
        <f t="shared" si="847"/>
        <v>0</v>
      </c>
      <c r="M17741" s="17" t="str">
        <f t="shared" si="848"/>
        <v/>
      </c>
      <c r="N17741" s="11" t="str">
        <f t="shared" si="849"/>
        <v/>
      </c>
    </row>
    <row r="17742" spans="9:14" x14ac:dyDescent="0.25">
      <c r="I17742" s="11" t="b">
        <f t="shared" si="847"/>
        <v>0</v>
      </c>
      <c r="M17742" s="17" t="str">
        <f t="shared" si="848"/>
        <v/>
      </c>
      <c r="N17742" s="11" t="str">
        <f t="shared" si="849"/>
        <v/>
      </c>
    </row>
    <row r="17743" spans="9:14" x14ac:dyDescent="0.25">
      <c r="I17743" s="11" t="b">
        <f t="shared" si="847"/>
        <v>0</v>
      </c>
      <c r="M17743" s="17" t="str">
        <f t="shared" si="848"/>
        <v/>
      </c>
      <c r="N17743" s="11" t="str">
        <f t="shared" si="849"/>
        <v/>
      </c>
    </row>
    <row r="17744" spans="9:14" x14ac:dyDescent="0.25">
      <c r="I17744" s="11" t="b">
        <f t="shared" si="847"/>
        <v>0</v>
      </c>
      <c r="M17744" s="17" t="str">
        <f t="shared" si="848"/>
        <v/>
      </c>
      <c r="N17744" s="11" t="str">
        <f t="shared" si="849"/>
        <v/>
      </c>
    </row>
    <row r="17745" spans="9:14" x14ac:dyDescent="0.25">
      <c r="I17745" s="11" t="b">
        <f t="shared" si="847"/>
        <v>0</v>
      </c>
      <c r="M17745" s="17" t="str">
        <f t="shared" si="848"/>
        <v/>
      </c>
      <c r="N17745" s="11" t="str">
        <f t="shared" si="849"/>
        <v/>
      </c>
    </row>
    <row r="17746" spans="9:14" x14ac:dyDescent="0.25">
      <c r="I17746" s="11" t="b">
        <f t="shared" si="847"/>
        <v>0</v>
      </c>
      <c r="M17746" s="17" t="str">
        <f t="shared" si="848"/>
        <v/>
      </c>
      <c r="N17746" s="11" t="str">
        <f t="shared" si="849"/>
        <v/>
      </c>
    </row>
    <row r="17747" spans="9:14" x14ac:dyDescent="0.25">
      <c r="I17747" s="11" t="b">
        <f t="shared" si="847"/>
        <v>0</v>
      </c>
      <c r="M17747" s="17" t="str">
        <f t="shared" si="848"/>
        <v/>
      </c>
      <c r="N17747" s="11" t="str">
        <f t="shared" si="849"/>
        <v/>
      </c>
    </row>
    <row r="17748" spans="9:14" x14ac:dyDescent="0.25">
      <c r="I17748" s="11" t="b">
        <f t="shared" si="847"/>
        <v>0</v>
      </c>
      <c r="M17748" s="17" t="str">
        <f t="shared" si="848"/>
        <v/>
      </c>
      <c r="N17748" s="11" t="str">
        <f t="shared" si="849"/>
        <v/>
      </c>
    </row>
    <row r="17749" spans="9:14" x14ac:dyDescent="0.25">
      <c r="I17749" s="11" t="b">
        <f t="shared" si="847"/>
        <v>0</v>
      </c>
      <c r="M17749" s="17" t="str">
        <f t="shared" si="848"/>
        <v/>
      </c>
      <c r="N17749" s="11" t="str">
        <f t="shared" si="849"/>
        <v/>
      </c>
    </row>
    <row r="17750" spans="9:14" x14ac:dyDescent="0.25">
      <c r="I17750" s="11" t="b">
        <f t="shared" si="847"/>
        <v>0</v>
      </c>
      <c r="M17750" s="17" t="str">
        <f t="shared" si="848"/>
        <v/>
      </c>
      <c r="N17750" s="11" t="str">
        <f t="shared" si="849"/>
        <v/>
      </c>
    </row>
    <row r="17751" spans="9:14" x14ac:dyDescent="0.25">
      <c r="I17751" s="11" t="b">
        <f t="shared" si="847"/>
        <v>0</v>
      </c>
      <c r="M17751" s="17" t="str">
        <f t="shared" si="848"/>
        <v/>
      </c>
      <c r="N17751" s="11" t="str">
        <f t="shared" si="849"/>
        <v/>
      </c>
    </row>
    <row r="17752" spans="9:14" x14ac:dyDescent="0.25">
      <c r="I17752" s="11" t="b">
        <f t="shared" si="847"/>
        <v>0</v>
      </c>
      <c r="M17752" s="17" t="str">
        <f t="shared" si="848"/>
        <v/>
      </c>
      <c r="N17752" s="11" t="str">
        <f t="shared" si="849"/>
        <v/>
      </c>
    </row>
    <row r="17753" spans="9:14" x14ac:dyDescent="0.25">
      <c r="I17753" s="11" t="b">
        <f t="shared" si="847"/>
        <v>0</v>
      </c>
      <c r="M17753" s="17" t="str">
        <f t="shared" si="848"/>
        <v/>
      </c>
      <c r="N17753" s="11" t="str">
        <f t="shared" si="849"/>
        <v/>
      </c>
    </row>
    <row r="17754" spans="9:14" x14ac:dyDescent="0.25">
      <c r="I17754" s="11" t="b">
        <f t="shared" si="847"/>
        <v>0</v>
      </c>
      <c r="M17754" s="17" t="str">
        <f t="shared" si="848"/>
        <v/>
      </c>
      <c r="N17754" s="11" t="str">
        <f t="shared" si="849"/>
        <v/>
      </c>
    </row>
    <row r="17755" spans="9:14" x14ac:dyDescent="0.25">
      <c r="I17755" s="11" t="b">
        <f t="shared" si="847"/>
        <v>0</v>
      </c>
      <c r="M17755" s="17" t="str">
        <f t="shared" si="848"/>
        <v/>
      </c>
      <c r="N17755" s="11" t="str">
        <f t="shared" si="849"/>
        <v/>
      </c>
    </row>
    <row r="17756" spans="9:14" x14ac:dyDescent="0.25">
      <c r="I17756" s="11" t="b">
        <f t="shared" si="847"/>
        <v>0</v>
      </c>
      <c r="M17756" s="17" t="str">
        <f t="shared" si="848"/>
        <v/>
      </c>
      <c r="N17756" s="11" t="str">
        <f t="shared" si="849"/>
        <v/>
      </c>
    </row>
    <row r="17757" spans="9:14" x14ac:dyDescent="0.25">
      <c r="I17757" s="11" t="b">
        <f t="shared" ref="I17757:I17820" si="850">IF(AND(G17757="MERCADO PAGO",A17757="FATURAMENTO"),1,IF(AND(OR(G17757="MERCADO PAGO",G17757="pix mercado pago",G17757= "débito automático mercado pago", G17757= "boleto mercado pago"),A17757="DESPESAS"),4,IF(AND(G17757="SAFRA",A17757="FATURAMENTO"),2,IF(AND(OR(G17757="SAFRA",G17757="PIX SAFRA", G17757="DÉBITO AUTOMÁTICO SAFRA", G17757= "BOLETO SAFRA", G17757= "transferência safra"), A17757="DESPESAS"),5,IF(AND(G17757="espécie",A17757="FATURAMENTO"),3,IF(AND(G17757="espécie",A17757="DESPESAS"),6))))))</f>
        <v>0</v>
      </c>
      <c r="M17757" s="17" t="str">
        <f t="shared" si="848"/>
        <v/>
      </c>
      <c r="N17757" s="11" t="str">
        <f t="shared" si="849"/>
        <v/>
      </c>
    </row>
    <row r="17758" spans="9:14" x14ac:dyDescent="0.25">
      <c r="I17758" s="11" t="b">
        <f t="shared" si="850"/>
        <v>0</v>
      </c>
      <c r="M17758" s="17" t="str">
        <f t="shared" si="848"/>
        <v/>
      </c>
      <c r="N17758" s="11" t="str">
        <f t="shared" si="849"/>
        <v/>
      </c>
    </row>
    <row r="17759" spans="9:14" x14ac:dyDescent="0.25">
      <c r="I17759" s="11" t="b">
        <f t="shared" si="850"/>
        <v>0</v>
      </c>
      <c r="M17759" s="17" t="str">
        <f t="shared" si="848"/>
        <v/>
      </c>
      <c r="N17759" s="11" t="str">
        <f t="shared" si="849"/>
        <v/>
      </c>
    </row>
    <row r="17760" spans="9:14" x14ac:dyDescent="0.25">
      <c r="I17760" s="11" t="b">
        <f t="shared" si="850"/>
        <v>0</v>
      </c>
      <c r="M17760" s="17" t="str">
        <f t="shared" si="848"/>
        <v/>
      </c>
      <c r="N17760" s="11" t="str">
        <f t="shared" si="849"/>
        <v/>
      </c>
    </row>
    <row r="17761" spans="9:14" x14ac:dyDescent="0.25">
      <c r="I17761" s="11" t="b">
        <f t="shared" si="850"/>
        <v>0</v>
      </c>
      <c r="M17761" s="17" t="str">
        <f t="shared" si="848"/>
        <v/>
      </c>
      <c r="N17761" s="11" t="str">
        <f t="shared" si="849"/>
        <v/>
      </c>
    </row>
    <row r="17762" spans="9:14" x14ac:dyDescent="0.25">
      <c r="I17762" s="11" t="b">
        <f t="shared" si="850"/>
        <v>0</v>
      </c>
      <c r="M17762" s="17" t="str">
        <f t="shared" si="848"/>
        <v/>
      </c>
      <c r="N17762" s="11" t="str">
        <f t="shared" si="849"/>
        <v/>
      </c>
    </row>
    <row r="17763" spans="9:14" x14ac:dyDescent="0.25">
      <c r="I17763" s="11" t="b">
        <f t="shared" si="850"/>
        <v>0</v>
      </c>
      <c r="M17763" s="17" t="str">
        <f t="shared" si="848"/>
        <v/>
      </c>
      <c r="N17763" s="11" t="str">
        <f t="shared" si="849"/>
        <v/>
      </c>
    </row>
    <row r="17764" spans="9:14" x14ac:dyDescent="0.25">
      <c r="I17764" s="11" t="b">
        <f t="shared" si="850"/>
        <v>0</v>
      </c>
      <c r="M17764" s="17" t="str">
        <f t="shared" si="848"/>
        <v/>
      </c>
      <c r="N17764" s="11" t="str">
        <f t="shared" si="849"/>
        <v/>
      </c>
    </row>
    <row r="17765" spans="9:14" x14ac:dyDescent="0.25">
      <c r="I17765" s="11" t="b">
        <f t="shared" si="850"/>
        <v>0</v>
      </c>
      <c r="M17765" s="17" t="str">
        <f t="shared" si="848"/>
        <v/>
      </c>
      <c r="N17765" s="11" t="str">
        <f t="shared" si="849"/>
        <v/>
      </c>
    </row>
    <row r="17766" spans="9:14" x14ac:dyDescent="0.25">
      <c r="I17766" s="11" t="b">
        <f t="shared" si="850"/>
        <v>0</v>
      </c>
      <c r="M17766" s="17" t="str">
        <f t="shared" si="848"/>
        <v/>
      </c>
      <c r="N17766" s="11" t="str">
        <f t="shared" si="849"/>
        <v/>
      </c>
    </row>
    <row r="17767" spans="9:14" x14ac:dyDescent="0.25">
      <c r="I17767" s="11" t="b">
        <f t="shared" si="850"/>
        <v>0</v>
      </c>
      <c r="M17767" s="17" t="str">
        <f t="shared" si="848"/>
        <v/>
      </c>
      <c r="N17767" s="11" t="str">
        <f t="shared" si="849"/>
        <v/>
      </c>
    </row>
    <row r="17768" spans="9:14" x14ac:dyDescent="0.25">
      <c r="I17768" s="11" t="b">
        <f t="shared" si="850"/>
        <v>0</v>
      </c>
      <c r="M17768" s="17" t="str">
        <f t="shared" si="848"/>
        <v/>
      </c>
      <c r="N17768" s="11" t="str">
        <f t="shared" si="849"/>
        <v/>
      </c>
    </row>
    <row r="17769" spans="9:14" x14ac:dyDescent="0.25">
      <c r="I17769" s="11" t="b">
        <f t="shared" si="850"/>
        <v>0</v>
      </c>
      <c r="M17769" s="17" t="str">
        <f t="shared" si="848"/>
        <v/>
      </c>
      <c r="N17769" s="11" t="str">
        <f t="shared" si="849"/>
        <v/>
      </c>
    </row>
    <row r="17770" spans="9:14" x14ac:dyDescent="0.25">
      <c r="I17770" s="11" t="b">
        <f t="shared" si="850"/>
        <v>0</v>
      </c>
      <c r="M17770" s="17" t="str">
        <f t="shared" si="848"/>
        <v/>
      </c>
      <c r="N17770" s="11" t="str">
        <f t="shared" si="849"/>
        <v/>
      </c>
    </row>
    <row r="17771" spans="9:14" x14ac:dyDescent="0.25">
      <c r="I17771" s="11" t="b">
        <f t="shared" si="850"/>
        <v>0</v>
      </c>
      <c r="M17771" s="17" t="str">
        <f t="shared" si="848"/>
        <v/>
      </c>
      <c r="N17771" s="11" t="str">
        <f t="shared" si="849"/>
        <v/>
      </c>
    </row>
    <row r="17772" spans="9:14" x14ac:dyDescent="0.25">
      <c r="I17772" s="11" t="b">
        <f t="shared" si="850"/>
        <v>0</v>
      </c>
      <c r="M17772" s="17" t="str">
        <f t="shared" si="848"/>
        <v/>
      </c>
      <c r="N17772" s="11" t="str">
        <f t="shared" si="849"/>
        <v/>
      </c>
    </row>
    <row r="17773" spans="9:14" x14ac:dyDescent="0.25">
      <c r="I17773" s="11" t="b">
        <f t="shared" si="850"/>
        <v>0</v>
      </c>
      <c r="M17773" s="17" t="str">
        <f t="shared" si="848"/>
        <v/>
      </c>
      <c r="N17773" s="11" t="str">
        <f t="shared" si="849"/>
        <v/>
      </c>
    </row>
    <row r="17774" spans="9:14" x14ac:dyDescent="0.25">
      <c r="I17774" s="11" t="b">
        <f t="shared" si="850"/>
        <v>0</v>
      </c>
      <c r="M17774" s="17" t="str">
        <f t="shared" si="848"/>
        <v/>
      </c>
      <c r="N17774" s="11" t="str">
        <f t="shared" si="849"/>
        <v/>
      </c>
    </row>
    <row r="17775" spans="9:14" x14ac:dyDescent="0.25">
      <c r="I17775" s="11" t="b">
        <f t="shared" si="850"/>
        <v>0</v>
      </c>
      <c r="M17775" s="17" t="str">
        <f t="shared" si="848"/>
        <v/>
      </c>
      <c r="N17775" s="11" t="str">
        <f t="shared" si="849"/>
        <v/>
      </c>
    </row>
    <row r="17776" spans="9:14" x14ac:dyDescent="0.25">
      <c r="I17776" s="11" t="b">
        <f t="shared" si="850"/>
        <v>0</v>
      </c>
      <c r="M17776" s="17" t="str">
        <f t="shared" si="848"/>
        <v/>
      </c>
      <c r="N17776" s="11" t="str">
        <f t="shared" si="849"/>
        <v/>
      </c>
    </row>
    <row r="17777" spans="9:14" x14ac:dyDescent="0.25">
      <c r="I17777" s="11" t="b">
        <f t="shared" si="850"/>
        <v>0</v>
      </c>
      <c r="M17777" s="17" t="str">
        <f t="shared" si="848"/>
        <v/>
      </c>
      <c r="N17777" s="11" t="str">
        <f t="shared" si="849"/>
        <v/>
      </c>
    </row>
    <row r="17778" spans="9:14" x14ac:dyDescent="0.25">
      <c r="I17778" s="11" t="b">
        <f t="shared" si="850"/>
        <v>0</v>
      </c>
      <c r="M17778" s="17" t="str">
        <f t="shared" si="848"/>
        <v/>
      </c>
      <c r="N17778" s="11" t="str">
        <f t="shared" si="849"/>
        <v/>
      </c>
    </row>
    <row r="17779" spans="9:14" x14ac:dyDescent="0.25">
      <c r="I17779" s="11" t="b">
        <f t="shared" si="850"/>
        <v>0</v>
      </c>
      <c r="M17779" s="17" t="str">
        <f t="shared" si="848"/>
        <v/>
      </c>
      <c r="N17779" s="11" t="str">
        <f t="shared" si="849"/>
        <v/>
      </c>
    </row>
    <row r="17780" spans="9:14" x14ac:dyDescent="0.25">
      <c r="I17780" s="11" t="b">
        <f t="shared" si="850"/>
        <v>0</v>
      </c>
      <c r="M17780" s="17" t="str">
        <f t="shared" si="848"/>
        <v/>
      </c>
      <c r="N17780" s="11" t="str">
        <f t="shared" si="849"/>
        <v/>
      </c>
    </row>
    <row r="17781" spans="9:14" x14ac:dyDescent="0.25">
      <c r="I17781" s="11" t="b">
        <f t="shared" si="850"/>
        <v>0</v>
      </c>
      <c r="M17781" s="17" t="str">
        <f t="shared" si="848"/>
        <v/>
      </c>
      <c r="N17781" s="11" t="str">
        <f t="shared" si="849"/>
        <v/>
      </c>
    </row>
    <row r="17782" spans="9:14" x14ac:dyDescent="0.25">
      <c r="I17782" s="11" t="b">
        <f t="shared" si="850"/>
        <v>0</v>
      </c>
      <c r="M17782" s="17" t="str">
        <f t="shared" si="848"/>
        <v/>
      </c>
      <c r="N17782" s="11" t="str">
        <f t="shared" si="849"/>
        <v/>
      </c>
    </row>
    <row r="17783" spans="9:14" x14ac:dyDescent="0.25">
      <c r="I17783" s="11" t="b">
        <f t="shared" si="850"/>
        <v>0</v>
      </c>
      <c r="M17783" s="17" t="str">
        <f t="shared" si="848"/>
        <v/>
      </c>
      <c r="N17783" s="11" t="str">
        <f t="shared" si="849"/>
        <v/>
      </c>
    </row>
    <row r="17784" spans="9:14" x14ac:dyDescent="0.25">
      <c r="I17784" s="11" t="b">
        <f t="shared" si="850"/>
        <v>0</v>
      </c>
      <c r="M17784" s="17" t="str">
        <f t="shared" si="848"/>
        <v/>
      </c>
      <c r="N17784" s="11" t="str">
        <f t="shared" si="849"/>
        <v/>
      </c>
    </row>
    <row r="17785" spans="9:14" x14ac:dyDescent="0.25">
      <c r="I17785" s="11" t="b">
        <f t="shared" si="850"/>
        <v>0</v>
      </c>
      <c r="M17785" s="17" t="str">
        <f t="shared" si="848"/>
        <v/>
      </c>
      <c r="N17785" s="11" t="str">
        <f t="shared" si="849"/>
        <v/>
      </c>
    </row>
    <row r="17786" spans="9:14" x14ac:dyDescent="0.25">
      <c r="I17786" s="11" t="b">
        <f t="shared" si="850"/>
        <v>0</v>
      </c>
      <c r="M17786" s="17" t="str">
        <f t="shared" si="848"/>
        <v/>
      </c>
      <c r="N17786" s="11" t="str">
        <f t="shared" si="849"/>
        <v/>
      </c>
    </row>
    <row r="17787" spans="9:14" x14ac:dyDescent="0.25">
      <c r="I17787" s="11" t="b">
        <f t="shared" si="850"/>
        <v>0</v>
      </c>
      <c r="M17787" s="17" t="str">
        <f t="shared" si="848"/>
        <v/>
      </c>
      <c r="N17787" s="11" t="str">
        <f t="shared" si="849"/>
        <v/>
      </c>
    </row>
    <row r="17788" spans="9:14" x14ac:dyDescent="0.25">
      <c r="I17788" s="11" t="b">
        <f t="shared" si="850"/>
        <v>0</v>
      </c>
      <c r="M17788" s="17" t="str">
        <f t="shared" si="848"/>
        <v/>
      </c>
      <c r="N17788" s="11" t="str">
        <f t="shared" si="849"/>
        <v/>
      </c>
    </row>
    <row r="17789" spans="9:14" x14ac:dyDescent="0.25">
      <c r="I17789" s="11" t="b">
        <f t="shared" si="850"/>
        <v>0</v>
      </c>
      <c r="M17789" s="17" t="str">
        <f t="shared" si="848"/>
        <v/>
      </c>
      <c r="N17789" s="11" t="str">
        <f t="shared" si="849"/>
        <v/>
      </c>
    </row>
    <row r="17790" spans="9:14" x14ac:dyDescent="0.25">
      <c r="I17790" s="11" t="b">
        <f t="shared" si="850"/>
        <v>0</v>
      </c>
      <c r="M17790" s="17" t="str">
        <f t="shared" si="848"/>
        <v/>
      </c>
      <c r="N17790" s="11" t="str">
        <f t="shared" si="849"/>
        <v/>
      </c>
    </row>
    <row r="17791" spans="9:14" x14ac:dyDescent="0.25">
      <c r="I17791" s="11" t="b">
        <f t="shared" si="850"/>
        <v>0</v>
      </c>
      <c r="M17791" s="17" t="str">
        <f t="shared" si="848"/>
        <v/>
      </c>
      <c r="N17791" s="11" t="str">
        <f t="shared" si="849"/>
        <v/>
      </c>
    </row>
    <row r="17792" spans="9:14" x14ac:dyDescent="0.25">
      <c r="I17792" s="11" t="b">
        <f t="shared" si="850"/>
        <v>0</v>
      </c>
      <c r="M17792" s="17" t="str">
        <f t="shared" si="848"/>
        <v/>
      </c>
      <c r="N17792" s="11" t="str">
        <f t="shared" si="849"/>
        <v/>
      </c>
    </row>
    <row r="17793" spans="9:14" x14ac:dyDescent="0.25">
      <c r="I17793" s="11" t="b">
        <f t="shared" si="850"/>
        <v>0</v>
      </c>
      <c r="M17793" s="17" t="str">
        <f t="shared" ref="M17793:M17856" si="851">IF(B17793=0, "",M17792+ J17793-K17793)</f>
        <v/>
      </c>
      <c r="N17793" s="11" t="str">
        <f t="shared" ref="N17793:N17856" si="852">IF(B17793=0, "", MONTH(B17793))</f>
        <v/>
      </c>
    </row>
    <row r="17794" spans="9:14" x14ac:dyDescent="0.25">
      <c r="I17794" s="11" t="b">
        <f t="shared" si="850"/>
        <v>0</v>
      </c>
      <c r="M17794" s="17" t="str">
        <f t="shared" si="851"/>
        <v/>
      </c>
      <c r="N17794" s="11" t="str">
        <f t="shared" si="852"/>
        <v/>
      </c>
    </row>
    <row r="17795" spans="9:14" x14ac:dyDescent="0.25">
      <c r="I17795" s="11" t="b">
        <f t="shared" si="850"/>
        <v>0</v>
      </c>
      <c r="M17795" s="17" t="str">
        <f t="shared" si="851"/>
        <v/>
      </c>
      <c r="N17795" s="11" t="str">
        <f t="shared" si="852"/>
        <v/>
      </c>
    </row>
    <row r="17796" spans="9:14" x14ac:dyDescent="0.25">
      <c r="I17796" s="11" t="b">
        <f t="shared" si="850"/>
        <v>0</v>
      </c>
      <c r="M17796" s="17" t="str">
        <f t="shared" si="851"/>
        <v/>
      </c>
      <c r="N17796" s="11" t="str">
        <f t="shared" si="852"/>
        <v/>
      </c>
    </row>
    <row r="17797" spans="9:14" x14ac:dyDescent="0.25">
      <c r="I17797" s="11" t="b">
        <f t="shared" si="850"/>
        <v>0</v>
      </c>
      <c r="M17797" s="17" t="str">
        <f t="shared" si="851"/>
        <v/>
      </c>
      <c r="N17797" s="11" t="str">
        <f t="shared" si="852"/>
        <v/>
      </c>
    </row>
    <row r="17798" spans="9:14" x14ac:dyDescent="0.25">
      <c r="I17798" s="11" t="b">
        <f t="shared" si="850"/>
        <v>0</v>
      </c>
      <c r="M17798" s="17" t="str">
        <f t="shared" si="851"/>
        <v/>
      </c>
      <c r="N17798" s="11" t="str">
        <f t="shared" si="852"/>
        <v/>
      </c>
    </row>
    <row r="17799" spans="9:14" x14ac:dyDescent="0.25">
      <c r="I17799" s="11" t="b">
        <f t="shared" si="850"/>
        <v>0</v>
      </c>
      <c r="M17799" s="17" t="str">
        <f t="shared" si="851"/>
        <v/>
      </c>
      <c r="N17799" s="11" t="str">
        <f t="shared" si="852"/>
        <v/>
      </c>
    </row>
    <row r="17800" spans="9:14" x14ac:dyDescent="0.25">
      <c r="I17800" s="11" t="b">
        <f t="shared" si="850"/>
        <v>0</v>
      </c>
      <c r="M17800" s="17" t="str">
        <f t="shared" si="851"/>
        <v/>
      </c>
      <c r="N17800" s="11" t="str">
        <f t="shared" si="852"/>
        <v/>
      </c>
    </row>
    <row r="17801" spans="9:14" x14ac:dyDescent="0.25">
      <c r="I17801" s="11" t="b">
        <f t="shared" si="850"/>
        <v>0</v>
      </c>
      <c r="M17801" s="17" t="str">
        <f t="shared" si="851"/>
        <v/>
      </c>
      <c r="N17801" s="11" t="str">
        <f t="shared" si="852"/>
        <v/>
      </c>
    </row>
    <row r="17802" spans="9:14" x14ac:dyDescent="0.25">
      <c r="I17802" s="11" t="b">
        <f t="shared" si="850"/>
        <v>0</v>
      </c>
      <c r="M17802" s="17" t="str">
        <f t="shared" si="851"/>
        <v/>
      </c>
      <c r="N17802" s="11" t="str">
        <f t="shared" si="852"/>
        <v/>
      </c>
    </row>
    <row r="17803" spans="9:14" x14ac:dyDescent="0.25">
      <c r="I17803" s="11" t="b">
        <f t="shared" si="850"/>
        <v>0</v>
      </c>
      <c r="M17803" s="17" t="str">
        <f t="shared" si="851"/>
        <v/>
      </c>
      <c r="N17803" s="11" t="str">
        <f t="shared" si="852"/>
        <v/>
      </c>
    </row>
    <row r="17804" spans="9:14" x14ac:dyDescent="0.25">
      <c r="I17804" s="11" t="b">
        <f t="shared" si="850"/>
        <v>0</v>
      </c>
      <c r="M17804" s="17" t="str">
        <f t="shared" si="851"/>
        <v/>
      </c>
      <c r="N17804" s="11" t="str">
        <f t="shared" si="852"/>
        <v/>
      </c>
    </row>
    <row r="17805" spans="9:14" x14ac:dyDescent="0.25">
      <c r="I17805" s="11" t="b">
        <f t="shared" si="850"/>
        <v>0</v>
      </c>
      <c r="M17805" s="17" t="str">
        <f t="shared" si="851"/>
        <v/>
      </c>
      <c r="N17805" s="11" t="str">
        <f t="shared" si="852"/>
        <v/>
      </c>
    </row>
    <row r="17806" spans="9:14" x14ac:dyDescent="0.25">
      <c r="I17806" s="11" t="b">
        <f t="shared" si="850"/>
        <v>0</v>
      </c>
      <c r="M17806" s="17" t="str">
        <f t="shared" si="851"/>
        <v/>
      </c>
      <c r="N17806" s="11" t="str">
        <f t="shared" si="852"/>
        <v/>
      </c>
    </row>
    <row r="17807" spans="9:14" x14ac:dyDescent="0.25">
      <c r="I17807" s="11" t="b">
        <f t="shared" si="850"/>
        <v>0</v>
      </c>
      <c r="M17807" s="17" t="str">
        <f t="shared" si="851"/>
        <v/>
      </c>
      <c r="N17807" s="11" t="str">
        <f t="shared" si="852"/>
        <v/>
      </c>
    </row>
    <row r="17808" spans="9:14" x14ac:dyDescent="0.25">
      <c r="I17808" s="11" t="b">
        <f t="shared" si="850"/>
        <v>0</v>
      </c>
      <c r="M17808" s="17" t="str">
        <f t="shared" si="851"/>
        <v/>
      </c>
      <c r="N17808" s="11" t="str">
        <f t="shared" si="852"/>
        <v/>
      </c>
    </row>
    <row r="17809" spans="9:14" x14ac:dyDescent="0.25">
      <c r="I17809" s="11" t="b">
        <f t="shared" si="850"/>
        <v>0</v>
      </c>
      <c r="M17809" s="17" t="str">
        <f t="shared" si="851"/>
        <v/>
      </c>
      <c r="N17809" s="11" t="str">
        <f t="shared" si="852"/>
        <v/>
      </c>
    </row>
    <row r="17810" spans="9:14" x14ac:dyDescent="0.25">
      <c r="I17810" s="11" t="b">
        <f t="shared" si="850"/>
        <v>0</v>
      </c>
      <c r="M17810" s="17" t="str">
        <f t="shared" si="851"/>
        <v/>
      </c>
      <c r="N17810" s="11" t="str">
        <f t="shared" si="852"/>
        <v/>
      </c>
    </row>
    <row r="17811" spans="9:14" x14ac:dyDescent="0.25">
      <c r="I17811" s="11" t="b">
        <f t="shared" si="850"/>
        <v>0</v>
      </c>
      <c r="M17811" s="17" t="str">
        <f t="shared" si="851"/>
        <v/>
      </c>
      <c r="N17811" s="11" t="str">
        <f t="shared" si="852"/>
        <v/>
      </c>
    </row>
    <row r="17812" spans="9:14" x14ac:dyDescent="0.25">
      <c r="I17812" s="11" t="b">
        <f t="shared" si="850"/>
        <v>0</v>
      </c>
      <c r="M17812" s="17" t="str">
        <f t="shared" si="851"/>
        <v/>
      </c>
      <c r="N17812" s="11" t="str">
        <f t="shared" si="852"/>
        <v/>
      </c>
    </row>
    <row r="17813" spans="9:14" x14ac:dyDescent="0.25">
      <c r="I17813" s="11" t="b">
        <f t="shared" si="850"/>
        <v>0</v>
      </c>
      <c r="M17813" s="17" t="str">
        <f t="shared" si="851"/>
        <v/>
      </c>
      <c r="N17813" s="11" t="str">
        <f t="shared" si="852"/>
        <v/>
      </c>
    </row>
    <row r="17814" spans="9:14" x14ac:dyDescent="0.25">
      <c r="I17814" s="11" t="b">
        <f t="shared" si="850"/>
        <v>0</v>
      </c>
      <c r="M17814" s="17" t="str">
        <f t="shared" si="851"/>
        <v/>
      </c>
      <c r="N17814" s="11" t="str">
        <f t="shared" si="852"/>
        <v/>
      </c>
    </row>
    <row r="17815" spans="9:14" x14ac:dyDescent="0.25">
      <c r="I17815" s="11" t="b">
        <f t="shared" si="850"/>
        <v>0</v>
      </c>
      <c r="M17815" s="17" t="str">
        <f t="shared" si="851"/>
        <v/>
      </c>
      <c r="N17815" s="11" t="str">
        <f t="shared" si="852"/>
        <v/>
      </c>
    </row>
    <row r="17816" spans="9:14" x14ac:dyDescent="0.25">
      <c r="I17816" s="11" t="b">
        <f t="shared" si="850"/>
        <v>0</v>
      </c>
      <c r="M17816" s="17" t="str">
        <f t="shared" si="851"/>
        <v/>
      </c>
      <c r="N17816" s="11" t="str">
        <f t="shared" si="852"/>
        <v/>
      </c>
    </row>
    <row r="17817" spans="9:14" x14ac:dyDescent="0.25">
      <c r="I17817" s="11" t="b">
        <f t="shared" si="850"/>
        <v>0</v>
      </c>
      <c r="M17817" s="17" t="str">
        <f t="shared" si="851"/>
        <v/>
      </c>
      <c r="N17817" s="11" t="str">
        <f t="shared" si="852"/>
        <v/>
      </c>
    </row>
    <row r="17818" spans="9:14" x14ac:dyDescent="0.25">
      <c r="I17818" s="11" t="b">
        <f t="shared" si="850"/>
        <v>0</v>
      </c>
      <c r="M17818" s="17" t="str">
        <f t="shared" si="851"/>
        <v/>
      </c>
      <c r="N17818" s="11" t="str">
        <f t="shared" si="852"/>
        <v/>
      </c>
    </row>
    <row r="17819" spans="9:14" x14ac:dyDescent="0.25">
      <c r="I17819" s="11" t="b">
        <f t="shared" si="850"/>
        <v>0</v>
      </c>
      <c r="M17819" s="17" t="str">
        <f t="shared" si="851"/>
        <v/>
      </c>
      <c r="N17819" s="11" t="str">
        <f t="shared" si="852"/>
        <v/>
      </c>
    </row>
    <row r="17820" spans="9:14" x14ac:dyDescent="0.25">
      <c r="I17820" s="11" t="b">
        <f t="shared" si="850"/>
        <v>0</v>
      </c>
      <c r="M17820" s="17" t="str">
        <f t="shared" si="851"/>
        <v/>
      </c>
      <c r="N17820" s="11" t="str">
        <f t="shared" si="852"/>
        <v/>
      </c>
    </row>
    <row r="17821" spans="9:14" x14ac:dyDescent="0.25">
      <c r="I17821" s="11" t="b">
        <f t="shared" ref="I17821:I17884" si="853">IF(AND(G17821="MERCADO PAGO",A17821="FATURAMENTO"),1,IF(AND(OR(G17821="MERCADO PAGO",G17821="pix mercado pago",G17821= "débito automático mercado pago", G17821= "boleto mercado pago"),A17821="DESPESAS"),4,IF(AND(G17821="SAFRA",A17821="FATURAMENTO"),2,IF(AND(OR(G17821="SAFRA",G17821="PIX SAFRA", G17821="DÉBITO AUTOMÁTICO SAFRA", G17821= "BOLETO SAFRA", G17821= "transferência safra"), A17821="DESPESAS"),5,IF(AND(G17821="espécie",A17821="FATURAMENTO"),3,IF(AND(G17821="espécie",A17821="DESPESAS"),6))))))</f>
        <v>0</v>
      </c>
      <c r="M17821" s="17" t="str">
        <f t="shared" si="851"/>
        <v/>
      </c>
      <c r="N17821" s="11" t="str">
        <f t="shared" si="852"/>
        <v/>
      </c>
    </row>
    <row r="17822" spans="9:14" x14ac:dyDescent="0.25">
      <c r="I17822" s="11" t="b">
        <f t="shared" si="853"/>
        <v>0</v>
      </c>
      <c r="M17822" s="17" t="str">
        <f t="shared" si="851"/>
        <v/>
      </c>
      <c r="N17822" s="11" t="str">
        <f t="shared" si="852"/>
        <v/>
      </c>
    </row>
    <row r="17823" spans="9:14" x14ac:dyDescent="0.25">
      <c r="I17823" s="11" t="b">
        <f t="shared" si="853"/>
        <v>0</v>
      </c>
      <c r="M17823" s="17" t="str">
        <f t="shared" si="851"/>
        <v/>
      </c>
      <c r="N17823" s="11" t="str">
        <f t="shared" si="852"/>
        <v/>
      </c>
    </row>
    <row r="17824" spans="9:14" x14ac:dyDescent="0.25">
      <c r="I17824" s="11" t="b">
        <f t="shared" si="853"/>
        <v>0</v>
      </c>
      <c r="M17824" s="17" t="str">
        <f t="shared" si="851"/>
        <v/>
      </c>
      <c r="N17824" s="11" t="str">
        <f t="shared" si="852"/>
        <v/>
      </c>
    </row>
    <row r="17825" spans="9:14" x14ac:dyDescent="0.25">
      <c r="I17825" s="11" t="b">
        <f t="shared" si="853"/>
        <v>0</v>
      </c>
      <c r="M17825" s="17" t="str">
        <f t="shared" si="851"/>
        <v/>
      </c>
      <c r="N17825" s="11" t="str">
        <f t="shared" si="852"/>
        <v/>
      </c>
    </row>
    <row r="17826" spans="9:14" x14ac:dyDescent="0.25">
      <c r="I17826" s="11" t="b">
        <f t="shared" si="853"/>
        <v>0</v>
      </c>
      <c r="M17826" s="17" t="str">
        <f t="shared" si="851"/>
        <v/>
      </c>
      <c r="N17826" s="11" t="str">
        <f t="shared" si="852"/>
        <v/>
      </c>
    </row>
    <row r="17827" spans="9:14" x14ac:dyDescent="0.25">
      <c r="I17827" s="11" t="b">
        <f t="shared" si="853"/>
        <v>0</v>
      </c>
      <c r="M17827" s="17" t="str">
        <f t="shared" si="851"/>
        <v/>
      </c>
      <c r="N17827" s="11" t="str">
        <f t="shared" si="852"/>
        <v/>
      </c>
    </row>
    <row r="17828" spans="9:14" x14ac:dyDescent="0.25">
      <c r="I17828" s="11" t="b">
        <f t="shared" si="853"/>
        <v>0</v>
      </c>
      <c r="M17828" s="17" t="str">
        <f t="shared" si="851"/>
        <v/>
      </c>
      <c r="N17828" s="11" t="str">
        <f t="shared" si="852"/>
        <v/>
      </c>
    </row>
    <row r="17829" spans="9:14" x14ac:dyDescent="0.25">
      <c r="I17829" s="11" t="b">
        <f t="shared" si="853"/>
        <v>0</v>
      </c>
      <c r="M17829" s="17" t="str">
        <f t="shared" si="851"/>
        <v/>
      </c>
      <c r="N17829" s="11" t="str">
        <f t="shared" si="852"/>
        <v/>
      </c>
    </row>
    <row r="17830" spans="9:14" x14ac:dyDescent="0.25">
      <c r="I17830" s="11" t="b">
        <f t="shared" si="853"/>
        <v>0</v>
      </c>
      <c r="M17830" s="17" t="str">
        <f t="shared" si="851"/>
        <v/>
      </c>
      <c r="N17830" s="11" t="str">
        <f t="shared" si="852"/>
        <v/>
      </c>
    </row>
    <row r="17831" spans="9:14" x14ac:dyDescent="0.25">
      <c r="I17831" s="11" t="b">
        <f t="shared" si="853"/>
        <v>0</v>
      </c>
      <c r="M17831" s="17" t="str">
        <f t="shared" si="851"/>
        <v/>
      </c>
      <c r="N17831" s="11" t="str">
        <f t="shared" si="852"/>
        <v/>
      </c>
    </row>
    <row r="17832" spans="9:14" x14ac:dyDescent="0.25">
      <c r="I17832" s="11" t="b">
        <f t="shared" si="853"/>
        <v>0</v>
      </c>
      <c r="M17832" s="17" t="str">
        <f t="shared" si="851"/>
        <v/>
      </c>
      <c r="N17832" s="11" t="str">
        <f t="shared" si="852"/>
        <v/>
      </c>
    </row>
    <row r="17833" spans="9:14" x14ac:dyDescent="0.25">
      <c r="I17833" s="11" t="b">
        <f t="shared" si="853"/>
        <v>0</v>
      </c>
      <c r="M17833" s="17" t="str">
        <f t="shared" si="851"/>
        <v/>
      </c>
      <c r="N17833" s="11" t="str">
        <f t="shared" si="852"/>
        <v/>
      </c>
    </row>
    <row r="17834" spans="9:14" x14ac:dyDescent="0.25">
      <c r="I17834" s="11" t="b">
        <f t="shared" si="853"/>
        <v>0</v>
      </c>
      <c r="M17834" s="17" t="str">
        <f t="shared" si="851"/>
        <v/>
      </c>
      <c r="N17834" s="11" t="str">
        <f t="shared" si="852"/>
        <v/>
      </c>
    </row>
    <row r="17835" spans="9:14" x14ac:dyDescent="0.25">
      <c r="I17835" s="11" t="b">
        <f t="shared" si="853"/>
        <v>0</v>
      </c>
      <c r="M17835" s="17" t="str">
        <f t="shared" si="851"/>
        <v/>
      </c>
      <c r="N17835" s="11" t="str">
        <f t="shared" si="852"/>
        <v/>
      </c>
    </row>
    <row r="17836" spans="9:14" x14ac:dyDescent="0.25">
      <c r="I17836" s="11" t="b">
        <f t="shared" si="853"/>
        <v>0</v>
      </c>
      <c r="M17836" s="17" t="str">
        <f t="shared" si="851"/>
        <v/>
      </c>
      <c r="N17836" s="11" t="str">
        <f t="shared" si="852"/>
        <v/>
      </c>
    </row>
    <row r="17837" spans="9:14" x14ac:dyDescent="0.25">
      <c r="I17837" s="11" t="b">
        <f t="shared" si="853"/>
        <v>0</v>
      </c>
      <c r="M17837" s="17" t="str">
        <f t="shared" si="851"/>
        <v/>
      </c>
      <c r="N17837" s="11" t="str">
        <f t="shared" si="852"/>
        <v/>
      </c>
    </row>
    <row r="17838" spans="9:14" x14ac:dyDescent="0.25">
      <c r="I17838" s="11" t="b">
        <f t="shared" si="853"/>
        <v>0</v>
      </c>
      <c r="M17838" s="17" t="str">
        <f t="shared" si="851"/>
        <v/>
      </c>
      <c r="N17838" s="11" t="str">
        <f t="shared" si="852"/>
        <v/>
      </c>
    </row>
    <row r="17839" spans="9:14" x14ac:dyDescent="0.25">
      <c r="I17839" s="11" t="b">
        <f t="shared" si="853"/>
        <v>0</v>
      </c>
      <c r="M17839" s="17" t="str">
        <f t="shared" si="851"/>
        <v/>
      </c>
      <c r="N17839" s="11" t="str">
        <f t="shared" si="852"/>
        <v/>
      </c>
    </row>
    <row r="17840" spans="9:14" x14ac:dyDescent="0.25">
      <c r="I17840" s="11" t="b">
        <f t="shared" si="853"/>
        <v>0</v>
      </c>
      <c r="M17840" s="17" t="str">
        <f t="shared" si="851"/>
        <v/>
      </c>
      <c r="N17840" s="11" t="str">
        <f t="shared" si="852"/>
        <v/>
      </c>
    </row>
    <row r="17841" spans="9:14" x14ac:dyDescent="0.25">
      <c r="I17841" s="11" t="b">
        <f t="shared" si="853"/>
        <v>0</v>
      </c>
      <c r="M17841" s="17" t="str">
        <f t="shared" si="851"/>
        <v/>
      </c>
      <c r="N17841" s="11" t="str">
        <f t="shared" si="852"/>
        <v/>
      </c>
    </row>
    <row r="17842" spans="9:14" x14ac:dyDescent="0.25">
      <c r="I17842" s="11" t="b">
        <f t="shared" si="853"/>
        <v>0</v>
      </c>
      <c r="M17842" s="17" t="str">
        <f t="shared" si="851"/>
        <v/>
      </c>
      <c r="N17842" s="11" t="str">
        <f t="shared" si="852"/>
        <v/>
      </c>
    </row>
    <row r="17843" spans="9:14" x14ac:dyDescent="0.25">
      <c r="I17843" s="11" t="b">
        <f t="shared" si="853"/>
        <v>0</v>
      </c>
      <c r="M17843" s="17" t="str">
        <f t="shared" si="851"/>
        <v/>
      </c>
      <c r="N17843" s="11" t="str">
        <f t="shared" si="852"/>
        <v/>
      </c>
    </row>
    <row r="17844" spans="9:14" x14ac:dyDescent="0.25">
      <c r="I17844" s="11" t="b">
        <f t="shared" si="853"/>
        <v>0</v>
      </c>
      <c r="M17844" s="17" t="str">
        <f t="shared" si="851"/>
        <v/>
      </c>
      <c r="N17844" s="11" t="str">
        <f t="shared" si="852"/>
        <v/>
      </c>
    </row>
    <row r="17845" spans="9:14" x14ac:dyDescent="0.25">
      <c r="I17845" s="11" t="b">
        <f t="shared" si="853"/>
        <v>0</v>
      </c>
      <c r="M17845" s="17" t="str">
        <f t="shared" si="851"/>
        <v/>
      </c>
      <c r="N17845" s="11" t="str">
        <f t="shared" si="852"/>
        <v/>
      </c>
    </row>
    <row r="17846" spans="9:14" x14ac:dyDescent="0.25">
      <c r="I17846" s="11" t="b">
        <f t="shared" si="853"/>
        <v>0</v>
      </c>
      <c r="M17846" s="17" t="str">
        <f t="shared" si="851"/>
        <v/>
      </c>
      <c r="N17846" s="11" t="str">
        <f t="shared" si="852"/>
        <v/>
      </c>
    </row>
    <row r="17847" spans="9:14" x14ac:dyDescent="0.25">
      <c r="I17847" s="11" t="b">
        <f t="shared" si="853"/>
        <v>0</v>
      </c>
      <c r="M17847" s="17" t="str">
        <f t="shared" si="851"/>
        <v/>
      </c>
      <c r="N17847" s="11" t="str">
        <f t="shared" si="852"/>
        <v/>
      </c>
    </row>
    <row r="17848" spans="9:14" x14ac:dyDescent="0.25">
      <c r="I17848" s="11" t="b">
        <f t="shared" si="853"/>
        <v>0</v>
      </c>
      <c r="M17848" s="17" t="str">
        <f t="shared" si="851"/>
        <v/>
      </c>
      <c r="N17848" s="11" t="str">
        <f t="shared" si="852"/>
        <v/>
      </c>
    </row>
    <row r="17849" spans="9:14" x14ac:dyDescent="0.25">
      <c r="I17849" s="11" t="b">
        <f t="shared" si="853"/>
        <v>0</v>
      </c>
      <c r="M17849" s="17" t="str">
        <f t="shared" si="851"/>
        <v/>
      </c>
      <c r="N17849" s="11" t="str">
        <f t="shared" si="852"/>
        <v/>
      </c>
    </row>
    <row r="17850" spans="9:14" x14ac:dyDescent="0.25">
      <c r="I17850" s="11" t="b">
        <f t="shared" si="853"/>
        <v>0</v>
      </c>
      <c r="M17850" s="17" t="str">
        <f t="shared" si="851"/>
        <v/>
      </c>
      <c r="N17850" s="11" t="str">
        <f t="shared" si="852"/>
        <v/>
      </c>
    </row>
    <row r="17851" spans="9:14" x14ac:dyDescent="0.25">
      <c r="I17851" s="11" t="b">
        <f t="shared" si="853"/>
        <v>0</v>
      </c>
      <c r="M17851" s="17" t="str">
        <f t="shared" si="851"/>
        <v/>
      </c>
      <c r="N17851" s="11" t="str">
        <f t="shared" si="852"/>
        <v/>
      </c>
    </row>
    <row r="17852" spans="9:14" x14ac:dyDescent="0.25">
      <c r="I17852" s="11" t="b">
        <f t="shared" si="853"/>
        <v>0</v>
      </c>
      <c r="M17852" s="17" t="str">
        <f t="shared" si="851"/>
        <v/>
      </c>
      <c r="N17852" s="11" t="str">
        <f t="shared" si="852"/>
        <v/>
      </c>
    </row>
    <row r="17853" spans="9:14" x14ac:dyDescent="0.25">
      <c r="I17853" s="11" t="b">
        <f t="shared" si="853"/>
        <v>0</v>
      </c>
      <c r="M17853" s="17" t="str">
        <f t="shared" si="851"/>
        <v/>
      </c>
      <c r="N17853" s="11" t="str">
        <f t="shared" si="852"/>
        <v/>
      </c>
    </row>
    <row r="17854" spans="9:14" x14ac:dyDescent="0.25">
      <c r="I17854" s="11" t="b">
        <f t="shared" si="853"/>
        <v>0</v>
      </c>
      <c r="M17854" s="17" t="str">
        <f t="shared" si="851"/>
        <v/>
      </c>
      <c r="N17854" s="11" t="str">
        <f t="shared" si="852"/>
        <v/>
      </c>
    </row>
    <row r="17855" spans="9:14" x14ac:dyDescent="0.25">
      <c r="I17855" s="11" t="b">
        <f t="shared" si="853"/>
        <v>0</v>
      </c>
      <c r="M17855" s="17" t="str">
        <f t="shared" si="851"/>
        <v/>
      </c>
      <c r="N17855" s="11" t="str">
        <f t="shared" si="852"/>
        <v/>
      </c>
    </row>
    <row r="17856" spans="9:14" x14ac:dyDescent="0.25">
      <c r="I17856" s="11" t="b">
        <f t="shared" si="853"/>
        <v>0</v>
      </c>
      <c r="M17856" s="17" t="str">
        <f t="shared" si="851"/>
        <v/>
      </c>
      <c r="N17856" s="11" t="str">
        <f t="shared" si="852"/>
        <v/>
      </c>
    </row>
    <row r="17857" spans="9:14" x14ac:dyDescent="0.25">
      <c r="I17857" s="11" t="b">
        <f t="shared" si="853"/>
        <v>0</v>
      </c>
      <c r="M17857" s="17" t="str">
        <f t="shared" ref="M17857:M17920" si="854">IF(B17857=0, "",M17856+ J17857-K17857)</f>
        <v/>
      </c>
      <c r="N17857" s="11" t="str">
        <f t="shared" ref="N17857:N17920" si="855">IF(B17857=0, "", MONTH(B17857))</f>
        <v/>
      </c>
    </row>
    <row r="17858" spans="9:14" x14ac:dyDescent="0.25">
      <c r="I17858" s="11" t="b">
        <f t="shared" si="853"/>
        <v>0</v>
      </c>
      <c r="M17858" s="17" t="str">
        <f t="shared" si="854"/>
        <v/>
      </c>
      <c r="N17858" s="11" t="str">
        <f t="shared" si="855"/>
        <v/>
      </c>
    </row>
    <row r="17859" spans="9:14" x14ac:dyDescent="0.25">
      <c r="I17859" s="11" t="b">
        <f t="shared" si="853"/>
        <v>0</v>
      </c>
      <c r="M17859" s="17" t="str">
        <f t="shared" si="854"/>
        <v/>
      </c>
      <c r="N17859" s="11" t="str">
        <f t="shared" si="855"/>
        <v/>
      </c>
    </row>
    <row r="17860" spans="9:14" x14ac:dyDescent="0.25">
      <c r="I17860" s="11" t="b">
        <f t="shared" si="853"/>
        <v>0</v>
      </c>
      <c r="M17860" s="17" t="str">
        <f t="shared" si="854"/>
        <v/>
      </c>
      <c r="N17860" s="11" t="str">
        <f t="shared" si="855"/>
        <v/>
      </c>
    </row>
    <row r="17861" spans="9:14" x14ac:dyDescent="0.25">
      <c r="I17861" s="11" t="b">
        <f t="shared" si="853"/>
        <v>0</v>
      </c>
      <c r="M17861" s="17" t="str">
        <f t="shared" si="854"/>
        <v/>
      </c>
      <c r="N17861" s="11" t="str">
        <f t="shared" si="855"/>
        <v/>
      </c>
    </row>
    <row r="17862" spans="9:14" x14ac:dyDescent="0.25">
      <c r="I17862" s="11" t="b">
        <f t="shared" si="853"/>
        <v>0</v>
      </c>
      <c r="M17862" s="17" t="str">
        <f t="shared" si="854"/>
        <v/>
      </c>
      <c r="N17862" s="11" t="str">
        <f t="shared" si="855"/>
        <v/>
      </c>
    </row>
    <row r="17863" spans="9:14" x14ac:dyDescent="0.25">
      <c r="I17863" s="11" t="b">
        <f t="shared" si="853"/>
        <v>0</v>
      </c>
      <c r="M17863" s="17" t="str">
        <f t="shared" si="854"/>
        <v/>
      </c>
      <c r="N17863" s="11" t="str">
        <f t="shared" si="855"/>
        <v/>
      </c>
    </row>
    <row r="17864" spans="9:14" x14ac:dyDescent="0.25">
      <c r="I17864" s="11" t="b">
        <f t="shared" si="853"/>
        <v>0</v>
      </c>
      <c r="M17864" s="17" t="str">
        <f t="shared" si="854"/>
        <v/>
      </c>
      <c r="N17864" s="11" t="str">
        <f t="shared" si="855"/>
        <v/>
      </c>
    </row>
    <row r="17865" spans="9:14" x14ac:dyDescent="0.25">
      <c r="I17865" s="11" t="b">
        <f t="shared" si="853"/>
        <v>0</v>
      </c>
      <c r="M17865" s="17" t="str">
        <f t="shared" si="854"/>
        <v/>
      </c>
      <c r="N17865" s="11" t="str">
        <f t="shared" si="855"/>
        <v/>
      </c>
    </row>
    <row r="17866" spans="9:14" x14ac:dyDescent="0.25">
      <c r="I17866" s="11" t="b">
        <f t="shared" si="853"/>
        <v>0</v>
      </c>
      <c r="M17866" s="17" t="str">
        <f t="shared" si="854"/>
        <v/>
      </c>
      <c r="N17866" s="11" t="str">
        <f t="shared" si="855"/>
        <v/>
      </c>
    </row>
    <row r="17867" spans="9:14" x14ac:dyDescent="0.25">
      <c r="I17867" s="11" t="b">
        <f t="shared" si="853"/>
        <v>0</v>
      </c>
      <c r="M17867" s="17" t="str">
        <f t="shared" si="854"/>
        <v/>
      </c>
      <c r="N17867" s="11" t="str">
        <f t="shared" si="855"/>
        <v/>
      </c>
    </row>
    <row r="17868" spans="9:14" x14ac:dyDescent="0.25">
      <c r="I17868" s="11" t="b">
        <f t="shared" si="853"/>
        <v>0</v>
      </c>
      <c r="M17868" s="17" t="str">
        <f t="shared" si="854"/>
        <v/>
      </c>
      <c r="N17868" s="11" t="str">
        <f t="shared" si="855"/>
        <v/>
      </c>
    </row>
    <row r="17869" spans="9:14" x14ac:dyDescent="0.25">
      <c r="I17869" s="11" t="b">
        <f t="shared" si="853"/>
        <v>0</v>
      </c>
      <c r="M17869" s="17" t="str">
        <f t="shared" si="854"/>
        <v/>
      </c>
      <c r="N17869" s="11" t="str">
        <f t="shared" si="855"/>
        <v/>
      </c>
    </row>
    <row r="17870" spans="9:14" x14ac:dyDescent="0.25">
      <c r="I17870" s="11" t="b">
        <f t="shared" si="853"/>
        <v>0</v>
      </c>
      <c r="M17870" s="17" t="str">
        <f t="shared" si="854"/>
        <v/>
      </c>
      <c r="N17870" s="11" t="str">
        <f t="shared" si="855"/>
        <v/>
      </c>
    </row>
    <row r="17871" spans="9:14" x14ac:dyDescent="0.25">
      <c r="I17871" s="11" t="b">
        <f t="shared" si="853"/>
        <v>0</v>
      </c>
      <c r="M17871" s="17" t="str">
        <f t="shared" si="854"/>
        <v/>
      </c>
      <c r="N17871" s="11" t="str">
        <f t="shared" si="855"/>
        <v/>
      </c>
    </row>
    <row r="17872" spans="9:14" x14ac:dyDescent="0.25">
      <c r="I17872" s="11" t="b">
        <f t="shared" si="853"/>
        <v>0</v>
      </c>
      <c r="M17872" s="17" t="str">
        <f t="shared" si="854"/>
        <v/>
      </c>
      <c r="N17872" s="11" t="str">
        <f t="shared" si="855"/>
        <v/>
      </c>
    </row>
    <row r="17873" spans="9:14" x14ac:dyDescent="0.25">
      <c r="I17873" s="11" t="b">
        <f t="shared" si="853"/>
        <v>0</v>
      </c>
      <c r="M17873" s="17" t="str">
        <f t="shared" si="854"/>
        <v/>
      </c>
      <c r="N17873" s="11" t="str">
        <f t="shared" si="855"/>
        <v/>
      </c>
    </row>
    <row r="17874" spans="9:14" x14ac:dyDescent="0.25">
      <c r="I17874" s="11" t="b">
        <f t="shared" si="853"/>
        <v>0</v>
      </c>
      <c r="M17874" s="17" t="str">
        <f t="shared" si="854"/>
        <v/>
      </c>
      <c r="N17874" s="11" t="str">
        <f t="shared" si="855"/>
        <v/>
      </c>
    </row>
    <row r="17875" spans="9:14" x14ac:dyDescent="0.25">
      <c r="I17875" s="11" t="b">
        <f t="shared" si="853"/>
        <v>0</v>
      </c>
      <c r="M17875" s="17" t="str">
        <f t="shared" si="854"/>
        <v/>
      </c>
      <c r="N17875" s="11" t="str">
        <f t="shared" si="855"/>
        <v/>
      </c>
    </row>
    <row r="17876" spans="9:14" x14ac:dyDescent="0.25">
      <c r="I17876" s="11" t="b">
        <f t="shared" si="853"/>
        <v>0</v>
      </c>
      <c r="M17876" s="17" t="str">
        <f t="shared" si="854"/>
        <v/>
      </c>
      <c r="N17876" s="11" t="str">
        <f t="shared" si="855"/>
        <v/>
      </c>
    </row>
    <row r="17877" spans="9:14" x14ac:dyDescent="0.25">
      <c r="I17877" s="11" t="b">
        <f t="shared" si="853"/>
        <v>0</v>
      </c>
      <c r="M17877" s="17" t="str">
        <f t="shared" si="854"/>
        <v/>
      </c>
      <c r="N17877" s="11" t="str">
        <f t="shared" si="855"/>
        <v/>
      </c>
    </row>
    <row r="17878" spans="9:14" x14ac:dyDescent="0.25">
      <c r="I17878" s="11" t="b">
        <f t="shared" si="853"/>
        <v>0</v>
      </c>
      <c r="M17878" s="17" t="str">
        <f t="shared" si="854"/>
        <v/>
      </c>
      <c r="N17878" s="11" t="str">
        <f t="shared" si="855"/>
        <v/>
      </c>
    </row>
    <row r="17879" spans="9:14" x14ac:dyDescent="0.25">
      <c r="I17879" s="11" t="b">
        <f t="shared" si="853"/>
        <v>0</v>
      </c>
      <c r="M17879" s="17" t="str">
        <f t="shared" si="854"/>
        <v/>
      </c>
      <c r="N17879" s="11" t="str">
        <f t="shared" si="855"/>
        <v/>
      </c>
    </row>
    <row r="17880" spans="9:14" x14ac:dyDescent="0.25">
      <c r="I17880" s="11" t="b">
        <f t="shared" si="853"/>
        <v>0</v>
      </c>
      <c r="M17880" s="17" t="str">
        <f t="shared" si="854"/>
        <v/>
      </c>
      <c r="N17880" s="11" t="str">
        <f t="shared" si="855"/>
        <v/>
      </c>
    </row>
    <row r="17881" spans="9:14" x14ac:dyDescent="0.25">
      <c r="I17881" s="11" t="b">
        <f t="shared" si="853"/>
        <v>0</v>
      </c>
      <c r="M17881" s="17" t="str">
        <f t="shared" si="854"/>
        <v/>
      </c>
      <c r="N17881" s="11" t="str">
        <f t="shared" si="855"/>
        <v/>
      </c>
    </row>
    <row r="17882" spans="9:14" x14ac:dyDescent="0.25">
      <c r="I17882" s="11" t="b">
        <f t="shared" si="853"/>
        <v>0</v>
      </c>
      <c r="M17882" s="17" t="str">
        <f t="shared" si="854"/>
        <v/>
      </c>
      <c r="N17882" s="11" t="str">
        <f t="shared" si="855"/>
        <v/>
      </c>
    </row>
    <row r="17883" spans="9:14" x14ac:dyDescent="0.25">
      <c r="I17883" s="11" t="b">
        <f t="shared" si="853"/>
        <v>0</v>
      </c>
      <c r="M17883" s="17" t="str">
        <f t="shared" si="854"/>
        <v/>
      </c>
      <c r="N17883" s="11" t="str">
        <f t="shared" si="855"/>
        <v/>
      </c>
    </row>
    <row r="17884" spans="9:14" x14ac:dyDescent="0.25">
      <c r="I17884" s="11" t="b">
        <f t="shared" si="853"/>
        <v>0</v>
      </c>
      <c r="M17884" s="17" t="str">
        <f t="shared" si="854"/>
        <v/>
      </c>
      <c r="N17884" s="11" t="str">
        <f t="shared" si="855"/>
        <v/>
      </c>
    </row>
    <row r="17885" spans="9:14" x14ac:dyDescent="0.25">
      <c r="I17885" s="11" t="b">
        <f t="shared" ref="I17885:I17948" si="856">IF(AND(G17885="MERCADO PAGO",A17885="FATURAMENTO"),1,IF(AND(OR(G17885="MERCADO PAGO",G17885="pix mercado pago",G17885= "débito automático mercado pago", G17885= "boleto mercado pago"),A17885="DESPESAS"),4,IF(AND(G17885="SAFRA",A17885="FATURAMENTO"),2,IF(AND(OR(G17885="SAFRA",G17885="PIX SAFRA", G17885="DÉBITO AUTOMÁTICO SAFRA", G17885= "BOLETO SAFRA", G17885= "transferência safra"), A17885="DESPESAS"),5,IF(AND(G17885="espécie",A17885="FATURAMENTO"),3,IF(AND(G17885="espécie",A17885="DESPESAS"),6))))))</f>
        <v>0</v>
      </c>
      <c r="M17885" s="17" t="str">
        <f t="shared" si="854"/>
        <v/>
      </c>
      <c r="N17885" s="11" t="str">
        <f t="shared" si="855"/>
        <v/>
      </c>
    </row>
    <row r="17886" spans="9:14" x14ac:dyDescent="0.25">
      <c r="I17886" s="11" t="b">
        <f t="shared" si="856"/>
        <v>0</v>
      </c>
      <c r="M17886" s="17" t="str">
        <f t="shared" si="854"/>
        <v/>
      </c>
      <c r="N17886" s="11" t="str">
        <f t="shared" si="855"/>
        <v/>
      </c>
    </row>
    <row r="17887" spans="9:14" x14ac:dyDescent="0.25">
      <c r="I17887" s="11" t="b">
        <f t="shared" si="856"/>
        <v>0</v>
      </c>
      <c r="M17887" s="17" t="str">
        <f t="shared" si="854"/>
        <v/>
      </c>
      <c r="N17887" s="11" t="str">
        <f t="shared" si="855"/>
        <v/>
      </c>
    </row>
    <row r="17888" spans="9:14" x14ac:dyDescent="0.25">
      <c r="I17888" s="11" t="b">
        <f t="shared" si="856"/>
        <v>0</v>
      </c>
      <c r="M17888" s="17" t="str">
        <f t="shared" si="854"/>
        <v/>
      </c>
      <c r="N17888" s="11" t="str">
        <f t="shared" si="855"/>
        <v/>
      </c>
    </row>
    <row r="17889" spans="9:14" x14ac:dyDescent="0.25">
      <c r="I17889" s="11" t="b">
        <f t="shared" si="856"/>
        <v>0</v>
      </c>
      <c r="M17889" s="17" t="str">
        <f t="shared" si="854"/>
        <v/>
      </c>
      <c r="N17889" s="11" t="str">
        <f t="shared" si="855"/>
        <v/>
      </c>
    </row>
    <row r="17890" spans="9:14" x14ac:dyDescent="0.25">
      <c r="I17890" s="11" t="b">
        <f t="shared" si="856"/>
        <v>0</v>
      </c>
      <c r="M17890" s="17" t="str">
        <f t="shared" si="854"/>
        <v/>
      </c>
      <c r="N17890" s="11" t="str">
        <f t="shared" si="855"/>
        <v/>
      </c>
    </row>
    <row r="17891" spans="9:14" x14ac:dyDescent="0.25">
      <c r="I17891" s="11" t="b">
        <f t="shared" si="856"/>
        <v>0</v>
      </c>
      <c r="M17891" s="17" t="str">
        <f t="shared" si="854"/>
        <v/>
      </c>
      <c r="N17891" s="11" t="str">
        <f t="shared" si="855"/>
        <v/>
      </c>
    </row>
    <row r="17892" spans="9:14" x14ac:dyDescent="0.25">
      <c r="I17892" s="11" t="b">
        <f t="shared" si="856"/>
        <v>0</v>
      </c>
      <c r="M17892" s="17" t="str">
        <f t="shared" si="854"/>
        <v/>
      </c>
      <c r="N17892" s="11" t="str">
        <f t="shared" si="855"/>
        <v/>
      </c>
    </row>
    <row r="17893" spans="9:14" x14ac:dyDescent="0.25">
      <c r="I17893" s="11" t="b">
        <f t="shared" si="856"/>
        <v>0</v>
      </c>
      <c r="M17893" s="17" t="str">
        <f t="shared" si="854"/>
        <v/>
      </c>
      <c r="N17893" s="11" t="str">
        <f t="shared" si="855"/>
        <v/>
      </c>
    </row>
    <row r="17894" spans="9:14" x14ac:dyDescent="0.25">
      <c r="I17894" s="11" t="b">
        <f t="shared" si="856"/>
        <v>0</v>
      </c>
      <c r="M17894" s="17" t="str">
        <f t="shared" si="854"/>
        <v/>
      </c>
      <c r="N17894" s="11" t="str">
        <f t="shared" si="855"/>
        <v/>
      </c>
    </row>
    <row r="17895" spans="9:14" x14ac:dyDescent="0.25">
      <c r="I17895" s="11" t="b">
        <f t="shared" si="856"/>
        <v>0</v>
      </c>
      <c r="M17895" s="17" t="str">
        <f t="shared" si="854"/>
        <v/>
      </c>
      <c r="N17895" s="11" t="str">
        <f t="shared" si="855"/>
        <v/>
      </c>
    </row>
    <row r="17896" spans="9:14" x14ac:dyDescent="0.25">
      <c r="I17896" s="11" t="b">
        <f t="shared" si="856"/>
        <v>0</v>
      </c>
      <c r="M17896" s="17" t="str">
        <f t="shared" si="854"/>
        <v/>
      </c>
      <c r="N17896" s="11" t="str">
        <f t="shared" si="855"/>
        <v/>
      </c>
    </row>
    <row r="17897" spans="9:14" x14ac:dyDescent="0.25">
      <c r="I17897" s="11" t="b">
        <f t="shared" si="856"/>
        <v>0</v>
      </c>
      <c r="M17897" s="17" t="str">
        <f t="shared" si="854"/>
        <v/>
      </c>
      <c r="N17897" s="11" t="str">
        <f t="shared" si="855"/>
        <v/>
      </c>
    </row>
    <row r="17898" spans="9:14" x14ac:dyDescent="0.25">
      <c r="I17898" s="11" t="b">
        <f t="shared" si="856"/>
        <v>0</v>
      </c>
      <c r="M17898" s="17" t="str">
        <f t="shared" si="854"/>
        <v/>
      </c>
      <c r="N17898" s="11" t="str">
        <f t="shared" si="855"/>
        <v/>
      </c>
    </row>
    <row r="17899" spans="9:14" x14ac:dyDescent="0.25">
      <c r="I17899" s="11" t="b">
        <f t="shared" si="856"/>
        <v>0</v>
      </c>
      <c r="M17899" s="17" t="str">
        <f t="shared" si="854"/>
        <v/>
      </c>
      <c r="N17899" s="11" t="str">
        <f t="shared" si="855"/>
        <v/>
      </c>
    </row>
    <row r="17900" spans="9:14" x14ac:dyDescent="0.25">
      <c r="I17900" s="11" t="b">
        <f t="shared" si="856"/>
        <v>0</v>
      </c>
      <c r="M17900" s="17" t="str">
        <f t="shared" si="854"/>
        <v/>
      </c>
      <c r="N17900" s="11" t="str">
        <f t="shared" si="855"/>
        <v/>
      </c>
    </row>
    <row r="17901" spans="9:14" x14ac:dyDescent="0.25">
      <c r="I17901" s="11" t="b">
        <f t="shared" si="856"/>
        <v>0</v>
      </c>
      <c r="M17901" s="17" t="str">
        <f t="shared" si="854"/>
        <v/>
      </c>
      <c r="N17901" s="11" t="str">
        <f t="shared" si="855"/>
        <v/>
      </c>
    </row>
    <row r="17902" spans="9:14" x14ac:dyDescent="0.25">
      <c r="I17902" s="11" t="b">
        <f t="shared" si="856"/>
        <v>0</v>
      </c>
      <c r="M17902" s="17" t="str">
        <f t="shared" si="854"/>
        <v/>
      </c>
      <c r="N17902" s="11" t="str">
        <f t="shared" si="855"/>
        <v/>
      </c>
    </row>
    <row r="17903" spans="9:14" x14ac:dyDescent="0.25">
      <c r="I17903" s="11" t="b">
        <f t="shared" si="856"/>
        <v>0</v>
      </c>
      <c r="M17903" s="17" t="str">
        <f t="shared" si="854"/>
        <v/>
      </c>
      <c r="N17903" s="11" t="str">
        <f t="shared" si="855"/>
        <v/>
      </c>
    </row>
    <row r="17904" spans="9:14" x14ac:dyDescent="0.25">
      <c r="I17904" s="11" t="b">
        <f t="shared" si="856"/>
        <v>0</v>
      </c>
      <c r="M17904" s="17" t="str">
        <f t="shared" si="854"/>
        <v/>
      </c>
      <c r="N17904" s="11" t="str">
        <f t="shared" si="855"/>
        <v/>
      </c>
    </row>
    <row r="17905" spans="9:14" x14ac:dyDescent="0.25">
      <c r="I17905" s="11" t="b">
        <f t="shared" si="856"/>
        <v>0</v>
      </c>
      <c r="M17905" s="17" t="str">
        <f t="shared" si="854"/>
        <v/>
      </c>
      <c r="N17905" s="11" t="str">
        <f t="shared" si="855"/>
        <v/>
      </c>
    </row>
    <row r="17906" spans="9:14" x14ac:dyDescent="0.25">
      <c r="I17906" s="11" t="b">
        <f t="shared" si="856"/>
        <v>0</v>
      </c>
      <c r="M17906" s="17" t="str">
        <f t="shared" si="854"/>
        <v/>
      </c>
      <c r="N17906" s="11" t="str">
        <f t="shared" si="855"/>
        <v/>
      </c>
    </row>
    <row r="17907" spans="9:14" x14ac:dyDescent="0.25">
      <c r="I17907" s="11" t="b">
        <f t="shared" si="856"/>
        <v>0</v>
      </c>
      <c r="M17907" s="17" t="str">
        <f t="shared" si="854"/>
        <v/>
      </c>
      <c r="N17907" s="11" t="str">
        <f t="shared" si="855"/>
        <v/>
      </c>
    </row>
    <row r="17908" spans="9:14" x14ac:dyDescent="0.25">
      <c r="I17908" s="11" t="b">
        <f t="shared" si="856"/>
        <v>0</v>
      </c>
      <c r="M17908" s="17" t="str">
        <f t="shared" si="854"/>
        <v/>
      </c>
      <c r="N17908" s="11" t="str">
        <f t="shared" si="855"/>
        <v/>
      </c>
    </row>
    <row r="17909" spans="9:14" x14ac:dyDescent="0.25">
      <c r="I17909" s="11" t="b">
        <f t="shared" si="856"/>
        <v>0</v>
      </c>
      <c r="M17909" s="17" t="str">
        <f t="shared" si="854"/>
        <v/>
      </c>
      <c r="N17909" s="11" t="str">
        <f t="shared" si="855"/>
        <v/>
      </c>
    </row>
    <row r="17910" spans="9:14" x14ac:dyDescent="0.25">
      <c r="I17910" s="11" t="b">
        <f t="shared" si="856"/>
        <v>0</v>
      </c>
      <c r="M17910" s="17" t="str">
        <f t="shared" si="854"/>
        <v/>
      </c>
      <c r="N17910" s="11" t="str">
        <f t="shared" si="855"/>
        <v/>
      </c>
    </row>
    <row r="17911" spans="9:14" x14ac:dyDescent="0.25">
      <c r="I17911" s="11" t="b">
        <f t="shared" si="856"/>
        <v>0</v>
      </c>
      <c r="M17911" s="17" t="str">
        <f t="shared" si="854"/>
        <v/>
      </c>
      <c r="N17911" s="11" t="str">
        <f t="shared" si="855"/>
        <v/>
      </c>
    </row>
    <row r="17912" spans="9:14" x14ac:dyDescent="0.25">
      <c r="I17912" s="11" t="b">
        <f t="shared" si="856"/>
        <v>0</v>
      </c>
      <c r="M17912" s="17" t="str">
        <f t="shared" si="854"/>
        <v/>
      </c>
      <c r="N17912" s="11" t="str">
        <f t="shared" si="855"/>
        <v/>
      </c>
    </row>
    <row r="17913" spans="9:14" x14ac:dyDescent="0.25">
      <c r="I17913" s="11" t="b">
        <f t="shared" si="856"/>
        <v>0</v>
      </c>
      <c r="M17913" s="17" t="str">
        <f t="shared" si="854"/>
        <v/>
      </c>
      <c r="N17913" s="11" t="str">
        <f t="shared" si="855"/>
        <v/>
      </c>
    </row>
    <row r="17914" spans="9:14" x14ac:dyDescent="0.25">
      <c r="I17914" s="11" t="b">
        <f t="shared" si="856"/>
        <v>0</v>
      </c>
      <c r="M17914" s="17" t="str">
        <f t="shared" si="854"/>
        <v/>
      </c>
      <c r="N17914" s="11" t="str">
        <f t="shared" si="855"/>
        <v/>
      </c>
    </row>
    <row r="17915" spans="9:14" x14ac:dyDescent="0.25">
      <c r="I17915" s="11" t="b">
        <f t="shared" si="856"/>
        <v>0</v>
      </c>
      <c r="M17915" s="17" t="str">
        <f t="shared" si="854"/>
        <v/>
      </c>
      <c r="N17915" s="11" t="str">
        <f t="shared" si="855"/>
        <v/>
      </c>
    </row>
    <row r="17916" spans="9:14" x14ac:dyDescent="0.25">
      <c r="I17916" s="11" t="b">
        <f t="shared" si="856"/>
        <v>0</v>
      </c>
      <c r="M17916" s="17" t="str">
        <f t="shared" si="854"/>
        <v/>
      </c>
      <c r="N17916" s="11" t="str">
        <f t="shared" si="855"/>
        <v/>
      </c>
    </row>
    <row r="17917" spans="9:14" x14ac:dyDescent="0.25">
      <c r="I17917" s="11" t="b">
        <f t="shared" si="856"/>
        <v>0</v>
      </c>
      <c r="M17917" s="17" t="str">
        <f t="shared" si="854"/>
        <v/>
      </c>
      <c r="N17917" s="11" t="str">
        <f t="shared" si="855"/>
        <v/>
      </c>
    </row>
    <row r="17918" spans="9:14" x14ac:dyDescent="0.25">
      <c r="I17918" s="11" t="b">
        <f t="shared" si="856"/>
        <v>0</v>
      </c>
      <c r="M17918" s="17" t="str">
        <f t="shared" si="854"/>
        <v/>
      </c>
      <c r="N17918" s="11" t="str">
        <f t="shared" si="855"/>
        <v/>
      </c>
    </row>
    <row r="17919" spans="9:14" x14ac:dyDescent="0.25">
      <c r="I17919" s="11" t="b">
        <f t="shared" si="856"/>
        <v>0</v>
      </c>
      <c r="M17919" s="17" t="str">
        <f t="shared" si="854"/>
        <v/>
      </c>
      <c r="N17919" s="11" t="str">
        <f t="shared" si="855"/>
        <v/>
      </c>
    </row>
    <row r="17920" spans="9:14" x14ac:dyDescent="0.25">
      <c r="I17920" s="11" t="b">
        <f t="shared" si="856"/>
        <v>0</v>
      </c>
      <c r="M17920" s="17" t="str">
        <f t="shared" si="854"/>
        <v/>
      </c>
      <c r="N17920" s="11" t="str">
        <f t="shared" si="855"/>
        <v/>
      </c>
    </row>
    <row r="17921" spans="9:14" x14ac:dyDescent="0.25">
      <c r="I17921" s="11" t="b">
        <f t="shared" si="856"/>
        <v>0</v>
      </c>
      <c r="M17921" s="17" t="str">
        <f t="shared" ref="M17921:M17984" si="857">IF(B17921=0, "",M17920+ J17921-K17921)</f>
        <v/>
      </c>
      <c r="N17921" s="11" t="str">
        <f t="shared" ref="N17921:N17984" si="858">IF(B17921=0, "", MONTH(B17921))</f>
        <v/>
      </c>
    </row>
    <row r="17922" spans="9:14" x14ac:dyDescent="0.25">
      <c r="I17922" s="11" t="b">
        <f t="shared" si="856"/>
        <v>0</v>
      </c>
      <c r="M17922" s="17" t="str">
        <f t="shared" si="857"/>
        <v/>
      </c>
      <c r="N17922" s="11" t="str">
        <f t="shared" si="858"/>
        <v/>
      </c>
    </row>
    <row r="17923" spans="9:14" x14ac:dyDescent="0.25">
      <c r="I17923" s="11" t="b">
        <f t="shared" si="856"/>
        <v>0</v>
      </c>
      <c r="M17923" s="17" t="str">
        <f t="shared" si="857"/>
        <v/>
      </c>
      <c r="N17923" s="11" t="str">
        <f t="shared" si="858"/>
        <v/>
      </c>
    </row>
    <row r="17924" spans="9:14" x14ac:dyDescent="0.25">
      <c r="I17924" s="11" t="b">
        <f t="shared" si="856"/>
        <v>0</v>
      </c>
      <c r="M17924" s="17" t="str">
        <f t="shared" si="857"/>
        <v/>
      </c>
      <c r="N17924" s="11" t="str">
        <f t="shared" si="858"/>
        <v/>
      </c>
    </row>
    <row r="17925" spans="9:14" x14ac:dyDescent="0.25">
      <c r="I17925" s="11" t="b">
        <f t="shared" si="856"/>
        <v>0</v>
      </c>
      <c r="M17925" s="17" t="str">
        <f t="shared" si="857"/>
        <v/>
      </c>
      <c r="N17925" s="11" t="str">
        <f t="shared" si="858"/>
        <v/>
      </c>
    </row>
    <row r="17926" spans="9:14" x14ac:dyDescent="0.25">
      <c r="I17926" s="11" t="b">
        <f t="shared" si="856"/>
        <v>0</v>
      </c>
      <c r="M17926" s="17" t="str">
        <f t="shared" si="857"/>
        <v/>
      </c>
      <c r="N17926" s="11" t="str">
        <f t="shared" si="858"/>
        <v/>
      </c>
    </row>
    <row r="17927" spans="9:14" x14ac:dyDescent="0.25">
      <c r="I17927" s="11" t="b">
        <f t="shared" si="856"/>
        <v>0</v>
      </c>
      <c r="M17927" s="17" t="str">
        <f t="shared" si="857"/>
        <v/>
      </c>
      <c r="N17927" s="11" t="str">
        <f t="shared" si="858"/>
        <v/>
      </c>
    </row>
    <row r="17928" spans="9:14" x14ac:dyDescent="0.25">
      <c r="I17928" s="11" t="b">
        <f t="shared" si="856"/>
        <v>0</v>
      </c>
      <c r="M17928" s="17" t="str">
        <f t="shared" si="857"/>
        <v/>
      </c>
      <c r="N17928" s="11" t="str">
        <f t="shared" si="858"/>
        <v/>
      </c>
    </row>
    <row r="17929" spans="9:14" x14ac:dyDescent="0.25">
      <c r="I17929" s="11" t="b">
        <f t="shared" si="856"/>
        <v>0</v>
      </c>
      <c r="M17929" s="17" t="str">
        <f t="shared" si="857"/>
        <v/>
      </c>
      <c r="N17929" s="11" t="str">
        <f t="shared" si="858"/>
        <v/>
      </c>
    </row>
    <row r="17930" spans="9:14" x14ac:dyDescent="0.25">
      <c r="I17930" s="11" t="b">
        <f t="shared" si="856"/>
        <v>0</v>
      </c>
      <c r="M17930" s="17" t="str">
        <f t="shared" si="857"/>
        <v/>
      </c>
      <c r="N17930" s="11" t="str">
        <f t="shared" si="858"/>
        <v/>
      </c>
    </row>
    <row r="17931" spans="9:14" x14ac:dyDescent="0.25">
      <c r="I17931" s="11" t="b">
        <f t="shared" si="856"/>
        <v>0</v>
      </c>
      <c r="M17931" s="17" t="str">
        <f t="shared" si="857"/>
        <v/>
      </c>
      <c r="N17931" s="11" t="str">
        <f t="shared" si="858"/>
        <v/>
      </c>
    </row>
    <row r="17932" spans="9:14" x14ac:dyDescent="0.25">
      <c r="I17932" s="11" t="b">
        <f t="shared" si="856"/>
        <v>0</v>
      </c>
      <c r="M17932" s="17" t="str">
        <f t="shared" si="857"/>
        <v/>
      </c>
      <c r="N17932" s="11" t="str">
        <f t="shared" si="858"/>
        <v/>
      </c>
    </row>
    <row r="17933" spans="9:14" x14ac:dyDescent="0.25">
      <c r="I17933" s="11" t="b">
        <f t="shared" si="856"/>
        <v>0</v>
      </c>
      <c r="M17933" s="17" t="str">
        <f t="shared" si="857"/>
        <v/>
      </c>
      <c r="N17933" s="11" t="str">
        <f t="shared" si="858"/>
        <v/>
      </c>
    </row>
    <row r="17934" spans="9:14" x14ac:dyDescent="0.25">
      <c r="I17934" s="11" t="b">
        <f t="shared" si="856"/>
        <v>0</v>
      </c>
      <c r="M17934" s="17" t="str">
        <f t="shared" si="857"/>
        <v/>
      </c>
      <c r="N17934" s="11" t="str">
        <f t="shared" si="858"/>
        <v/>
      </c>
    </row>
    <row r="17935" spans="9:14" x14ac:dyDescent="0.25">
      <c r="I17935" s="11" t="b">
        <f t="shared" si="856"/>
        <v>0</v>
      </c>
      <c r="M17935" s="17" t="str">
        <f t="shared" si="857"/>
        <v/>
      </c>
      <c r="N17935" s="11" t="str">
        <f t="shared" si="858"/>
        <v/>
      </c>
    </row>
    <row r="17936" spans="9:14" x14ac:dyDescent="0.25">
      <c r="I17936" s="11" t="b">
        <f t="shared" si="856"/>
        <v>0</v>
      </c>
      <c r="M17936" s="17" t="str">
        <f t="shared" si="857"/>
        <v/>
      </c>
      <c r="N17936" s="11" t="str">
        <f t="shared" si="858"/>
        <v/>
      </c>
    </row>
    <row r="17937" spans="9:14" x14ac:dyDescent="0.25">
      <c r="I17937" s="11" t="b">
        <f t="shared" si="856"/>
        <v>0</v>
      </c>
      <c r="M17937" s="17" t="str">
        <f t="shared" si="857"/>
        <v/>
      </c>
      <c r="N17937" s="11" t="str">
        <f t="shared" si="858"/>
        <v/>
      </c>
    </row>
    <row r="17938" spans="9:14" x14ac:dyDescent="0.25">
      <c r="I17938" s="11" t="b">
        <f t="shared" si="856"/>
        <v>0</v>
      </c>
      <c r="M17938" s="17" t="str">
        <f t="shared" si="857"/>
        <v/>
      </c>
      <c r="N17938" s="11" t="str">
        <f t="shared" si="858"/>
        <v/>
      </c>
    </row>
    <row r="17939" spans="9:14" x14ac:dyDescent="0.25">
      <c r="I17939" s="11" t="b">
        <f t="shared" si="856"/>
        <v>0</v>
      </c>
      <c r="M17939" s="17" t="str">
        <f t="shared" si="857"/>
        <v/>
      </c>
      <c r="N17939" s="11" t="str">
        <f t="shared" si="858"/>
        <v/>
      </c>
    </row>
    <row r="17940" spans="9:14" x14ac:dyDescent="0.25">
      <c r="I17940" s="11" t="b">
        <f t="shared" si="856"/>
        <v>0</v>
      </c>
      <c r="M17940" s="17" t="str">
        <f t="shared" si="857"/>
        <v/>
      </c>
      <c r="N17940" s="11" t="str">
        <f t="shared" si="858"/>
        <v/>
      </c>
    </row>
    <row r="17941" spans="9:14" x14ac:dyDescent="0.25">
      <c r="I17941" s="11" t="b">
        <f t="shared" si="856"/>
        <v>0</v>
      </c>
      <c r="M17941" s="17" t="str">
        <f t="shared" si="857"/>
        <v/>
      </c>
      <c r="N17941" s="11" t="str">
        <f t="shared" si="858"/>
        <v/>
      </c>
    </row>
    <row r="17942" spans="9:14" x14ac:dyDescent="0.25">
      <c r="I17942" s="11" t="b">
        <f t="shared" si="856"/>
        <v>0</v>
      </c>
      <c r="M17942" s="17" t="str">
        <f t="shared" si="857"/>
        <v/>
      </c>
      <c r="N17942" s="11" t="str">
        <f t="shared" si="858"/>
        <v/>
      </c>
    </row>
    <row r="17943" spans="9:14" x14ac:dyDescent="0.25">
      <c r="I17943" s="11" t="b">
        <f t="shared" si="856"/>
        <v>0</v>
      </c>
      <c r="M17943" s="17" t="str">
        <f t="shared" si="857"/>
        <v/>
      </c>
      <c r="N17943" s="11" t="str">
        <f t="shared" si="858"/>
        <v/>
      </c>
    </row>
    <row r="17944" spans="9:14" x14ac:dyDescent="0.25">
      <c r="I17944" s="11" t="b">
        <f t="shared" si="856"/>
        <v>0</v>
      </c>
      <c r="M17944" s="17" t="str">
        <f t="shared" si="857"/>
        <v/>
      </c>
      <c r="N17944" s="11" t="str">
        <f t="shared" si="858"/>
        <v/>
      </c>
    </row>
    <row r="17945" spans="9:14" x14ac:dyDescent="0.25">
      <c r="I17945" s="11" t="b">
        <f t="shared" si="856"/>
        <v>0</v>
      </c>
      <c r="M17945" s="17" t="str">
        <f t="shared" si="857"/>
        <v/>
      </c>
      <c r="N17945" s="11" t="str">
        <f t="shared" si="858"/>
        <v/>
      </c>
    </row>
    <row r="17946" spans="9:14" x14ac:dyDescent="0.25">
      <c r="I17946" s="11" t="b">
        <f t="shared" si="856"/>
        <v>0</v>
      </c>
      <c r="M17946" s="17" t="str">
        <f t="shared" si="857"/>
        <v/>
      </c>
      <c r="N17946" s="11" t="str">
        <f t="shared" si="858"/>
        <v/>
      </c>
    </row>
    <row r="17947" spans="9:14" x14ac:dyDescent="0.25">
      <c r="I17947" s="11" t="b">
        <f t="shared" si="856"/>
        <v>0</v>
      </c>
      <c r="M17947" s="17" t="str">
        <f t="shared" si="857"/>
        <v/>
      </c>
      <c r="N17947" s="11" t="str">
        <f t="shared" si="858"/>
        <v/>
      </c>
    </row>
    <row r="17948" spans="9:14" x14ac:dyDescent="0.25">
      <c r="I17948" s="11" t="b">
        <f t="shared" si="856"/>
        <v>0</v>
      </c>
      <c r="M17948" s="17" t="str">
        <f t="shared" si="857"/>
        <v/>
      </c>
      <c r="N17948" s="11" t="str">
        <f t="shared" si="858"/>
        <v/>
      </c>
    </row>
    <row r="17949" spans="9:14" x14ac:dyDescent="0.25">
      <c r="I17949" s="11" t="b">
        <f t="shared" ref="I17949:I18012" si="859">IF(AND(G17949="MERCADO PAGO",A17949="FATURAMENTO"),1,IF(AND(OR(G17949="MERCADO PAGO",G17949="pix mercado pago",G17949= "débito automático mercado pago", G17949= "boleto mercado pago"),A17949="DESPESAS"),4,IF(AND(G17949="SAFRA",A17949="FATURAMENTO"),2,IF(AND(OR(G17949="SAFRA",G17949="PIX SAFRA", G17949="DÉBITO AUTOMÁTICO SAFRA", G17949= "BOLETO SAFRA", G17949= "transferência safra"), A17949="DESPESAS"),5,IF(AND(G17949="espécie",A17949="FATURAMENTO"),3,IF(AND(G17949="espécie",A17949="DESPESAS"),6))))))</f>
        <v>0</v>
      </c>
      <c r="M17949" s="17" t="str">
        <f t="shared" si="857"/>
        <v/>
      </c>
      <c r="N17949" s="11" t="str">
        <f t="shared" si="858"/>
        <v/>
      </c>
    </row>
    <row r="17950" spans="9:14" x14ac:dyDescent="0.25">
      <c r="I17950" s="11" t="b">
        <f t="shared" si="859"/>
        <v>0</v>
      </c>
      <c r="M17950" s="17" t="str">
        <f t="shared" si="857"/>
        <v/>
      </c>
      <c r="N17950" s="11" t="str">
        <f t="shared" si="858"/>
        <v/>
      </c>
    </row>
    <row r="17951" spans="9:14" x14ac:dyDescent="0.25">
      <c r="I17951" s="11" t="b">
        <f t="shared" si="859"/>
        <v>0</v>
      </c>
      <c r="M17951" s="17" t="str">
        <f t="shared" si="857"/>
        <v/>
      </c>
      <c r="N17951" s="11" t="str">
        <f t="shared" si="858"/>
        <v/>
      </c>
    </row>
    <row r="17952" spans="9:14" x14ac:dyDescent="0.25">
      <c r="I17952" s="11" t="b">
        <f t="shared" si="859"/>
        <v>0</v>
      </c>
      <c r="M17952" s="17" t="str">
        <f t="shared" si="857"/>
        <v/>
      </c>
      <c r="N17952" s="11" t="str">
        <f t="shared" si="858"/>
        <v/>
      </c>
    </row>
    <row r="17953" spans="9:14" x14ac:dyDescent="0.25">
      <c r="I17953" s="11" t="b">
        <f t="shared" si="859"/>
        <v>0</v>
      </c>
      <c r="M17953" s="17" t="str">
        <f t="shared" si="857"/>
        <v/>
      </c>
      <c r="N17953" s="11" t="str">
        <f t="shared" si="858"/>
        <v/>
      </c>
    </row>
    <row r="17954" spans="9:14" x14ac:dyDescent="0.25">
      <c r="I17954" s="11" t="b">
        <f t="shared" si="859"/>
        <v>0</v>
      </c>
      <c r="M17954" s="17" t="str">
        <f t="shared" si="857"/>
        <v/>
      </c>
      <c r="N17954" s="11" t="str">
        <f t="shared" si="858"/>
        <v/>
      </c>
    </row>
    <row r="17955" spans="9:14" x14ac:dyDescent="0.25">
      <c r="I17955" s="11" t="b">
        <f t="shared" si="859"/>
        <v>0</v>
      </c>
      <c r="M17955" s="17" t="str">
        <f t="shared" si="857"/>
        <v/>
      </c>
      <c r="N17955" s="11" t="str">
        <f t="shared" si="858"/>
        <v/>
      </c>
    </row>
    <row r="17956" spans="9:14" x14ac:dyDescent="0.25">
      <c r="I17956" s="11" t="b">
        <f t="shared" si="859"/>
        <v>0</v>
      </c>
      <c r="M17956" s="17" t="str">
        <f t="shared" si="857"/>
        <v/>
      </c>
      <c r="N17956" s="11" t="str">
        <f t="shared" si="858"/>
        <v/>
      </c>
    </row>
    <row r="17957" spans="9:14" x14ac:dyDescent="0.25">
      <c r="I17957" s="11" t="b">
        <f t="shared" si="859"/>
        <v>0</v>
      </c>
      <c r="M17957" s="17" t="str">
        <f t="shared" si="857"/>
        <v/>
      </c>
      <c r="N17957" s="11" t="str">
        <f t="shared" si="858"/>
        <v/>
      </c>
    </row>
    <row r="17958" spans="9:14" x14ac:dyDescent="0.25">
      <c r="I17958" s="11" t="b">
        <f t="shared" si="859"/>
        <v>0</v>
      </c>
      <c r="M17958" s="17" t="str">
        <f t="shared" si="857"/>
        <v/>
      </c>
      <c r="N17958" s="11" t="str">
        <f t="shared" si="858"/>
        <v/>
      </c>
    </row>
    <row r="17959" spans="9:14" x14ac:dyDescent="0.25">
      <c r="I17959" s="11" t="b">
        <f t="shared" si="859"/>
        <v>0</v>
      </c>
      <c r="M17959" s="17" t="str">
        <f t="shared" si="857"/>
        <v/>
      </c>
      <c r="N17959" s="11" t="str">
        <f t="shared" si="858"/>
        <v/>
      </c>
    </row>
    <row r="17960" spans="9:14" x14ac:dyDescent="0.25">
      <c r="I17960" s="11" t="b">
        <f t="shared" si="859"/>
        <v>0</v>
      </c>
      <c r="M17960" s="17" t="str">
        <f t="shared" si="857"/>
        <v/>
      </c>
      <c r="N17960" s="11" t="str">
        <f t="shared" si="858"/>
        <v/>
      </c>
    </row>
    <row r="17961" spans="9:14" x14ac:dyDescent="0.25">
      <c r="I17961" s="11" t="b">
        <f t="shared" si="859"/>
        <v>0</v>
      </c>
      <c r="M17961" s="17" t="str">
        <f t="shared" si="857"/>
        <v/>
      </c>
      <c r="N17961" s="11" t="str">
        <f t="shared" si="858"/>
        <v/>
      </c>
    </row>
    <row r="17962" spans="9:14" x14ac:dyDescent="0.25">
      <c r="I17962" s="11" t="b">
        <f t="shared" si="859"/>
        <v>0</v>
      </c>
      <c r="M17962" s="17" t="str">
        <f t="shared" si="857"/>
        <v/>
      </c>
      <c r="N17962" s="11" t="str">
        <f t="shared" si="858"/>
        <v/>
      </c>
    </row>
    <row r="17963" spans="9:14" x14ac:dyDescent="0.25">
      <c r="I17963" s="11" t="b">
        <f t="shared" si="859"/>
        <v>0</v>
      </c>
      <c r="M17963" s="17" t="str">
        <f t="shared" si="857"/>
        <v/>
      </c>
      <c r="N17963" s="11" t="str">
        <f t="shared" si="858"/>
        <v/>
      </c>
    </row>
    <row r="17964" spans="9:14" x14ac:dyDescent="0.25">
      <c r="I17964" s="11" t="b">
        <f t="shared" si="859"/>
        <v>0</v>
      </c>
      <c r="M17964" s="17" t="str">
        <f t="shared" si="857"/>
        <v/>
      </c>
      <c r="N17964" s="11" t="str">
        <f t="shared" si="858"/>
        <v/>
      </c>
    </row>
    <row r="17965" spans="9:14" x14ac:dyDescent="0.25">
      <c r="I17965" s="11" t="b">
        <f t="shared" si="859"/>
        <v>0</v>
      </c>
      <c r="M17965" s="17" t="str">
        <f t="shared" si="857"/>
        <v/>
      </c>
      <c r="N17965" s="11" t="str">
        <f t="shared" si="858"/>
        <v/>
      </c>
    </row>
    <row r="17966" spans="9:14" x14ac:dyDescent="0.25">
      <c r="I17966" s="11" t="b">
        <f t="shared" si="859"/>
        <v>0</v>
      </c>
      <c r="M17966" s="17" t="str">
        <f t="shared" si="857"/>
        <v/>
      </c>
      <c r="N17966" s="11" t="str">
        <f t="shared" si="858"/>
        <v/>
      </c>
    </row>
    <row r="17967" spans="9:14" x14ac:dyDescent="0.25">
      <c r="I17967" s="11" t="b">
        <f t="shared" si="859"/>
        <v>0</v>
      </c>
      <c r="M17967" s="17" t="str">
        <f t="shared" si="857"/>
        <v/>
      </c>
      <c r="N17967" s="11" t="str">
        <f t="shared" si="858"/>
        <v/>
      </c>
    </row>
    <row r="17968" spans="9:14" x14ac:dyDescent="0.25">
      <c r="I17968" s="11" t="b">
        <f t="shared" si="859"/>
        <v>0</v>
      </c>
      <c r="M17968" s="17" t="str">
        <f t="shared" si="857"/>
        <v/>
      </c>
      <c r="N17968" s="11" t="str">
        <f t="shared" si="858"/>
        <v/>
      </c>
    </row>
    <row r="17969" spans="9:14" x14ac:dyDescent="0.25">
      <c r="I17969" s="11" t="b">
        <f t="shared" si="859"/>
        <v>0</v>
      </c>
      <c r="M17969" s="17" t="str">
        <f t="shared" si="857"/>
        <v/>
      </c>
      <c r="N17969" s="11" t="str">
        <f t="shared" si="858"/>
        <v/>
      </c>
    </row>
    <row r="17970" spans="9:14" x14ac:dyDescent="0.25">
      <c r="I17970" s="11" t="b">
        <f t="shared" si="859"/>
        <v>0</v>
      </c>
      <c r="M17970" s="17" t="str">
        <f t="shared" si="857"/>
        <v/>
      </c>
      <c r="N17970" s="11" t="str">
        <f t="shared" si="858"/>
        <v/>
      </c>
    </row>
    <row r="17971" spans="9:14" x14ac:dyDescent="0.25">
      <c r="I17971" s="11" t="b">
        <f t="shared" si="859"/>
        <v>0</v>
      </c>
      <c r="M17971" s="17" t="str">
        <f t="shared" si="857"/>
        <v/>
      </c>
      <c r="N17971" s="11" t="str">
        <f t="shared" si="858"/>
        <v/>
      </c>
    </row>
    <row r="17972" spans="9:14" x14ac:dyDescent="0.25">
      <c r="I17972" s="11" t="b">
        <f t="shared" si="859"/>
        <v>0</v>
      </c>
      <c r="M17972" s="17" t="str">
        <f t="shared" si="857"/>
        <v/>
      </c>
      <c r="N17972" s="11" t="str">
        <f t="shared" si="858"/>
        <v/>
      </c>
    </row>
    <row r="17973" spans="9:14" x14ac:dyDescent="0.25">
      <c r="I17973" s="11" t="b">
        <f t="shared" si="859"/>
        <v>0</v>
      </c>
      <c r="M17973" s="17" t="str">
        <f t="shared" si="857"/>
        <v/>
      </c>
      <c r="N17973" s="11" t="str">
        <f t="shared" si="858"/>
        <v/>
      </c>
    </row>
    <row r="17974" spans="9:14" x14ac:dyDescent="0.25">
      <c r="I17974" s="11" t="b">
        <f t="shared" si="859"/>
        <v>0</v>
      </c>
      <c r="M17974" s="17" t="str">
        <f t="shared" si="857"/>
        <v/>
      </c>
      <c r="N17974" s="11" t="str">
        <f t="shared" si="858"/>
        <v/>
      </c>
    </row>
    <row r="17975" spans="9:14" x14ac:dyDescent="0.25">
      <c r="I17975" s="11" t="b">
        <f t="shared" si="859"/>
        <v>0</v>
      </c>
      <c r="M17975" s="17" t="str">
        <f t="shared" si="857"/>
        <v/>
      </c>
      <c r="N17975" s="11" t="str">
        <f t="shared" si="858"/>
        <v/>
      </c>
    </row>
    <row r="17976" spans="9:14" x14ac:dyDescent="0.25">
      <c r="I17976" s="11" t="b">
        <f t="shared" si="859"/>
        <v>0</v>
      </c>
      <c r="M17976" s="17" t="str">
        <f t="shared" si="857"/>
        <v/>
      </c>
      <c r="N17976" s="11" t="str">
        <f t="shared" si="858"/>
        <v/>
      </c>
    </row>
    <row r="17977" spans="9:14" x14ac:dyDescent="0.25">
      <c r="I17977" s="11" t="b">
        <f t="shared" si="859"/>
        <v>0</v>
      </c>
      <c r="M17977" s="17" t="str">
        <f t="shared" si="857"/>
        <v/>
      </c>
      <c r="N17977" s="11" t="str">
        <f t="shared" si="858"/>
        <v/>
      </c>
    </row>
    <row r="17978" spans="9:14" x14ac:dyDescent="0.25">
      <c r="I17978" s="11" t="b">
        <f t="shared" si="859"/>
        <v>0</v>
      </c>
      <c r="M17978" s="17" t="str">
        <f t="shared" si="857"/>
        <v/>
      </c>
      <c r="N17978" s="11" t="str">
        <f t="shared" si="858"/>
        <v/>
      </c>
    </row>
    <row r="17979" spans="9:14" x14ac:dyDescent="0.25">
      <c r="I17979" s="11" t="b">
        <f t="shared" si="859"/>
        <v>0</v>
      </c>
      <c r="M17979" s="17" t="str">
        <f t="shared" si="857"/>
        <v/>
      </c>
      <c r="N17979" s="11" t="str">
        <f t="shared" si="858"/>
        <v/>
      </c>
    </row>
    <row r="17980" spans="9:14" x14ac:dyDescent="0.25">
      <c r="I17980" s="11" t="b">
        <f t="shared" si="859"/>
        <v>0</v>
      </c>
      <c r="M17980" s="17" t="str">
        <f t="shared" si="857"/>
        <v/>
      </c>
      <c r="N17980" s="11" t="str">
        <f t="shared" si="858"/>
        <v/>
      </c>
    </row>
    <row r="17981" spans="9:14" x14ac:dyDescent="0.25">
      <c r="I17981" s="11" t="b">
        <f t="shared" si="859"/>
        <v>0</v>
      </c>
      <c r="M17981" s="17" t="str">
        <f t="shared" si="857"/>
        <v/>
      </c>
      <c r="N17981" s="11" t="str">
        <f t="shared" si="858"/>
        <v/>
      </c>
    </row>
    <row r="17982" spans="9:14" x14ac:dyDescent="0.25">
      <c r="I17982" s="11" t="b">
        <f t="shared" si="859"/>
        <v>0</v>
      </c>
      <c r="M17982" s="17" t="str">
        <f t="shared" si="857"/>
        <v/>
      </c>
      <c r="N17982" s="11" t="str">
        <f t="shared" si="858"/>
        <v/>
      </c>
    </row>
    <row r="17983" spans="9:14" x14ac:dyDescent="0.25">
      <c r="I17983" s="11" t="b">
        <f t="shared" si="859"/>
        <v>0</v>
      </c>
      <c r="M17983" s="17" t="str">
        <f t="shared" si="857"/>
        <v/>
      </c>
      <c r="N17983" s="11" t="str">
        <f t="shared" si="858"/>
        <v/>
      </c>
    </row>
    <row r="17984" spans="9:14" x14ac:dyDescent="0.25">
      <c r="I17984" s="11" t="b">
        <f t="shared" si="859"/>
        <v>0</v>
      </c>
      <c r="M17984" s="17" t="str">
        <f t="shared" si="857"/>
        <v/>
      </c>
      <c r="N17984" s="11" t="str">
        <f t="shared" si="858"/>
        <v/>
      </c>
    </row>
    <row r="17985" spans="9:14" x14ac:dyDescent="0.25">
      <c r="I17985" s="11" t="b">
        <f t="shared" si="859"/>
        <v>0</v>
      </c>
      <c r="M17985" s="17" t="str">
        <f t="shared" ref="M17985:M18048" si="860">IF(B17985=0, "",M17984+ J17985-K17985)</f>
        <v/>
      </c>
      <c r="N17985" s="11" t="str">
        <f t="shared" ref="N17985:N18048" si="861">IF(B17985=0, "", MONTH(B17985))</f>
        <v/>
      </c>
    </row>
    <row r="17986" spans="9:14" x14ac:dyDescent="0.25">
      <c r="I17986" s="11" t="b">
        <f t="shared" si="859"/>
        <v>0</v>
      </c>
      <c r="M17986" s="17" t="str">
        <f t="shared" si="860"/>
        <v/>
      </c>
      <c r="N17986" s="11" t="str">
        <f t="shared" si="861"/>
        <v/>
      </c>
    </row>
    <row r="17987" spans="9:14" x14ac:dyDescent="0.25">
      <c r="I17987" s="11" t="b">
        <f t="shared" si="859"/>
        <v>0</v>
      </c>
      <c r="M17987" s="17" t="str">
        <f t="shared" si="860"/>
        <v/>
      </c>
      <c r="N17987" s="11" t="str">
        <f t="shared" si="861"/>
        <v/>
      </c>
    </row>
    <row r="17988" spans="9:14" x14ac:dyDescent="0.25">
      <c r="I17988" s="11" t="b">
        <f t="shared" si="859"/>
        <v>0</v>
      </c>
      <c r="M17988" s="17" t="str">
        <f t="shared" si="860"/>
        <v/>
      </c>
      <c r="N17988" s="11" t="str">
        <f t="shared" si="861"/>
        <v/>
      </c>
    </row>
    <row r="17989" spans="9:14" x14ac:dyDescent="0.25">
      <c r="I17989" s="11" t="b">
        <f t="shared" si="859"/>
        <v>0</v>
      </c>
      <c r="M17989" s="17" t="str">
        <f t="shared" si="860"/>
        <v/>
      </c>
      <c r="N17989" s="11" t="str">
        <f t="shared" si="861"/>
        <v/>
      </c>
    </row>
    <row r="17990" spans="9:14" x14ac:dyDescent="0.25">
      <c r="I17990" s="11" t="b">
        <f t="shared" si="859"/>
        <v>0</v>
      </c>
      <c r="M17990" s="17" t="str">
        <f t="shared" si="860"/>
        <v/>
      </c>
      <c r="N17990" s="11" t="str">
        <f t="shared" si="861"/>
        <v/>
      </c>
    </row>
    <row r="17991" spans="9:14" x14ac:dyDescent="0.25">
      <c r="I17991" s="11" t="b">
        <f t="shared" si="859"/>
        <v>0</v>
      </c>
      <c r="M17991" s="17" t="str">
        <f t="shared" si="860"/>
        <v/>
      </c>
      <c r="N17991" s="11" t="str">
        <f t="shared" si="861"/>
        <v/>
      </c>
    </row>
    <row r="17992" spans="9:14" x14ac:dyDescent="0.25">
      <c r="I17992" s="11" t="b">
        <f t="shared" si="859"/>
        <v>0</v>
      </c>
      <c r="M17992" s="17" t="str">
        <f t="shared" si="860"/>
        <v/>
      </c>
      <c r="N17992" s="11" t="str">
        <f t="shared" si="861"/>
        <v/>
      </c>
    </row>
    <row r="17993" spans="9:14" x14ac:dyDescent="0.25">
      <c r="I17993" s="11" t="b">
        <f t="shared" si="859"/>
        <v>0</v>
      </c>
      <c r="M17993" s="17" t="str">
        <f t="shared" si="860"/>
        <v/>
      </c>
      <c r="N17993" s="11" t="str">
        <f t="shared" si="861"/>
        <v/>
      </c>
    </row>
    <row r="17994" spans="9:14" x14ac:dyDescent="0.25">
      <c r="I17994" s="11" t="b">
        <f t="shared" si="859"/>
        <v>0</v>
      </c>
      <c r="M17994" s="17" t="str">
        <f t="shared" si="860"/>
        <v/>
      </c>
      <c r="N17994" s="11" t="str">
        <f t="shared" si="861"/>
        <v/>
      </c>
    </row>
    <row r="17995" spans="9:14" x14ac:dyDescent="0.25">
      <c r="I17995" s="11" t="b">
        <f t="shared" si="859"/>
        <v>0</v>
      </c>
      <c r="M17995" s="17" t="str">
        <f t="shared" si="860"/>
        <v/>
      </c>
      <c r="N17995" s="11" t="str">
        <f t="shared" si="861"/>
        <v/>
      </c>
    </row>
    <row r="17996" spans="9:14" x14ac:dyDescent="0.25">
      <c r="I17996" s="11" t="b">
        <f t="shared" si="859"/>
        <v>0</v>
      </c>
      <c r="M17996" s="17" t="str">
        <f t="shared" si="860"/>
        <v/>
      </c>
      <c r="N17996" s="11" t="str">
        <f t="shared" si="861"/>
        <v/>
      </c>
    </row>
    <row r="17997" spans="9:14" x14ac:dyDescent="0.25">
      <c r="I17997" s="11" t="b">
        <f t="shared" si="859"/>
        <v>0</v>
      </c>
      <c r="M17997" s="17" t="str">
        <f t="shared" si="860"/>
        <v/>
      </c>
      <c r="N17997" s="11" t="str">
        <f t="shared" si="861"/>
        <v/>
      </c>
    </row>
    <row r="17998" spans="9:14" x14ac:dyDescent="0.25">
      <c r="I17998" s="11" t="b">
        <f t="shared" si="859"/>
        <v>0</v>
      </c>
      <c r="M17998" s="17" t="str">
        <f t="shared" si="860"/>
        <v/>
      </c>
      <c r="N17998" s="11" t="str">
        <f t="shared" si="861"/>
        <v/>
      </c>
    </row>
    <row r="17999" spans="9:14" x14ac:dyDescent="0.25">
      <c r="I17999" s="11" t="b">
        <f t="shared" si="859"/>
        <v>0</v>
      </c>
      <c r="M17999" s="17" t="str">
        <f t="shared" si="860"/>
        <v/>
      </c>
      <c r="N17999" s="11" t="str">
        <f t="shared" si="861"/>
        <v/>
      </c>
    </row>
    <row r="18000" spans="9:14" x14ac:dyDescent="0.25">
      <c r="I18000" s="11" t="b">
        <f t="shared" si="859"/>
        <v>0</v>
      </c>
      <c r="M18000" s="17" t="str">
        <f t="shared" si="860"/>
        <v/>
      </c>
      <c r="N18000" s="11" t="str">
        <f t="shared" si="861"/>
        <v/>
      </c>
    </row>
    <row r="18001" spans="9:14" x14ac:dyDescent="0.25">
      <c r="I18001" s="11" t="b">
        <f t="shared" si="859"/>
        <v>0</v>
      </c>
      <c r="M18001" s="17" t="str">
        <f t="shared" si="860"/>
        <v/>
      </c>
      <c r="N18001" s="11" t="str">
        <f t="shared" si="861"/>
        <v/>
      </c>
    </row>
    <row r="18002" spans="9:14" x14ac:dyDescent="0.25">
      <c r="I18002" s="11" t="b">
        <f t="shared" si="859"/>
        <v>0</v>
      </c>
      <c r="M18002" s="17" t="str">
        <f t="shared" si="860"/>
        <v/>
      </c>
      <c r="N18002" s="11" t="str">
        <f t="shared" si="861"/>
        <v/>
      </c>
    </row>
    <row r="18003" spans="9:14" x14ac:dyDescent="0.25">
      <c r="I18003" s="11" t="b">
        <f t="shared" si="859"/>
        <v>0</v>
      </c>
      <c r="M18003" s="17" t="str">
        <f t="shared" si="860"/>
        <v/>
      </c>
      <c r="N18003" s="11" t="str">
        <f t="shared" si="861"/>
        <v/>
      </c>
    </row>
    <row r="18004" spans="9:14" x14ac:dyDescent="0.25">
      <c r="I18004" s="11" t="b">
        <f t="shared" si="859"/>
        <v>0</v>
      </c>
      <c r="M18004" s="17" t="str">
        <f t="shared" si="860"/>
        <v/>
      </c>
      <c r="N18004" s="11" t="str">
        <f t="shared" si="861"/>
        <v/>
      </c>
    </row>
    <row r="18005" spans="9:14" x14ac:dyDescent="0.25">
      <c r="I18005" s="11" t="b">
        <f t="shared" si="859"/>
        <v>0</v>
      </c>
      <c r="M18005" s="17" t="str">
        <f t="shared" si="860"/>
        <v/>
      </c>
      <c r="N18005" s="11" t="str">
        <f t="shared" si="861"/>
        <v/>
      </c>
    </row>
    <row r="18006" spans="9:14" x14ac:dyDescent="0.25">
      <c r="I18006" s="11" t="b">
        <f t="shared" si="859"/>
        <v>0</v>
      </c>
      <c r="M18006" s="17" t="str">
        <f t="shared" si="860"/>
        <v/>
      </c>
      <c r="N18006" s="11" t="str">
        <f t="shared" si="861"/>
        <v/>
      </c>
    </row>
    <row r="18007" spans="9:14" x14ac:dyDescent="0.25">
      <c r="I18007" s="11" t="b">
        <f t="shared" si="859"/>
        <v>0</v>
      </c>
      <c r="M18007" s="17" t="str">
        <f t="shared" si="860"/>
        <v/>
      </c>
      <c r="N18007" s="11" t="str">
        <f t="shared" si="861"/>
        <v/>
      </c>
    </row>
    <row r="18008" spans="9:14" x14ac:dyDescent="0.25">
      <c r="I18008" s="11" t="b">
        <f t="shared" si="859"/>
        <v>0</v>
      </c>
      <c r="M18008" s="17" t="str">
        <f t="shared" si="860"/>
        <v/>
      </c>
      <c r="N18008" s="11" t="str">
        <f t="shared" si="861"/>
        <v/>
      </c>
    </row>
    <row r="18009" spans="9:14" x14ac:dyDescent="0.25">
      <c r="I18009" s="11" t="b">
        <f t="shared" si="859"/>
        <v>0</v>
      </c>
      <c r="M18009" s="17" t="str">
        <f t="shared" si="860"/>
        <v/>
      </c>
      <c r="N18009" s="11" t="str">
        <f t="shared" si="861"/>
        <v/>
      </c>
    </row>
    <row r="18010" spans="9:14" x14ac:dyDescent="0.25">
      <c r="I18010" s="11" t="b">
        <f t="shared" si="859"/>
        <v>0</v>
      </c>
      <c r="M18010" s="17" t="str">
        <f t="shared" si="860"/>
        <v/>
      </c>
      <c r="N18010" s="11" t="str">
        <f t="shared" si="861"/>
        <v/>
      </c>
    </row>
    <row r="18011" spans="9:14" x14ac:dyDescent="0.25">
      <c r="I18011" s="11" t="b">
        <f t="shared" si="859"/>
        <v>0</v>
      </c>
      <c r="M18011" s="17" t="str">
        <f t="shared" si="860"/>
        <v/>
      </c>
      <c r="N18011" s="11" t="str">
        <f t="shared" si="861"/>
        <v/>
      </c>
    </row>
    <row r="18012" spans="9:14" x14ac:dyDescent="0.25">
      <c r="I18012" s="11" t="b">
        <f t="shared" si="859"/>
        <v>0</v>
      </c>
      <c r="M18012" s="17" t="str">
        <f t="shared" si="860"/>
        <v/>
      </c>
      <c r="N18012" s="11" t="str">
        <f t="shared" si="861"/>
        <v/>
      </c>
    </row>
    <row r="18013" spans="9:14" x14ac:dyDescent="0.25">
      <c r="I18013" s="11" t="b">
        <f t="shared" ref="I18013:I18076" si="862">IF(AND(G18013="MERCADO PAGO",A18013="FATURAMENTO"),1,IF(AND(OR(G18013="MERCADO PAGO",G18013="pix mercado pago",G18013= "débito automático mercado pago", G18013= "boleto mercado pago"),A18013="DESPESAS"),4,IF(AND(G18013="SAFRA",A18013="FATURAMENTO"),2,IF(AND(OR(G18013="SAFRA",G18013="PIX SAFRA", G18013="DÉBITO AUTOMÁTICO SAFRA", G18013= "BOLETO SAFRA", G18013= "transferência safra"), A18013="DESPESAS"),5,IF(AND(G18013="espécie",A18013="FATURAMENTO"),3,IF(AND(G18013="espécie",A18013="DESPESAS"),6))))))</f>
        <v>0</v>
      </c>
      <c r="M18013" s="17" t="str">
        <f t="shared" si="860"/>
        <v/>
      </c>
      <c r="N18013" s="11" t="str">
        <f t="shared" si="861"/>
        <v/>
      </c>
    </row>
    <row r="18014" spans="9:14" x14ac:dyDescent="0.25">
      <c r="I18014" s="11" t="b">
        <f t="shared" si="862"/>
        <v>0</v>
      </c>
      <c r="M18014" s="17" t="str">
        <f t="shared" si="860"/>
        <v/>
      </c>
      <c r="N18014" s="11" t="str">
        <f t="shared" si="861"/>
        <v/>
      </c>
    </row>
    <row r="18015" spans="9:14" x14ac:dyDescent="0.25">
      <c r="I18015" s="11" t="b">
        <f t="shared" si="862"/>
        <v>0</v>
      </c>
      <c r="M18015" s="17" t="str">
        <f t="shared" si="860"/>
        <v/>
      </c>
      <c r="N18015" s="11" t="str">
        <f t="shared" si="861"/>
        <v/>
      </c>
    </row>
    <row r="18016" spans="9:14" x14ac:dyDescent="0.25">
      <c r="I18016" s="11" t="b">
        <f t="shared" si="862"/>
        <v>0</v>
      </c>
      <c r="M18016" s="17" t="str">
        <f t="shared" si="860"/>
        <v/>
      </c>
      <c r="N18016" s="11" t="str">
        <f t="shared" si="861"/>
        <v/>
      </c>
    </row>
    <row r="18017" spans="9:14" x14ac:dyDescent="0.25">
      <c r="I18017" s="11" t="b">
        <f t="shared" si="862"/>
        <v>0</v>
      </c>
      <c r="M18017" s="17" t="str">
        <f t="shared" si="860"/>
        <v/>
      </c>
      <c r="N18017" s="11" t="str">
        <f t="shared" si="861"/>
        <v/>
      </c>
    </row>
    <row r="18018" spans="9:14" x14ac:dyDescent="0.25">
      <c r="I18018" s="11" t="b">
        <f t="shared" si="862"/>
        <v>0</v>
      </c>
      <c r="M18018" s="17" t="str">
        <f t="shared" si="860"/>
        <v/>
      </c>
      <c r="N18018" s="11" t="str">
        <f t="shared" si="861"/>
        <v/>
      </c>
    </row>
    <row r="18019" spans="9:14" x14ac:dyDescent="0.25">
      <c r="I18019" s="11" t="b">
        <f t="shared" si="862"/>
        <v>0</v>
      </c>
      <c r="M18019" s="17" t="str">
        <f t="shared" si="860"/>
        <v/>
      </c>
      <c r="N18019" s="11" t="str">
        <f t="shared" si="861"/>
        <v/>
      </c>
    </row>
    <row r="18020" spans="9:14" x14ac:dyDescent="0.25">
      <c r="I18020" s="11" t="b">
        <f t="shared" si="862"/>
        <v>0</v>
      </c>
      <c r="M18020" s="17" t="str">
        <f t="shared" si="860"/>
        <v/>
      </c>
      <c r="N18020" s="11" t="str">
        <f t="shared" si="861"/>
        <v/>
      </c>
    </row>
    <row r="18021" spans="9:14" x14ac:dyDescent="0.25">
      <c r="I18021" s="11" t="b">
        <f t="shared" si="862"/>
        <v>0</v>
      </c>
      <c r="M18021" s="17" t="str">
        <f t="shared" si="860"/>
        <v/>
      </c>
      <c r="N18021" s="11" t="str">
        <f t="shared" si="861"/>
        <v/>
      </c>
    </row>
    <row r="18022" spans="9:14" x14ac:dyDescent="0.25">
      <c r="I18022" s="11" t="b">
        <f t="shared" si="862"/>
        <v>0</v>
      </c>
      <c r="M18022" s="17" t="str">
        <f t="shared" si="860"/>
        <v/>
      </c>
      <c r="N18022" s="11" t="str">
        <f t="shared" si="861"/>
        <v/>
      </c>
    </row>
    <row r="18023" spans="9:14" x14ac:dyDescent="0.25">
      <c r="I18023" s="11" t="b">
        <f t="shared" si="862"/>
        <v>0</v>
      </c>
      <c r="M18023" s="17" t="str">
        <f t="shared" si="860"/>
        <v/>
      </c>
      <c r="N18023" s="11" t="str">
        <f t="shared" si="861"/>
        <v/>
      </c>
    </row>
    <row r="18024" spans="9:14" x14ac:dyDescent="0.25">
      <c r="I18024" s="11" t="b">
        <f t="shared" si="862"/>
        <v>0</v>
      </c>
      <c r="M18024" s="17" t="str">
        <f t="shared" si="860"/>
        <v/>
      </c>
      <c r="N18024" s="11" t="str">
        <f t="shared" si="861"/>
        <v/>
      </c>
    </row>
    <row r="18025" spans="9:14" x14ac:dyDescent="0.25">
      <c r="I18025" s="11" t="b">
        <f t="shared" si="862"/>
        <v>0</v>
      </c>
      <c r="M18025" s="17" t="str">
        <f t="shared" si="860"/>
        <v/>
      </c>
      <c r="N18025" s="11" t="str">
        <f t="shared" si="861"/>
        <v/>
      </c>
    </row>
    <row r="18026" spans="9:14" x14ac:dyDescent="0.25">
      <c r="I18026" s="11" t="b">
        <f t="shared" si="862"/>
        <v>0</v>
      </c>
      <c r="M18026" s="17" t="str">
        <f t="shared" si="860"/>
        <v/>
      </c>
      <c r="N18026" s="11" t="str">
        <f t="shared" si="861"/>
        <v/>
      </c>
    </row>
    <row r="18027" spans="9:14" x14ac:dyDescent="0.25">
      <c r="I18027" s="11" t="b">
        <f t="shared" si="862"/>
        <v>0</v>
      </c>
      <c r="M18027" s="17" t="str">
        <f t="shared" si="860"/>
        <v/>
      </c>
      <c r="N18027" s="11" t="str">
        <f t="shared" si="861"/>
        <v/>
      </c>
    </row>
    <row r="18028" spans="9:14" x14ac:dyDescent="0.25">
      <c r="I18028" s="11" t="b">
        <f t="shared" si="862"/>
        <v>0</v>
      </c>
      <c r="M18028" s="17" t="str">
        <f t="shared" si="860"/>
        <v/>
      </c>
      <c r="N18028" s="11" t="str">
        <f t="shared" si="861"/>
        <v/>
      </c>
    </row>
    <row r="18029" spans="9:14" x14ac:dyDescent="0.25">
      <c r="I18029" s="11" t="b">
        <f t="shared" si="862"/>
        <v>0</v>
      </c>
      <c r="M18029" s="17" t="str">
        <f t="shared" si="860"/>
        <v/>
      </c>
      <c r="N18029" s="11" t="str">
        <f t="shared" si="861"/>
        <v/>
      </c>
    </row>
    <row r="18030" spans="9:14" x14ac:dyDescent="0.25">
      <c r="I18030" s="11" t="b">
        <f t="shared" si="862"/>
        <v>0</v>
      </c>
      <c r="M18030" s="17" t="str">
        <f t="shared" si="860"/>
        <v/>
      </c>
      <c r="N18030" s="11" t="str">
        <f t="shared" si="861"/>
        <v/>
      </c>
    </row>
    <row r="18031" spans="9:14" x14ac:dyDescent="0.25">
      <c r="I18031" s="11" t="b">
        <f t="shared" si="862"/>
        <v>0</v>
      </c>
      <c r="M18031" s="17" t="str">
        <f t="shared" si="860"/>
        <v/>
      </c>
      <c r="N18031" s="11" t="str">
        <f t="shared" si="861"/>
        <v/>
      </c>
    </row>
    <row r="18032" spans="9:14" x14ac:dyDescent="0.25">
      <c r="I18032" s="11" t="b">
        <f t="shared" si="862"/>
        <v>0</v>
      </c>
      <c r="M18032" s="17" t="str">
        <f t="shared" si="860"/>
        <v/>
      </c>
      <c r="N18032" s="11" t="str">
        <f t="shared" si="861"/>
        <v/>
      </c>
    </row>
    <row r="18033" spans="9:14" x14ac:dyDescent="0.25">
      <c r="I18033" s="11" t="b">
        <f t="shared" si="862"/>
        <v>0</v>
      </c>
      <c r="M18033" s="17" t="str">
        <f t="shared" si="860"/>
        <v/>
      </c>
      <c r="N18033" s="11" t="str">
        <f t="shared" si="861"/>
        <v/>
      </c>
    </row>
    <row r="18034" spans="9:14" x14ac:dyDescent="0.25">
      <c r="I18034" s="11" t="b">
        <f t="shared" si="862"/>
        <v>0</v>
      </c>
      <c r="M18034" s="17" t="str">
        <f t="shared" si="860"/>
        <v/>
      </c>
      <c r="N18034" s="11" t="str">
        <f t="shared" si="861"/>
        <v/>
      </c>
    </row>
    <row r="18035" spans="9:14" x14ac:dyDescent="0.25">
      <c r="I18035" s="11" t="b">
        <f t="shared" si="862"/>
        <v>0</v>
      </c>
      <c r="M18035" s="17" t="str">
        <f t="shared" si="860"/>
        <v/>
      </c>
      <c r="N18035" s="11" t="str">
        <f t="shared" si="861"/>
        <v/>
      </c>
    </row>
    <row r="18036" spans="9:14" x14ac:dyDescent="0.25">
      <c r="I18036" s="11" t="b">
        <f t="shared" si="862"/>
        <v>0</v>
      </c>
      <c r="M18036" s="17" t="str">
        <f t="shared" si="860"/>
        <v/>
      </c>
      <c r="N18036" s="11" t="str">
        <f t="shared" si="861"/>
        <v/>
      </c>
    </row>
    <row r="18037" spans="9:14" x14ac:dyDescent="0.25">
      <c r="I18037" s="11" t="b">
        <f t="shared" si="862"/>
        <v>0</v>
      </c>
      <c r="M18037" s="17" t="str">
        <f t="shared" si="860"/>
        <v/>
      </c>
      <c r="N18037" s="11" t="str">
        <f t="shared" si="861"/>
        <v/>
      </c>
    </row>
    <row r="18038" spans="9:14" x14ac:dyDescent="0.25">
      <c r="I18038" s="11" t="b">
        <f t="shared" si="862"/>
        <v>0</v>
      </c>
      <c r="M18038" s="17" t="str">
        <f t="shared" si="860"/>
        <v/>
      </c>
      <c r="N18038" s="11" t="str">
        <f t="shared" si="861"/>
        <v/>
      </c>
    </row>
    <row r="18039" spans="9:14" x14ac:dyDescent="0.25">
      <c r="I18039" s="11" t="b">
        <f t="shared" si="862"/>
        <v>0</v>
      </c>
      <c r="M18039" s="17" t="str">
        <f t="shared" si="860"/>
        <v/>
      </c>
      <c r="N18039" s="11" t="str">
        <f t="shared" si="861"/>
        <v/>
      </c>
    </row>
    <row r="18040" spans="9:14" x14ac:dyDescent="0.25">
      <c r="I18040" s="11" t="b">
        <f t="shared" si="862"/>
        <v>0</v>
      </c>
      <c r="M18040" s="17" t="str">
        <f t="shared" si="860"/>
        <v/>
      </c>
      <c r="N18040" s="11" t="str">
        <f t="shared" si="861"/>
        <v/>
      </c>
    </row>
    <row r="18041" spans="9:14" x14ac:dyDescent="0.25">
      <c r="I18041" s="11" t="b">
        <f t="shared" si="862"/>
        <v>0</v>
      </c>
      <c r="M18041" s="17" t="str">
        <f t="shared" si="860"/>
        <v/>
      </c>
      <c r="N18041" s="11" t="str">
        <f t="shared" si="861"/>
        <v/>
      </c>
    </row>
    <row r="18042" spans="9:14" x14ac:dyDescent="0.25">
      <c r="I18042" s="11" t="b">
        <f t="shared" si="862"/>
        <v>0</v>
      </c>
      <c r="M18042" s="17" t="str">
        <f t="shared" si="860"/>
        <v/>
      </c>
      <c r="N18042" s="11" t="str">
        <f t="shared" si="861"/>
        <v/>
      </c>
    </row>
    <row r="18043" spans="9:14" x14ac:dyDescent="0.25">
      <c r="I18043" s="11" t="b">
        <f t="shared" si="862"/>
        <v>0</v>
      </c>
      <c r="M18043" s="17" t="str">
        <f t="shared" si="860"/>
        <v/>
      </c>
      <c r="N18043" s="11" t="str">
        <f t="shared" si="861"/>
        <v/>
      </c>
    </row>
    <row r="18044" spans="9:14" x14ac:dyDescent="0.25">
      <c r="I18044" s="11" t="b">
        <f t="shared" si="862"/>
        <v>0</v>
      </c>
      <c r="M18044" s="17" t="str">
        <f t="shared" si="860"/>
        <v/>
      </c>
      <c r="N18044" s="11" t="str">
        <f t="shared" si="861"/>
        <v/>
      </c>
    </row>
    <row r="18045" spans="9:14" x14ac:dyDescent="0.25">
      <c r="I18045" s="11" t="b">
        <f t="shared" si="862"/>
        <v>0</v>
      </c>
      <c r="M18045" s="17" t="str">
        <f t="shared" si="860"/>
        <v/>
      </c>
      <c r="N18045" s="11" t="str">
        <f t="shared" si="861"/>
        <v/>
      </c>
    </row>
    <row r="18046" spans="9:14" x14ac:dyDescent="0.25">
      <c r="I18046" s="11" t="b">
        <f t="shared" si="862"/>
        <v>0</v>
      </c>
      <c r="M18046" s="17" t="str">
        <f t="shared" si="860"/>
        <v/>
      </c>
      <c r="N18046" s="11" t="str">
        <f t="shared" si="861"/>
        <v/>
      </c>
    </row>
    <row r="18047" spans="9:14" x14ac:dyDescent="0.25">
      <c r="I18047" s="11" t="b">
        <f t="shared" si="862"/>
        <v>0</v>
      </c>
      <c r="M18047" s="17" t="str">
        <f t="shared" si="860"/>
        <v/>
      </c>
      <c r="N18047" s="11" t="str">
        <f t="shared" si="861"/>
        <v/>
      </c>
    </row>
    <row r="18048" spans="9:14" x14ac:dyDescent="0.25">
      <c r="I18048" s="11" t="b">
        <f t="shared" si="862"/>
        <v>0</v>
      </c>
      <c r="M18048" s="17" t="str">
        <f t="shared" si="860"/>
        <v/>
      </c>
      <c r="N18048" s="11" t="str">
        <f t="shared" si="861"/>
        <v/>
      </c>
    </row>
    <row r="18049" spans="9:14" x14ac:dyDescent="0.25">
      <c r="I18049" s="11" t="b">
        <f t="shared" si="862"/>
        <v>0</v>
      </c>
      <c r="M18049" s="17" t="str">
        <f t="shared" ref="M18049:M18112" si="863">IF(B18049=0, "",M18048+ J18049-K18049)</f>
        <v/>
      </c>
      <c r="N18049" s="11" t="str">
        <f t="shared" ref="N18049:N18112" si="864">IF(B18049=0, "", MONTH(B18049))</f>
        <v/>
      </c>
    </row>
    <row r="18050" spans="9:14" x14ac:dyDescent="0.25">
      <c r="I18050" s="11" t="b">
        <f t="shared" si="862"/>
        <v>0</v>
      </c>
      <c r="M18050" s="17" t="str">
        <f t="shared" si="863"/>
        <v/>
      </c>
      <c r="N18050" s="11" t="str">
        <f t="shared" si="864"/>
        <v/>
      </c>
    </row>
    <row r="18051" spans="9:14" x14ac:dyDescent="0.25">
      <c r="I18051" s="11" t="b">
        <f t="shared" si="862"/>
        <v>0</v>
      </c>
      <c r="M18051" s="17" t="str">
        <f t="shared" si="863"/>
        <v/>
      </c>
      <c r="N18051" s="11" t="str">
        <f t="shared" si="864"/>
        <v/>
      </c>
    </row>
    <row r="18052" spans="9:14" x14ac:dyDescent="0.25">
      <c r="I18052" s="11" t="b">
        <f t="shared" si="862"/>
        <v>0</v>
      </c>
      <c r="M18052" s="17" t="str">
        <f t="shared" si="863"/>
        <v/>
      </c>
      <c r="N18052" s="11" t="str">
        <f t="shared" si="864"/>
        <v/>
      </c>
    </row>
    <row r="18053" spans="9:14" x14ac:dyDescent="0.25">
      <c r="I18053" s="11" t="b">
        <f t="shared" si="862"/>
        <v>0</v>
      </c>
      <c r="M18053" s="17" t="str">
        <f t="shared" si="863"/>
        <v/>
      </c>
      <c r="N18053" s="11" t="str">
        <f t="shared" si="864"/>
        <v/>
      </c>
    </row>
    <row r="18054" spans="9:14" x14ac:dyDescent="0.25">
      <c r="I18054" s="11" t="b">
        <f t="shared" si="862"/>
        <v>0</v>
      </c>
      <c r="M18054" s="17" t="str">
        <f t="shared" si="863"/>
        <v/>
      </c>
      <c r="N18054" s="11" t="str">
        <f t="shared" si="864"/>
        <v/>
      </c>
    </row>
    <row r="18055" spans="9:14" x14ac:dyDescent="0.25">
      <c r="I18055" s="11" t="b">
        <f t="shared" si="862"/>
        <v>0</v>
      </c>
      <c r="M18055" s="17" t="str">
        <f t="shared" si="863"/>
        <v/>
      </c>
      <c r="N18055" s="11" t="str">
        <f t="shared" si="864"/>
        <v/>
      </c>
    </row>
    <row r="18056" spans="9:14" x14ac:dyDescent="0.25">
      <c r="I18056" s="11" t="b">
        <f t="shared" si="862"/>
        <v>0</v>
      </c>
      <c r="M18056" s="17" t="str">
        <f t="shared" si="863"/>
        <v/>
      </c>
      <c r="N18056" s="11" t="str">
        <f t="shared" si="864"/>
        <v/>
      </c>
    </row>
    <row r="18057" spans="9:14" x14ac:dyDescent="0.25">
      <c r="I18057" s="11" t="b">
        <f t="shared" si="862"/>
        <v>0</v>
      </c>
      <c r="M18057" s="17" t="str">
        <f t="shared" si="863"/>
        <v/>
      </c>
      <c r="N18057" s="11" t="str">
        <f t="shared" si="864"/>
        <v/>
      </c>
    </row>
    <row r="18058" spans="9:14" x14ac:dyDescent="0.25">
      <c r="I18058" s="11" t="b">
        <f t="shared" si="862"/>
        <v>0</v>
      </c>
      <c r="M18058" s="17" t="str">
        <f t="shared" si="863"/>
        <v/>
      </c>
      <c r="N18058" s="11" t="str">
        <f t="shared" si="864"/>
        <v/>
      </c>
    </row>
    <row r="18059" spans="9:14" x14ac:dyDescent="0.25">
      <c r="I18059" s="11" t="b">
        <f t="shared" si="862"/>
        <v>0</v>
      </c>
      <c r="M18059" s="17" t="str">
        <f t="shared" si="863"/>
        <v/>
      </c>
      <c r="N18059" s="11" t="str">
        <f t="shared" si="864"/>
        <v/>
      </c>
    </row>
    <row r="18060" spans="9:14" x14ac:dyDescent="0.25">
      <c r="I18060" s="11" t="b">
        <f t="shared" si="862"/>
        <v>0</v>
      </c>
      <c r="M18060" s="17" t="str">
        <f t="shared" si="863"/>
        <v/>
      </c>
      <c r="N18060" s="11" t="str">
        <f t="shared" si="864"/>
        <v/>
      </c>
    </row>
    <row r="18061" spans="9:14" x14ac:dyDescent="0.25">
      <c r="I18061" s="11" t="b">
        <f t="shared" si="862"/>
        <v>0</v>
      </c>
      <c r="M18061" s="17" t="str">
        <f t="shared" si="863"/>
        <v/>
      </c>
      <c r="N18061" s="11" t="str">
        <f t="shared" si="864"/>
        <v/>
      </c>
    </row>
    <row r="18062" spans="9:14" x14ac:dyDescent="0.25">
      <c r="I18062" s="11" t="b">
        <f t="shared" si="862"/>
        <v>0</v>
      </c>
      <c r="M18062" s="17" t="str">
        <f t="shared" si="863"/>
        <v/>
      </c>
      <c r="N18062" s="11" t="str">
        <f t="shared" si="864"/>
        <v/>
      </c>
    </row>
    <row r="18063" spans="9:14" x14ac:dyDescent="0.25">
      <c r="I18063" s="11" t="b">
        <f t="shared" si="862"/>
        <v>0</v>
      </c>
      <c r="M18063" s="17" t="str">
        <f t="shared" si="863"/>
        <v/>
      </c>
      <c r="N18063" s="11" t="str">
        <f t="shared" si="864"/>
        <v/>
      </c>
    </row>
    <row r="18064" spans="9:14" x14ac:dyDescent="0.25">
      <c r="I18064" s="11" t="b">
        <f t="shared" si="862"/>
        <v>0</v>
      </c>
      <c r="M18064" s="17" t="str">
        <f t="shared" si="863"/>
        <v/>
      </c>
      <c r="N18064" s="11" t="str">
        <f t="shared" si="864"/>
        <v/>
      </c>
    </row>
    <row r="18065" spans="9:14" x14ac:dyDescent="0.25">
      <c r="I18065" s="11" t="b">
        <f t="shared" si="862"/>
        <v>0</v>
      </c>
      <c r="M18065" s="17" t="str">
        <f t="shared" si="863"/>
        <v/>
      </c>
      <c r="N18065" s="11" t="str">
        <f t="shared" si="864"/>
        <v/>
      </c>
    </row>
    <row r="18066" spans="9:14" x14ac:dyDescent="0.25">
      <c r="I18066" s="11" t="b">
        <f t="shared" si="862"/>
        <v>0</v>
      </c>
      <c r="M18066" s="17" t="str">
        <f t="shared" si="863"/>
        <v/>
      </c>
      <c r="N18066" s="11" t="str">
        <f t="shared" si="864"/>
        <v/>
      </c>
    </row>
    <row r="18067" spans="9:14" x14ac:dyDescent="0.25">
      <c r="I18067" s="11" t="b">
        <f t="shared" si="862"/>
        <v>0</v>
      </c>
      <c r="M18067" s="17" t="str">
        <f t="shared" si="863"/>
        <v/>
      </c>
      <c r="N18067" s="11" t="str">
        <f t="shared" si="864"/>
        <v/>
      </c>
    </row>
    <row r="18068" spans="9:14" x14ac:dyDescent="0.25">
      <c r="I18068" s="11" t="b">
        <f t="shared" si="862"/>
        <v>0</v>
      </c>
      <c r="M18068" s="17" t="str">
        <f t="shared" si="863"/>
        <v/>
      </c>
      <c r="N18068" s="11" t="str">
        <f t="shared" si="864"/>
        <v/>
      </c>
    </row>
    <row r="18069" spans="9:14" x14ac:dyDescent="0.25">
      <c r="I18069" s="11" t="b">
        <f t="shared" si="862"/>
        <v>0</v>
      </c>
      <c r="M18069" s="17" t="str">
        <f t="shared" si="863"/>
        <v/>
      </c>
      <c r="N18069" s="11" t="str">
        <f t="shared" si="864"/>
        <v/>
      </c>
    </row>
    <row r="18070" spans="9:14" x14ac:dyDescent="0.25">
      <c r="I18070" s="11" t="b">
        <f t="shared" si="862"/>
        <v>0</v>
      </c>
      <c r="M18070" s="17" t="str">
        <f t="shared" si="863"/>
        <v/>
      </c>
      <c r="N18070" s="11" t="str">
        <f t="shared" si="864"/>
        <v/>
      </c>
    </row>
    <row r="18071" spans="9:14" x14ac:dyDescent="0.25">
      <c r="I18071" s="11" t="b">
        <f t="shared" si="862"/>
        <v>0</v>
      </c>
      <c r="M18071" s="17" t="str">
        <f t="shared" si="863"/>
        <v/>
      </c>
      <c r="N18071" s="11" t="str">
        <f t="shared" si="864"/>
        <v/>
      </c>
    </row>
    <row r="18072" spans="9:14" x14ac:dyDescent="0.25">
      <c r="I18072" s="11" t="b">
        <f t="shared" si="862"/>
        <v>0</v>
      </c>
      <c r="M18072" s="17" t="str">
        <f t="shared" si="863"/>
        <v/>
      </c>
      <c r="N18072" s="11" t="str">
        <f t="shared" si="864"/>
        <v/>
      </c>
    </row>
    <row r="18073" spans="9:14" x14ac:dyDescent="0.25">
      <c r="I18073" s="11" t="b">
        <f t="shared" si="862"/>
        <v>0</v>
      </c>
      <c r="M18073" s="17" t="str">
        <f t="shared" si="863"/>
        <v/>
      </c>
      <c r="N18073" s="11" t="str">
        <f t="shared" si="864"/>
        <v/>
      </c>
    </row>
    <row r="18074" spans="9:14" x14ac:dyDescent="0.25">
      <c r="I18074" s="11" t="b">
        <f t="shared" si="862"/>
        <v>0</v>
      </c>
      <c r="M18074" s="17" t="str">
        <f t="shared" si="863"/>
        <v/>
      </c>
      <c r="N18074" s="11" t="str">
        <f t="shared" si="864"/>
        <v/>
      </c>
    </row>
    <row r="18075" spans="9:14" x14ac:dyDescent="0.25">
      <c r="I18075" s="11" t="b">
        <f t="shared" si="862"/>
        <v>0</v>
      </c>
      <c r="M18075" s="17" t="str">
        <f t="shared" si="863"/>
        <v/>
      </c>
      <c r="N18075" s="11" t="str">
        <f t="shared" si="864"/>
        <v/>
      </c>
    </row>
    <row r="18076" spans="9:14" x14ac:dyDescent="0.25">
      <c r="I18076" s="11" t="b">
        <f t="shared" si="862"/>
        <v>0</v>
      </c>
      <c r="M18076" s="17" t="str">
        <f t="shared" si="863"/>
        <v/>
      </c>
      <c r="N18076" s="11" t="str">
        <f t="shared" si="864"/>
        <v/>
      </c>
    </row>
    <row r="18077" spans="9:14" x14ac:dyDescent="0.25">
      <c r="I18077" s="11" t="b">
        <f t="shared" ref="I18077:I18140" si="865">IF(AND(G18077="MERCADO PAGO",A18077="FATURAMENTO"),1,IF(AND(OR(G18077="MERCADO PAGO",G18077="pix mercado pago",G18077= "débito automático mercado pago", G18077= "boleto mercado pago"),A18077="DESPESAS"),4,IF(AND(G18077="SAFRA",A18077="FATURAMENTO"),2,IF(AND(OR(G18077="SAFRA",G18077="PIX SAFRA", G18077="DÉBITO AUTOMÁTICO SAFRA", G18077= "BOLETO SAFRA", G18077= "transferência safra"), A18077="DESPESAS"),5,IF(AND(G18077="espécie",A18077="FATURAMENTO"),3,IF(AND(G18077="espécie",A18077="DESPESAS"),6))))))</f>
        <v>0</v>
      </c>
      <c r="M18077" s="17" t="str">
        <f t="shared" si="863"/>
        <v/>
      </c>
      <c r="N18077" s="11" t="str">
        <f t="shared" si="864"/>
        <v/>
      </c>
    </row>
    <row r="18078" spans="9:14" x14ac:dyDescent="0.25">
      <c r="I18078" s="11" t="b">
        <f t="shared" si="865"/>
        <v>0</v>
      </c>
      <c r="M18078" s="17" t="str">
        <f t="shared" si="863"/>
        <v/>
      </c>
      <c r="N18078" s="11" t="str">
        <f t="shared" si="864"/>
        <v/>
      </c>
    </row>
    <row r="18079" spans="9:14" x14ac:dyDescent="0.25">
      <c r="I18079" s="11" t="b">
        <f t="shared" si="865"/>
        <v>0</v>
      </c>
      <c r="M18079" s="17" t="str">
        <f t="shared" si="863"/>
        <v/>
      </c>
      <c r="N18079" s="11" t="str">
        <f t="shared" si="864"/>
        <v/>
      </c>
    </row>
    <row r="18080" spans="9:14" x14ac:dyDescent="0.25">
      <c r="I18080" s="11" t="b">
        <f t="shared" si="865"/>
        <v>0</v>
      </c>
      <c r="M18080" s="17" t="str">
        <f t="shared" si="863"/>
        <v/>
      </c>
      <c r="N18080" s="11" t="str">
        <f t="shared" si="864"/>
        <v/>
      </c>
    </row>
    <row r="18081" spans="9:14" x14ac:dyDescent="0.25">
      <c r="I18081" s="11" t="b">
        <f t="shared" si="865"/>
        <v>0</v>
      </c>
      <c r="M18081" s="17" t="str">
        <f t="shared" si="863"/>
        <v/>
      </c>
      <c r="N18081" s="11" t="str">
        <f t="shared" si="864"/>
        <v/>
      </c>
    </row>
    <row r="18082" spans="9:14" x14ac:dyDescent="0.25">
      <c r="I18082" s="11" t="b">
        <f t="shared" si="865"/>
        <v>0</v>
      </c>
      <c r="M18082" s="17" t="str">
        <f t="shared" si="863"/>
        <v/>
      </c>
      <c r="N18082" s="11" t="str">
        <f t="shared" si="864"/>
        <v/>
      </c>
    </row>
    <row r="18083" spans="9:14" x14ac:dyDescent="0.25">
      <c r="I18083" s="11" t="b">
        <f t="shared" si="865"/>
        <v>0</v>
      </c>
      <c r="M18083" s="17" t="str">
        <f t="shared" si="863"/>
        <v/>
      </c>
      <c r="N18083" s="11" t="str">
        <f t="shared" si="864"/>
        <v/>
      </c>
    </row>
    <row r="18084" spans="9:14" x14ac:dyDescent="0.25">
      <c r="I18084" s="11" t="b">
        <f t="shared" si="865"/>
        <v>0</v>
      </c>
      <c r="M18084" s="17" t="str">
        <f t="shared" si="863"/>
        <v/>
      </c>
      <c r="N18084" s="11" t="str">
        <f t="shared" si="864"/>
        <v/>
      </c>
    </row>
    <row r="18085" spans="9:14" x14ac:dyDescent="0.25">
      <c r="I18085" s="11" t="b">
        <f t="shared" si="865"/>
        <v>0</v>
      </c>
      <c r="M18085" s="17" t="str">
        <f t="shared" si="863"/>
        <v/>
      </c>
      <c r="N18085" s="11" t="str">
        <f t="shared" si="864"/>
        <v/>
      </c>
    </row>
    <row r="18086" spans="9:14" x14ac:dyDescent="0.25">
      <c r="I18086" s="11" t="b">
        <f t="shared" si="865"/>
        <v>0</v>
      </c>
      <c r="M18086" s="17" t="str">
        <f t="shared" si="863"/>
        <v/>
      </c>
      <c r="N18086" s="11" t="str">
        <f t="shared" si="864"/>
        <v/>
      </c>
    </row>
    <row r="18087" spans="9:14" x14ac:dyDescent="0.25">
      <c r="I18087" s="11" t="b">
        <f t="shared" si="865"/>
        <v>0</v>
      </c>
      <c r="M18087" s="17" t="str">
        <f t="shared" si="863"/>
        <v/>
      </c>
      <c r="N18087" s="11" t="str">
        <f t="shared" si="864"/>
        <v/>
      </c>
    </row>
    <row r="18088" spans="9:14" x14ac:dyDescent="0.25">
      <c r="I18088" s="11" t="b">
        <f t="shared" si="865"/>
        <v>0</v>
      </c>
      <c r="M18088" s="17" t="str">
        <f t="shared" si="863"/>
        <v/>
      </c>
      <c r="N18088" s="11" t="str">
        <f t="shared" si="864"/>
        <v/>
      </c>
    </row>
    <row r="18089" spans="9:14" x14ac:dyDescent="0.25">
      <c r="I18089" s="11" t="b">
        <f t="shared" si="865"/>
        <v>0</v>
      </c>
      <c r="M18089" s="17" t="str">
        <f t="shared" si="863"/>
        <v/>
      </c>
      <c r="N18089" s="11" t="str">
        <f t="shared" si="864"/>
        <v/>
      </c>
    </row>
    <row r="18090" spans="9:14" x14ac:dyDescent="0.25">
      <c r="I18090" s="11" t="b">
        <f t="shared" si="865"/>
        <v>0</v>
      </c>
      <c r="M18090" s="17" t="str">
        <f t="shared" si="863"/>
        <v/>
      </c>
      <c r="N18090" s="11" t="str">
        <f t="shared" si="864"/>
        <v/>
      </c>
    </row>
    <row r="18091" spans="9:14" x14ac:dyDescent="0.25">
      <c r="I18091" s="11" t="b">
        <f t="shared" si="865"/>
        <v>0</v>
      </c>
      <c r="M18091" s="17" t="str">
        <f t="shared" si="863"/>
        <v/>
      </c>
      <c r="N18091" s="11" t="str">
        <f t="shared" si="864"/>
        <v/>
      </c>
    </row>
    <row r="18092" spans="9:14" x14ac:dyDescent="0.25">
      <c r="I18092" s="11" t="b">
        <f t="shared" si="865"/>
        <v>0</v>
      </c>
      <c r="M18092" s="17" t="str">
        <f t="shared" si="863"/>
        <v/>
      </c>
      <c r="N18092" s="11" t="str">
        <f t="shared" si="864"/>
        <v/>
      </c>
    </row>
    <row r="18093" spans="9:14" x14ac:dyDescent="0.25">
      <c r="I18093" s="11" t="b">
        <f t="shared" si="865"/>
        <v>0</v>
      </c>
      <c r="M18093" s="17" t="str">
        <f t="shared" si="863"/>
        <v/>
      </c>
      <c r="N18093" s="11" t="str">
        <f t="shared" si="864"/>
        <v/>
      </c>
    </row>
    <row r="18094" spans="9:14" x14ac:dyDescent="0.25">
      <c r="I18094" s="11" t="b">
        <f t="shared" si="865"/>
        <v>0</v>
      </c>
      <c r="M18094" s="17" t="str">
        <f t="shared" si="863"/>
        <v/>
      </c>
      <c r="N18094" s="11" t="str">
        <f t="shared" si="864"/>
        <v/>
      </c>
    </row>
    <row r="18095" spans="9:14" x14ac:dyDescent="0.25">
      <c r="I18095" s="11" t="b">
        <f t="shared" si="865"/>
        <v>0</v>
      </c>
      <c r="M18095" s="17" t="str">
        <f t="shared" si="863"/>
        <v/>
      </c>
      <c r="N18095" s="11" t="str">
        <f t="shared" si="864"/>
        <v/>
      </c>
    </row>
    <row r="18096" spans="9:14" x14ac:dyDescent="0.25">
      <c r="I18096" s="11" t="b">
        <f t="shared" si="865"/>
        <v>0</v>
      </c>
      <c r="M18096" s="17" t="str">
        <f t="shared" si="863"/>
        <v/>
      </c>
      <c r="N18096" s="11" t="str">
        <f t="shared" si="864"/>
        <v/>
      </c>
    </row>
    <row r="18097" spans="9:14" x14ac:dyDescent="0.25">
      <c r="I18097" s="11" t="b">
        <f t="shared" si="865"/>
        <v>0</v>
      </c>
      <c r="M18097" s="17" t="str">
        <f t="shared" si="863"/>
        <v/>
      </c>
      <c r="N18097" s="11" t="str">
        <f t="shared" si="864"/>
        <v/>
      </c>
    </row>
    <row r="18098" spans="9:14" x14ac:dyDescent="0.25">
      <c r="I18098" s="11" t="b">
        <f t="shared" si="865"/>
        <v>0</v>
      </c>
      <c r="M18098" s="17" t="str">
        <f t="shared" si="863"/>
        <v/>
      </c>
      <c r="N18098" s="11" t="str">
        <f t="shared" si="864"/>
        <v/>
      </c>
    </row>
    <row r="18099" spans="9:14" x14ac:dyDescent="0.25">
      <c r="I18099" s="11" t="b">
        <f t="shared" si="865"/>
        <v>0</v>
      </c>
      <c r="M18099" s="17" t="str">
        <f t="shared" si="863"/>
        <v/>
      </c>
      <c r="N18099" s="11" t="str">
        <f t="shared" si="864"/>
        <v/>
      </c>
    </row>
    <row r="18100" spans="9:14" x14ac:dyDescent="0.25">
      <c r="I18100" s="11" t="b">
        <f t="shared" si="865"/>
        <v>0</v>
      </c>
      <c r="M18100" s="17" t="str">
        <f t="shared" si="863"/>
        <v/>
      </c>
      <c r="N18100" s="11" t="str">
        <f t="shared" si="864"/>
        <v/>
      </c>
    </row>
    <row r="18101" spans="9:14" x14ac:dyDescent="0.25">
      <c r="I18101" s="11" t="b">
        <f t="shared" si="865"/>
        <v>0</v>
      </c>
      <c r="M18101" s="17" t="str">
        <f t="shared" si="863"/>
        <v/>
      </c>
      <c r="N18101" s="11" t="str">
        <f t="shared" si="864"/>
        <v/>
      </c>
    </row>
    <row r="18102" spans="9:14" x14ac:dyDescent="0.25">
      <c r="I18102" s="11" t="b">
        <f t="shared" si="865"/>
        <v>0</v>
      </c>
      <c r="M18102" s="17" t="str">
        <f t="shared" si="863"/>
        <v/>
      </c>
      <c r="N18102" s="11" t="str">
        <f t="shared" si="864"/>
        <v/>
      </c>
    </row>
    <row r="18103" spans="9:14" x14ac:dyDescent="0.25">
      <c r="I18103" s="11" t="b">
        <f t="shared" si="865"/>
        <v>0</v>
      </c>
      <c r="M18103" s="17" t="str">
        <f t="shared" si="863"/>
        <v/>
      </c>
      <c r="N18103" s="11" t="str">
        <f t="shared" si="864"/>
        <v/>
      </c>
    </row>
    <row r="18104" spans="9:14" x14ac:dyDescent="0.25">
      <c r="I18104" s="11" t="b">
        <f t="shared" si="865"/>
        <v>0</v>
      </c>
      <c r="M18104" s="17" t="str">
        <f t="shared" si="863"/>
        <v/>
      </c>
      <c r="N18104" s="11" t="str">
        <f t="shared" si="864"/>
        <v/>
      </c>
    </row>
    <row r="18105" spans="9:14" x14ac:dyDescent="0.25">
      <c r="I18105" s="11" t="b">
        <f t="shared" si="865"/>
        <v>0</v>
      </c>
      <c r="M18105" s="17" t="str">
        <f t="shared" si="863"/>
        <v/>
      </c>
      <c r="N18105" s="11" t="str">
        <f t="shared" si="864"/>
        <v/>
      </c>
    </row>
    <row r="18106" spans="9:14" x14ac:dyDescent="0.25">
      <c r="I18106" s="11" t="b">
        <f t="shared" si="865"/>
        <v>0</v>
      </c>
      <c r="M18106" s="17" t="str">
        <f t="shared" si="863"/>
        <v/>
      </c>
      <c r="N18106" s="11" t="str">
        <f t="shared" si="864"/>
        <v/>
      </c>
    </row>
    <row r="18107" spans="9:14" x14ac:dyDescent="0.25">
      <c r="I18107" s="11" t="b">
        <f t="shared" si="865"/>
        <v>0</v>
      </c>
      <c r="M18107" s="17" t="str">
        <f t="shared" si="863"/>
        <v/>
      </c>
      <c r="N18107" s="11" t="str">
        <f t="shared" si="864"/>
        <v/>
      </c>
    </row>
    <row r="18108" spans="9:14" x14ac:dyDescent="0.25">
      <c r="I18108" s="11" t="b">
        <f t="shared" si="865"/>
        <v>0</v>
      </c>
      <c r="M18108" s="17" t="str">
        <f t="shared" si="863"/>
        <v/>
      </c>
      <c r="N18108" s="11" t="str">
        <f t="shared" si="864"/>
        <v/>
      </c>
    </row>
    <row r="18109" spans="9:14" x14ac:dyDescent="0.25">
      <c r="I18109" s="11" t="b">
        <f t="shared" si="865"/>
        <v>0</v>
      </c>
      <c r="M18109" s="17" t="str">
        <f t="shared" si="863"/>
        <v/>
      </c>
      <c r="N18109" s="11" t="str">
        <f t="shared" si="864"/>
        <v/>
      </c>
    </row>
    <row r="18110" spans="9:14" x14ac:dyDescent="0.25">
      <c r="I18110" s="11" t="b">
        <f t="shared" si="865"/>
        <v>0</v>
      </c>
      <c r="M18110" s="17" t="str">
        <f t="shared" si="863"/>
        <v/>
      </c>
      <c r="N18110" s="11" t="str">
        <f t="shared" si="864"/>
        <v/>
      </c>
    </row>
    <row r="18111" spans="9:14" x14ac:dyDescent="0.25">
      <c r="I18111" s="11" t="b">
        <f t="shared" si="865"/>
        <v>0</v>
      </c>
      <c r="M18111" s="17" t="str">
        <f t="shared" si="863"/>
        <v/>
      </c>
      <c r="N18111" s="11" t="str">
        <f t="shared" si="864"/>
        <v/>
      </c>
    </row>
    <row r="18112" spans="9:14" x14ac:dyDescent="0.25">
      <c r="I18112" s="11" t="b">
        <f t="shared" si="865"/>
        <v>0</v>
      </c>
      <c r="M18112" s="17" t="str">
        <f t="shared" si="863"/>
        <v/>
      </c>
      <c r="N18112" s="11" t="str">
        <f t="shared" si="864"/>
        <v/>
      </c>
    </row>
    <row r="18113" spans="9:14" x14ac:dyDescent="0.25">
      <c r="I18113" s="11" t="b">
        <f t="shared" si="865"/>
        <v>0</v>
      </c>
      <c r="M18113" s="17" t="str">
        <f t="shared" ref="M18113:M18176" si="866">IF(B18113=0, "",M18112+ J18113-K18113)</f>
        <v/>
      </c>
      <c r="N18113" s="11" t="str">
        <f t="shared" ref="N18113:N18176" si="867">IF(B18113=0, "", MONTH(B18113))</f>
        <v/>
      </c>
    </row>
    <row r="18114" spans="9:14" x14ac:dyDescent="0.25">
      <c r="I18114" s="11" t="b">
        <f t="shared" si="865"/>
        <v>0</v>
      </c>
      <c r="M18114" s="17" t="str">
        <f t="shared" si="866"/>
        <v/>
      </c>
      <c r="N18114" s="11" t="str">
        <f t="shared" si="867"/>
        <v/>
      </c>
    </row>
    <row r="18115" spans="9:14" x14ac:dyDescent="0.25">
      <c r="I18115" s="11" t="b">
        <f t="shared" si="865"/>
        <v>0</v>
      </c>
      <c r="M18115" s="17" t="str">
        <f t="shared" si="866"/>
        <v/>
      </c>
      <c r="N18115" s="11" t="str">
        <f t="shared" si="867"/>
        <v/>
      </c>
    </row>
    <row r="18116" spans="9:14" x14ac:dyDescent="0.25">
      <c r="I18116" s="11" t="b">
        <f t="shared" si="865"/>
        <v>0</v>
      </c>
      <c r="M18116" s="17" t="str">
        <f t="shared" si="866"/>
        <v/>
      </c>
      <c r="N18116" s="11" t="str">
        <f t="shared" si="867"/>
        <v/>
      </c>
    </row>
    <row r="18117" spans="9:14" x14ac:dyDescent="0.25">
      <c r="I18117" s="11" t="b">
        <f t="shared" si="865"/>
        <v>0</v>
      </c>
      <c r="M18117" s="17" t="str">
        <f t="shared" si="866"/>
        <v/>
      </c>
      <c r="N18117" s="11" t="str">
        <f t="shared" si="867"/>
        <v/>
      </c>
    </row>
    <row r="18118" spans="9:14" x14ac:dyDescent="0.25">
      <c r="I18118" s="11" t="b">
        <f t="shared" si="865"/>
        <v>0</v>
      </c>
      <c r="M18118" s="17" t="str">
        <f t="shared" si="866"/>
        <v/>
      </c>
      <c r="N18118" s="11" t="str">
        <f t="shared" si="867"/>
        <v/>
      </c>
    </row>
    <row r="18119" spans="9:14" x14ac:dyDescent="0.25">
      <c r="I18119" s="11" t="b">
        <f t="shared" si="865"/>
        <v>0</v>
      </c>
      <c r="M18119" s="17" t="str">
        <f t="shared" si="866"/>
        <v/>
      </c>
      <c r="N18119" s="11" t="str">
        <f t="shared" si="867"/>
        <v/>
      </c>
    </row>
    <row r="18120" spans="9:14" x14ac:dyDescent="0.25">
      <c r="I18120" s="11" t="b">
        <f t="shared" si="865"/>
        <v>0</v>
      </c>
      <c r="M18120" s="17" t="str">
        <f t="shared" si="866"/>
        <v/>
      </c>
      <c r="N18120" s="11" t="str">
        <f t="shared" si="867"/>
        <v/>
      </c>
    </row>
    <row r="18121" spans="9:14" x14ac:dyDescent="0.25">
      <c r="I18121" s="11" t="b">
        <f t="shared" si="865"/>
        <v>0</v>
      </c>
      <c r="M18121" s="17" t="str">
        <f t="shared" si="866"/>
        <v/>
      </c>
      <c r="N18121" s="11" t="str">
        <f t="shared" si="867"/>
        <v/>
      </c>
    </row>
    <row r="18122" spans="9:14" x14ac:dyDescent="0.25">
      <c r="I18122" s="11" t="b">
        <f t="shared" si="865"/>
        <v>0</v>
      </c>
      <c r="M18122" s="17" t="str">
        <f t="shared" si="866"/>
        <v/>
      </c>
      <c r="N18122" s="11" t="str">
        <f t="shared" si="867"/>
        <v/>
      </c>
    </row>
    <row r="18123" spans="9:14" x14ac:dyDescent="0.25">
      <c r="I18123" s="11" t="b">
        <f t="shared" si="865"/>
        <v>0</v>
      </c>
      <c r="M18123" s="17" t="str">
        <f t="shared" si="866"/>
        <v/>
      </c>
      <c r="N18123" s="11" t="str">
        <f t="shared" si="867"/>
        <v/>
      </c>
    </row>
    <row r="18124" spans="9:14" x14ac:dyDescent="0.25">
      <c r="I18124" s="11" t="b">
        <f t="shared" si="865"/>
        <v>0</v>
      </c>
      <c r="M18124" s="17" t="str">
        <f t="shared" si="866"/>
        <v/>
      </c>
      <c r="N18124" s="11" t="str">
        <f t="shared" si="867"/>
        <v/>
      </c>
    </row>
    <row r="18125" spans="9:14" x14ac:dyDescent="0.25">
      <c r="I18125" s="11" t="b">
        <f t="shared" si="865"/>
        <v>0</v>
      </c>
      <c r="M18125" s="17" t="str">
        <f t="shared" si="866"/>
        <v/>
      </c>
      <c r="N18125" s="11" t="str">
        <f t="shared" si="867"/>
        <v/>
      </c>
    </row>
    <row r="18126" spans="9:14" x14ac:dyDescent="0.25">
      <c r="I18126" s="11" t="b">
        <f t="shared" si="865"/>
        <v>0</v>
      </c>
      <c r="M18126" s="17" t="str">
        <f t="shared" si="866"/>
        <v/>
      </c>
      <c r="N18126" s="11" t="str">
        <f t="shared" si="867"/>
        <v/>
      </c>
    </row>
    <row r="18127" spans="9:14" x14ac:dyDescent="0.25">
      <c r="I18127" s="11" t="b">
        <f t="shared" si="865"/>
        <v>0</v>
      </c>
      <c r="M18127" s="17" t="str">
        <f t="shared" si="866"/>
        <v/>
      </c>
      <c r="N18127" s="11" t="str">
        <f t="shared" si="867"/>
        <v/>
      </c>
    </row>
    <row r="18128" spans="9:14" x14ac:dyDescent="0.25">
      <c r="I18128" s="11" t="b">
        <f t="shared" si="865"/>
        <v>0</v>
      </c>
      <c r="M18128" s="17" t="str">
        <f t="shared" si="866"/>
        <v/>
      </c>
      <c r="N18128" s="11" t="str">
        <f t="shared" si="867"/>
        <v/>
      </c>
    </row>
    <row r="18129" spans="9:14" x14ac:dyDescent="0.25">
      <c r="I18129" s="11" t="b">
        <f t="shared" si="865"/>
        <v>0</v>
      </c>
      <c r="M18129" s="17" t="str">
        <f t="shared" si="866"/>
        <v/>
      </c>
      <c r="N18129" s="11" t="str">
        <f t="shared" si="867"/>
        <v/>
      </c>
    </row>
    <row r="18130" spans="9:14" x14ac:dyDescent="0.25">
      <c r="I18130" s="11" t="b">
        <f t="shared" si="865"/>
        <v>0</v>
      </c>
      <c r="M18130" s="17" t="str">
        <f t="shared" si="866"/>
        <v/>
      </c>
      <c r="N18130" s="11" t="str">
        <f t="shared" si="867"/>
        <v/>
      </c>
    </row>
    <row r="18131" spans="9:14" x14ac:dyDescent="0.25">
      <c r="I18131" s="11" t="b">
        <f t="shared" si="865"/>
        <v>0</v>
      </c>
      <c r="M18131" s="17" t="str">
        <f t="shared" si="866"/>
        <v/>
      </c>
      <c r="N18131" s="11" t="str">
        <f t="shared" si="867"/>
        <v/>
      </c>
    </row>
    <row r="18132" spans="9:14" x14ac:dyDescent="0.25">
      <c r="I18132" s="11" t="b">
        <f t="shared" si="865"/>
        <v>0</v>
      </c>
      <c r="M18132" s="17" t="str">
        <f t="shared" si="866"/>
        <v/>
      </c>
      <c r="N18132" s="11" t="str">
        <f t="shared" si="867"/>
        <v/>
      </c>
    </row>
    <row r="18133" spans="9:14" x14ac:dyDescent="0.25">
      <c r="I18133" s="11" t="b">
        <f t="shared" si="865"/>
        <v>0</v>
      </c>
      <c r="M18133" s="17" t="str">
        <f t="shared" si="866"/>
        <v/>
      </c>
      <c r="N18133" s="11" t="str">
        <f t="shared" si="867"/>
        <v/>
      </c>
    </row>
    <row r="18134" spans="9:14" x14ac:dyDescent="0.25">
      <c r="I18134" s="11" t="b">
        <f t="shared" si="865"/>
        <v>0</v>
      </c>
      <c r="M18134" s="17" t="str">
        <f t="shared" si="866"/>
        <v/>
      </c>
      <c r="N18134" s="11" t="str">
        <f t="shared" si="867"/>
        <v/>
      </c>
    </row>
    <row r="18135" spans="9:14" x14ac:dyDescent="0.25">
      <c r="I18135" s="11" t="b">
        <f t="shared" si="865"/>
        <v>0</v>
      </c>
      <c r="M18135" s="17" t="str">
        <f t="shared" si="866"/>
        <v/>
      </c>
      <c r="N18135" s="11" t="str">
        <f t="shared" si="867"/>
        <v/>
      </c>
    </row>
    <row r="18136" spans="9:14" x14ac:dyDescent="0.25">
      <c r="I18136" s="11" t="b">
        <f t="shared" si="865"/>
        <v>0</v>
      </c>
      <c r="M18136" s="17" t="str">
        <f t="shared" si="866"/>
        <v/>
      </c>
      <c r="N18136" s="11" t="str">
        <f t="shared" si="867"/>
        <v/>
      </c>
    </row>
    <row r="18137" spans="9:14" x14ac:dyDescent="0.25">
      <c r="I18137" s="11" t="b">
        <f t="shared" si="865"/>
        <v>0</v>
      </c>
      <c r="M18137" s="17" t="str">
        <f t="shared" si="866"/>
        <v/>
      </c>
      <c r="N18137" s="11" t="str">
        <f t="shared" si="867"/>
        <v/>
      </c>
    </row>
    <row r="18138" spans="9:14" x14ac:dyDescent="0.25">
      <c r="I18138" s="11" t="b">
        <f t="shared" si="865"/>
        <v>0</v>
      </c>
      <c r="M18138" s="17" t="str">
        <f t="shared" si="866"/>
        <v/>
      </c>
      <c r="N18138" s="11" t="str">
        <f t="shared" si="867"/>
        <v/>
      </c>
    </row>
    <row r="18139" spans="9:14" x14ac:dyDescent="0.25">
      <c r="I18139" s="11" t="b">
        <f t="shared" si="865"/>
        <v>0</v>
      </c>
      <c r="M18139" s="17" t="str">
        <f t="shared" si="866"/>
        <v/>
      </c>
      <c r="N18139" s="11" t="str">
        <f t="shared" si="867"/>
        <v/>
      </c>
    </row>
    <row r="18140" spans="9:14" x14ac:dyDescent="0.25">
      <c r="I18140" s="11" t="b">
        <f t="shared" si="865"/>
        <v>0</v>
      </c>
      <c r="M18140" s="17" t="str">
        <f t="shared" si="866"/>
        <v/>
      </c>
      <c r="N18140" s="11" t="str">
        <f t="shared" si="867"/>
        <v/>
      </c>
    </row>
    <row r="18141" spans="9:14" x14ac:dyDescent="0.25">
      <c r="I18141" s="11" t="b">
        <f t="shared" ref="I18141:I18204" si="868">IF(AND(G18141="MERCADO PAGO",A18141="FATURAMENTO"),1,IF(AND(OR(G18141="MERCADO PAGO",G18141="pix mercado pago",G18141= "débito automático mercado pago", G18141= "boleto mercado pago"),A18141="DESPESAS"),4,IF(AND(G18141="SAFRA",A18141="FATURAMENTO"),2,IF(AND(OR(G18141="SAFRA",G18141="PIX SAFRA", G18141="DÉBITO AUTOMÁTICO SAFRA", G18141= "BOLETO SAFRA", G18141= "transferência safra"), A18141="DESPESAS"),5,IF(AND(G18141="espécie",A18141="FATURAMENTO"),3,IF(AND(G18141="espécie",A18141="DESPESAS"),6))))))</f>
        <v>0</v>
      </c>
      <c r="M18141" s="17" t="str">
        <f t="shared" si="866"/>
        <v/>
      </c>
      <c r="N18141" s="11" t="str">
        <f t="shared" si="867"/>
        <v/>
      </c>
    </row>
    <row r="18142" spans="9:14" x14ac:dyDescent="0.25">
      <c r="I18142" s="11" t="b">
        <f t="shared" si="868"/>
        <v>0</v>
      </c>
      <c r="M18142" s="17" t="str">
        <f t="shared" si="866"/>
        <v/>
      </c>
      <c r="N18142" s="11" t="str">
        <f t="shared" si="867"/>
        <v/>
      </c>
    </row>
    <row r="18143" spans="9:14" x14ac:dyDescent="0.25">
      <c r="I18143" s="11" t="b">
        <f t="shared" si="868"/>
        <v>0</v>
      </c>
      <c r="M18143" s="17" t="str">
        <f t="shared" si="866"/>
        <v/>
      </c>
      <c r="N18143" s="11" t="str">
        <f t="shared" si="867"/>
        <v/>
      </c>
    </row>
    <row r="18144" spans="9:14" x14ac:dyDescent="0.25">
      <c r="I18144" s="11" t="b">
        <f t="shared" si="868"/>
        <v>0</v>
      </c>
      <c r="M18144" s="17" t="str">
        <f t="shared" si="866"/>
        <v/>
      </c>
      <c r="N18144" s="11" t="str">
        <f t="shared" si="867"/>
        <v/>
      </c>
    </row>
    <row r="18145" spans="9:14" x14ac:dyDescent="0.25">
      <c r="I18145" s="11" t="b">
        <f t="shared" si="868"/>
        <v>0</v>
      </c>
      <c r="M18145" s="17" t="str">
        <f t="shared" si="866"/>
        <v/>
      </c>
      <c r="N18145" s="11" t="str">
        <f t="shared" si="867"/>
        <v/>
      </c>
    </row>
    <row r="18146" spans="9:14" x14ac:dyDescent="0.25">
      <c r="I18146" s="11" t="b">
        <f t="shared" si="868"/>
        <v>0</v>
      </c>
      <c r="M18146" s="17" t="str">
        <f t="shared" si="866"/>
        <v/>
      </c>
      <c r="N18146" s="11" t="str">
        <f t="shared" si="867"/>
        <v/>
      </c>
    </row>
    <row r="18147" spans="9:14" x14ac:dyDescent="0.25">
      <c r="I18147" s="11" t="b">
        <f t="shared" si="868"/>
        <v>0</v>
      </c>
      <c r="M18147" s="17" t="str">
        <f t="shared" si="866"/>
        <v/>
      </c>
      <c r="N18147" s="11" t="str">
        <f t="shared" si="867"/>
        <v/>
      </c>
    </row>
    <row r="18148" spans="9:14" x14ac:dyDescent="0.25">
      <c r="I18148" s="11" t="b">
        <f t="shared" si="868"/>
        <v>0</v>
      </c>
      <c r="M18148" s="17" t="str">
        <f t="shared" si="866"/>
        <v/>
      </c>
      <c r="N18148" s="11" t="str">
        <f t="shared" si="867"/>
        <v/>
      </c>
    </row>
    <row r="18149" spans="9:14" x14ac:dyDescent="0.25">
      <c r="I18149" s="11" t="b">
        <f t="shared" si="868"/>
        <v>0</v>
      </c>
      <c r="M18149" s="17" t="str">
        <f t="shared" si="866"/>
        <v/>
      </c>
      <c r="N18149" s="11" t="str">
        <f t="shared" si="867"/>
        <v/>
      </c>
    </row>
    <row r="18150" spans="9:14" x14ac:dyDescent="0.25">
      <c r="I18150" s="11" t="b">
        <f t="shared" si="868"/>
        <v>0</v>
      </c>
      <c r="M18150" s="17" t="str">
        <f t="shared" si="866"/>
        <v/>
      </c>
      <c r="N18150" s="11" t="str">
        <f t="shared" si="867"/>
        <v/>
      </c>
    </row>
    <row r="18151" spans="9:14" x14ac:dyDescent="0.25">
      <c r="I18151" s="11" t="b">
        <f t="shared" si="868"/>
        <v>0</v>
      </c>
      <c r="M18151" s="17" t="str">
        <f t="shared" si="866"/>
        <v/>
      </c>
      <c r="N18151" s="11" t="str">
        <f t="shared" si="867"/>
        <v/>
      </c>
    </row>
    <row r="18152" spans="9:14" x14ac:dyDescent="0.25">
      <c r="I18152" s="11" t="b">
        <f t="shared" si="868"/>
        <v>0</v>
      </c>
      <c r="M18152" s="17" t="str">
        <f t="shared" si="866"/>
        <v/>
      </c>
      <c r="N18152" s="11" t="str">
        <f t="shared" si="867"/>
        <v/>
      </c>
    </row>
    <row r="18153" spans="9:14" x14ac:dyDescent="0.25">
      <c r="I18153" s="11" t="b">
        <f t="shared" si="868"/>
        <v>0</v>
      </c>
      <c r="M18153" s="17" t="str">
        <f t="shared" si="866"/>
        <v/>
      </c>
      <c r="N18153" s="11" t="str">
        <f t="shared" si="867"/>
        <v/>
      </c>
    </row>
    <row r="18154" spans="9:14" x14ac:dyDescent="0.25">
      <c r="I18154" s="11" t="b">
        <f t="shared" si="868"/>
        <v>0</v>
      </c>
      <c r="M18154" s="17" t="str">
        <f t="shared" si="866"/>
        <v/>
      </c>
      <c r="N18154" s="11" t="str">
        <f t="shared" si="867"/>
        <v/>
      </c>
    </row>
    <row r="18155" spans="9:14" x14ac:dyDescent="0.25">
      <c r="I18155" s="11" t="b">
        <f t="shared" si="868"/>
        <v>0</v>
      </c>
      <c r="M18155" s="17" t="str">
        <f t="shared" si="866"/>
        <v/>
      </c>
      <c r="N18155" s="11" t="str">
        <f t="shared" si="867"/>
        <v/>
      </c>
    </row>
    <row r="18156" spans="9:14" x14ac:dyDescent="0.25">
      <c r="I18156" s="11" t="b">
        <f t="shared" si="868"/>
        <v>0</v>
      </c>
      <c r="M18156" s="17" t="str">
        <f t="shared" si="866"/>
        <v/>
      </c>
      <c r="N18156" s="11" t="str">
        <f t="shared" si="867"/>
        <v/>
      </c>
    </row>
    <row r="18157" spans="9:14" x14ac:dyDescent="0.25">
      <c r="I18157" s="11" t="b">
        <f t="shared" si="868"/>
        <v>0</v>
      </c>
      <c r="M18157" s="17" t="str">
        <f t="shared" si="866"/>
        <v/>
      </c>
      <c r="N18157" s="11" t="str">
        <f t="shared" si="867"/>
        <v/>
      </c>
    </row>
    <row r="18158" spans="9:14" x14ac:dyDescent="0.25">
      <c r="I18158" s="11" t="b">
        <f t="shared" si="868"/>
        <v>0</v>
      </c>
      <c r="M18158" s="17" t="str">
        <f t="shared" si="866"/>
        <v/>
      </c>
      <c r="N18158" s="11" t="str">
        <f t="shared" si="867"/>
        <v/>
      </c>
    </row>
    <row r="18159" spans="9:14" x14ac:dyDescent="0.25">
      <c r="I18159" s="11" t="b">
        <f t="shared" si="868"/>
        <v>0</v>
      </c>
      <c r="M18159" s="17" t="str">
        <f t="shared" si="866"/>
        <v/>
      </c>
      <c r="N18159" s="11" t="str">
        <f t="shared" si="867"/>
        <v/>
      </c>
    </row>
    <row r="18160" spans="9:14" x14ac:dyDescent="0.25">
      <c r="I18160" s="11" t="b">
        <f t="shared" si="868"/>
        <v>0</v>
      </c>
      <c r="M18160" s="17" t="str">
        <f t="shared" si="866"/>
        <v/>
      </c>
      <c r="N18160" s="11" t="str">
        <f t="shared" si="867"/>
        <v/>
      </c>
    </row>
    <row r="18161" spans="9:14" x14ac:dyDescent="0.25">
      <c r="I18161" s="11" t="b">
        <f t="shared" si="868"/>
        <v>0</v>
      </c>
      <c r="M18161" s="17" t="str">
        <f t="shared" si="866"/>
        <v/>
      </c>
      <c r="N18161" s="11" t="str">
        <f t="shared" si="867"/>
        <v/>
      </c>
    </row>
    <row r="18162" spans="9:14" x14ac:dyDescent="0.25">
      <c r="I18162" s="11" t="b">
        <f t="shared" si="868"/>
        <v>0</v>
      </c>
      <c r="M18162" s="17" t="str">
        <f t="shared" si="866"/>
        <v/>
      </c>
      <c r="N18162" s="11" t="str">
        <f t="shared" si="867"/>
        <v/>
      </c>
    </row>
    <row r="18163" spans="9:14" x14ac:dyDescent="0.25">
      <c r="I18163" s="11" t="b">
        <f t="shared" si="868"/>
        <v>0</v>
      </c>
      <c r="M18163" s="17" t="str">
        <f t="shared" si="866"/>
        <v/>
      </c>
      <c r="N18163" s="11" t="str">
        <f t="shared" si="867"/>
        <v/>
      </c>
    </row>
    <row r="18164" spans="9:14" x14ac:dyDescent="0.25">
      <c r="I18164" s="11" t="b">
        <f t="shared" si="868"/>
        <v>0</v>
      </c>
      <c r="M18164" s="17" t="str">
        <f t="shared" si="866"/>
        <v/>
      </c>
      <c r="N18164" s="11" t="str">
        <f t="shared" si="867"/>
        <v/>
      </c>
    </row>
    <row r="18165" spans="9:14" x14ac:dyDescent="0.25">
      <c r="I18165" s="11" t="b">
        <f t="shared" si="868"/>
        <v>0</v>
      </c>
      <c r="M18165" s="17" t="str">
        <f t="shared" si="866"/>
        <v/>
      </c>
      <c r="N18165" s="11" t="str">
        <f t="shared" si="867"/>
        <v/>
      </c>
    </row>
    <row r="18166" spans="9:14" x14ac:dyDescent="0.25">
      <c r="I18166" s="11" t="b">
        <f t="shared" si="868"/>
        <v>0</v>
      </c>
      <c r="M18166" s="17" t="str">
        <f t="shared" si="866"/>
        <v/>
      </c>
      <c r="N18166" s="11" t="str">
        <f t="shared" si="867"/>
        <v/>
      </c>
    </row>
    <row r="18167" spans="9:14" x14ac:dyDescent="0.25">
      <c r="I18167" s="11" t="b">
        <f t="shared" si="868"/>
        <v>0</v>
      </c>
      <c r="M18167" s="17" t="str">
        <f t="shared" si="866"/>
        <v/>
      </c>
      <c r="N18167" s="11" t="str">
        <f t="shared" si="867"/>
        <v/>
      </c>
    </row>
    <row r="18168" spans="9:14" x14ac:dyDescent="0.25">
      <c r="I18168" s="11" t="b">
        <f t="shared" si="868"/>
        <v>0</v>
      </c>
      <c r="M18168" s="17" t="str">
        <f t="shared" si="866"/>
        <v/>
      </c>
      <c r="N18168" s="11" t="str">
        <f t="shared" si="867"/>
        <v/>
      </c>
    </row>
    <row r="18169" spans="9:14" x14ac:dyDescent="0.25">
      <c r="I18169" s="11" t="b">
        <f t="shared" si="868"/>
        <v>0</v>
      </c>
      <c r="M18169" s="17" t="str">
        <f t="shared" si="866"/>
        <v/>
      </c>
      <c r="N18169" s="11" t="str">
        <f t="shared" si="867"/>
        <v/>
      </c>
    </row>
    <row r="18170" spans="9:14" x14ac:dyDescent="0.25">
      <c r="I18170" s="11" t="b">
        <f t="shared" si="868"/>
        <v>0</v>
      </c>
      <c r="M18170" s="17" t="str">
        <f t="shared" si="866"/>
        <v/>
      </c>
      <c r="N18170" s="11" t="str">
        <f t="shared" si="867"/>
        <v/>
      </c>
    </row>
    <row r="18171" spans="9:14" x14ac:dyDescent="0.25">
      <c r="I18171" s="11" t="b">
        <f t="shared" si="868"/>
        <v>0</v>
      </c>
      <c r="M18171" s="17" t="str">
        <f t="shared" si="866"/>
        <v/>
      </c>
      <c r="N18171" s="11" t="str">
        <f t="shared" si="867"/>
        <v/>
      </c>
    </row>
    <row r="18172" spans="9:14" x14ac:dyDescent="0.25">
      <c r="I18172" s="11" t="b">
        <f t="shared" si="868"/>
        <v>0</v>
      </c>
      <c r="M18172" s="17" t="str">
        <f t="shared" si="866"/>
        <v/>
      </c>
      <c r="N18172" s="11" t="str">
        <f t="shared" si="867"/>
        <v/>
      </c>
    </row>
    <row r="18173" spans="9:14" x14ac:dyDescent="0.25">
      <c r="I18173" s="11" t="b">
        <f t="shared" si="868"/>
        <v>0</v>
      </c>
      <c r="M18173" s="17" t="str">
        <f t="shared" si="866"/>
        <v/>
      </c>
      <c r="N18173" s="11" t="str">
        <f t="shared" si="867"/>
        <v/>
      </c>
    </row>
    <row r="18174" spans="9:14" x14ac:dyDescent="0.25">
      <c r="I18174" s="11" t="b">
        <f t="shared" si="868"/>
        <v>0</v>
      </c>
      <c r="M18174" s="17" t="str">
        <f t="shared" si="866"/>
        <v/>
      </c>
      <c r="N18174" s="11" t="str">
        <f t="shared" si="867"/>
        <v/>
      </c>
    </row>
    <row r="18175" spans="9:14" x14ac:dyDescent="0.25">
      <c r="I18175" s="11" t="b">
        <f t="shared" si="868"/>
        <v>0</v>
      </c>
      <c r="M18175" s="17" t="str">
        <f t="shared" si="866"/>
        <v/>
      </c>
      <c r="N18175" s="11" t="str">
        <f t="shared" si="867"/>
        <v/>
      </c>
    </row>
    <row r="18176" spans="9:14" x14ac:dyDescent="0.25">
      <c r="I18176" s="11" t="b">
        <f t="shared" si="868"/>
        <v>0</v>
      </c>
      <c r="M18176" s="17" t="str">
        <f t="shared" si="866"/>
        <v/>
      </c>
      <c r="N18176" s="11" t="str">
        <f t="shared" si="867"/>
        <v/>
      </c>
    </row>
    <row r="18177" spans="9:14" x14ac:dyDescent="0.25">
      <c r="I18177" s="11" t="b">
        <f t="shared" si="868"/>
        <v>0</v>
      </c>
      <c r="M18177" s="17" t="str">
        <f t="shared" ref="M18177:M18240" si="869">IF(B18177=0, "",M18176+ J18177-K18177)</f>
        <v/>
      </c>
      <c r="N18177" s="11" t="str">
        <f t="shared" ref="N18177:N18240" si="870">IF(B18177=0, "", MONTH(B18177))</f>
        <v/>
      </c>
    </row>
    <row r="18178" spans="9:14" x14ac:dyDescent="0.25">
      <c r="I18178" s="11" t="b">
        <f t="shared" si="868"/>
        <v>0</v>
      </c>
      <c r="M18178" s="17" t="str">
        <f t="shared" si="869"/>
        <v/>
      </c>
      <c r="N18178" s="11" t="str">
        <f t="shared" si="870"/>
        <v/>
      </c>
    </row>
    <row r="18179" spans="9:14" x14ac:dyDescent="0.25">
      <c r="I18179" s="11" t="b">
        <f t="shared" si="868"/>
        <v>0</v>
      </c>
      <c r="M18179" s="17" t="str">
        <f t="shared" si="869"/>
        <v/>
      </c>
      <c r="N18179" s="11" t="str">
        <f t="shared" si="870"/>
        <v/>
      </c>
    </row>
    <row r="18180" spans="9:14" x14ac:dyDescent="0.25">
      <c r="I18180" s="11" t="b">
        <f t="shared" si="868"/>
        <v>0</v>
      </c>
      <c r="M18180" s="17" t="str">
        <f t="shared" si="869"/>
        <v/>
      </c>
      <c r="N18180" s="11" t="str">
        <f t="shared" si="870"/>
        <v/>
      </c>
    </row>
    <row r="18181" spans="9:14" x14ac:dyDescent="0.25">
      <c r="I18181" s="11" t="b">
        <f t="shared" si="868"/>
        <v>0</v>
      </c>
      <c r="M18181" s="17" t="str">
        <f t="shared" si="869"/>
        <v/>
      </c>
      <c r="N18181" s="11" t="str">
        <f t="shared" si="870"/>
        <v/>
      </c>
    </row>
    <row r="18182" spans="9:14" x14ac:dyDescent="0.25">
      <c r="I18182" s="11" t="b">
        <f t="shared" si="868"/>
        <v>0</v>
      </c>
      <c r="M18182" s="17" t="str">
        <f t="shared" si="869"/>
        <v/>
      </c>
      <c r="N18182" s="11" t="str">
        <f t="shared" si="870"/>
        <v/>
      </c>
    </row>
    <row r="18183" spans="9:14" x14ac:dyDescent="0.25">
      <c r="I18183" s="11" t="b">
        <f t="shared" si="868"/>
        <v>0</v>
      </c>
      <c r="M18183" s="17" t="str">
        <f t="shared" si="869"/>
        <v/>
      </c>
      <c r="N18183" s="11" t="str">
        <f t="shared" si="870"/>
        <v/>
      </c>
    </row>
    <row r="18184" spans="9:14" x14ac:dyDescent="0.25">
      <c r="I18184" s="11" t="b">
        <f t="shared" si="868"/>
        <v>0</v>
      </c>
      <c r="M18184" s="17" t="str">
        <f t="shared" si="869"/>
        <v/>
      </c>
      <c r="N18184" s="11" t="str">
        <f t="shared" si="870"/>
        <v/>
      </c>
    </row>
    <row r="18185" spans="9:14" x14ac:dyDescent="0.25">
      <c r="I18185" s="11" t="b">
        <f t="shared" si="868"/>
        <v>0</v>
      </c>
      <c r="M18185" s="17" t="str">
        <f t="shared" si="869"/>
        <v/>
      </c>
      <c r="N18185" s="11" t="str">
        <f t="shared" si="870"/>
        <v/>
      </c>
    </row>
    <row r="18186" spans="9:14" x14ac:dyDescent="0.25">
      <c r="I18186" s="11" t="b">
        <f t="shared" si="868"/>
        <v>0</v>
      </c>
      <c r="M18186" s="17" t="str">
        <f t="shared" si="869"/>
        <v/>
      </c>
      <c r="N18186" s="11" t="str">
        <f t="shared" si="870"/>
        <v/>
      </c>
    </row>
    <row r="18187" spans="9:14" x14ac:dyDescent="0.25">
      <c r="I18187" s="11" t="b">
        <f t="shared" si="868"/>
        <v>0</v>
      </c>
      <c r="M18187" s="17" t="str">
        <f t="shared" si="869"/>
        <v/>
      </c>
      <c r="N18187" s="11" t="str">
        <f t="shared" si="870"/>
        <v/>
      </c>
    </row>
    <row r="18188" spans="9:14" x14ac:dyDescent="0.25">
      <c r="I18188" s="11" t="b">
        <f t="shared" si="868"/>
        <v>0</v>
      </c>
      <c r="M18188" s="17" t="str">
        <f t="shared" si="869"/>
        <v/>
      </c>
      <c r="N18188" s="11" t="str">
        <f t="shared" si="870"/>
        <v/>
      </c>
    </row>
    <row r="18189" spans="9:14" x14ac:dyDescent="0.25">
      <c r="I18189" s="11" t="b">
        <f t="shared" si="868"/>
        <v>0</v>
      </c>
      <c r="M18189" s="17" t="str">
        <f t="shared" si="869"/>
        <v/>
      </c>
      <c r="N18189" s="11" t="str">
        <f t="shared" si="870"/>
        <v/>
      </c>
    </row>
    <row r="18190" spans="9:14" x14ac:dyDescent="0.25">
      <c r="I18190" s="11" t="b">
        <f t="shared" si="868"/>
        <v>0</v>
      </c>
      <c r="M18190" s="17" t="str">
        <f t="shared" si="869"/>
        <v/>
      </c>
      <c r="N18190" s="11" t="str">
        <f t="shared" si="870"/>
        <v/>
      </c>
    </row>
    <row r="18191" spans="9:14" x14ac:dyDescent="0.25">
      <c r="I18191" s="11" t="b">
        <f t="shared" si="868"/>
        <v>0</v>
      </c>
      <c r="M18191" s="17" t="str">
        <f t="shared" si="869"/>
        <v/>
      </c>
      <c r="N18191" s="11" t="str">
        <f t="shared" si="870"/>
        <v/>
      </c>
    </row>
    <row r="18192" spans="9:14" x14ac:dyDescent="0.25">
      <c r="I18192" s="11" t="b">
        <f t="shared" si="868"/>
        <v>0</v>
      </c>
      <c r="M18192" s="17" t="str">
        <f t="shared" si="869"/>
        <v/>
      </c>
      <c r="N18192" s="11" t="str">
        <f t="shared" si="870"/>
        <v/>
      </c>
    </row>
    <row r="18193" spans="9:14" x14ac:dyDescent="0.25">
      <c r="I18193" s="11" t="b">
        <f t="shared" si="868"/>
        <v>0</v>
      </c>
      <c r="M18193" s="17" t="str">
        <f t="shared" si="869"/>
        <v/>
      </c>
      <c r="N18193" s="11" t="str">
        <f t="shared" si="870"/>
        <v/>
      </c>
    </row>
    <row r="18194" spans="9:14" x14ac:dyDescent="0.25">
      <c r="I18194" s="11" t="b">
        <f t="shared" si="868"/>
        <v>0</v>
      </c>
      <c r="M18194" s="17" t="str">
        <f t="shared" si="869"/>
        <v/>
      </c>
      <c r="N18194" s="11" t="str">
        <f t="shared" si="870"/>
        <v/>
      </c>
    </row>
    <row r="18195" spans="9:14" x14ac:dyDescent="0.25">
      <c r="I18195" s="11" t="b">
        <f t="shared" si="868"/>
        <v>0</v>
      </c>
      <c r="M18195" s="17" t="str">
        <f t="shared" si="869"/>
        <v/>
      </c>
      <c r="N18195" s="11" t="str">
        <f t="shared" si="870"/>
        <v/>
      </c>
    </row>
    <row r="18196" spans="9:14" x14ac:dyDescent="0.25">
      <c r="I18196" s="11" t="b">
        <f t="shared" si="868"/>
        <v>0</v>
      </c>
      <c r="M18196" s="17" t="str">
        <f t="shared" si="869"/>
        <v/>
      </c>
      <c r="N18196" s="11" t="str">
        <f t="shared" si="870"/>
        <v/>
      </c>
    </row>
    <row r="18197" spans="9:14" x14ac:dyDescent="0.25">
      <c r="I18197" s="11" t="b">
        <f t="shared" si="868"/>
        <v>0</v>
      </c>
      <c r="M18197" s="17" t="str">
        <f t="shared" si="869"/>
        <v/>
      </c>
      <c r="N18197" s="11" t="str">
        <f t="shared" si="870"/>
        <v/>
      </c>
    </row>
    <row r="18198" spans="9:14" x14ac:dyDescent="0.25">
      <c r="I18198" s="11" t="b">
        <f t="shared" si="868"/>
        <v>0</v>
      </c>
      <c r="M18198" s="17" t="str">
        <f t="shared" si="869"/>
        <v/>
      </c>
      <c r="N18198" s="11" t="str">
        <f t="shared" si="870"/>
        <v/>
      </c>
    </row>
    <row r="18199" spans="9:14" x14ac:dyDescent="0.25">
      <c r="I18199" s="11" t="b">
        <f t="shared" si="868"/>
        <v>0</v>
      </c>
      <c r="M18199" s="17" t="str">
        <f t="shared" si="869"/>
        <v/>
      </c>
      <c r="N18199" s="11" t="str">
        <f t="shared" si="870"/>
        <v/>
      </c>
    </row>
    <row r="18200" spans="9:14" x14ac:dyDescent="0.25">
      <c r="I18200" s="11" t="b">
        <f t="shared" si="868"/>
        <v>0</v>
      </c>
      <c r="M18200" s="17" t="str">
        <f t="shared" si="869"/>
        <v/>
      </c>
      <c r="N18200" s="11" t="str">
        <f t="shared" si="870"/>
        <v/>
      </c>
    </row>
    <row r="18201" spans="9:14" x14ac:dyDescent="0.25">
      <c r="I18201" s="11" t="b">
        <f t="shared" si="868"/>
        <v>0</v>
      </c>
      <c r="M18201" s="17" t="str">
        <f t="shared" si="869"/>
        <v/>
      </c>
      <c r="N18201" s="11" t="str">
        <f t="shared" si="870"/>
        <v/>
      </c>
    </row>
    <row r="18202" spans="9:14" x14ac:dyDescent="0.25">
      <c r="I18202" s="11" t="b">
        <f t="shared" si="868"/>
        <v>0</v>
      </c>
      <c r="M18202" s="17" t="str">
        <f t="shared" si="869"/>
        <v/>
      </c>
      <c r="N18202" s="11" t="str">
        <f t="shared" si="870"/>
        <v/>
      </c>
    </row>
    <row r="18203" spans="9:14" x14ac:dyDescent="0.25">
      <c r="I18203" s="11" t="b">
        <f t="shared" si="868"/>
        <v>0</v>
      </c>
      <c r="M18203" s="17" t="str">
        <f t="shared" si="869"/>
        <v/>
      </c>
      <c r="N18203" s="11" t="str">
        <f t="shared" si="870"/>
        <v/>
      </c>
    </row>
    <row r="18204" spans="9:14" x14ac:dyDescent="0.25">
      <c r="I18204" s="11" t="b">
        <f t="shared" si="868"/>
        <v>0</v>
      </c>
      <c r="M18204" s="17" t="str">
        <f t="shared" si="869"/>
        <v/>
      </c>
      <c r="N18204" s="11" t="str">
        <f t="shared" si="870"/>
        <v/>
      </c>
    </row>
    <row r="18205" spans="9:14" x14ac:dyDescent="0.25">
      <c r="I18205" s="11" t="b">
        <f t="shared" ref="I18205:I18268" si="871">IF(AND(G18205="MERCADO PAGO",A18205="FATURAMENTO"),1,IF(AND(OR(G18205="MERCADO PAGO",G18205="pix mercado pago",G18205= "débito automático mercado pago", G18205= "boleto mercado pago"),A18205="DESPESAS"),4,IF(AND(G18205="SAFRA",A18205="FATURAMENTO"),2,IF(AND(OR(G18205="SAFRA",G18205="PIX SAFRA", G18205="DÉBITO AUTOMÁTICO SAFRA", G18205= "BOLETO SAFRA", G18205= "transferência safra"), A18205="DESPESAS"),5,IF(AND(G18205="espécie",A18205="FATURAMENTO"),3,IF(AND(G18205="espécie",A18205="DESPESAS"),6))))))</f>
        <v>0</v>
      </c>
      <c r="M18205" s="17" t="str">
        <f t="shared" si="869"/>
        <v/>
      </c>
      <c r="N18205" s="11" t="str">
        <f t="shared" si="870"/>
        <v/>
      </c>
    </row>
    <row r="18206" spans="9:14" x14ac:dyDescent="0.25">
      <c r="I18206" s="11" t="b">
        <f t="shared" si="871"/>
        <v>0</v>
      </c>
      <c r="M18206" s="17" t="str">
        <f t="shared" si="869"/>
        <v/>
      </c>
      <c r="N18206" s="11" t="str">
        <f t="shared" si="870"/>
        <v/>
      </c>
    </row>
    <row r="18207" spans="9:14" x14ac:dyDescent="0.25">
      <c r="I18207" s="11" t="b">
        <f t="shared" si="871"/>
        <v>0</v>
      </c>
      <c r="M18207" s="17" t="str">
        <f t="shared" si="869"/>
        <v/>
      </c>
      <c r="N18207" s="11" t="str">
        <f t="shared" si="870"/>
        <v/>
      </c>
    </row>
    <row r="18208" spans="9:14" x14ac:dyDescent="0.25">
      <c r="I18208" s="11" t="b">
        <f t="shared" si="871"/>
        <v>0</v>
      </c>
      <c r="M18208" s="17" t="str">
        <f t="shared" si="869"/>
        <v/>
      </c>
      <c r="N18208" s="11" t="str">
        <f t="shared" si="870"/>
        <v/>
      </c>
    </row>
    <row r="18209" spans="9:14" x14ac:dyDescent="0.25">
      <c r="I18209" s="11" t="b">
        <f t="shared" si="871"/>
        <v>0</v>
      </c>
      <c r="M18209" s="17" t="str">
        <f t="shared" si="869"/>
        <v/>
      </c>
      <c r="N18209" s="11" t="str">
        <f t="shared" si="870"/>
        <v/>
      </c>
    </row>
    <row r="18210" spans="9:14" x14ac:dyDescent="0.25">
      <c r="I18210" s="11" t="b">
        <f t="shared" si="871"/>
        <v>0</v>
      </c>
      <c r="M18210" s="17" t="str">
        <f t="shared" si="869"/>
        <v/>
      </c>
      <c r="N18210" s="11" t="str">
        <f t="shared" si="870"/>
        <v/>
      </c>
    </row>
    <row r="18211" spans="9:14" x14ac:dyDescent="0.25">
      <c r="I18211" s="11" t="b">
        <f t="shared" si="871"/>
        <v>0</v>
      </c>
      <c r="M18211" s="17" t="str">
        <f t="shared" si="869"/>
        <v/>
      </c>
      <c r="N18211" s="11" t="str">
        <f t="shared" si="870"/>
        <v/>
      </c>
    </row>
    <row r="18212" spans="9:14" x14ac:dyDescent="0.25">
      <c r="I18212" s="11" t="b">
        <f t="shared" si="871"/>
        <v>0</v>
      </c>
      <c r="M18212" s="17" t="str">
        <f t="shared" si="869"/>
        <v/>
      </c>
      <c r="N18212" s="11" t="str">
        <f t="shared" si="870"/>
        <v/>
      </c>
    </row>
    <row r="18213" spans="9:14" x14ac:dyDescent="0.25">
      <c r="I18213" s="11" t="b">
        <f t="shared" si="871"/>
        <v>0</v>
      </c>
      <c r="M18213" s="17" t="str">
        <f t="shared" si="869"/>
        <v/>
      </c>
      <c r="N18213" s="11" t="str">
        <f t="shared" si="870"/>
        <v/>
      </c>
    </row>
    <row r="18214" spans="9:14" x14ac:dyDescent="0.25">
      <c r="I18214" s="11" t="b">
        <f t="shared" si="871"/>
        <v>0</v>
      </c>
      <c r="M18214" s="17" t="str">
        <f t="shared" si="869"/>
        <v/>
      </c>
      <c r="N18214" s="11" t="str">
        <f t="shared" si="870"/>
        <v/>
      </c>
    </row>
    <row r="18215" spans="9:14" x14ac:dyDescent="0.25">
      <c r="I18215" s="11" t="b">
        <f t="shared" si="871"/>
        <v>0</v>
      </c>
      <c r="M18215" s="17" t="str">
        <f t="shared" si="869"/>
        <v/>
      </c>
      <c r="N18215" s="11" t="str">
        <f t="shared" si="870"/>
        <v/>
      </c>
    </row>
    <row r="18216" spans="9:14" x14ac:dyDescent="0.25">
      <c r="I18216" s="11" t="b">
        <f t="shared" si="871"/>
        <v>0</v>
      </c>
      <c r="M18216" s="17" t="str">
        <f t="shared" si="869"/>
        <v/>
      </c>
      <c r="N18216" s="11" t="str">
        <f t="shared" si="870"/>
        <v/>
      </c>
    </row>
    <row r="18217" spans="9:14" x14ac:dyDescent="0.25">
      <c r="I18217" s="11" t="b">
        <f t="shared" si="871"/>
        <v>0</v>
      </c>
      <c r="M18217" s="17" t="str">
        <f t="shared" si="869"/>
        <v/>
      </c>
      <c r="N18217" s="11" t="str">
        <f t="shared" si="870"/>
        <v/>
      </c>
    </row>
    <row r="18218" spans="9:14" x14ac:dyDescent="0.25">
      <c r="I18218" s="11" t="b">
        <f t="shared" si="871"/>
        <v>0</v>
      </c>
      <c r="M18218" s="17" t="str">
        <f t="shared" si="869"/>
        <v/>
      </c>
      <c r="N18218" s="11" t="str">
        <f t="shared" si="870"/>
        <v/>
      </c>
    </row>
    <row r="18219" spans="9:14" x14ac:dyDescent="0.25">
      <c r="I18219" s="11" t="b">
        <f t="shared" si="871"/>
        <v>0</v>
      </c>
      <c r="M18219" s="17" t="str">
        <f t="shared" si="869"/>
        <v/>
      </c>
      <c r="N18219" s="11" t="str">
        <f t="shared" si="870"/>
        <v/>
      </c>
    </row>
    <row r="18220" spans="9:14" x14ac:dyDescent="0.25">
      <c r="I18220" s="11" t="b">
        <f t="shared" si="871"/>
        <v>0</v>
      </c>
      <c r="M18220" s="17" t="str">
        <f t="shared" si="869"/>
        <v/>
      </c>
      <c r="N18220" s="11" t="str">
        <f t="shared" si="870"/>
        <v/>
      </c>
    </row>
    <row r="18221" spans="9:14" x14ac:dyDescent="0.25">
      <c r="I18221" s="11" t="b">
        <f t="shared" si="871"/>
        <v>0</v>
      </c>
      <c r="M18221" s="17" t="str">
        <f t="shared" si="869"/>
        <v/>
      </c>
      <c r="N18221" s="11" t="str">
        <f t="shared" si="870"/>
        <v/>
      </c>
    </row>
    <row r="18222" spans="9:14" x14ac:dyDescent="0.25">
      <c r="I18222" s="11" t="b">
        <f t="shared" si="871"/>
        <v>0</v>
      </c>
      <c r="M18222" s="17" t="str">
        <f t="shared" si="869"/>
        <v/>
      </c>
      <c r="N18222" s="11" t="str">
        <f t="shared" si="870"/>
        <v/>
      </c>
    </row>
    <row r="18223" spans="9:14" x14ac:dyDescent="0.25">
      <c r="I18223" s="11" t="b">
        <f t="shared" si="871"/>
        <v>0</v>
      </c>
      <c r="M18223" s="17" t="str">
        <f t="shared" si="869"/>
        <v/>
      </c>
      <c r="N18223" s="11" t="str">
        <f t="shared" si="870"/>
        <v/>
      </c>
    </row>
    <row r="18224" spans="9:14" x14ac:dyDescent="0.25">
      <c r="I18224" s="11" t="b">
        <f t="shared" si="871"/>
        <v>0</v>
      </c>
      <c r="M18224" s="17" t="str">
        <f t="shared" si="869"/>
        <v/>
      </c>
      <c r="N18224" s="11" t="str">
        <f t="shared" si="870"/>
        <v/>
      </c>
    </row>
    <row r="18225" spans="9:14" x14ac:dyDescent="0.25">
      <c r="I18225" s="11" t="b">
        <f t="shared" si="871"/>
        <v>0</v>
      </c>
      <c r="M18225" s="17" t="str">
        <f t="shared" si="869"/>
        <v/>
      </c>
      <c r="N18225" s="11" t="str">
        <f t="shared" si="870"/>
        <v/>
      </c>
    </row>
    <row r="18226" spans="9:14" x14ac:dyDescent="0.25">
      <c r="I18226" s="11" t="b">
        <f t="shared" si="871"/>
        <v>0</v>
      </c>
      <c r="M18226" s="17" t="str">
        <f t="shared" si="869"/>
        <v/>
      </c>
      <c r="N18226" s="11" t="str">
        <f t="shared" si="870"/>
        <v/>
      </c>
    </row>
    <row r="18227" spans="9:14" x14ac:dyDescent="0.25">
      <c r="I18227" s="11" t="b">
        <f t="shared" si="871"/>
        <v>0</v>
      </c>
      <c r="M18227" s="17" t="str">
        <f t="shared" si="869"/>
        <v/>
      </c>
      <c r="N18227" s="11" t="str">
        <f t="shared" si="870"/>
        <v/>
      </c>
    </row>
    <row r="18228" spans="9:14" x14ac:dyDescent="0.25">
      <c r="I18228" s="11" t="b">
        <f t="shared" si="871"/>
        <v>0</v>
      </c>
      <c r="M18228" s="17" t="str">
        <f t="shared" si="869"/>
        <v/>
      </c>
      <c r="N18228" s="11" t="str">
        <f t="shared" si="870"/>
        <v/>
      </c>
    </row>
    <row r="18229" spans="9:14" x14ac:dyDescent="0.25">
      <c r="I18229" s="11" t="b">
        <f t="shared" si="871"/>
        <v>0</v>
      </c>
      <c r="M18229" s="17" t="str">
        <f t="shared" si="869"/>
        <v/>
      </c>
      <c r="N18229" s="11" t="str">
        <f t="shared" si="870"/>
        <v/>
      </c>
    </row>
    <row r="18230" spans="9:14" x14ac:dyDescent="0.25">
      <c r="I18230" s="11" t="b">
        <f t="shared" si="871"/>
        <v>0</v>
      </c>
      <c r="M18230" s="17" t="str">
        <f t="shared" si="869"/>
        <v/>
      </c>
      <c r="N18230" s="11" t="str">
        <f t="shared" si="870"/>
        <v/>
      </c>
    </row>
    <row r="18231" spans="9:14" x14ac:dyDescent="0.25">
      <c r="I18231" s="11" t="b">
        <f t="shared" si="871"/>
        <v>0</v>
      </c>
      <c r="M18231" s="17" t="str">
        <f t="shared" si="869"/>
        <v/>
      </c>
      <c r="N18231" s="11" t="str">
        <f t="shared" si="870"/>
        <v/>
      </c>
    </row>
    <row r="18232" spans="9:14" x14ac:dyDescent="0.25">
      <c r="I18232" s="11" t="b">
        <f t="shared" si="871"/>
        <v>0</v>
      </c>
      <c r="M18232" s="17" t="str">
        <f t="shared" si="869"/>
        <v/>
      </c>
      <c r="N18232" s="11" t="str">
        <f t="shared" si="870"/>
        <v/>
      </c>
    </row>
    <row r="18233" spans="9:14" x14ac:dyDescent="0.25">
      <c r="I18233" s="11" t="b">
        <f t="shared" si="871"/>
        <v>0</v>
      </c>
      <c r="M18233" s="17" t="str">
        <f t="shared" si="869"/>
        <v/>
      </c>
      <c r="N18233" s="11" t="str">
        <f t="shared" si="870"/>
        <v/>
      </c>
    </row>
    <row r="18234" spans="9:14" x14ac:dyDescent="0.25">
      <c r="I18234" s="11" t="b">
        <f t="shared" si="871"/>
        <v>0</v>
      </c>
      <c r="M18234" s="17" t="str">
        <f t="shared" si="869"/>
        <v/>
      </c>
      <c r="N18234" s="11" t="str">
        <f t="shared" si="870"/>
        <v/>
      </c>
    </row>
    <row r="18235" spans="9:14" x14ac:dyDescent="0.25">
      <c r="I18235" s="11" t="b">
        <f t="shared" si="871"/>
        <v>0</v>
      </c>
      <c r="M18235" s="17" t="str">
        <f t="shared" si="869"/>
        <v/>
      </c>
      <c r="N18235" s="11" t="str">
        <f t="shared" si="870"/>
        <v/>
      </c>
    </row>
    <row r="18236" spans="9:14" x14ac:dyDescent="0.25">
      <c r="I18236" s="11" t="b">
        <f t="shared" si="871"/>
        <v>0</v>
      </c>
      <c r="M18236" s="17" t="str">
        <f t="shared" si="869"/>
        <v/>
      </c>
      <c r="N18236" s="11" t="str">
        <f t="shared" si="870"/>
        <v/>
      </c>
    </row>
    <row r="18237" spans="9:14" x14ac:dyDescent="0.25">
      <c r="I18237" s="11" t="b">
        <f t="shared" si="871"/>
        <v>0</v>
      </c>
      <c r="M18237" s="17" t="str">
        <f t="shared" si="869"/>
        <v/>
      </c>
      <c r="N18237" s="11" t="str">
        <f t="shared" si="870"/>
        <v/>
      </c>
    </row>
    <row r="18238" spans="9:14" x14ac:dyDescent="0.25">
      <c r="I18238" s="11" t="b">
        <f t="shared" si="871"/>
        <v>0</v>
      </c>
      <c r="M18238" s="17" t="str">
        <f t="shared" si="869"/>
        <v/>
      </c>
      <c r="N18238" s="11" t="str">
        <f t="shared" si="870"/>
        <v/>
      </c>
    </row>
    <row r="18239" spans="9:14" x14ac:dyDescent="0.25">
      <c r="I18239" s="11" t="b">
        <f t="shared" si="871"/>
        <v>0</v>
      </c>
      <c r="M18239" s="17" t="str">
        <f t="shared" si="869"/>
        <v/>
      </c>
      <c r="N18239" s="11" t="str">
        <f t="shared" si="870"/>
        <v/>
      </c>
    </row>
    <row r="18240" spans="9:14" x14ac:dyDescent="0.25">
      <c r="I18240" s="11" t="b">
        <f t="shared" si="871"/>
        <v>0</v>
      </c>
      <c r="M18240" s="17" t="str">
        <f t="shared" si="869"/>
        <v/>
      </c>
      <c r="N18240" s="11" t="str">
        <f t="shared" si="870"/>
        <v/>
      </c>
    </row>
    <row r="18241" spans="9:14" x14ac:dyDescent="0.25">
      <c r="I18241" s="11" t="b">
        <f t="shared" si="871"/>
        <v>0</v>
      </c>
      <c r="M18241" s="17" t="str">
        <f t="shared" ref="M18241:M18304" si="872">IF(B18241=0, "",M18240+ J18241-K18241)</f>
        <v/>
      </c>
      <c r="N18241" s="11" t="str">
        <f t="shared" ref="N18241:N18304" si="873">IF(B18241=0, "", MONTH(B18241))</f>
        <v/>
      </c>
    </row>
    <row r="18242" spans="9:14" x14ac:dyDescent="0.25">
      <c r="I18242" s="11" t="b">
        <f t="shared" si="871"/>
        <v>0</v>
      </c>
      <c r="M18242" s="17" t="str">
        <f t="shared" si="872"/>
        <v/>
      </c>
      <c r="N18242" s="11" t="str">
        <f t="shared" si="873"/>
        <v/>
      </c>
    </row>
    <row r="18243" spans="9:14" x14ac:dyDescent="0.25">
      <c r="I18243" s="11" t="b">
        <f t="shared" si="871"/>
        <v>0</v>
      </c>
      <c r="M18243" s="17" t="str">
        <f t="shared" si="872"/>
        <v/>
      </c>
      <c r="N18243" s="11" t="str">
        <f t="shared" si="873"/>
        <v/>
      </c>
    </row>
    <row r="18244" spans="9:14" x14ac:dyDescent="0.25">
      <c r="I18244" s="11" t="b">
        <f t="shared" si="871"/>
        <v>0</v>
      </c>
      <c r="M18244" s="17" t="str">
        <f t="shared" si="872"/>
        <v/>
      </c>
      <c r="N18244" s="11" t="str">
        <f t="shared" si="873"/>
        <v/>
      </c>
    </row>
    <row r="18245" spans="9:14" x14ac:dyDescent="0.25">
      <c r="I18245" s="11" t="b">
        <f t="shared" si="871"/>
        <v>0</v>
      </c>
      <c r="M18245" s="17" t="str">
        <f t="shared" si="872"/>
        <v/>
      </c>
      <c r="N18245" s="11" t="str">
        <f t="shared" si="873"/>
        <v/>
      </c>
    </row>
    <row r="18246" spans="9:14" x14ac:dyDescent="0.25">
      <c r="I18246" s="11" t="b">
        <f t="shared" si="871"/>
        <v>0</v>
      </c>
      <c r="M18246" s="17" t="str">
        <f t="shared" si="872"/>
        <v/>
      </c>
      <c r="N18246" s="11" t="str">
        <f t="shared" si="873"/>
        <v/>
      </c>
    </row>
    <row r="18247" spans="9:14" x14ac:dyDescent="0.25">
      <c r="I18247" s="11" t="b">
        <f t="shared" si="871"/>
        <v>0</v>
      </c>
      <c r="M18247" s="17" t="str">
        <f t="shared" si="872"/>
        <v/>
      </c>
      <c r="N18247" s="11" t="str">
        <f t="shared" si="873"/>
        <v/>
      </c>
    </row>
    <row r="18248" spans="9:14" x14ac:dyDescent="0.25">
      <c r="I18248" s="11" t="b">
        <f t="shared" si="871"/>
        <v>0</v>
      </c>
      <c r="M18248" s="17" t="str">
        <f t="shared" si="872"/>
        <v/>
      </c>
      <c r="N18248" s="11" t="str">
        <f t="shared" si="873"/>
        <v/>
      </c>
    </row>
    <row r="18249" spans="9:14" x14ac:dyDescent="0.25">
      <c r="I18249" s="11" t="b">
        <f t="shared" si="871"/>
        <v>0</v>
      </c>
      <c r="M18249" s="17" t="str">
        <f t="shared" si="872"/>
        <v/>
      </c>
      <c r="N18249" s="11" t="str">
        <f t="shared" si="873"/>
        <v/>
      </c>
    </row>
    <row r="18250" spans="9:14" x14ac:dyDescent="0.25">
      <c r="I18250" s="11" t="b">
        <f t="shared" si="871"/>
        <v>0</v>
      </c>
      <c r="M18250" s="17" t="str">
        <f t="shared" si="872"/>
        <v/>
      </c>
      <c r="N18250" s="11" t="str">
        <f t="shared" si="873"/>
        <v/>
      </c>
    </row>
    <row r="18251" spans="9:14" x14ac:dyDescent="0.25">
      <c r="I18251" s="11" t="b">
        <f t="shared" si="871"/>
        <v>0</v>
      </c>
      <c r="M18251" s="17" t="str">
        <f t="shared" si="872"/>
        <v/>
      </c>
      <c r="N18251" s="11" t="str">
        <f t="shared" si="873"/>
        <v/>
      </c>
    </row>
    <row r="18252" spans="9:14" x14ac:dyDescent="0.25">
      <c r="I18252" s="11" t="b">
        <f t="shared" si="871"/>
        <v>0</v>
      </c>
      <c r="M18252" s="17" t="str">
        <f t="shared" si="872"/>
        <v/>
      </c>
      <c r="N18252" s="11" t="str">
        <f t="shared" si="873"/>
        <v/>
      </c>
    </row>
    <row r="18253" spans="9:14" x14ac:dyDescent="0.25">
      <c r="I18253" s="11" t="b">
        <f t="shared" si="871"/>
        <v>0</v>
      </c>
      <c r="M18253" s="17" t="str">
        <f t="shared" si="872"/>
        <v/>
      </c>
      <c r="N18253" s="11" t="str">
        <f t="shared" si="873"/>
        <v/>
      </c>
    </row>
    <row r="18254" spans="9:14" x14ac:dyDescent="0.25">
      <c r="I18254" s="11" t="b">
        <f t="shared" si="871"/>
        <v>0</v>
      </c>
      <c r="M18254" s="17" t="str">
        <f t="shared" si="872"/>
        <v/>
      </c>
      <c r="N18254" s="11" t="str">
        <f t="shared" si="873"/>
        <v/>
      </c>
    </row>
    <row r="18255" spans="9:14" x14ac:dyDescent="0.25">
      <c r="I18255" s="11" t="b">
        <f t="shared" si="871"/>
        <v>0</v>
      </c>
      <c r="M18255" s="17" t="str">
        <f t="shared" si="872"/>
        <v/>
      </c>
      <c r="N18255" s="11" t="str">
        <f t="shared" si="873"/>
        <v/>
      </c>
    </row>
    <row r="18256" spans="9:14" x14ac:dyDescent="0.25">
      <c r="I18256" s="11" t="b">
        <f t="shared" si="871"/>
        <v>0</v>
      </c>
      <c r="M18256" s="17" t="str">
        <f t="shared" si="872"/>
        <v/>
      </c>
      <c r="N18256" s="11" t="str">
        <f t="shared" si="873"/>
        <v/>
      </c>
    </row>
    <row r="18257" spans="9:14" x14ac:dyDescent="0.25">
      <c r="I18257" s="11" t="b">
        <f t="shared" si="871"/>
        <v>0</v>
      </c>
      <c r="M18257" s="17" t="str">
        <f t="shared" si="872"/>
        <v/>
      </c>
      <c r="N18257" s="11" t="str">
        <f t="shared" si="873"/>
        <v/>
      </c>
    </row>
    <row r="18258" spans="9:14" x14ac:dyDescent="0.25">
      <c r="I18258" s="11" t="b">
        <f t="shared" si="871"/>
        <v>0</v>
      </c>
      <c r="M18258" s="17" t="str">
        <f t="shared" si="872"/>
        <v/>
      </c>
      <c r="N18258" s="11" t="str">
        <f t="shared" si="873"/>
        <v/>
      </c>
    </row>
    <row r="18259" spans="9:14" x14ac:dyDescent="0.25">
      <c r="I18259" s="11" t="b">
        <f t="shared" si="871"/>
        <v>0</v>
      </c>
      <c r="M18259" s="17" t="str">
        <f t="shared" si="872"/>
        <v/>
      </c>
      <c r="N18259" s="11" t="str">
        <f t="shared" si="873"/>
        <v/>
      </c>
    </row>
    <row r="18260" spans="9:14" x14ac:dyDescent="0.25">
      <c r="I18260" s="11" t="b">
        <f t="shared" si="871"/>
        <v>0</v>
      </c>
      <c r="M18260" s="17" t="str">
        <f t="shared" si="872"/>
        <v/>
      </c>
      <c r="N18260" s="11" t="str">
        <f t="shared" si="873"/>
        <v/>
      </c>
    </row>
    <row r="18261" spans="9:14" x14ac:dyDescent="0.25">
      <c r="I18261" s="11" t="b">
        <f t="shared" si="871"/>
        <v>0</v>
      </c>
      <c r="M18261" s="17" t="str">
        <f t="shared" si="872"/>
        <v/>
      </c>
      <c r="N18261" s="11" t="str">
        <f t="shared" si="873"/>
        <v/>
      </c>
    </row>
    <row r="18262" spans="9:14" x14ac:dyDescent="0.25">
      <c r="I18262" s="11" t="b">
        <f t="shared" si="871"/>
        <v>0</v>
      </c>
      <c r="M18262" s="17" t="str">
        <f t="shared" si="872"/>
        <v/>
      </c>
      <c r="N18262" s="11" t="str">
        <f t="shared" si="873"/>
        <v/>
      </c>
    </row>
    <row r="18263" spans="9:14" x14ac:dyDescent="0.25">
      <c r="I18263" s="11" t="b">
        <f t="shared" si="871"/>
        <v>0</v>
      </c>
      <c r="M18263" s="17" t="str">
        <f t="shared" si="872"/>
        <v/>
      </c>
      <c r="N18263" s="11" t="str">
        <f t="shared" si="873"/>
        <v/>
      </c>
    </row>
    <row r="18264" spans="9:14" x14ac:dyDescent="0.25">
      <c r="I18264" s="11" t="b">
        <f t="shared" si="871"/>
        <v>0</v>
      </c>
      <c r="M18264" s="17" t="str">
        <f t="shared" si="872"/>
        <v/>
      </c>
      <c r="N18264" s="11" t="str">
        <f t="shared" si="873"/>
        <v/>
      </c>
    </row>
    <row r="18265" spans="9:14" x14ac:dyDescent="0.25">
      <c r="I18265" s="11" t="b">
        <f t="shared" si="871"/>
        <v>0</v>
      </c>
      <c r="M18265" s="17" t="str">
        <f t="shared" si="872"/>
        <v/>
      </c>
      <c r="N18265" s="11" t="str">
        <f t="shared" si="873"/>
        <v/>
      </c>
    </row>
    <row r="18266" spans="9:14" x14ac:dyDescent="0.25">
      <c r="I18266" s="11" t="b">
        <f t="shared" si="871"/>
        <v>0</v>
      </c>
      <c r="M18266" s="17" t="str">
        <f t="shared" si="872"/>
        <v/>
      </c>
      <c r="N18266" s="11" t="str">
        <f t="shared" si="873"/>
        <v/>
      </c>
    </row>
    <row r="18267" spans="9:14" x14ac:dyDescent="0.25">
      <c r="I18267" s="11" t="b">
        <f t="shared" si="871"/>
        <v>0</v>
      </c>
      <c r="M18267" s="17" t="str">
        <f t="shared" si="872"/>
        <v/>
      </c>
      <c r="N18267" s="11" t="str">
        <f t="shared" si="873"/>
        <v/>
      </c>
    </row>
    <row r="18268" spans="9:14" x14ac:dyDescent="0.25">
      <c r="I18268" s="11" t="b">
        <f t="shared" si="871"/>
        <v>0</v>
      </c>
      <c r="M18268" s="17" t="str">
        <f t="shared" si="872"/>
        <v/>
      </c>
      <c r="N18268" s="11" t="str">
        <f t="shared" si="873"/>
        <v/>
      </c>
    </row>
    <row r="18269" spans="9:14" x14ac:dyDescent="0.25">
      <c r="I18269" s="11" t="b">
        <f t="shared" ref="I18269:I18332" si="874">IF(AND(G18269="MERCADO PAGO",A18269="FATURAMENTO"),1,IF(AND(OR(G18269="MERCADO PAGO",G18269="pix mercado pago",G18269= "débito automático mercado pago", G18269= "boleto mercado pago"),A18269="DESPESAS"),4,IF(AND(G18269="SAFRA",A18269="FATURAMENTO"),2,IF(AND(OR(G18269="SAFRA",G18269="PIX SAFRA", G18269="DÉBITO AUTOMÁTICO SAFRA", G18269= "BOLETO SAFRA", G18269= "transferência safra"), A18269="DESPESAS"),5,IF(AND(G18269="espécie",A18269="FATURAMENTO"),3,IF(AND(G18269="espécie",A18269="DESPESAS"),6))))))</f>
        <v>0</v>
      </c>
      <c r="M18269" s="17" t="str">
        <f t="shared" si="872"/>
        <v/>
      </c>
      <c r="N18269" s="11" t="str">
        <f t="shared" si="873"/>
        <v/>
      </c>
    </row>
    <row r="18270" spans="9:14" x14ac:dyDescent="0.25">
      <c r="I18270" s="11" t="b">
        <f t="shared" si="874"/>
        <v>0</v>
      </c>
      <c r="M18270" s="17" t="str">
        <f t="shared" si="872"/>
        <v/>
      </c>
      <c r="N18270" s="11" t="str">
        <f t="shared" si="873"/>
        <v/>
      </c>
    </row>
    <row r="18271" spans="9:14" x14ac:dyDescent="0.25">
      <c r="I18271" s="11" t="b">
        <f t="shared" si="874"/>
        <v>0</v>
      </c>
      <c r="M18271" s="17" t="str">
        <f t="shared" si="872"/>
        <v/>
      </c>
      <c r="N18271" s="11" t="str">
        <f t="shared" si="873"/>
        <v/>
      </c>
    </row>
    <row r="18272" spans="9:14" x14ac:dyDescent="0.25">
      <c r="I18272" s="11" t="b">
        <f t="shared" si="874"/>
        <v>0</v>
      </c>
      <c r="M18272" s="17" t="str">
        <f t="shared" si="872"/>
        <v/>
      </c>
      <c r="N18272" s="11" t="str">
        <f t="shared" si="873"/>
        <v/>
      </c>
    </row>
    <row r="18273" spans="9:14" x14ac:dyDescent="0.25">
      <c r="I18273" s="11" t="b">
        <f t="shared" si="874"/>
        <v>0</v>
      </c>
      <c r="M18273" s="17" t="str">
        <f t="shared" si="872"/>
        <v/>
      </c>
      <c r="N18273" s="11" t="str">
        <f t="shared" si="873"/>
        <v/>
      </c>
    </row>
    <row r="18274" spans="9:14" x14ac:dyDescent="0.25">
      <c r="I18274" s="11" t="b">
        <f t="shared" si="874"/>
        <v>0</v>
      </c>
      <c r="M18274" s="17" t="str">
        <f t="shared" si="872"/>
        <v/>
      </c>
      <c r="N18274" s="11" t="str">
        <f t="shared" si="873"/>
        <v/>
      </c>
    </row>
    <row r="18275" spans="9:14" x14ac:dyDescent="0.25">
      <c r="I18275" s="11" t="b">
        <f t="shared" si="874"/>
        <v>0</v>
      </c>
      <c r="M18275" s="17" t="str">
        <f t="shared" si="872"/>
        <v/>
      </c>
      <c r="N18275" s="11" t="str">
        <f t="shared" si="873"/>
        <v/>
      </c>
    </row>
    <row r="18276" spans="9:14" x14ac:dyDescent="0.25">
      <c r="I18276" s="11" t="b">
        <f t="shared" si="874"/>
        <v>0</v>
      </c>
      <c r="M18276" s="17" t="str">
        <f t="shared" si="872"/>
        <v/>
      </c>
      <c r="N18276" s="11" t="str">
        <f t="shared" si="873"/>
        <v/>
      </c>
    </row>
    <row r="18277" spans="9:14" x14ac:dyDescent="0.25">
      <c r="I18277" s="11" t="b">
        <f t="shared" si="874"/>
        <v>0</v>
      </c>
      <c r="M18277" s="17" t="str">
        <f t="shared" si="872"/>
        <v/>
      </c>
      <c r="N18277" s="11" t="str">
        <f t="shared" si="873"/>
        <v/>
      </c>
    </row>
    <row r="18278" spans="9:14" x14ac:dyDescent="0.25">
      <c r="I18278" s="11" t="b">
        <f t="shared" si="874"/>
        <v>0</v>
      </c>
      <c r="M18278" s="17" t="str">
        <f t="shared" si="872"/>
        <v/>
      </c>
      <c r="N18278" s="11" t="str">
        <f t="shared" si="873"/>
        <v/>
      </c>
    </row>
    <row r="18279" spans="9:14" x14ac:dyDescent="0.25">
      <c r="I18279" s="11" t="b">
        <f t="shared" si="874"/>
        <v>0</v>
      </c>
      <c r="M18279" s="17" t="str">
        <f t="shared" si="872"/>
        <v/>
      </c>
      <c r="N18279" s="11" t="str">
        <f t="shared" si="873"/>
        <v/>
      </c>
    </row>
    <row r="18280" spans="9:14" x14ac:dyDescent="0.25">
      <c r="I18280" s="11" t="b">
        <f t="shared" si="874"/>
        <v>0</v>
      </c>
      <c r="M18280" s="17" t="str">
        <f t="shared" si="872"/>
        <v/>
      </c>
      <c r="N18280" s="11" t="str">
        <f t="shared" si="873"/>
        <v/>
      </c>
    </row>
    <row r="18281" spans="9:14" x14ac:dyDescent="0.25">
      <c r="I18281" s="11" t="b">
        <f t="shared" si="874"/>
        <v>0</v>
      </c>
      <c r="M18281" s="17" t="str">
        <f t="shared" si="872"/>
        <v/>
      </c>
      <c r="N18281" s="11" t="str">
        <f t="shared" si="873"/>
        <v/>
      </c>
    </row>
    <row r="18282" spans="9:14" x14ac:dyDescent="0.25">
      <c r="I18282" s="11" t="b">
        <f t="shared" si="874"/>
        <v>0</v>
      </c>
      <c r="M18282" s="17" t="str">
        <f t="shared" si="872"/>
        <v/>
      </c>
      <c r="N18282" s="11" t="str">
        <f t="shared" si="873"/>
        <v/>
      </c>
    </row>
    <row r="18283" spans="9:14" x14ac:dyDescent="0.25">
      <c r="I18283" s="11" t="b">
        <f t="shared" si="874"/>
        <v>0</v>
      </c>
      <c r="M18283" s="17" t="str">
        <f t="shared" si="872"/>
        <v/>
      </c>
      <c r="N18283" s="11" t="str">
        <f t="shared" si="873"/>
        <v/>
      </c>
    </row>
    <row r="18284" spans="9:14" x14ac:dyDescent="0.25">
      <c r="I18284" s="11" t="b">
        <f t="shared" si="874"/>
        <v>0</v>
      </c>
      <c r="M18284" s="17" t="str">
        <f t="shared" si="872"/>
        <v/>
      </c>
      <c r="N18284" s="11" t="str">
        <f t="shared" si="873"/>
        <v/>
      </c>
    </row>
    <row r="18285" spans="9:14" x14ac:dyDescent="0.25">
      <c r="I18285" s="11" t="b">
        <f t="shared" si="874"/>
        <v>0</v>
      </c>
      <c r="M18285" s="17" t="str">
        <f t="shared" si="872"/>
        <v/>
      </c>
      <c r="N18285" s="11" t="str">
        <f t="shared" si="873"/>
        <v/>
      </c>
    </row>
    <row r="18286" spans="9:14" x14ac:dyDescent="0.25">
      <c r="I18286" s="11" t="b">
        <f t="shared" si="874"/>
        <v>0</v>
      </c>
      <c r="M18286" s="17" t="str">
        <f t="shared" si="872"/>
        <v/>
      </c>
      <c r="N18286" s="11" t="str">
        <f t="shared" si="873"/>
        <v/>
      </c>
    </row>
    <row r="18287" spans="9:14" x14ac:dyDescent="0.25">
      <c r="I18287" s="11" t="b">
        <f t="shared" si="874"/>
        <v>0</v>
      </c>
      <c r="M18287" s="17" t="str">
        <f t="shared" si="872"/>
        <v/>
      </c>
      <c r="N18287" s="11" t="str">
        <f t="shared" si="873"/>
        <v/>
      </c>
    </row>
    <row r="18288" spans="9:14" x14ac:dyDescent="0.25">
      <c r="I18288" s="11" t="b">
        <f t="shared" si="874"/>
        <v>0</v>
      </c>
      <c r="M18288" s="17" t="str">
        <f t="shared" si="872"/>
        <v/>
      </c>
      <c r="N18288" s="11" t="str">
        <f t="shared" si="873"/>
        <v/>
      </c>
    </row>
    <row r="18289" spans="9:14" x14ac:dyDescent="0.25">
      <c r="I18289" s="11" t="b">
        <f t="shared" si="874"/>
        <v>0</v>
      </c>
      <c r="M18289" s="17" t="str">
        <f t="shared" si="872"/>
        <v/>
      </c>
      <c r="N18289" s="11" t="str">
        <f t="shared" si="873"/>
        <v/>
      </c>
    </row>
    <row r="18290" spans="9:14" x14ac:dyDescent="0.25">
      <c r="I18290" s="11" t="b">
        <f t="shared" si="874"/>
        <v>0</v>
      </c>
      <c r="M18290" s="17" t="str">
        <f t="shared" si="872"/>
        <v/>
      </c>
      <c r="N18290" s="11" t="str">
        <f t="shared" si="873"/>
        <v/>
      </c>
    </row>
    <row r="18291" spans="9:14" x14ac:dyDescent="0.25">
      <c r="I18291" s="11" t="b">
        <f t="shared" si="874"/>
        <v>0</v>
      </c>
      <c r="M18291" s="17" t="str">
        <f t="shared" si="872"/>
        <v/>
      </c>
      <c r="N18291" s="11" t="str">
        <f t="shared" si="873"/>
        <v/>
      </c>
    </row>
    <row r="18292" spans="9:14" x14ac:dyDescent="0.25">
      <c r="I18292" s="11" t="b">
        <f t="shared" si="874"/>
        <v>0</v>
      </c>
      <c r="M18292" s="17" t="str">
        <f t="shared" si="872"/>
        <v/>
      </c>
      <c r="N18292" s="11" t="str">
        <f t="shared" si="873"/>
        <v/>
      </c>
    </row>
    <row r="18293" spans="9:14" x14ac:dyDescent="0.25">
      <c r="I18293" s="11" t="b">
        <f t="shared" si="874"/>
        <v>0</v>
      </c>
      <c r="M18293" s="17" t="str">
        <f t="shared" si="872"/>
        <v/>
      </c>
      <c r="N18293" s="11" t="str">
        <f t="shared" si="873"/>
        <v/>
      </c>
    </row>
    <row r="18294" spans="9:14" x14ac:dyDescent="0.25">
      <c r="I18294" s="11" t="b">
        <f t="shared" si="874"/>
        <v>0</v>
      </c>
      <c r="M18294" s="17" t="str">
        <f t="shared" si="872"/>
        <v/>
      </c>
      <c r="N18294" s="11" t="str">
        <f t="shared" si="873"/>
        <v/>
      </c>
    </row>
    <row r="18295" spans="9:14" x14ac:dyDescent="0.25">
      <c r="I18295" s="11" t="b">
        <f t="shared" si="874"/>
        <v>0</v>
      </c>
      <c r="M18295" s="17" t="str">
        <f t="shared" si="872"/>
        <v/>
      </c>
      <c r="N18295" s="11" t="str">
        <f t="shared" si="873"/>
        <v/>
      </c>
    </row>
    <row r="18296" spans="9:14" x14ac:dyDescent="0.25">
      <c r="I18296" s="11" t="b">
        <f t="shared" si="874"/>
        <v>0</v>
      </c>
      <c r="M18296" s="17" t="str">
        <f t="shared" si="872"/>
        <v/>
      </c>
      <c r="N18296" s="11" t="str">
        <f t="shared" si="873"/>
        <v/>
      </c>
    </row>
    <row r="18297" spans="9:14" x14ac:dyDescent="0.25">
      <c r="I18297" s="11" t="b">
        <f t="shared" si="874"/>
        <v>0</v>
      </c>
      <c r="M18297" s="17" t="str">
        <f t="shared" si="872"/>
        <v/>
      </c>
      <c r="N18297" s="11" t="str">
        <f t="shared" si="873"/>
        <v/>
      </c>
    </row>
    <row r="18298" spans="9:14" x14ac:dyDescent="0.25">
      <c r="I18298" s="11" t="b">
        <f t="shared" si="874"/>
        <v>0</v>
      </c>
      <c r="M18298" s="17" t="str">
        <f t="shared" si="872"/>
        <v/>
      </c>
      <c r="N18298" s="11" t="str">
        <f t="shared" si="873"/>
        <v/>
      </c>
    </row>
    <row r="18299" spans="9:14" x14ac:dyDescent="0.25">
      <c r="I18299" s="11" t="b">
        <f t="shared" si="874"/>
        <v>0</v>
      </c>
      <c r="M18299" s="17" t="str">
        <f t="shared" si="872"/>
        <v/>
      </c>
      <c r="N18299" s="11" t="str">
        <f t="shared" si="873"/>
        <v/>
      </c>
    </row>
    <row r="18300" spans="9:14" x14ac:dyDescent="0.25">
      <c r="I18300" s="11" t="b">
        <f t="shared" si="874"/>
        <v>0</v>
      </c>
      <c r="M18300" s="17" t="str">
        <f t="shared" si="872"/>
        <v/>
      </c>
      <c r="N18300" s="11" t="str">
        <f t="shared" si="873"/>
        <v/>
      </c>
    </row>
    <row r="18301" spans="9:14" x14ac:dyDescent="0.25">
      <c r="I18301" s="11" t="b">
        <f t="shared" si="874"/>
        <v>0</v>
      </c>
      <c r="M18301" s="17" t="str">
        <f t="shared" si="872"/>
        <v/>
      </c>
      <c r="N18301" s="11" t="str">
        <f t="shared" si="873"/>
        <v/>
      </c>
    </row>
    <row r="18302" spans="9:14" x14ac:dyDescent="0.25">
      <c r="I18302" s="11" t="b">
        <f t="shared" si="874"/>
        <v>0</v>
      </c>
      <c r="M18302" s="17" t="str">
        <f t="shared" si="872"/>
        <v/>
      </c>
      <c r="N18302" s="11" t="str">
        <f t="shared" si="873"/>
        <v/>
      </c>
    </row>
    <row r="18303" spans="9:14" x14ac:dyDescent="0.25">
      <c r="I18303" s="11" t="b">
        <f t="shared" si="874"/>
        <v>0</v>
      </c>
      <c r="M18303" s="17" t="str">
        <f t="shared" si="872"/>
        <v/>
      </c>
      <c r="N18303" s="11" t="str">
        <f t="shared" si="873"/>
        <v/>
      </c>
    </row>
    <row r="18304" spans="9:14" x14ac:dyDescent="0.25">
      <c r="I18304" s="11" t="b">
        <f t="shared" si="874"/>
        <v>0</v>
      </c>
      <c r="M18304" s="17" t="str">
        <f t="shared" si="872"/>
        <v/>
      </c>
      <c r="N18304" s="11" t="str">
        <f t="shared" si="873"/>
        <v/>
      </c>
    </row>
    <row r="18305" spans="9:14" x14ac:dyDescent="0.25">
      <c r="I18305" s="11" t="b">
        <f t="shared" si="874"/>
        <v>0</v>
      </c>
      <c r="M18305" s="17" t="str">
        <f t="shared" ref="M18305:M18368" si="875">IF(B18305=0, "",M18304+ J18305-K18305)</f>
        <v/>
      </c>
      <c r="N18305" s="11" t="str">
        <f t="shared" ref="N18305:N18368" si="876">IF(B18305=0, "", MONTH(B18305))</f>
        <v/>
      </c>
    </row>
    <row r="18306" spans="9:14" x14ac:dyDescent="0.25">
      <c r="I18306" s="11" t="b">
        <f t="shared" si="874"/>
        <v>0</v>
      </c>
      <c r="M18306" s="17" t="str">
        <f t="shared" si="875"/>
        <v/>
      </c>
      <c r="N18306" s="11" t="str">
        <f t="shared" si="876"/>
        <v/>
      </c>
    </row>
    <row r="18307" spans="9:14" x14ac:dyDescent="0.25">
      <c r="I18307" s="11" t="b">
        <f t="shared" si="874"/>
        <v>0</v>
      </c>
      <c r="M18307" s="17" t="str">
        <f t="shared" si="875"/>
        <v/>
      </c>
      <c r="N18307" s="11" t="str">
        <f t="shared" si="876"/>
        <v/>
      </c>
    </row>
    <row r="18308" spans="9:14" x14ac:dyDescent="0.25">
      <c r="I18308" s="11" t="b">
        <f t="shared" si="874"/>
        <v>0</v>
      </c>
      <c r="M18308" s="17" t="str">
        <f t="shared" si="875"/>
        <v/>
      </c>
      <c r="N18308" s="11" t="str">
        <f t="shared" si="876"/>
        <v/>
      </c>
    </row>
    <row r="18309" spans="9:14" x14ac:dyDescent="0.25">
      <c r="I18309" s="11" t="b">
        <f t="shared" si="874"/>
        <v>0</v>
      </c>
      <c r="M18309" s="17" t="str">
        <f t="shared" si="875"/>
        <v/>
      </c>
      <c r="N18309" s="11" t="str">
        <f t="shared" si="876"/>
        <v/>
      </c>
    </row>
    <row r="18310" spans="9:14" x14ac:dyDescent="0.25">
      <c r="I18310" s="11" t="b">
        <f t="shared" si="874"/>
        <v>0</v>
      </c>
      <c r="M18310" s="17" t="str">
        <f t="shared" si="875"/>
        <v/>
      </c>
      <c r="N18310" s="11" t="str">
        <f t="shared" si="876"/>
        <v/>
      </c>
    </row>
    <row r="18311" spans="9:14" x14ac:dyDescent="0.25">
      <c r="I18311" s="11" t="b">
        <f t="shared" si="874"/>
        <v>0</v>
      </c>
      <c r="M18311" s="17" t="str">
        <f t="shared" si="875"/>
        <v/>
      </c>
      <c r="N18311" s="11" t="str">
        <f t="shared" si="876"/>
        <v/>
      </c>
    </row>
    <row r="18312" spans="9:14" x14ac:dyDescent="0.25">
      <c r="I18312" s="11" t="b">
        <f t="shared" si="874"/>
        <v>0</v>
      </c>
      <c r="M18312" s="17" t="str">
        <f t="shared" si="875"/>
        <v/>
      </c>
      <c r="N18312" s="11" t="str">
        <f t="shared" si="876"/>
        <v/>
      </c>
    </row>
    <row r="18313" spans="9:14" x14ac:dyDescent="0.25">
      <c r="I18313" s="11" t="b">
        <f t="shared" si="874"/>
        <v>0</v>
      </c>
      <c r="M18313" s="17" t="str">
        <f t="shared" si="875"/>
        <v/>
      </c>
      <c r="N18313" s="11" t="str">
        <f t="shared" si="876"/>
        <v/>
      </c>
    </row>
    <row r="18314" spans="9:14" x14ac:dyDescent="0.25">
      <c r="I18314" s="11" t="b">
        <f t="shared" si="874"/>
        <v>0</v>
      </c>
      <c r="M18314" s="17" t="str">
        <f t="shared" si="875"/>
        <v/>
      </c>
      <c r="N18314" s="11" t="str">
        <f t="shared" si="876"/>
        <v/>
      </c>
    </row>
    <row r="18315" spans="9:14" x14ac:dyDescent="0.25">
      <c r="I18315" s="11" t="b">
        <f t="shared" si="874"/>
        <v>0</v>
      </c>
      <c r="M18315" s="17" t="str">
        <f t="shared" si="875"/>
        <v/>
      </c>
      <c r="N18315" s="11" t="str">
        <f t="shared" si="876"/>
        <v/>
      </c>
    </row>
    <row r="18316" spans="9:14" x14ac:dyDescent="0.25">
      <c r="I18316" s="11" t="b">
        <f t="shared" si="874"/>
        <v>0</v>
      </c>
      <c r="M18316" s="17" t="str">
        <f t="shared" si="875"/>
        <v/>
      </c>
      <c r="N18316" s="11" t="str">
        <f t="shared" si="876"/>
        <v/>
      </c>
    </row>
    <row r="18317" spans="9:14" x14ac:dyDescent="0.25">
      <c r="I18317" s="11" t="b">
        <f t="shared" si="874"/>
        <v>0</v>
      </c>
      <c r="M18317" s="17" t="str">
        <f t="shared" si="875"/>
        <v/>
      </c>
      <c r="N18317" s="11" t="str">
        <f t="shared" si="876"/>
        <v/>
      </c>
    </row>
    <row r="18318" spans="9:14" x14ac:dyDescent="0.25">
      <c r="I18318" s="11" t="b">
        <f t="shared" si="874"/>
        <v>0</v>
      </c>
      <c r="M18318" s="17" t="str">
        <f t="shared" si="875"/>
        <v/>
      </c>
      <c r="N18318" s="11" t="str">
        <f t="shared" si="876"/>
        <v/>
      </c>
    </row>
    <row r="18319" spans="9:14" x14ac:dyDescent="0.25">
      <c r="I18319" s="11" t="b">
        <f t="shared" si="874"/>
        <v>0</v>
      </c>
      <c r="M18319" s="17" t="str">
        <f t="shared" si="875"/>
        <v/>
      </c>
      <c r="N18319" s="11" t="str">
        <f t="shared" si="876"/>
        <v/>
      </c>
    </row>
    <row r="18320" spans="9:14" x14ac:dyDescent="0.25">
      <c r="I18320" s="11" t="b">
        <f t="shared" si="874"/>
        <v>0</v>
      </c>
      <c r="M18320" s="17" t="str">
        <f t="shared" si="875"/>
        <v/>
      </c>
      <c r="N18320" s="11" t="str">
        <f t="shared" si="876"/>
        <v/>
      </c>
    </row>
    <row r="18321" spans="9:14" x14ac:dyDescent="0.25">
      <c r="I18321" s="11" t="b">
        <f t="shared" si="874"/>
        <v>0</v>
      </c>
      <c r="M18321" s="17" t="str">
        <f t="shared" si="875"/>
        <v/>
      </c>
      <c r="N18321" s="11" t="str">
        <f t="shared" si="876"/>
        <v/>
      </c>
    </row>
    <row r="18322" spans="9:14" x14ac:dyDescent="0.25">
      <c r="I18322" s="11" t="b">
        <f t="shared" si="874"/>
        <v>0</v>
      </c>
      <c r="M18322" s="17" t="str">
        <f t="shared" si="875"/>
        <v/>
      </c>
      <c r="N18322" s="11" t="str">
        <f t="shared" si="876"/>
        <v/>
      </c>
    </row>
    <row r="18323" spans="9:14" x14ac:dyDescent="0.25">
      <c r="I18323" s="11" t="b">
        <f t="shared" si="874"/>
        <v>0</v>
      </c>
      <c r="M18323" s="17" t="str">
        <f t="shared" si="875"/>
        <v/>
      </c>
      <c r="N18323" s="11" t="str">
        <f t="shared" si="876"/>
        <v/>
      </c>
    </row>
    <row r="18324" spans="9:14" x14ac:dyDescent="0.25">
      <c r="I18324" s="11" t="b">
        <f t="shared" si="874"/>
        <v>0</v>
      </c>
      <c r="M18324" s="17" t="str">
        <f t="shared" si="875"/>
        <v/>
      </c>
      <c r="N18324" s="11" t="str">
        <f t="shared" si="876"/>
        <v/>
      </c>
    </row>
    <row r="18325" spans="9:14" x14ac:dyDescent="0.25">
      <c r="I18325" s="11" t="b">
        <f t="shared" si="874"/>
        <v>0</v>
      </c>
      <c r="M18325" s="17" t="str">
        <f t="shared" si="875"/>
        <v/>
      </c>
      <c r="N18325" s="11" t="str">
        <f t="shared" si="876"/>
        <v/>
      </c>
    </row>
    <row r="18326" spans="9:14" x14ac:dyDescent="0.25">
      <c r="I18326" s="11" t="b">
        <f t="shared" si="874"/>
        <v>0</v>
      </c>
      <c r="M18326" s="17" t="str">
        <f t="shared" si="875"/>
        <v/>
      </c>
      <c r="N18326" s="11" t="str">
        <f t="shared" si="876"/>
        <v/>
      </c>
    </row>
    <row r="18327" spans="9:14" x14ac:dyDescent="0.25">
      <c r="I18327" s="11" t="b">
        <f t="shared" si="874"/>
        <v>0</v>
      </c>
      <c r="M18327" s="17" t="str">
        <f t="shared" si="875"/>
        <v/>
      </c>
      <c r="N18327" s="11" t="str">
        <f t="shared" si="876"/>
        <v/>
      </c>
    </row>
    <row r="18328" spans="9:14" x14ac:dyDescent="0.25">
      <c r="I18328" s="11" t="b">
        <f t="shared" si="874"/>
        <v>0</v>
      </c>
      <c r="M18328" s="17" t="str">
        <f t="shared" si="875"/>
        <v/>
      </c>
      <c r="N18328" s="11" t="str">
        <f t="shared" si="876"/>
        <v/>
      </c>
    </row>
    <row r="18329" spans="9:14" x14ac:dyDescent="0.25">
      <c r="I18329" s="11" t="b">
        <f t="shared" si="874"/>
        <v>0</v>
      </c>
      <c r="M18329" s="17" t="str">
        <f t="shared" si="875"/>
        <v/>
      </c>
      <c r="N18329" s="11" t="str">
        <f t="shared" si="876"/>
        <v/>
      </c>
    </row>
    <row r="18330" spans="9:14" x14ac:dyDescent="0.25">
      <c r="I18330" s="11" t="b">
        <f t="shared" si="874"/>
        <v>0</v>
      </c>
      <c r="M18330" s="17" t="str">
        <f t="shared" si="875"/>
        <v/>
      </c>
      <c r="N18330" s="11" t="str">
        <f t="shared" si="876"/>
        <v/>
      </c>
    </row>
    <row r="18331" spans="9:14" x14ac:dyDescent="0.25">
      <c r="I18331" s="11" t="b">
        <f t="shared" si="874"/>
        <v>0</v>
      </c>
      <c r="M18331" s="17" t="str">
        <f t="shared" si="875"/>
        <v/>
      </c>
      <c r="N18331" s="11" t="str">
        <f t="shared" si="876"/>
        <v/>
      </c>
    </row>
    <row r="18332" spans="9:14" x14ac:dyDescent="0.25">
      <c r="I18332" s="11" t="b">
        <f t="shared" si="874"/>
        <v>0</v>
      </c>
      <c r="M18332" s="17" t="str">
        <f t="shared" si="875"/>
        <v/>
      </c>
      <c r="N18332" s="11" t="str">
        <f t="shared" si="876"/>
        <v/>
      </c>
    </row>
    <row r="18333" spans="9:14" x14ac:dyDescent="0.25">
      <c r="I18333" s="11" t="b">
        <f t="shared" ref="I18333:I18396" si="877">IF(AND(G18333="MERCADO PAGO",A18333="FATURAMENTO"),1,IF(AND(OR(G18333="MERCADO PAGO",G18333="pix mercado pago",G18333= "débito automático mercado pago", G18333= "boleto mercado pago"),A18333="DESPESAS"),4,IF(AND(G18333="SAFRA",A18333="FATURAMENTO"),2,IF(AND(OR(G18333="SAFRA",G18333="PIX SAFRA", G18333="DÉBITO AUTOMÁTICO SAFRA", G18333= "BOLETO SAFRA", G18333= "transferência safra"), A18333="DESPESAS"),5,IF(AND(G18333="espécie",A18333="FATURAMENTO"),3,IF(AND(G18333="espécie",A18333="DESPESAS"),6))))))</f>
        <v>0</v>
      </c>
      <c r="M18333" s="17" t="str">
        <f t="shared" si="875"/>
        <v/>
      </c>
      <c r="N18333" s="11" t="str">
        <f t="shared" si="876"/>
        <v/>
      </c>
    </row>
    <row r="18334" spans="9:14" x14ac:dyDescent="0.25">
      <c r="I18334" s="11" t="b">
        <f t="shared" si="877"/>
        <v>0</v>
      </c>
      <c r="M18334" s="17" t="str">
        <f t="shared" si="875"/>
        <v/>
      </c>
      <c r="N18334" s="11" t="str">
        <f t="shared" si="876"/>
        <v/>
      </c>
    </row>
    <row r="18335" spans="9:14" x14ac:dyDescent="0.25">
      <c r="I18335" s="11" t="b">
        <f t="shared" si="877"/>
        <v>0</v>
      </c>
      <c r="M18335" s="17" t="str">
        <f t="shared" si="875"/>
        <v/>
      </c>
      <c r="N18335" s="11" t="str">
        <f t="shared" si="876"/>
        <v/>
      </c>
    </row>
    <row r="18336" spans="9:14" x14ac:dyDescent="0.25">
      <c r="I18336" s="11" t="b">
        <f t="shared" si="877"/>
        <v>0</v>
      </c>
      <c r="M18336" s="17" t="str">
        <f t="shared" si="875"/>
        <v/>
      </c>
      <c r="N18336" s="11" t="str">
        <f t="shared" si="876"/>
        <v/>
      </c>
    </row>
    <row r="18337" spans="9:14" x14ac:dyDescent="0.25">
      <c r="I18337" s="11" t="b">
        <f t="shared" si="877"/>
        <v>0</v>
      </c>
      <c r="M18337" s="17" t="str">
        <f t="shared" si="875"/>
        <v/>
      </c>
      <c r="N18337" s="11" t="str">
        <f t="shared" si="876"/>
        <v/>
      </c>
    </row>
    <row r="18338" spans="9:14" x14ac:dyDescent="0.25">
      <c r="I18338" s="11" t="b">
        <f t="shared" si="877"/>
        <v>0</v>
      </c>
      <c r="M18338" s="17" t="str">
        <f t="shared" si="875"/>
        <v/>
      </c>
      <c r="N18338" s="11" t="str">
        <f t="shared" si="876"/>
        <v/>
      </c>
    </row>
    <row r="18339" spans="9:14" x14ac:dyDescent="0.25">
      <c r="I18339" s="11" t="b">
        <f t="shared" si="877"/>
        <v>0</v>
      </c>
      <c r="M18339" s="17" t="str">
        <f t="shared" si="875"/>
        <v/>
      </c>
      <c r="N18339" s="11" t="str">
        <f t="shared" si="876"/>
        <v/>
      </c>
    </row>
    <row r="18340" spans="9:14" x14ac:dyDescent="0.25">
      <c r="I18340" s="11" t="b">
        <f t="shared" si="877"/>
        <v>0</v>
      </c>
      <c r="M18340" s="17" t="str">
        <f t="shared" si="875"/>
        <v/>
      </c>
      <c r="N18340" s="11" t="str">
        <f t="shared" si="876"/>
        <v/>
      </c>
    </row>
    <row r="18341" spans="9:14" x14ac:dyDescent="0.25">
      <c r="I18341" s="11" t="b">
        <f t="shared" si="877"/>
        <v>0</v>
      </c>
      <c r="M18341" s="17" t="str">
        <f t="shared" si="875"/>
        <v/>
      </c>
      <c r="N18341" s="11" t="str">
        <f t="shared" si="876"/>
        <v/>
      </c>
    </row>
    <row r="18342" spans="9:14" x14ac:dyDescent="0.25">
      <c r="I18342" s="11" t="b">
        <f t="shared" si="877"/>
        <v>0</v>
      </c>
      <c r="M18342" s="17" t="str">
        <f t="shared" si="875"/>
        <v/>
      </c>
      <c r="N18342" s="11" t="str">
        <f t="shared" si="876"/>
        <v/>
      </c>
    </row>
    <row r="18343" spans="9:14" x14ac:dyDescent="0.25">
      <c r="I18343" s="11" t="b">
        <f t="shared" si="877"/>
        <v>0</v>
      </c>
      <c r="M18343" s="17" t="str">
        <f t="shared" si="875"/>
        <v/>
      </c>
      <c r="N18343" s="11" t="str">
        <f t="shared" si="876"/>
        <v/>
      </c>
    </row>
    <row r="18344" spans="9:14" x14ac:dyDescent="0.25">
      <c r="I18344" s="11" t="b">
        <f t="shared" si="877"/>
        <v>0</v>
      </c>
      <c r="M18344" s="17" t="str">
        <f t="shared" si="875"/>
        <v/>
      </c>
      <c r="N18344" s="11" t="str">
        <f t="shared" si="876"/>
        <v/>
      </c>
    </row>
    <row r="18345" spans="9:14" x14ac:dyDescent="0.25">
      <c r="I18345" s="11" t="b">
        <f t="shared" si="877"/>
        <v>0</v>
      </c>
      <c r="M18345" s="17" t="str">
        <f t="shared" si="875"/>
        <v/>
      </c>
      <c r="N18345" s="11" t="str">
        <f t="shared" si="876"/>
        <v/>
      </c>
    </row>
    <row r="18346" spans="9:14" x14ac:dyDescent="0.25">
      <c r="I18346" s="11" t="b">
        <f t="shared" si="877"/>
        <v>0</v>
      </c>
      <c r="M18346" s="17" t="str">
        <f t="shared" si="875"/>
        <v/>
      </c>
      <c r="N18346" s="11" t="str">
        <f t="shared" si="876"/>
        <v/>
      </c>
    </row>
    <row r="18347" spans="9:14" x14ac:dyDescent="0.25">
      <c r="I18347" s="11" t="b">
        <f t="shared" si="877"/>
        <v>0</v>
      </c>
      <c r="M18347" s="17" t="str">
        <f t="shared" si="875"/>
        <v/>
      </c>
      <c r="N18347" s="11" t="str">
        <f t="shared" si="876"/>
        <v/>
      </c>
    </row>
    <row r="18348" spans="9:14" x14ac:dyDescent="0.25">
      <c r="I18348" s="11" t="b">
        <f t="shared" si="877"/>
        <v>0</v>
      </c>
      <c r="M18348" s="17" t="str">
        <f t="shared" si="875"/>
        <v/>
      </c>
      <c r="N18348" s="11" t="str">
        <f t="shared" si="876"/>
        <v/>
      </c>
    </row>
    <row r="18349" spans="9:14" x14ac:dyDescent="0.25">
      <c r="I18349" s="11" t="b">
        <f t="shared" si="877"/>
        <v>0</v>
      </c>
      <c r="M18349" s="17" t="str">
        <f t="shared" si="875"/>
        <v/>
      </c>
      <c r="N18349" s="11" t="str">
        <f t="shared" si="876"/>
        <v/>
      </c>
    </row>
    <row r="18350" spans="9:14" x14ac:dyDescent="0.25">
      <c r="I18350" s="11" t="b">
        <f t="shared" si="877"/>
        <v>0</v>
      </c>
      <c r="M18350" s="17" t="str">
        <f t="shared" si="875"/>
        <v/>
      </c>
      <c r="N18350" s="11" t="str">
        <f t="shared" si="876"/>
        <v/>
      </c>
    </row>
    <row r="18351" spans="9:14" x14ac:dyDescent="0.25">
      <c r="I18351" s="11" t="b">
        <f t="shared" si="877"/>
        <v>0</v>
      </c>
      <c r="M18351" s="17" t="str">
        <f t="shared" si="875"/>
        <v/>
      </c>
      <c r="N18351" s="11" t="str">
        <f t="shared" si="876"/>
        <v/>
      </c>
    </row>
    <row r="18352" spans="9:14" x14ac:dyDescent="0.25">
      <c r="I18352" s="11" t="b">
        <f t="shared" si="877"/>
        <v>0</v>
      </c>
      <c r="M18352" s="17" t="str">
        <f t="shared" si="875"/>
        <v/>
      </c>
      <c r="N18352" s="11" t="str">
        <f t="shared" si="876"/>
        <v/>
      </c>
    </row>
    <row r="18353" spans="9:14" x14ac:dyDescent="0.25">
      <c r="I18353" s="11" t="b">
        <f t="shared" si="877"/>
        <v>0</v>
      </c>
      <c r="M18353" s="17" t="str">
        <f t="shared" si="875"/>
        <v/>
      </c>
      <c r="N18353" s="11" t="str">
        <f t="shared" si="876"/>
        <v/>
      </c>
    </row>
    <row r="18354" spans="9:14" x14ac:dyDescent="0.25">
      <c r="I18354" s="11" t="b">
        <f t="shared" si="877"/>
        <v>0</v>
      </c>
      <c r="M18354" s="17" t="str">
        <f t="shared" si="875"/>
        <v/>
      </c>
      <c r="N18354" s="11" t="str">
        <f t="shared" si="876"/>
        <v/>
      </c>
    </row>
    <row r="18355" spans="9:14" x14ac:dyDescent="0.25">
      <c r="I18355" s="11" t="b">
        <f t="shared" si="877"/>
        <v>0</v>
      </c>
      <c r="M18355" s="17" t="str">
        <f t="shared" si="875"/>
        <v/>
      </c>
      <c r="N18355" s="11" t="str">
        <f t="shared" si="876"/>
        <v/>
      </c>
    </row>
    <row r="18356" spans="9:14" x14ac:dyDescent="0.25">
      <c r="I18356" s="11" t="b">
        <f t="shared" si="877"/>
        <v>0</v>
      </c>
      <c r="M18356" s="17" t="str">
        <f t="shared" si="875"/>
        <v/>
      </c>
      <c r="N18356" s="11" t="str">
        <f t="shared" si="876"/>
        <v/>
      </c>
    </row>
    <row r="18357" spans="9:14" x14ac:dyDescent="0.25">
      <c r="I18357" s="11" t="b">
        <f t="shared" si="877"/>
        <v>0</v>
      </c>
      <c r="M18357" s="17" t="str">
        <f t="shared" si="875"/>
        <v/>
      </c>
      <c r="N18357" s="11" t="str">
        <f t="shared" si="876"/>
        <v/>
      </c>
    </row>
    <row r="18358" spans="9:14" x14ac:dyDescent="0.25">
      <c r="I18358" s="11" t="b">
        <f t="shared" si="877"/>
        <v>0</v>
      </c>
      <c r="M18358" s="17" t="str">
        <f t="shared" si="875"/>
        <v/>
      </c>
      <c r="N18358" s="11" t="str">
        <f t="shared" si="876"/>
        <v/>
      </c>
    </row>
    <row r="18359" spans="9:14" x14ac:dyDescent="0.25">
      <c r="I18359" s="11" t="b">
        <f t="shared" si="877"/>
        <v>0</v>
      </c>
      <c r="M18359" s="17" t="str">
        <f t="shared" si="875"/>
        <v/>
      </c>
      <c r="N18359" s="11" t="str">
        <f t="shared" si="876"/>
        <v/>
      </c>
    </row>
    <row r="18360" spans="9:14" x14ac:dyDescent="0.25">
      <c r="I18360" s="11" t="b">
        <f t="shared" si="877"/>
        <v>0</v>
      </c>
      <c r="M18360" s="17" t="str">
        <f t="shared" si="875"/>
        <v/>
      </c>
      <c r="N18360" s="11" t="str">
        <f t="shared" si="876"/>
        <v/>
      </c>
    </row>
    <row r="18361" spans="9:14" x14ac:dyDescent="0.25">
      <c r="I18361" s="11" t="b">
        <f t="shared" si="877"/>
        <v>0</v>
      </c>
      <c r="M18361" s="17" t="str">
        <f t="shared" si="875"/>
        <v/>
      </c>
      <c r="N18361" s="11" t="str">
        <f t="shared" si="876"/>
        <v/>
      </c>
    </row>
    <row r="18362" spans="9:14" x14ac:dyDescent="0.25">
      <c r="I18362" s="11" t="b">
        <f t="shared" si="877"/>
        <v>0</v>
      </c>
      <c r="M18362" s="17" t="str">
        <f t="shared" si="875"/>
        <v/>
      </c>
      <c r="N18362" s="11" t="str">
        <f t="shared" si="876"/>
        <v/>
      </c>
    </row>
    <row r="18363" spans="9:14" x14ac:dyDescent="0.25">
      <c r="I18363" s="11" t="b">
        <f t="shared" si="877"/>
        <v>0</v>
      </c>
      <c r="M18363" s="17" t="str">
        <f t="shared" si="875"/>
        <v/>
      </c>
      <c r="N18363" s="11" t="str">
        <f t="shared" si="876"/>
        <v/>
      </c>
    </row>
    <row r="18364" spans="9:14" x14ac:dyDescent="0.25">
      <c r="I18364" s="11" t="b">
        <f t="shared" si="877"/>
        <v>0</v>
      </c>
      <c r="M18364" s="17" t="str">
        <f t="shared" si="875"/>
        <v/>
      </c>
      <c r="N18364" s="11" t="str">
        <f t="shared" si="876"/>
        <v/>
      </c>
    </row>
    <row r="18365" spans="9:14" x14ac:dyDescent="0.25">
      <c r="I18365" s="11" t="b">
        <f t="shared" si="877"/>
        <v>0</v>
      </c>
      <c r="M18365" s="17" t="str">
        <f t="shared" si="875"/>
        <v/>
      </c>
      <c r="N18365" s="11" t="str">
        <f t="shared" si="876"/>
        <v/>
      </c>
    </row>
    <row r="18366" spans="9:14" x14ac:dyDescent="0.25">
      <c r="I18366" s="11" t="b">
        <f t="shared" si="877"/>
        <v>0</v>
      </c>
      <c r="M18366" s="17" t="str">
        <f t="shared" si="875"/>
        <v/>
      </c>
      <c r="N18366" s="11" t="str">
        <f t="shared" si="876"/>
        <v/>
      </c>
    </row>
    <row r="18367" spans="9:14" x14ac:dyDescent="0.25">
      <c r="I18367" s="11" t="b">
        <f t="shared" si="877"/>
        <v>0</v>
      </c>
      <c r="M18367" s="17" t="str">
        <f t="shared" si="875"/>
        <v/>
      </c>
      <c r="N18367" s="11" t="str">
        <f t="shared" si="876"/>
        <v/>
      </c>
    </row>
    <row r="18368" spans="9:14" x14ac:dyDescent="0.25">
      <c r="I18368" s="11" t="b">
        <f t="shared" si="877"/>
        <v>0</v>
      </c>
      <c r="M18368" s="17" t="str">
        <f t="shared" si="875"/>
        <v/>
      </c>
      <c r="N18368" s="11" t="str">
        <f t="shared" si="876"/>
        <v/>
      </c>
    </row>
    <row r="18369" spans="9:14" x14ac:dyDescent="0.25">
      <c r="I18369" s="11" t="b">
        <f t="shared" si="877"/>
        <v>0</v>
      </c>
      <c r="M18369" s="17" t="str">
        <f t="shared" ref="M18369:M18432" si="878">IF(B18369=0, "",M18368+ J18369-K18369)</f>
        <v/>
      </c>
      <c r="N18369" s="11" t="str">
        <f t="shared" ref="N18369:N18432" si="879">IF(B18369=0, "", MONTH(B18369))</f>
        <v/>
      </c>
    </row>
    <row r="18370" spans="9:14" x14ac:dyDescent="0.25">
      <c r="I18370" s="11" t="b">
        <f t="shared" si="877"/>
        <v>0</v>
      </c>
      <c r="M18370" s="17" t="str">
        <f t="shared" si="878"/>
        <v/>
      </c>
      <c r="N18370" s="11" t="str">
        <f t="shared" si="879"/>
        <v/>
      </c>
    </row>
    <row r="18371" spans="9:14" x14ac:dyDescent="0.25">
      <c r="I18371" s="11" t="b">
        <f t="shared" si="877"/>
        <v>0</v>
      </c>
      <c r="M18371" s="17" t="str">
        <f t="shared" si="878"/>
        <v/>
      </c>
      <c r="N18371" s="11" t="str">
        <f t="shared" si="879"/>
        <v/>
      </c>
    </row>
    <row r="18372" spans="9:14" x14ac:dyDescent="0.25">
      <c r="I18372" s="11" t="b">
        <f t="shared" si="877"/>
        <v>0</v>
      </c>
      <c r="M18372" s="17" t="str">
        <f t="shared" si="878"/>
        <v/>
      </c>
      <c r="N18372" s="11" t="str">
        <f t="shared" si="879"/>
        <v/>
      </c>
    </row>
    <row r="18373" spans="9:14" x14ac:dyDescent="0.25">
      <c r="I18373" s="11" t="b">
        <f t="shared" si="877"/>
        <v>0</v>
      </c>
      <c r="M18373" s="17" t="str">
        <f t="shared" si="878"/>
        <v/>
      </c>
      <c r="N18373" s="11" t="str">
        <f t="shared" si="879"/>
        <v/>
      </c>
    </row>
    <row r="18374" spans="9:14" x14ac:dyDescent="0.25">
      <c r="I18374" s="11" t="b">
        <f t="shared" si="877"/>
        <v>0</v>
      </c>
      <c r="M18374" s="17" t="str">
        <f t="shared" si="878"/>
        <v/>
      </c>
      <c r="N18374" s="11" t="str">
        <f t="shared" si="879"/>
        <v/>
      </c>
    </row>
    <row r="18375" spans="9:14" x14ac:dyDescent="0.25">
      <c r="I18375" s="11" t="b">
        <f t="shared" si="877"/>
        <v>0</v>
      </c>
      <c r="M18375" s="17" t="str">
        <f t="shared" si="878"/>
        <v/>
      </c>
      <c r="N18375" s="11" t="str">
        <f t="shared" si="879"/>
        <v/>
      </c>
    </row>
    <row r="18376" spans="9:14" x14ac:dyDescent="0.25">
      <c r="I18376" s="11" t="b">
        <f t="shared" si="877"/>
        <v>0</v>
      </c>
      <c r="M18376" s="17" t="str">
        <f t="shared" si="878"/>
        <v/>
      </c>
      <c r="N18376" s="11" t="str">
        <f t="shared" si="879"/>
        <v/>
      </c>
    </row>
    <row r="18377" spans="9:14" x14ac:dyDescent="0.25">
      <c r="I18377" s="11" t="b">
        <f t="shared" si="877"/>
        <v>0</v>
      </c>
      <c r="M18377" s="17" t="str">
        <f t="shared" si="878"/>
        <v/>
      </c>
      <c r="N18377" s="11" t="str">
        <f t="shared" si="879"/>
        <v/>
      </c>
    </row>
    <row r="18378" spans="9:14" x14ac:dyDescent="0.25">
      <c r="I18378" s="11" t="b">
        <f t="shared" si="877"/>
        <v>0</v>
      </c>
      <c r="M18378" s="17" t="str">
        <f t="shared" si="878"/>
        <v/>
      </c>
      <c r="N18378" s="11" t="str">
        <f t="shared" si="879"/>
        <v/>
      </c>
    </row>
    <row r="18379" spans="9:14" x14ac:dyDescent="0.25">
      <c r="I18379" s="11" t="b">
        <f t="shared" si="877"/>
        <v>0</v>
      </c>
      <c r="M18379" s="17" t="str">
        <f t="shared" si="878"/>
        <v/>
      </c>
      <c r="N18379" s="11" t="str">
        <f t="shared" si="879"/>
        <v/>
      </c>
    </row>
    <row r="18380" spans="9:14" x14ac:dyDescent="0.25">
      <c r="I18380" s="11" t="b">
        <f t="shared" si="877"/>
        <v>0</v>
      </c>
      <c r="M18380" s="17" t="str">
        <f t="shared" si="878"/>
        <v/>
      </c>
      <c r="N18380" s="11" t="str">
        <f t="shared" si="879"/>
        <v/>
      </c>
    </row>
    <row r="18381" spans="9:14" x14ac:dyDescent="0.25">
      <c r="I18381" s="11" t="b">
        <f t="shared" si="877"/>
        <v>0</v>
      </c>
      <c r="M18381" s="17" t="str">
        <f t="shared" si="878"/>
        <v/>
      </c>
      <c r="N18381" s="11" t="str">
        <f t="shared" si="879"/>
        <v/>
      </c>
    </row>
    <row r="18382" spans="9:14" x14ac:dyDescent="0.25">
      <c r="I18382" s="11" t="b">
        <f t="shared" si="877"/>
        <v>0</v>
      </c>
      <c r="M18382" s="17" t="str">
        <f t="shared" si="878"/>
        <v/>
      </c>
      <c r="N18382" s="11" t="str">
        <f t="shared" si="879"/>
        <v/>
      </c>
    </row>
    <row r="18383" spans="9:14" x14ac:dyDescent="0.25">
      <c r="I18383" s="11" t="b">
        <f t="shared" si="877"/>
        <v>0</v>
      </c>
      <c r="M18383" s="17" t="str">
        <f t="shared" si="878"/>
        <v/>
      </c>
      <c r="N18383" s="11" t="str">
        <f t="shared" si="879"/>
        <v/>
      </c>
    </row>
    <row r="18384" spans="9:14" x14ac:dyDescent="0.25">
      <c r="I18384" s="11" t="b">
        <f t="shared" si="877"/>
        <v>0</v>
      </c>
      <c r="M18384" s="17" t="str">
        <f t="shared" si="878"/>
        <v/>
      </c>
      <c r="N18384" s="11" t="str">
        <f t="shared" si="879"/>
        <v/>
      </c>
    </row>
    <row r="18385" spans="9:14" x14ac:dyDescent="0.25">
      <c r="I18385" s="11" t="b">
        <f t="shared" si="877"/>
        <v>0</v>
      </c>
      <c r="M18385" s="17" t="str">
        <f t="shared" si="878"/>
        <v/>
      </c>
      <c r="N18385" s="11" t="str">
        <f t="shared" si="879"/>
        <v/>
      </c>
    </row>
    <row r="18386" spans="9:14" x14ac:dyDescent="0.25">
      <c r="I18386" s="11" t="b">
        <f t="shared" si="877"/>
        <v>0</v>
      </c>
      <c r="M18386" s="17" t="str">
        <f t="shared" si="878"/>
        <v/>
      </c>
      <c r="N18386" s="11" t="str">
        <f t="shared" si="879"/>
        <v/>
      </c>
    </row>
    <row r="18387" spans="9:14" x14ac:dyDescent="0.25">
      <c r="I18387" s="11" t="b">
        <f t="shared" si="877"/>
        <v>0</v>
      </c>
      <c r="M18387" s="17" t="str">
        <f t="shared" si="878"/>
        <v/>
      </c>
      <c r="N18387" s="11" t="str">
        <f t="shared" si="879"/>
        <v/>
      </c>
    </row>
    <row r="18388" spans="9:14" x14ac:dyDescent="0.25">
      <c r="I18388" s="11" t="b">
        <f t="shared" si="877"/>
        <v>0</v>
      </c>
      <c r="M18388" s="17" t="str">
        <f t="shared" si="878"/>
        <v/>
      </c>
      <c r="N18388" s="11" t="str">
        <f t="shared" si="879"/>
        <v/>
      </c>
    </row>
    <row r="18389" spans="9:14" x14ac:dyDescent="0.25">
      <c r="I18389" s="11" t="b">
        <f t="shared" si="877"/>
        <v>0</v>
      </c>
      <c r="M18389" s="17" t="str">
        <f t="shared" si="878"/>
        <v/>
      </c>
      <c r="N18389" s="11" t="str">
        <f t="shared" si="879"/>
        <v/>
      </c>
    </row>
    <row r="18390" spans="9:14" x14ac:dyDescent="0.25">
      <c r="I18390" s="11" t="b">
        <f t="shared" si="877"/>
        <v>0</v>
      </c>
      <c r="M18390" s="17" t="str">
        <f t="shared" si="878"/>
        <v/>
      </c>
      <c r="N18390" s="11" t="str">
        <f t="shared" si="879"/>
        <v/>
      </c>
    </row>
    <row r="18391" spans="9:14" x14ac:dyDescent="0.25">
      <c r="I18391" s="11" t="b">
        <f t="shared" si="877"/>
        <v>0</v>
      </c>
      <c r="M18391" s="17" t="str">
        <f t="shared" si="878"/>
        <v/>
      </c>
      <c r="N18391" s="11" t="str">
        <f t="shared" si="879"/>
        <v/>
      </c>
    </row>
    <row r="18392" spans="9:14" x14ac:dyDescent="0.25">
      <c r="I18392" s="11" t="b">
        <f t="shared" si="877"/>
        <v>0</v>
      </c>
      <c r="M18392" s="17" t="str">
        <f t="shared" si="878"/>
        <v/>
      </c>
      <c r="N18392" s="11" t="str">
        <f t="shared" si="879"/>
        <v/>
      </c>
    </row>
    <row r="18393" spans="9:14" x14ac:dyDescent="0.25">
      <c r="I18393" s="11" t="b">
        <f t="shared" si="877"/>
        <v>0</v>
      </c>
      <c r="M18393" s="17" t="str">
        <f t="shared" si="878"/>
        <v/>
      </c>
      <c r="N18393" s="11" t="str">
        <f t="shared" si="879"/>
        <v/>
      </c>
    </row>
    <row r="18394" spans="9:14" x14ac:dyDescent="0.25">
      <c r="I18394" s="11" t="b">
        <f t="shared" si="877"/>
        <v>0</v>
      </c>
      <c r="M18394" s="17" t="str">
        <f t="shared" si="878"/>
        <v/>
      </c>
      <c r="N18394" s="11" t="str">
        <f t="shared" si="879"/>
        <v/>
      </c>
    </row>
    <row r="18395" spans="9:14" x14ac:dyDescent="0.25">
      <c r="I18395" s="11" t="b">
        <f t="shared" si="877"/>
        <v>0</v>
      </c>
      <c r="M18395" s="17" t="str">
        <f t="shared" si="878"/>
        <v/>
      </c>
      <c r="N18395" s="11" t="str">
        <f t="shared" si="879"/>
        <v/>
      </c>
    </row>
    <row r="18396" spans="9:14" x14ac:dyDescent="0.25">
      <c r="I18396" s="11" t="b">
        <f t="shared" si="877"/>
        <v>0</v>
      </c>
      <c r="M18396" s="17" t="str">
        <f t="shared" si="878"/>
        <v/>
      </c>
      <c r="N18396" s="11" t="str">
        <f t="shared" si="879"/>
        <v/>
      </c>
    </row>
    <row r="18397" spans="9:14" x14ac:dyDescent="0.25">
      <c r="I18397" s="11" t="b">
        <f t="shared" ref="I18397:I18460" si="880">IF(AND(G18397="MERCADO PAGO",A18397="FATURAMENTO"),1,IF(AND(OR(G18397="MERCADO PAGO",G18397="pix mercado pago",G18397= "débito automático mercado pago", G18397= "boleto mercado pago"),A18397="DESPESAS"),4,IF(AND(G18397="SAFRA",A18397="FATURAMENTO"),2,IF(AND(OR(G18397="SAFRA",G18397="PIX SAFRA", G18397="DÉBITO AUTOMÁTICO SAFRA", G18397= "BOLETO SAFRA", G18397= "transferência safra"), A18397="DESPESAS"),5,IF(AND(G18397="espécie",A18397="FATURAMENTO"),3,IF(AND(G18397="espécie",A18397="DESPESAS"),6))))))</f>
        <v>0</v>
      </c>
      <c r="M18397" s="17" t="str">
        <f t="shared" si="878"/>
        <v/>
      </c>
      <c r="N18397" s="11" t="str">
        <f t="shared" si="879"/>
        <v/>
      </c>
    </row>
    <row r="18398" spans="9:14" x14ac:dyDescent="0.25">
      <c r="I18398" s="11" t="b">
        <f t="shared" si="880"/>
        <v>0</v>
      </c>
      <c r="M18398" s="17" t="str">
        <f t="shared" si="878"/>
        <v/>
      </c>
      <c r="N18398" s="11" t="str">
        <f t="shared" si="879"/>
        <v/>
      </c>
    </row>
    <row r="18399" spans="9:14" x14ac:dyDescent="0.25">
      <c r="I18399" s="11" t="b">
        <f t="shared" si="880"/>
        <v>0</v>
      </c>
      <c r="M18399" s="17" t="str">
        <f t="shared" si="878"/>
        <v/>
      </c>
      <c r="N18399" s="11" t="str">
        <f t="shared" si="879"/>
        <v/>
      </c>
    </row>
    <row r="18400" spans="9:14" x14ac:dyDescent="0.25">
      <c r="I18400" s="11" t="b">
        <f t="shared" si="880"/>
        <v>0</v>
      </c>
      <c r="M18400" s="17" t="str">
        <f t="shared" si="878"/>
        <v/>
      </c>
      <c r="N18400" s="11" t="str">
        <f t="shared" si="879"/>
        <v/>
      </c>
    </row>
    <row r="18401" spans="9:14" x14ac:dyDescent="0.25">
      <c r="I18401" s="11" t="b">
        <f t="shared" si="880"/>
        <v>0</v>
      </c>
      <c r="M18401" s="17" t="str">
        <f t="shared" si="878"/>
        <v/>
      </c>
      <c r="N18401" s="11" t="str">
        <f t="shared" si="879"/>
        <v/>
      </c>
    </row>
    <row r="18402" spans="9:14" x14ac:dyDescent="0.25">
      <c r="I18402" s="11" t="b">
        <f t="shared" si="880"/>
        <v>0</v>
      </c>
      <c r="M18402" s="17" t="str">
        <f t="shared" si="878"/>
        <v/>
      </c>
      <c r="N18402" s="11" t="str">
        <f t="shared" si="879"/>
        <v/>
      </c>
    </row>
    <row r="18403" spans="9:14" x14ac:dyDescent="0.25">
      <c r="I18403" s="11" t="b">
        <f t="shared" si="880"/>
        <v>0</v>
      </c>
      <c r="M18403" s="17" t="str">
        <f t="shared" si="878"/>
        <v/>
      </c>
      <c r="N18403" s="11" t="str">
        <f t="shared" si="879"/>
        <v/>
      </c>
    </row>
    <row r="18404" spans="9:14" x14ac:dyDescent="0.25">
      <c r="I18404" s="11" t="b">
        <f t="shared" si="880"/>
        <v>0</v>
      </c>
      <c r="M18404" s="17" t="str">
        <f t="shared" si="878"/>
        <v/>
      </c>
      <c r="N18404" s="11" t="str">
        <f t="shared" si="879"/>
        <v/>
      </c>
    </row>
    <row r="18405" spans="9:14" x14ac:dyDescent="0.25">
      <c r="I18405" s="11" t="b">
        <f t="shared" si="880"/>
        <v>0</v>
      </c>
      <c r="M18405" s="17" t="str">
        <f t="shared" si="878"/>
        <v/>
      </c>
      <c r="N18405" s="11" t="str">
        <f t="shared" si="879"/>
        <v/>
      </c>
    </row>
    <row r="18406" spans="9:14" x14ac:dyDescent="0.25">
      <c r="I18406" s="11" t="b">
        <f t="shared" si="880"/>
        <v>0</v>
      </c>
      <c r="M18406" s="17" t="str">
        <f t="shared" si="878"/>
        <v/>
      </c>
      <c r="N18406" s="11" t="str">
        <f t="shared" si="879"/>
        <v/>
      </c>
    </row>
    <row r="18407" spans="9:14" x14ac:dyDescent="0.25">
      <c r="I18407" s="11" t="b">
        <f t="shared" si="880"/>
        <v>0</v>
      </c>
      <c r="M18407" s="17" t="str">
        <f t="shared" si="878"/>
        <v/>
      </c>
      <c r="N18407" s="11" t="str">
        <f t="shared" si="879"/>
        <v/>
      </c>
    </row>
    <row r="18408" spans="9:14" x14ac:dyDescent="0.25">
      <c r="I18408" s="11" t="b">
        <f t="shared" si="880"/>
        <v>0</v>
      </c>
      <c r="M18408" s="17" t="str">
        <f t="shared" si="878"/>
        <v/>
      </c>
      <c r="N18408" s="11" t="str">
        <f t="shared" si="879"/>
        <v/>
      </c>
    </row>
    <row r="18409" spans="9:14" x14ac:dyDescent="0.25">
      <c r="I18409" s="11" t="b">
        <f t="shared" si="880"/>
        <v>0</v>
      </c>
      <c r="M18409" s="17" t="str">
        <f t="shared" si="878"/>
        <v/>
      </c>
      <c r="N18409" s="11" t="str">
        <f t="shared" si="879"/>
        <v/>
      </c>
    </row>
    <row r="18410" spans="9:14" x14ac:dyDescent="0.25">
      <c r="I18410" s="11" t="b">
        <f t="shared" si="880"/>
        <v>0</v>
      </c>
      <c r="M18410" s="17" t="str">
        <f t="shared" si="878"/>
        <v/>
      </c>
      <c r="N18410" s="11" t="str">
        <f t="shared" si="879"/>
        <v/>
      </c>
    </row>
    <row r="18411" spans="9:14" x14ac:dyDescent="0.25">
      <c r="I18411" s="11" t="b">
        <f t="shared" si="880"/>
        <v>0</v>
      </c>
      <c r="M18411" s="17" t="str">
        <f t="shared" si="878"/>
        <v/>
      </c>
      <c r="N18411" s="11" t="str">
        <f t="shared" si="879"/>
        <v/>
      </c>
    </row>
    <row r="18412" spans="9:14" x14ac:dyDescent="0.25">
      <c r="I18412" s="11" t="b">
        <f t="shared" si="880"/>
        <v>0</v>
      </c>
      <c r="M18412" s="17" t="str">
        <f t="shared" si="878"/>
        <v/>
      </c>
      <c r="N18412" s="11" t="str">
        <f t="shared" si="879"/>
        <v/>
      </c>
    </row>
    <row r="18413" spans="9:14" x14ac:dyDescent="0.25">
      <c r="I18413" s="11" t="b">
        <f t="shared" si="880"/>
        <v>0</v>
      </c>
      <c r="M18413" s="17" t="str">
        <f t="shared" si="878"/>
        <v/>
      </c>
      <c r="N18413" s="11" t="str">
        <f t="shared" si="879"/>
        <v/>
      </c>
    </row>
    <row r="18414" spans="9:14" x14ac:dyDescent="0.25">
      <c r="I18414" s="11" t="b">
        <f t="shared" si="880"/>
        <v>0</v>
      </c>
      <c r="M18414" s="17" t="str">
        <f t="shared" si="878"/>
        <v/>
      </c>
      <c r="N18414" s="11" t="str">
        <f t="shared" si="879"/>
        <v/>
      </c>
    </row>
    <row r="18415" spans="9:14" x14ac:dyDescent="0.25">
      <c r="I18415" s="11" t="b">
        <f t="shared" si="880"/>
        <v>0</v>
      </c>
      <c r="M18415" s="17" t="str">
        <f t="shared" si="878"/>
        <v/>
      </c>
      <c r="N18415" s="11" t="str">
        <f t="shared" si="879"/>
        <v/>
      </c>
    </row>
    <row r="18416" spans="9:14" x14ac:dyDescent="0.25">
      <c r="I18416" s="11" t="b">
        <f t="shared" si="880"/>
        <v>0</v>
      </c>
      <c r="M18416" s="17" t="str">
        <f t="shared" si="878"/>
        <v/>
      </c>
      <c r="N18416" s="11" t="str">
        <f t="shared" si="879"/>
        <v/>
      </c>
    </row>
    <row r="18417" spans="9:14" x14ac:dyDescent="0.25">
      <c r="I18417" s="11" t="b">
        <f t="shared" si="880"/>
        <v>0</v>
      </c>
      <c r="M18417" s="17" t="str">
        <f t="shared" si="878"/>
        <v/>
      </c>
      <c r="N18417" s="11" t="str">
        <f t="shared" si="879"/>
        <v/>
      </c>
    </row>
    <row r="18418" spans="9:14" x14ac:dyDescent="0.25">
      <c r="I18418" s="11" t="b">
        <f t="shared" si="880"/>
        <v>0</v>
      </c>
      <c r="M18418" s="17" t="str">
        <f t="shared" si="878"/>
        <v/>
      </c>
      <c r="N18418" s="11" t="str">
        <f t="shared" si="879"/>
        <v/>
      </c>
    </row>
    <row r="18419" spans="9:14" x14ac:dyDescent="0.25">
      <c r="I18419" s="11" t="b">
        <f t="shared" si="880"/>
        <v>0</v>
      </c>
      <c r="M18419" s="17" t="str">
        <f t="shared" si="878"/>
        <v/>
      </c>
      <c r="N18419" s="11" t="str">
        <f t="shared" si="879"/>
        <v/>
      </c>
    </row>
    <row r="18420" spans="9:14" x14ac:dyDescent="0.25">
      <c r="I18420" s="11" t="b">
        <f t="shared" si="880"/>
        <v>0</v>
      </c>
      <c r="M18420" s="17" t="str">
        <f t="shared" si="878"/>
        <v/>
      </c>
      <c r="N18420" s="11" t="str">
        <f t="shared" si="879"/>
        <v/>
      </c>
    </row>
    <row r="18421" spans="9:14" x14ac:dyDescent="0.25">
      <c r="I18421" s="11" t="b">
        <f t="shared" si="880"/>
        <v>0</v>
      </c>
      <c r="M18421" s="17" t="str">
        <f t="shared" si="878"/>
        <v/>
      </c>
      <c r="N18421" s="11" t="str">
        <f t="shared" si="879"/>
        <v/>
      </c>
    </row>
    <row r="18422" spans="9:14" x14ac:dyDescent="0.25">
      <c r="I18422" s="11" t="b">
        <f t="shared" si="880"/>
        <v>0</v>
      </c>
      <c r="M18422" s="17" t="str">
        <f t="shared" si="878"/>
        <v/>
      </c>
      <c r="N18422" s="11" t="str">
        <f t="shared" si="879"/>
        <v/>
      </c>
    </row>
    <row r="18423" spans="9:14" x14ac:dyDescent="0.25">
      <c r="I18423" s="11" t="b">
        <f t="shared" si="880"/>
        <v>0</v>
      </c>
      <c r="M18423" s="17" t="str">
        <f t="shared" si="878"/>
        <v/>
      </c>
      <c r="N18423" s="11" t="str">
        <f t="shared" si="879"/>
        <v/>
      </c>
    </row>
    <row r="18424" spans="9:14" x14ac:dyDescent="0.25">
      <c r="I18424" s="11" t="b">
        <f t="shared" si="880"/>
        <v>0</v>
      </c>
      <c r="M18424" s="17" t="str">
        <f t="shared" si="878"/>
        <v/>
      </c>
      <c r="N18424" s="11" t="str">
        <f t="shared" si="879"/>
        <v/>
      </c>
    </row>
    <row r="18425" spans="9:14" x14ac:dyDescent="0.25">
      <c r="I18425" s="11" t="b">
        <f t="shared" si="880"/>
        <v>0</v>
      </c>
      <c r="M18425" s="17" t="str">
        <f t="shared" si="878"/>
        <v/>
      </c>
      <c r="N18425" s="11" t="str">
        <f t="shared" si="879"/>
        <v/>
      </c>
    </row>
    <row r="18426" spans="9:14" x14ac:dyDescent="0.25">
      <c r="I18426" s="11" t="b">
        <f t="shared" si="880"/>
        <v>0</v>
      </c>
      <c r="M18426" s="17" t="str">
        <f t="shared" si="878"/>
        <v/>
      </c>
      <c r="N18426" s="11" t="str">
        <f t="shared" si="879"/>
        <v/>
      </c>
    </row>
    <row r="18427" spans="9:14" x14ac:dyDescent="0.25">
      <c r="I18427" s="11" t="b">
        <f t="shared" si="880"/>
        <v>0</v>
      </c>
      <c r="M18427" s="17" t="str">
        <f t="shared" si="878"/>
        <v/>
      </c>
      <c r="N18427" s="11" t="str">
        <f t="shared" si="879"/>
        <v/>
      </c>
    </row>
    <row r="18428" spans="9:14" x14ac:dyDescent="0.25">
      <c r="I18428" s="11" t="b">
        <f t="shared" si="880"/>
        <v>0</v>
      </c>
      <c r="M18428" s="17" t="str">
        <f t="shared" si="878"/>
        <v/>
      </c>
      <c r="N18428" s="11" t="str">
        <f t="shared" si="879"/>
        <v/>
      </c>
    </row>
    <row r="18429" spans="9:14" x14ac:dyDescent="0.25">
      <c r="I18429" s="11" t="b">
        <f t="shared" si="880"/>
        <v>0</v>
      </c>
      <c r="M18429" s="17" t="str">
        <f t="shared" si="878"/>
        <v/>
      </c>
      <c r="N18429" s="11" t="str">
        <f t="shared" si="879"/>
        <v/>
      </c>
    </row>
    <row r="18430" spans="9:14" x14ac:dyDescent="0.25">
      <c r="I18430" s="11" t="b">
        <f t="shared" si="880"/>
        <v>0</v>
      </c>
      <c r="M18430" s="17" t="str">
        <f t="shared" si="878"/>
        <v/>
      </c>
      <c r="N18430" s="11" t="str">
        <f t="shared" si="879"/>
        <v/>
      </c>
    </row>
    <row r="18431" spans="9:14" x14ac:dyDescent="0.25">
      <c r="I18431" s="11" t="b">
        <f t="shared" si="880"/>
        <v>0</v>
      </c>
      <c r="M18431" s="17" t="str">
        <f t="shared" si="878"/>
        <v/>
      </c>
      <c r="N18431" s="11" t="str">
        <f t="shared" si="879"/>
        <v/>
      </c>
    </row>
    <row r="18432" spans="9:14" x14ac:dyDescent="0.25">
      <c r="I18432" s="11" t="b">
        <f t="shared" si="880"/>
        <v>0</v>
      </c>
      <c r="M18432" s="17" t="str">
        <f t="shared" si="878"/>
        <v/>
      </c>
      <c r="N18432" s="11" t="str">
        <f t="shared" si="879"/>
        <v/>
      </c>
    </row>
    <row r="18433" spans="9:14" x14ac:dyDescent="0.25">
      <c r="I18433" s="11" t="b">
        <f t="shared" si="880"/>
        <v>0</v>
      </c>
      <c r="M18433" s="17" t="str">
        <f t="shared" ref="M18433:M18496" si="881">IF(B18433=0, "",M18432+ J18433-K18433)</f>
        <v/>
      </c>
      <c r="N18433" s="11" t="str">
        <f t="shared" ref="N18433:N18496" si="882">IF(B18433=0, "", MONTH(B18433))</f>
        <v/>
      </c>
    </row>
    <row r="18434" spans="9:14" x14ac:dyDescent="0.25">
      <c r="I18434" s="11" t="b">
        <f t="shared" si="880"/>
        <v>0</v>
      </c>
      <c r="M18434" s="17" t="str">
        <f t="shared" si="881"/>
        <v/>
      </c>
      <c r="N18434" s="11" t="str">
        <f t="shared" si="882"/>
        <v/>
      </c>
    </row>
    <row r="18435" spans="9:14" x14ac:dyDescent="0.25">
      <c r="I18435" s="11" t="b">
        <f t="shared" si="880"/>
        <v>0</v>
      </c>
      <c r="M18435" s="17" t="str">
        <f t="shared" si="881"/>
        <v/>
      </c>
      <c r="N18435" s="11" t="str">
        <f t="shared" si="882"/>
        <v/>
      </c>
    </row>
    <row r="18436" spans="9:14" x14ac:dyDescent="0.25">
      <c r="I18436" s="11" t="b">
        <f t="shared" si="880"/>
        <v>0</v>
      </c>
      <c r="M18436" s="17" t="str">
        <f t="shared" si="881"/>
        <v/>
      </c>
      <c r="N18436" s="11" t="str">
        <f t="shared" si="882"/>
        <v/>
      </c>
    </row>
    <row r="18437" spans="9:14" x14ac:dyDescent="0.25">
      <c r="I18437" s="11" t="b">
        <f t="shared" si="880"/>
        <v>0</v>
      </c>
      <c r="M18437" s="17" t="str">
        <f t="shared" si="881"/>
        <v/>
      </c>
      <c r="N18437" s="11" t="str">
        <f t="shared" si="882"/>
        <v/>
      </c>
    </row>
    <row r="18438" spans="9:14" x14ac:dyDescent="0.25">
      <c r="I18438" s="11" t="b">
        <f t="shared" si="880"/>
        <v>0</v>
      </c>
      <c r="M18438" s="17" t="str">
        <f t="shared" si="881"/>
        <v/>
      </c>
      <c r="N18438" s="11" t="str">
        <f t="shared" si="882"/>
        <v/>
      </c>
    </row>
    <row r="18439" spans="9:14" x14ac:dyDescent="0.25">
      <c r="I18439" s="11" t="b">
        <f t="shared" si="880"/>
        <v>0</v>
      </c>
      <c r="M18439" s="17" t="str">
        <f t="shared" si="881"/>
        <v/>
      </c>
      <c r="N18439" s="11" t="str">
        <f t="shared" si="882"/>
        <v/>
      </c>
    </row>
    <row r="18440" spans="9:14" x14ac:dyDescent="0.25">
      <c r="I18440" s="11" t="b">
        <f t="shared" si="880"/>
        <v>0</v>
      </c>
      <c r="M18440" s="17" t="str">
        <f t="shared" si="881"/>
        <v/>
      </c>
      <c r="N18440" s="11" t="str">
        <f t="shared" si="882"/>
        <v/>
      </c>
    </row>
    <row r="18441" spans="9:14" x14ac:dyDescent="0.25">
      <c r="I18441" s="11" t="b">
        <f t="shared" si="880"/>
        <v>0</v>
      </c>
      <c r="M18441" s="17" t="str">
        <f t="shared" si="881"/>
        <v/>
      </c>
      <c r="N18441" s="11" t="str">
        <f t="shared" si="882"/>
        <v/>
      </c>
    </row>
    <row r="18442" spans="9:14" x14ac:dyDescent="0.25">
      <c r="I18442" s="11" t="b">
        <f t="shared" si="880"/>
        <v>0</v>
      </c>
      <c r="M18442" s="17" t="str">
        <f t="shared" si="881"/>
        <v/>
      </c>
      <c r="N18442" s="11" t="str">
        <f t="shared" si="882"/>
        <v/>
      </c>
    </row>
    <row r="18443" spans="9:14" x14ac:dyDescent="0.25">
      <c r="I18443" s="11" t="b">
        <f t="shared" si="880"/>
        <v>0</v>
      </c>
      <c r="M18443" s="17" t="str">
        <f t="shared" si="881"/>
        <v/>
      </c>
      <c r="N18443" s="11" t="str">
        <f t="shared" si="882"/>
        <v/>
      </c>
    </row>
    <row r="18444" spans="9:14" x14ac:dyDescent="0.25">
      <c r="I18444" s="11" t="b">
        <f t="shared" si="880"/>
        <v>0</v>
      </c>
      <c r="M18444" s="17" t="str">
        <f t="shared" si="881"/>
        <v/>
      </c>
      <c r="N18444" s="11" t="str">
        <f t="shared" si="882"/>
        <v/>
      </c>
    </row>
    <row r="18445" spans="9:14" x14ac:dyDescent="0.25">
      <c r="I18445" s="11" t="b">
        <f t="shared" si="880"/>
        <v>0</v>
      </c>
      <c r="M18445" s="17" t="str">
        <f t="shared" si="881"/>
        <v/>
      </c>
      <c r="N18445" s="11" t="str">
        <f t="shared" si="882"/>
        <v/>
      </c>
    </row>
    <row r="18446" spans="9:14" x14ac:dyDescent="0.25">
      <c r="I18446" s="11" t="b">
        <f t="shared" si="880"/>
        <v>0</v>
      </c>
      <c r="M18446" s="17" t="str">
        <f t="shared" si="881"/>
        <v/>
      </c>
      <c r="N18446" s="11" t="str">
        <f t="shared" si="882"/>
        <v/>
      </c>
    </row>
    <row r="18447" spans="9:14" x14ac:dyDescent="0.25">
      <c r="I18447" s="11" t="b">
        <f t="shared" si="880"/>
        <v>0</v>
      </c>
      <c r="M18447" s="17" t="str">
        <f t="shared" si="881"/>
        <v/>
      </c>
      <c r="N18447" s="11" t="str">
        <f t="shared" si="882"/>
        <v/>
      </c>
    </row>
    <row r="18448" spans="9:14" x14ac:dyDescent="0.25">
      <c r="I18448" s="11" t="b">
        <f t="shared" si="880"/>
        <v>0</v>
      </c>
      <c r="M18448" s="17" t="str">
        <f t="shared" si="881"/>
        <v/>
      </c>
      <c r="N18448" s="11" t="str">
        <f t="shared" si="882"/>
        <v/>
      </c>
    </row>
    <row r="18449" spans="9:14" x14ac:dyDescent="0.25">
      <c r="I18449" s="11" t="b">
        <f t="shared" si="880"/>
        <v>0</v>
      </c>
      <c r="M18449" s="17" t="str">
        <f t="shared" si="881"/>
        <v/>
      </c>
      <c r="N18449" s="11" t="str">
        <f t="shared" si="882"/>
        <v/>
      </c>
    </row>
    <row r="18450" spans="9:14" x14ac:dyDescent="0.25">
      <c r="I18450" s="11" t="b">
        <f t="shared" si="880"/>
        <v>0</v>
      </c>
      <c r="M18450" s="17" t="str">
        <f t="shared" si="881"/>
        <v/>
      </c>
      <c r="N18450" s="11" t="str">
        <f t="shared" si="882"/>
        <v/>
      </c>
    </row>
    <row r="18451" spans="9:14" x14ac:dyDescent="0.25">
      <c r="I18451" s="11" t="b">
        <f t="shared" si="880"/>
        <v>0</v>
      </c>
      <c r="M18451" s="17" t="str">
        <f t="shared" si="881"/>
        <v/>
      </c>
      <c r="N18451" s="11" t="str">
        <f t="shared" si="882"/>
        <v/>
      </c>
    </row>
    <row r="18452" spans="9:14" x14ac:dyDescent="0.25">
      <c r="I18452" s="11" t="b">
        <f t="shared" si="880"/>
        <v>0</v>
      </c>
      <c r="M18452" s="17" t="str">
        <f t="shared" si="881"/>
        <v/>
      </c>
      <c r="N18452" s="11" t="str">
        <f t="shared" si="882"/>
        <v/>
      </c>
    </row>
    <row r="18453" spans="9:14" x14ac:dyDescent="0.25">
      <c r="I18453" s="11" t="b">
        <f t="shared" si="880"/>
        <v>0</v>
      </c>
      <c r="M18453" s="17" t="str">
        <f t="shared" si="881"/>
        <v/>
      </c>
      <c r="N18453" s="11" t="str">
        <f t="shared" si="882"/>
        <v/>
      </c>
    </row>
    <row r="18454" spans="9:14" x14ac:dyDescent="0.25">
      <c r="I18454" s="11" t="b">
        <f t="shared" si="880"/>
        <v>0</v>
      </c>
      <c r="M18454" s="17" t="str">
        <f t="shared" si="881"/>
        <v/>
      </c>
      <c r="N18454" s="11" t="str">
        <f t="shared" si="882"/>
        <v/>
      </c>
    </row>
    <row r="18455" spans="9:14" x14ac:dyDescent="0.25">
      <c r="I18455" s="11" t="b">
        <f t="shared" si="880"/>
        <v>0</v>
      </c>
      <c r="M18455" s="17" t="str">
        <f t="shared" si="881"/>
        <v/>
      </c>
      <c r="N18455" s="11" t="str">
        <f t="shared" si="882"/>
        <v/>
      </c>
    </row>
    <row r="18456" spans="9:14" x14ac:dyDescent="0.25">
      <c r="I18456" s="11" t="b">
        <f t="shared" si="880"/>
        <v>0</v>
      </c>
      <c r="M18456" s="17" t="str">
        <f t="shared" si="881"/>
        <v/>
      </c>
      <c r="N18456" s="11" t="str">
        <f t="shared" si="882"/>
        <v/>
      </c>
    </row>
    <row r="18457" spans="9:14" x14ac:dyDescent="0.25">
      <c r="I18457" s="11" t="b">
        <f t="shared" si="880"/>
        <v>0</v>
      </c>
      <c r="M18457" s="17" t="str">
        <f t="shared" si="881"/>
        <v/>
      </c>
      <c r="N18457" s="11" t="str">
        <f t="shared" si="882"/>
        <v/>
      </c>
    </row>
    <row r="18458" spans="9:14" x14ac:dyDescent="0.25">
      <c r="I18458" s="11" t="b">
        <f t="shared" si="880"/>
        <v>0</v>
      </c>
      <c r="M18458" s="17" t="str">
        <f t="shared" si="881"/>
        <v/>
      </c>
      <c r="N18458" s="11" t="str">
        <f t="shared" si="882"/>
        <v/>
      </c>
    </row>
    <row r="18459" spans="9:14" x14ac:dyDescent="0.25">
      <c r="I18459" s="11" t="b">
        <f t="shared" si="880"/>
        <v>0</v>
      </c>
      <c r="M18459" s="17" t="str">
        <f t="shared" si="881"/>
        <v/>
      </c>
      <c r="N18459" s="11" t="str">
        <f t="shared" si="882"/>
        <v/>
      </c>
    </row>
    <row r="18460" spans="9:14" x14ac:dyDescent="0.25">
      <c r="I18460" s="11" t="b">
        <f t="shared" si="880"/>
        <v>0</v>
      </c>
      <c r="M18460" s="17" t="str">
        <f t="shared" si="881"/>
        <v/>
      </c>
      <c r="N18460" s="11" t="str">
        <f t="shared" si="882"/>
        <v/>
      </c>
    </row>
    <row r="18461" spans="9:14" x14ac:dyDescent="0.25">
      <c r="I18461" s="11" t="b">
        <f t="shared" ref="I18461:I18524" si="883">IF(AND(G18461="MERCADO PAGO",A18461="FATURAMENTO"),1,IF(AND(OR(G18461="MERCADO PAGO",G18461="pix mercado pago",G18461= "débito automático mercado pago", G18461= "boleto mercado pago"),A18461="DESPESAS"),4,IF(AND(G18461="SAFRA",A18461="FATURAMENTO"),2,IF(AND(OR(G18461="SAFRA",G18461="PIX SAFRA", G18461="DÉBITO AUTOMÁTICO SAFRA", G18461= "BOLETO SAFRA", G18461= "transferência safra"), A18461="DESPESAS"),5,IF(AND(G18461="espécie",A18461="FATURAMENTO"),3,IF(AND(G18461="espécie",A18461="DESPESAS"),6))))))</f>
        <v>0</v>
      </c>
      <c r="M18461" s="17" t="str">
        <f t="shared" si="881"/>
        <v/>
      </c>
      <c r="N18461" s="11" t="str">
        <f t="shared" si="882"/>
        <v/>
      </c>
    </row>
    <row r="18462" spans="9:14" x14ac:dyDescent="0.25">
      <c r="I18462" s="11" t="b">
        <f t="shared" si="883"/>
        <v>0</v>
      </c>
      <c r="M18462" s="17" t="str">
        <f t="shared" si="881"/>
        <v/>
      </c>
      <c r="N18462" s="11" t="str">
        <f t="shared" si="882"/>
        <v/>
      </c>
    </row>
    <row r="18463" spans="9:14" x14ac:dyDescent="0.25">
      <c r="I18463" s="11" t="b">
        <f t="shared" si="883"/>
        <v>0</v>
      </c>
      <c r="M18463" s="17" t="str">
        <f t="shared" si="881"/>
        <v/>
      </c>
      <c r="N18463" s="11" t="str">
        <f t="shared" si="882"/>
        <v/>
      </c>
    </row>
    <row r="18464" spans="9:14" x14ac:dyDescent="0.25">
      <c r="I18464" s="11" t="b">
        <f t="shared" si="883"/>
        <v>0</v>
      </c>
      <c r="M18464" s="17" t="str">
        <f t="shared" si="881"/>
        <v/>
      </c>
      <c r="N18464" s="11" t="str">
        <f t="shared" si="882"/>
        <v/>
      </c>
    </row>
    <row r="18465" spans="9:14" x14ac:dyDescent="0.25">
      <c r="I18465" s="11" t="b">
        <f t="shared" si="883"/>
        <v>0</v>
      </c>
      <c r="M18465" s="17" t="str">
        <f t="shared" si="881"/>
        <v/>
      </c>
      <c r="N18465" s="11" t="str">
        <f t="shared" si="882"/>
        <v/>
      </c>
    </row>
    <row r="18466" spans="9:14" x14ac:dyDescent="0.25">
      <c r="I18466" s="11" t="b">
        <f t="shared" si="883"/>
        <v>0</v>
      </c>
      <c r="M18466" s="17" t="str">
        <f t="shared" si="881"/>
        <v/>
      </c>
      <c r="N18466" s="11" t="str">
        <f t="shared" si="882"/>
        <v/>
      </c>
    </row>
    <row r="18467" spans="9:14" x14ac:dyDescent="0.25">
      <c r="I18467" s="11" t="b">
        <f t="shared" si="883"/>
        <v>0</v>
      </c>
      <c r="M18467" s="17" t="str">
        <f t="shared" si="881"/>
        <v/>
      </c>
      <c r="N18467" s="11" t="str">
        <f t="shared" si="882"/>
        <v/>
      </c>
    </row>
    <row r="18468" spans="9:14" x14ac:dyDescent="0.25">
      <c r="I18468" s="11" t="b">
        <f t="shared" si="883"/>
        <v>0</v>
      </c>
      <c r="M18468" s="17" t="str">
        <f t="shared" si="881"/>
        <v/>
      </c>
      <c r="N18468" s="11" t="str">
        <f t="shared" si="882"/>
        <v/>
      </c>
    </row>
    <row r="18469" spans="9:14" x14ac:dyDescent="0.25">
      <c r="I18469" s="11" t="b">
        <f t="shared" si="883"/>
        <v>0</v>
      </c>
      <c r="M18469" s="17" t="str">
        <f t="shared" si="881"/>
        <v/>
      </c>
      <c r="N18469" s="11" t="str">
        <f t="shared" si="882"/>
        <v/>
      </c>
    </row>
    <row r="18470" spans="9:14" x14ac:dyDescent="0.25">
      <c r="I18470" s="11" t="b">
        <f t="shared" si="883"/>
        <v>0</v>
      </c>
      <c r="M18470" s="17" t="str">
        <f t="shared" si="881"/>
        <v/>
      </c>
      <c r="N18470" s="11" t="str">
        <f t="shared" si="882"/>
        <v/>
      </c>
    </row>
    <row r="18471" spans="9:14" x14ac:dyDescent="0.25">
      <c r="I18471" s="11" t="b">
        <f t="shared" si="883"/>
        <v>0</v>
      </c>
      <c r="M18471" s="17" t="str">
        <f t="shared" si="881"/>
        <v/>
      </c>
      <c r="N18471" s="11" t="str">
        <f t="shared" si="882"/>
        <v/>
      </c>
    </row>
    <row r="18472" spans="9:14" x14ac:dyDescent="0.25">
      <c r="I18472" s="11" t="b">
        <f t="shared" si="883"/>
        <v>0</v>
      </c>
      <c r="M18472" s="17" t="str">
        <f t="shared" si="881"/>
        <v/>
      </c>
      <c r="N18472" s="11" t="str">
        <f t="shared" si="882"/>
        <v/>
      </c>
    </row>
    <row r="18473" spans="9:14" x14ac:dyDescent="0.25">
      <c r="I18473" s="11" t="b">
        <f t="shared" si="883"/>
        <v>0</v>
      </c>
      <c r="M18473" s="17" t="str">
        <f t="shared" si="881"/>
        <v/>
      </c>
      <c r="N18473" s="11" t="str">
        <f t="shared" si="882"/>
        <v/>
      </c>
    </row>
    <row r="18474" spans="9:14" x14ac:dyDescent="0.25">
      <c r="I18474" s="11" t="b">
        <f t="shared" si="883"/>
        <v>0</v>
      </c>
      <c r="M18474" s="17" t="str">
        <f t="shared" si="881"/>
        <v/>
      </c>
      <c r="N18474" s="11" t="str">
        <f t="shared" si="882"/>
        <v/>
      </c>
    </row>
    <row r="18475" spans="9:14" x14ac:dyDescent="0.25">
      <c r="I18475" s="11" t="b">
        <f t="shared" si="883"/>
        <v>0</v>
      </c>
      <c r="M18475" s="17" t="str">
        <f t="shared" si="881"/>
        <v/>
      </c>
      <c r="N18475" s="11" t="str">
        <f t="shared" si="882"/>
        <v/>
      </c>
    </row>
    <row r="18476" spans="9:14" x14ac:dyDescent="0.25">
      <c r="I18476" s="11" t="b">
        <f t="shared" si="883"/>
        <v>0</v>
      </c>
      <c r="M18476" s="17" t="str">
        <f t="shared" si="881"/>
        <v/>
      </c>
      <c r="N18476" s="11" t="str">
        <f t="shared" si="882"/>
        <v/>
      </c>
    </row>
    <row r="18477" spans="9:14" x14ac:dyDescent="0.25">
      <c r="I18477" s="11" t="b">
        <f t="shared" si="883"/>
        <v>0</v>
      </c>
      <c r="M18477" s="17" t="str">
        <f t="shared" si="881"/>
        <v/>
      </c>
      <c r="N18477" s="11" t="str">
        <f t="shared" si="882"/>
        <v/>
      </c>
    </row>
    <row r="18478" spans="9:14" x14ac:dyDescent="0.25">
      <c r="I18478" s="11" t="b">
        <f t="shared" si="883"/>
        <v>0</v>
      </c>
      <c r="M18478" s="17" t="str">
        <f t="shared" si="881"/>
        <v/>
      </c>
      <c r="N18478" s="11" t="str">
        <f t="shared" si="882"/>
        <v/>
      </c>
    </row>
    <row r="18479" spans="9:14" x14ac:dyDescent="0.25">
      <c r="I18479" s="11" t="b">
        <f t="shared" si="883"/>
        <v>0</v>
      </c>
      <c r="M18479" s="17" t="str">
        <f t="shared" si="881"/>
        <v/>
      </c>
      <c r="N18479" s="11" t="str">
        <f t="shared" si="882"/>
        <v/>
      </c>
    </row>
    <row r="18480" spans="9:14" x14ac:dyDescent="0.25">
      <c r="I18480" s="11" t="b">
        <f t="shared" si="883"/>
        <v>0</v>
      </c>
      <c r="M18480" s="17" t="str">
        <f t="shared" si="881"/>
        <v/>
      </c>
      <c r="N18480" s="11" t="str">
        <f t="shared" si="882"/>
        <v/>
      </c>
    </row>
    <row r="18481" spans="9:14" x14ac:dyDescent="0.25">
      <c r="I18481" s="11" t="b">
        <f t="shared" si="883"/>
        <v>0</v>
      </c>
      <c r="M18481" s="17" t="str">
        <f t="shared" si="881"/>
        <v/>
      </c>
      <c r="N18481" s="11" t="str">
        <f t="shared" si="882"/>
        <v/>
      </c>
    </row>
    <row r="18482" spans="9:14" x14ac:dyDescent="0.25">
      <c r="I18482" s="11" t="b">
        <f t="shared" si="883"/>
        <v>0</v>
      </c>
      <c r="M18482" s="17" t="str">
        <f t="shared" si="881"/>
        <v/>
      </c>
      <c r="N18482" s="11" t="str">
        <f t="shared" si="882"/>
        <v/>
      </c>
    </row>
    <row r="18483" spans="9:14" x14ac:dyDescent="0.25">
      <c r="I18483" s="11" t="b">
        <f t="shared" si="883"/>
        <v>0</v>
      </c>
      <c r="M18483" s="17" t="str">
        <f t="shared" si="881"/>
        <v/>
      </c>
      <c r="N18483" s="11" t="str">
        <f t="shared" si="882"/>
        <v/>
      </c>
    </row>
    <row r="18484" spans="9:14" x14ac:dyDescent="0.25">
      <c r="I18484" s="11" t="b">
        <f t="shared" si="883"/>
        <v>0</v>
      </c>
      <c r="M18484" s="17" t="str">
        <f t="shared" si="881"/>
        <v/>
      </c>
      <c r="N18484" s="11" t="str">
        <f t="shared" si="882"/>
        <v/>
      </c>
    </row>
    <row r="18485" spans="9:14" x14ac:dyDescent="0.25">
      <c r="I18485" s="11" t="b">
        <f t="shared" si="883"/>
        <v>0</v>
      </c>
      <c r="M18485" s="17" t="str">
        <f t="shared" si="881"/>
        <v/>
      </c>
      <c r="N18485" s="11" t="str">
        <f t="shared" si="882"/>
        <v/>
      </c>
    </row>
    <row r="18486" spans="9:14" x14ac:dyDescent="0.25">
      <c r="I18486" s="11" t="b">
        <f t="shared" si="883"/>
        <v>0</v>
      </c>
      <c r="M18486" s="17" t="str">
        <f t="shared" si="881"/>
        <v/>
      </c>
      <c r="N18486" s="11" t="str">
        <f t="shared" si="882"/>
        <v/>
      </c>
    </row>
    <row r="18487" spans="9:14" x14ac:dyDescent="0.25">
      <c r="I18487" s="11" t="b">
        <f t="shared" si="883"/>
        <v>0</v>
      </c>
      <c r="M18487" s="17" t="str">
        <f t="shared" si="881"/>
        <v/>
      </c>
      <c r="N18487" s="11" t="str">
        <f t="shared" si="882"/>
        <v/>
      </c>
    </row>
    <row r="18488" spans="9:14" x14ac:dyDescent="0.25">
      <c r="I18488" s="11" t="b">
        <f t="shared" si="883"/>
        <v>0</v>
      </c>
      <c r="M18488" s="17" t="str">
        <f t="shared" si="881"/>
        <v/>
      </c>
      <c r="N18488" s="11" t="str">
        <f t="shared" si="882"/>
        <v/>
      </c>
    </row>
    <row r="18489" spans="9:14" x14ac:dyDescent="0.25">
      <c r="I18489" s="11" t="b">
        <f t="shared" si="883"/>
        <v>0</v>
      </c>
      <c r="M18489" s="17" t="str">
        <f t="shared" si="881"/>
        <v/>
      </c>
      <c r="N18489" s="11" t="str">
        <f t="shared" si="882"/>
        <v/>
      </c>
    </row>
    <row r="18490" spans="9:14" x14ac:dyDescent="0.25">
      <c r="I18490" s="11" t="b">
        <f t="shared" si="883"/>
        <v>0</v>
      </c>
      <c r="M18490" s="17" t="str">
        <f t="shared" si="881"/>
        <v/>
      </c>
      <c r="N18490" s="11" t="str">
        <f t="shared" si="882"/>
        <v/>
      </c>
    </row>
    <row r="18491" spans="9:14" x14ac:dyDescent="0.25">
      <c r="I18491" s="11" t="b">
        <f t="shared" si="883"/>
        <v>0</v>
      </c>
      <c r="M18491" s="17" t="str">
        <f t="shared" si="881"/>
        <v/>
      </c>
      <c r="N18491" s="11" t="str">
        <f t="shared" si="882"/>
        <v/>
      </c>
    </row>
    <row r="18492" spans="9:14" x14ac:dyDescent="0.25">
      <c r="I18492" s="11" t="b">
        <f t="shared" si="883"/>
        <v>0</v>
      </c>
      <c r="M18492" s="17" t="str">
        <f t="shared" si="881"/>
        <v/>
      </c>
      <c r="N18492" s="11" t="str">
        <f t="shared" si="882"/>
        <v/>
      </c>
    </row>
    <row r="18493" spans="9:14" x14ac:dyDescent="0.25">
      <c r="I18493" s="11" t="b">
        <f t="shared" si="883"/>
        <v>0</v>
      </c>
      <c r="M18493" s="17" t="str">
        <f t="shared" si="881"/>
        <v/>
      </c>
      <c r="N18493" s="11" t="str">
        <f t="shared" si="882"/>
        <v/>
      </c>
    </row>
    <row r="18494" spans="9:14" x14ac:dyDescent="0.25">
      <c r="I18494" s="11" t="b">
        <f t="shared" si="883"/>
        <v>0</v>
      </c>
      <c r="M18494" s="17" t="str">
        <f t="shared" si="881"/>
        <v/>
      </c>
      <c r="N18494" s="11" t="str">
        <f t="shared" si="882"/>
        <v/>
      </c>
    </row>
    <row r="18495" spans="9:14" x14ac:dyDescent="0.25">
      <c r="I18495" s="11" t="b">
        <f t="shared" si="883"/>
        <v>0</v>
      </c>
      <c r="M18495" s="17" t="str">
        <f t="shared" si="881"/>
        <v/>
      </c>
      <c r="N18495" s="11" t="str">
        <f t="shared" si="882"/>
        <v/>
      </c>
    </row>
    <row r="18496" spans="9:14" x14ac:dyDescent="0.25">
      <c r="I18496" s="11" t="b">
        <f t="shared" si="883"/>
        <v>0</v>
      </c>
      <c r="M18496" s="17" t="str">
        <f t="shared" si="881"/>
        <v/>
      </c>
      <c r="N18496" s="11" t="str">
        <f t="shared" si="882"/>
        <v/>
      </c>
    </row>
    <row r="18497" spans="9:14" x14ac:dyDescent="0.25">
      <c r="I18497" s="11" t="b">
        <f t="shared" si="883"/>
        <v>0</v>
      </c>
      <c r="M18497" s="17" t="str">
        <f t="shared" ref="M18497:M18560" si="884">IF(B18497=0, "",M18496+ J18497-K18497)</f>
        <v/>
      </c>
      <c r="N18497" s="11" t="str">
        <f t="shared" ref="N18497:N18560" si="885">IF(B18497=0, "", MONTH(B18497))</f>
        <v/>
      </c>
    </row>
    <row r="18498" spans="9:14" x14ac:dyDescent="0.25">
      <c r="I18498" s="11" t="b">
        <f t="shared" si="883"/>
        <v>0</v>
      </c>
      <c r="M18498" s="17" t="str">
        <f t="shared" si="884"/>
        <v/>
      </c>
      <c r="N18498" s="11" t="str">
        <f t="shared" si="885"/>
        <v/>
      </c>
    </row>
    <row r="18499" spans="9:14" x14ac:dyDescent="0.25">
      <c r="I18499" s="11" t="b">
        <f t="shared" si="883"/>
        <v>0</v>
      </c>
      <c r="M18499" s="17" t="str">
        <f t="shared" si="884"/>
        <v/>
      </c>
      <c r="N18499" s="11" t="str">
        <f t="shared" si="885"/>
        <v/>
      </c>
    </row>
    <row r="18500" spans="9:14" x14ac:dyDescent="0.25">
      <c r="I18500" s="11" t="b">
        <f t="shared" si="883"/>
        <v>0</v>
      </c>
      <c r="M18500" s="17" t="str">
        <f t="shared" si="884"/>
        <v/>
      </c>
      <c r="N18500" s="11" t="str">
        <f t="shared" si="885"/>
        <v/>
      </c>
    </row>
    <row r="18501" spans="9:14" x14ac:dyDescent="0.25">
      <c r="I18501" s="11" t="b">
        <f t="shared" si="883"/>
        <v>0</v>
      </c>
      <c r="M18501" s="17" t="str">
        <f t="shared" si="884"/>
        <v/>
      </c>
      <c r="N18501" s="11" t="str">
        <f t="shared" si="885"/>
        <v/>
      </c>
    </row>
    <row r="18502" spans="9:14" x14ac:dyDescent="0.25">
      <c r="I18502" s="11" t="b">
        <f t="shared" si="883"/>
        <v>0</v>
      </c>
      <c r="M18502" s="17" t="str">
        <f t="shared" si="884"/>
        <v/>
      </c>
      <c r="N18502" s="11" t="str">
        <f t="shared" si="885"/>
        <v/>
      </c>
    </row>
    <row r="18503" spans="9:14" x14ac:dyDescent="0.25">
      <c r="I18503" s="11" t="b">
        <f t="shared" si="883"/>
        <v>0</v>
      </c>
      <c r="M18503" s="17" t="str">
        <f t="shared" si="884"/>
        <v/>
      </c>
      <c r="N18503" s="11" t="str">
        <f t="shared" si="885"/>
        <v/>
      </c>
    </row>
    <row r="18504" spans="9:14" x14ac:dyDescent="0.25">
      <c r="I18504" s="11" t="b">
        <f t="shared" si="883"/>
        <v>0</v>
      </c>
      <c r="M18504" s="17" t="str">
        <f t="shared" si="884"/>
        <v/>
      </c>
      <c r="N18504" s="11" t="str">
        <f t="shared" si="885"/>
        <v/>
      </c>
    </row>
    <row r="18505" spans="9:14" x14ac:dyDescent="0.25">
      <c r="I18505" s="11" t="b">
        <f t="shared" si="883"/>
        <v>0</v>
      </c>
      <c r="M18505" s="17" t="str">
        <f t="shared" si="884"/>
        <v/>
      </c>
      <c r="N18505" s="11" t="str">
        <f t="shared" si="885"/>
        <v/>
      </c>
    </row>
    <row r="18506" spans="9:14" x14ac:dyDescent="0.25">
      <c r="I18506" s="11" t="b">
        <f t="shared" si="883"/>
        <v>0</v>
      </c>
      <c r="M18506" s="17" t="str">
        <f t="shared" si="884"/>
        <v/>
      </c>
      <c r="N18506" s="11" t="str">
        <f t="shared" si="885"/>
        <v/>
      </c>
    </row>
    <row r="18507" spans="9:14" x14ac:dyDescent="0.25">
      <c r="I18507" s="11" t="b">
        <f t="shared" si="883"/>
        <v>0</v>
      </c>
      <c r="M18507" s="17" t="str">
        <f t="shared" si="884"/>
        <v/>
      </c>
      <c r="N18507" s="11" t="str">
        <f t="shared" si="885"/>
        <v/>
      </c>
    </row>
    <row r="18508" spans="9:14" x14ac:dyDescent="0.25">
      <c r="I18508" s="11" t="b">
        <f t="shared" si="883"/>
        <v>0</v>
      </c>
      <c r="M18508" s="17" t="str">
        <f t="shared" si="884"/>
        <v/>
      </c>
      <c r="N18508" s="11" t="str">
        <f t="shared" si="885"/>
        <v/>
      </c>
    </row>
    <row r="18509" spans="9:14" x14ac:dyDescent="0.25">
      <c r="I18509" s="11" t="b">
        <f t="shared" si="883"/>
        <v>0</v>
      </c>
      <c r="M18509" s="17" t="str">
        <f t="shared" si="884"/>
        <v/>
      </c>
      <c r="N18509" s="11" t="str">
        <f t="shared" si="885"/>
        <v/>
      </c>
    </row>
    <row r="18510" spans="9:14" x14ac:dyDescent="0.25">
      <c r="I18510" s="11" t="b">
        <f t="shared" si="883"/>
        <v>0</v>
      </c>
      <c r="M18510" s="17" t="str">
        <f t="shared" si="884"/>
        <v/>
      </c>
      <c r="N18510" s="11" t="str">
        <f t="shared" si="885"/>
        <v/>
      </c>
    </row>
    <row r="18511" spans="9:14" x14ac:dyDescent="0.25">
      <c r="I18511" s="11" t="b">
        <f t="shared" si="883"/>
        <v>0</v>
      </c>
      <c r="M18511" s="17" t="str">
        <f t="shared" si="884"/>
        <v/>
      </c>
      <c r="N18511" s="11" t="str">
        <f t="shared" si="885"/>
        <v/>
      </c>
    </row>
    <row r="18512" spans="9:14" x14ac:dyDescent="0.25">
      <c r="I18512" s="11" t="b">
        <f t="shared" si="883"/>
        <v>0</v>
      </c>
      <c r="M18512" s="17" t="str">
        <f t="shared" si="884"/>
        <v/>
      </c>
      <c r="N18512" s="11" t="str">
        <f t="shared" si="885"/>
        <v/>
      </c>
    </row>
    <row r="18513" spans="9:14" x14ac:dyDescent="0.25">
      <c r="I18513" s="11" t="b">
        <f t="shared" si="883"/>
        <v>0</v>
      </c>
      <c r="M18513" s="17" t="str">
        <f t="shared" si="884"/>
        <v/>
      </c>
      <c r="N18513" s="11" t="str">
        <f t="shared" si="885"/>
        <v/>
      </c>
    </row>
    <row r="18514" spans="9:14" x14ac:dyDescent="0.25">
      <c r="I18514" s="11" t="b">
        <f t="shared" si="883"/>
        <v>0</v>
      </c>
      <c r="M18514" s="17" t="str">
        <f t="shared" si="884"/>
        <v/>
      </c>
      <c r="N18514" s="11" t="str">
        <f t="shared" si="885"/>
        <v/>
      </c>
    </row>
    <row r="18515" spans="9:14" x14ac:dyDescent="0.25">
      <c r="I18515" s="11" t="b">
        <f t="shared" si="883"/>
        <v>0</v>
      </c>
      <c r="M18515" s="17" t="str">
        <f t="shared" si="884"/>
        <v/>
      </c>
      <c r="N18515" s="11" t="str">
        <f t="shared" si="885"/>
        <v/>
      </c>
    </row>
    <row r="18516" spans="9:14" x14ac:dyDescent="0.25">
      <c r="I18516" s="11" t="b">
        <f t="shared" si="883"/>
        <v>0</v>
      </c>
      <c r="M18516" s="17" t="str">
        <f t="shared" si="884"/>
        <v/>
      </c>
      <c r="N18516" s="11" t="str">
        <f t="shared" si="885"/>
        <v/>
      </c>
    </row>
    <row r="18517" spans="9:14" x14ac:dyDescent="0.25">
      <c r="I18517" s="11" t="b">
        <f t="shared" si="883"/>
        <v>0</v>
      </c>
      <c r="M18517" s="17" t="str">
        <f t="shared" si="884"/>
        <v/>
      </c>
      <c r="N18517" s="11" t="str">
        <f t="shared" si="885"/>
        <v/>
      </c>
    </row>
    <row r="18518" spans="9:14" x14ac:dyDescent="0.25">
      <c r="I18518" s="11" t="b">
        <f t="shared" si="883"/>
        <v>0</v>
      </c>
      <c r="M18518" s="17" t="str">
        <f t="shared" si="884"/>
        <v/>
      </c>
      <c r="N18518" s="11" t="str">
        <f t="shared" si="885"/>
        <v/>
      </c>
    </row>
    <row r="18519" spans="9:14" x14ac:dyDescent="0.25">
      <c r="I18519" s="11" t="b">
        <f t="shared" si="883"/>
        <v>0</v>
      </c>
      <c r="M18519" s="17" t="str">
        <f t="shared" si="884"/>
        <v/>
      </c>
      <c r="N18519" s="11" t="str">
        <f t="shared" si="885"/>
        <v/>
      </c>
    </row>
    <row r="18520" spans="9:14" x14ac:dyDescent="0.25">
      <c r="I18520" s="11" t="b">
        <f t="shared" si="883"/>
        <v>0</v>
      </c>
      <c r="M18520" s="17" t="str">
        <f t="shared" si="884"/>
        <v/>
      </c>
      <c r="N18520" s="11" t="str">
        <f t="shared" si="885"/>
        <v/>
      </c>
    </row>
    <row r="18521" spans="9:14" x14ac:dyDescent="0.25">
      <c r="I18521" s="11" t="b">
        <f t="shared" si="883"/>
        <v>0</v>
      </c>
      <c r="M18521" s="17" t="str">
        <f t="shared" si="884"/>
        <v/>
      </c>
      <c r="N18521" s="11" t="str">
        <f t="shared" si="885"/>
        <v/>
      </c>
    </row>
    <row r="18522" spans="9:14" x14ac:dyDescent="0.25">
      <c r="I18522" s="11" t="b">
        <f t="shared" si="883"/>
        <v>0</v>
      </c>
      <c r="M18522" s="17" t="str">
        <f t="shared" si="884"/>
        <v/>
      </c>
      <c r="N18522" s="11" t="str">
        <f t="shared" si="885"/>
        <v/>
      </c>
    </row>
    <row r="18523" spans="9:14" x14ac:dyDescent="0.25">
      <c r="I18523" s="11" t="b">
        <f t="shared" si="883"/>
        <v>0</v>
      </c>
      <c r="M18523" s="17" t="str">
        <f t="shared" si="884"/>
        <v/>
      </c>
      <c r="N18523" s="11" t="str">
        <f t="shared" si="885"/>
        <v/>
      </c>
    </row>
    <row r="18524" spans="9:14" x14ac:dyDescent="0.25">
      <c r="I18524" s="11" t="b">
        <f t="shared" si="883"/>
        <v>0</v>
      </c>
      <c r="M18524" s="17" t="str">
        <f t="shared" si="884"/>
        <v/>
      </c>
      <c r="N18524" s="11" t="str">
        <f t="shared" si="885"/>
        <v/>
      </c>
    </row>
    <row r="18525" spans="9:14" x14ac:dyDescent="0.25">
      <c r="I18525" s="11" t="b">
        <f t="shared" ref="I18525:I18588" si="886">IF(AND(G18525="MERCADO PAGO",A18525="FATURAMENTO"),1,IF(AND(OR(G18525="MERCADO PAGO",G18525="pix mercado pago",G18525= "débito automático mercado pago", G18525= "boleto mercado pago"),A18525="DESPESAS"),4,IF(AND(G18525="SAFRA",A18525="FATURAMENTO"),2,IF(AND(OR(G18525="SAFRA",G18525="PIX SAFRA", G18525="DÉBITO AUTOMÁTICO SAFRA", G18525= "BOLETO SAFRA", G18525= "transferência safra"), A18525="DESPESAS"),5,IF(AND(G18525="espécie",A18525="FATURAMENTO"),3,IF(AND(G18525="espécie",A18525="DESPESAS"),6))))))</f>
        <v>0</v>
      </c>
      <c r="M18525" s="17" t="str">
        <f t="shared" si="884"/>
        <v/>
      </c>
      <c r="N18525" s="11" t="str">
        <f t="shared" si="885"/>
        <v/>
      </c>
    </row>
    <row r="18526" spans="9:14" x14ac:dyDescent="0.25">
      <c r="I18526" s="11" t="b">
        <f t="shared" si="886"/>
        <v>0</v>
      </c>
      <c r="M18526" s="17" t="str">
        <f t="shared" si="884"/>
        <v/>
      </c>
      <c r="N18526" s="11" t="str">
        <f t="shared" si="885"/>
        <v/>
      </c>
    </row>
    <row r="18527" spans="9:14" x14ac:dyDescent="0.25">
      <c r="I18527" s="11" t="b">
        <f t="shared" si="886"/>
        <v>0</v>
      </c>
      <c r="M18527" s="17" t="str">
        <f t="shared" si="884"/>
        <v/>
      </c>
      <c r="N18527" s="11" t="str">
        <f t="shared" si="885"/>
        <v/>
      </c>
    </row>
    <row r="18528" spans="9:14" x14ac:dyDescent="0.25">
      <c r="I18528" s="11" t="b">
        <f t="shared" si="886"/>
        <v>0</v>
      </c>
      <c r="M18528" s="17" t="str">
        <f t="shared" si="884"/>
        <v/>
      </c>
      <c r="N18528" s="11" t="str">
        <f t="shared" si="885"/>
        <v/>
      </c>
    </row>
    <row r="18529" spans="9:14" x14ac:dyDescent="0.25">
      <c r="I18529" s="11" t="b">
        <f t="shared" si="886"/>
        <v>0</v>
      </c>
      <c r="M18529" s="17" t="str">
        <f t="shared" si="884"/>
        <v/>
      </c>
      <c r="N18529" s="11" t="str">
        <f t="shared" si="885"/>
        <v/>
      </c>
    </row>
    <row r="18530" spans="9:14" x14ac:dyDescent="0.25">
      <c r="I18530" s="11" t="b">
        <f t="shared" si="886"/>
        <v>0</v>
      </c>
      <c r="M18530" s="17" t="str">
        <f t="shared" si="884"/>
        <v/>
      </c>
      <c r="N18530" s="11" t="str">
        <f t="shared" si="885"/>
        <v/>
      </c>
    </row>
    <row r="18531" spans="9:14" x14ac:dyDescent="0.25">
      <c r="I18531" s="11" t="b">
        <f t="shared" si="886"/>
        <v>0</v>
      </c>
      <c r="M18531" s="17" t="str">
        <f t="shared" si="884"/>
        <v/>
      </c>
      <c r="N18531" s="11" t="str">
        <f t="shared" si="885"/>
        <v/>
      </c>
    </row>
    <row r="18532" spans="9:14" x14ac:dyDescent="0.25">
      <c r="I18532" s="11" t="b">
        <f t="shared" si="886"/>
        <v>0</v>
      </c>
      <c r="M18532" s="17" t="str">
        <f t="shared" si="884"/>
        <v/>
      </c>
      <c r="N18532" s="11" t="str">
        <f t="shared" si="885"/>
        <v/>
      </c>
    </row>
    <row r="18533" spans="9:14" x14ac:dyDescent="0.25">
      <c r="I18533" s="11" t="b">
        <f t="shared" si="886"/>
        <v>0</v>
      </c>
      <c r="M18533" s="17" t="str">
        <f t="shared" si="884"/>
        <v/>
      </c>
      <c r="N18533" s="11" t="str">
        <f t="shared" si="885"/>
        <v/>
      </c>
    </row>
    <row r="18534" spans="9:14" x14ac:dyDescent="0.25">
      <c r="I18534" s="11" t="b">
        <f t="shared" si="886"/>
        <v>0</v>
      </c>
      <c r="M18534" s="17" t="str">
        <f t="shared" si="884"/>
        <v/>
      </c>
      <c r="N18534" s="11" t="str">
        <f t="shared" si="885"/>
        <v/>
      </c>
    </row>
    <row r="18535" spans="9:14" x14ac:dyDescent="0.25">
      <c r="I18535" s="11" t="b">
        <f t="shared" si="886"/>
        <v>0</v>
      </c>
      <c r="M18535" s="17" t="str">
        <f t="shared" si="884"/>
        <v/>
      </c>
      <c r="N18535" s="11" t="str">
        <f t="shared" si="885"/>
        <v/>
      </c>
    </row>
    <row r="18536" spans="9:14" x14ac:dyDescent="0.25">
      <c r="I18536" s="11" t="b">
        <f t="shared" si="886"/>
        <v>0</v>
      </c>
      <c r="M18536" s="17" t="str">
        <f t="shared" si="884"/>
        <v/>
      </c>
      <c r="N18536" s="11" t="str">
        <f t="shared" si="885"/>
        <v/>
      </c>
    </row>
    <row r="18537" spans="9:14" x14ac:dyDescent="0.25">
      <c r="I18537" s="11" t="b">
        <f t="shared" si="886"/>
        <v>0</v>
      </c>
      <c r="M18537" s="17" t="str">
        <f t="shared" si="884"/>
        <v/>
      </c>
      <c r="N18537" s="11" t="str">
        <f t="shared" si="885"/>
        <v/>
      </c>
    </row>
    <row r="18538" spans="9:14" x14ac:dyDescent="0.25">
      <c r="I18538" s="11" t="b">
        <f t="shared" si="886"/>
        <v>0</v>
      </c>
      <c r="M18538" s="17" t="str">
        <f t="shared" si="884"/>
        <v/>
      </c>
      <c r="N18538" s="11" t="str">
        <f t="shared" si="885"/>
        <v/>
      </c>
    </row>
    <row r="18539" spans="9:14" x14ac:dyDescent="0.25">
      <c r="I18539" s="11" t="b">
        <f t="shared" si="886"/>
        <v>0</v>
      </c>
      <c r="M18539" s="17" t="str">
        <f t="shared" si="884"/>
        <v/>
      </c>
      <c r="N18539" s="11" t="str">
        <f t="shared" si="885"/>
        <v/>
      </c>
    </row>
    <row r="18540" spans="9:14" x14ac:dyDescent="0.25">
      <c r="I18540" s="11" t="b">
        <f t="shared" si="886"/>
        <v>0</v>
      </c>
      <c r="M18540" s="17" t="str">
        <f t="shared" si="884"/>
        <v/>
      </c>
      <c r="N18540" s="11" t="str">
        <f t="shared" si="885"/>
        <v/>
      </c>
    </row>
    <row r="18541" spans="9:14" x14ac:dyDescent="0.25">
      <c r="I18541" s="11" t="b">
        <f t="shared" si="886"/>
        <v>0</v>
      </c>
      <c r="M18541" s="17" t="str">
        <f t="shared" si="884"/>
        <v/>
      </c>
      <c r="N18541" s="11" t="str">
        <f t="shared" si="885"/>
        <v/>
      </c>
    </row>
    <row r="18542" spans="9:14" x14ac:dyDescent="0.25">
      <c r="I18542" s="11" t="b">
        <f t="shared" si="886"/>
        <v>0</v>
      </c>
      <c r="M18542" s="17" t="str">
        <f t="shared" si="884"/>
        <v/>
      </c>
      <c r="N18542" s="11" t="str">
        <f t="shared" si="885"/>
        <v/>
      </c>
    </row>
    <row r="18543" spans="9:14" x14ac:dyDescent="0.25">
      <c r="I18543" s="11" t="b">
        <f t="shared" si="886"/>
        <v>0</v>
      </c>
      <c r="M18543" s="17" t="str">
        <f t="shared" si="884"/>
        <v/>
      </c>
      <c r="N18543" s="11" t="str">
        <f t="shared" si="885"/>
        <v/>
      </c>
    </row>
    <row r="18544" spans="9:14" x14ac:dyDescent="0.25">
      <c r="I18544" s="11" t="b">
        <f t="shared" si="886"/>
        <v>0</v>
      </c>
      <c r="M18544" s="17" t="str">
        <f t="shared" si="884"/>
        <v/>
      </c>
      <c r="N18544" s="11" t="str">
        <f t="shared" si="885"/>
        <v/>
      </c>
    </row>
    <row r="18545" spans="9:14" x14ac:dyDescent="0.25">
      <c r="I18545" s="11" t="b">
        <f t="shared" si="886"/>
        <v>0</v>
      </c>
      <c r="M18545" s="17" t="str">
        <f t="shared" si="884"/>
        <v/>
      </c>
      <c r="N18545" s="11" t="str">
        <f t="shared" si="885"/>
        <v/>
      </c>
    </row>
    <row r="18546" spans="9:14" x14ac:dyDescent="0.25">
      <c r="I18546" s="11" t="b">
        <f t="shared" si="886"/>
        <v>0</v>
      </c>
      <c r="M18546" s="17" t="str">
        <f t="shared" si="884"/>
        <v/>
      </c>
      <c r="N18546" s="11" t="str">
        <f t="shared" si="885"/>
        <v/>
      </c>
    </row>
    <row r="18547" spans="9:14" x14ac:dyDescent="0.25">
      <c r="I18547" s="11" t="b">
        <f t="shared" si="886"/>
        <v>0</v>
      </c>
      <c r="M18547" s="17" t="str">
        <f t="shared" si="884"/>
        <v/>
      </c>
      <c r="N18547" s="11" t="str">
        <f t="shared" si="885"/>
        <v/>
      </c>
    </row>
    <row r="18548" spans="9:14" x14ac:dyDescent="0.25">
      <c r="I18548" s="11" t="b">
        <f t="shared" si="886"/>
        <v>0</v>
      </c>
      <c r="M18548" s="17" t="str">
        <f t="shared" si="884"/>
        <v/>
      </c>
      <c r="N18548" s="11" t="str">
        <f t="shared" si="885"/>
        <v/>
      </c>
    </row>
    <row r="18549" spans="9:14" x14ac:dyDescent="0.25">
      <c r="I18549" s="11" t="b">
        <f t="shared" si="886"/>
        <v>0</v>
      </c>
      <c r="M18549" s="17" t="str">
        <f t="shared" si="884"/>
        <v/>
      </c>
      <c r="N18549" s="11" t="str">
        <f t="shared" si="885"/>
        <v/>
      </c>
    </row>
    <row r="18550" spans="9:14" x14ac:dyDescent="0.25">
      <c r="I18550" s="11" t="b">
        <f t="shared" si="886"/>
        <v>0</v>
      </c>
      <c r="M18550" s="17" t="str">
        <f t="shared" si="884"/>
        <v/>
      </c>
      <c r="N18550" s="11" t="str">
        <f t="shared" si="885"/>
        <v/>
      </c>
    </row>
    <row r="18551" spans="9:14" x14ac:dyDescent="0.25">
      <c r="I18551" s="11" t="b">
        <f t="shared" si="886"/>
        <v>0</v>
      </c>
      <c r="M18551" s="17" t="str">
        <f t="shared" si="884"/>
        <v/>
      </c>
      <c r="N18551" s="11" t="str">
        <f t="shared" si="885"/>
        <v/>
      </c>
    </row>
    <row r="18552" spans="9:14" x14ac:dyDescent="0.25">
      <c r="I18552" s="11" t="b">
        <f t="shared" si="886"/>
        <v>0</v>
      </c>
      <c r="M18552" s="17" t="str">
        <f t="shared" si="884"/>
        <v/>
      </c>
      <c r="N18552" s="11" t="str">
        <f t="shared" si="885"/>
        <v/>
      </c>
    </row>
    <row r="18553" spans="9:14" x14ac:dyDescent="0.25">
      <c r="I18553" s="11" t="b">
        <f t="shared" si="886"/>
        <v>0</v>
      </c>
      <c r="M18553" s="17" t="str">
        <f t="shared" si="884"/>
        <v/>
      </c>
      <c r="N18553" s="11" t="str">
        <f t="shared" si="885"/>
        <v/>
      </c>
    </row>
    <row r="18554" spans="9:14" x14ac:dyDescent="0.25">
      <c r="I18554" s="11" t="b">
        <f t="shared" si="886"/>
        <v>0</v>
      </c>
      <c r="M18554" s="17" t="str">
        <f t="shared" si="884"/>
        <v/>
      </c>
      <c r="N18554" s="11" t="str">
        <f t="shared" si="885"/>
        <v/>
      </c>
    </row>
    <row r="18555" spans="9:14" x14ac:dyDescent="0.25">
      <c r="I18555" s="11" t="b">
        <f t="shared" si="886"/>
        <v>0</v>
      </c>
      <c r="M18555" s="17" t="str">
        <f t="shared" si="884"/>
        <v/>
      </c>
      <c r="N18555" s="11" t="str">
        <f t="shared" si="885"/>
        <v/>
      </c>
    </row>
    <row r="18556" spans="9:14" x14ac:dyDescent="0.25">
      <c r="I18556" s="11" t="b">
        <f t="shared" si="886"/>
        <v>0</v>
      </c>
      <c r="M18556" s="17" t="str">
        <f t="shared" si="884"/>
        <v/>
      </c>
      <c r="N18556" s="11" t="str">
        <f t="shared" si="885"/>
        <v/>
      </c>
    </row>
    <row r="18557" spans="9:14" x14ac:dyDescent="0.25">
      <c r="I18557" s="11" t="b">
        <f t="shared" si="886"/>
        <v>0</v>
      </c>
      <c r="M18557" s="17" t="str">
        <f t="shared" si="884"/>
        <v/>
      </c>
      <c r="N18557" s="11" t="str">
        <f t="shared" si="885"/>
        <v/>
      </c>
    </row>
    <row r="18558" spans="9:14" x14ac:dyDescent="0.25">
      <c r="I18558" s="11" t="b">
        <f t="shared" si="886"/>
        <v>0</v>
      </c>
      <c r="M18558" s="17" t="str">
        <f t="shared" si="884"/>
        <v/>
      </c>
      <c r="N18558" s="11" t="str">
        <f t="shared" si="885"/>
        <v/>
      </c>
    </row>
    <row r="18559" spans="9:14" x14ac:dyDescent="0.25">
      <c r="I18559" s="11" t="b">
        <f t="shared" si="886"/>
        <v>0</v>
      </c>
      <c r="M18559" s="17" t="str">
        <f t="shared" si="884"/>
        <v/>
      </c>
      <c r="N18559" s="11" t="str">
        <f t="shared" si="885"/>
        <v/>
      </c>
    </row>
    <row r="18560" spans="9:14" x14ac:dyDescent="0.25">
      <c r="I18560" s="11" t="b">
        <f t="shared" si="886"/>
        <v>0</v>
      </c>
      <c r="M18560" s="17" t="str">
        <f t="shared" si="884"/>
        <v/>
      </c>
      <c r="N18560" s="11" t="str">
        <f t="shared" si="885"/>
        <v/>
      </c>
    </row>
    <row r="18561" spans="9:14" x14ac:dyDescent="0.25">
      <c r="I18561" s="11" t="b">
        <f t="shared" si="886"/>
        <v>0</v>
      </c>
      <c r="M18561" s="17" t="str">
        <f t="shared" ref="M18561:M18624" si="887">IF(B18561=0, "",M18560+ J18561-K18561)</f>
        <v/>
      </c>
      <c r="N18561" s="11" t="str">
        <f t="shared" ref="N18561:N18624" si="888">IF(B18561=0, "", MONTH(B18561))</f>
        <v/>
      </c>
    </row>
    <row r="18562" spans="9:14" x14ac:dyDescent="0.25">
      <c r="I18562" s="11" t="b">
        <f t="shared" si="886"/>
        <v>0</v>
      </c>
      <c r="M18562" s="17" t="str">
        <f t="shared" si="887"/>
        <v/>
      </c>
      <c r="N18562" s="11" t="str">
        <f t="shared" si="888"/>
        <v/>
      </c>
    </row>
    <row r="18563" spans="9:14" x14ac:dyDescent="0.25">
      <c r="I18563" s="11" t="b">
        <f t="shared" si="886"/>
        <v>0</v>
      </c>
      <c r="M18563" s="17" t="str">
        <f t="shared" si="887"/>
        <v/>
      </c>
      <c r="N18563" s="11" t="str">
        <f t="shared" si="888"/>
        <v/>
      </c>
    </row>
    <row r="18564" spans="9:14" x14ac:dyDescent="0.25">
      <c r="I18564" s="11" t="b">
        <f t="shared" si="886"/>
        <v>0</v>
      </c>
      <c r="M18564" s="17" t="str">
        <f t="shared" si="887"/>
        <v/>
      </c>
      <c r="N18564" s="11" t="str">
        <f t="shared" si="888"/>
        <v/>
      </c>
    </row>
    <row r="18565" spans="9:14" x14ac:dyDescent="0.25">
      <c r="I18565" s="11" t="b">
        <f t="shared" si="886"/>
        <v>0</v>
      </c>
      <c r="M18565" s="17" t="str">
        <f t="shared" si="887"/>
        <v/>
      </c>
      <c r="N18565" s="11" t="str">
        <f t="shared" si="888"/>
        <v/>
      </c>
    </row>
    <row r="18566" spans="9:14" x14ac:dyDescent="0.25">
      <c r="I18566" s="11" t="b">
        <f t="shared" si="886"/>
        <v>0</v>
      </c>
      <c r="M18566" s="17" t="str">
        <f t="shared" si="887"/>
        <v/>
      </c>
      <c r="N18566" s="11" t="str">
        <f t="shared" si="888"/>
        <v/>
      </c>
    </row>
    <row r="18567" spans="9:14" x14ac:dyDescent="0.25">
      <c r="I18567" s="11" t="b">
        <f t="shared" si="886"/>
        <v>0</v>
      </c>
      <c r="M18567" s="17" t="str">
        <f t="shared" si="887"/>
        <v/>
      </c>
      <c r="N18567" s="11" t="str">
        <f t="shared" si="888"/>
        <v/>
      </c>
    </row>
    <row r="18568" spans="9:14" x14ac:dyDescent="0.25">
      <c r="I18568" s="11" t="b">
        <f t="shared" si="886"/>
        <v>0</v>
      </c>
      <c r="M18568" s="17" t="str">
        <f t="shared" si="887"/>
        <v/>
      </c>
      <c r="N18568" s="11" t="str">
        <f t="shared" si="888"/>
        <v/>
      </c>
    </row>
    <row r="18569" spans="9:14" x14ac:dyDescent="0.25">
      <c r="I18569" s="11" t="b">
        <f t="shared" si="886"/>
        <v>0</v>
      </c>
      <c r="M18569" s="17" t="str">
        <f t="shared" si="887"/>
        <v/>
      </c>
      <c r="N18569" s="11" t="str">
        <f t="shared" si="888"/>
        <v/>
      </c>
    </row>
    <row r="18570" spans="9:14" x14ac:dyDescent="0.25">
      <c r="I18570" s="11" t="b">
        <f t="shared" si="886"/>
        <v>0</v>
      </c>
      <c r="M18570" s="17" t="str">
        <f t="shared" si="887"/>
        <v/>
      </c>
      <c r="N18570" s="11" t="str">
        <f t="shared" si="888"/>
        <v/>
      </c>
    </row>
    <row r="18571" spans="9:14" x14ac:dyDescent="0.25">
      <c r="I18571" s="11" t="b">
        <f t="shared" si="886"/>
        <v>0</v>
      </c>
      <c r="M18571" s="17" t="str">
        <f t="shared" si="887"/>
        <v/>
      </c>
      <c r="N18571" s="11" t="str">
        <f t="shared" si="888"/>
        <v/>
      </c>
    </row>
    <row r="18572" spans="9:14" x14ac:dyDescent="0.25">
      <c r="I18572" s="11" t="b">
        <f t="shared" si="886"/>
        <v>0</v>
      </c>
      <c r="M18572" s="17" t="str">
        <f t="shared" si="887"/>
        <v/>
      </c>
      <c r="N18572" s="11" t="str">
        <f t="shared" si="888"/>
        <v/>
      </c>
    </row>
    <row r="18573" spans="9:14" x14ac:dyDescent="0.25">
      <c r="I18573" s="11" t="b">
        <f t="shared" si="886"/>
        <v>0</v>
      </c>
      <c r="M18573" s="17" t="str">
        <f t="shared" si="887"/>
        <v/>
      </c>
      <c r="N18573" s="11" t="str">
        <f t="shared" si="888"/>
        <v/>
      </c>
    </row>
    <row r="18574" spans="9:14" x14ac:dyDescent="0.25">
      <c r="I18574" s="11" t="b">
        <f t="shared" si="886"/>
        <v>0</v>
      </c>
      <c r="M18574" s="17" t="str">
        <f t="shared" si="887"/>
        <v/>
      </c>
      <c r="N18574" s="11" t="str">
        <f t="shared" si="888"/>
        <v/>
      </c>
    </row>
    <row r="18575" spans="9:14" x14ac:dyDescent="0.25">
      <c r="I18575" s="11" t="b">
        <f t="shared" si="886"/>
        <v>0</v>
      </c>
      <c r="M18575" s="17" t="str">
        <f t="shared" si="887"/>
        <v/>
      </c>
      <c r="N18575" s="11" t="str">
        <f t="shared" si="888"/>
        <v/>
      </c>
    </row>
    <row r="18576" spans="9:14" x14ac:dyDescent="0.25">
      <c r="I18576" s="11" t="b">
        <f t="shared" si="886"/>
        <v>0</v>
      </c>
      <c r="M18576" s="17" t="str">
        <f t="shared" si="887"/>
        <v/>
      </c>
      <c r="N18576" s="11" t="str">
        <f t="shared" si="888"/>
        <v/>
      </c>
    </row>
    <row r="18577" spans="9:14" x14ac:dyDescent="0.25">
      <c r="I18577" s="11" t="b">
        <f t="shared" si="886"/>
        <v>0</v>
      </c>
      <c r="M18577" s="17" t="str">
        <f t="shared" si="887"/>
        <v/>
      </c>
      <c r="N18577" s="11" t="str">
        <f t="shared" si="888"/>
        <v/>
      </c>
    </row>
    <row r="18578" spans="9:14" x14ac:dyDescent="0.25">
      <c r="I18578" s="11" t="b">
        <f t="shared" si="886"/>
        <v>0</v>
      </c>
      <c r="M18578" s="17" t="str">
        <f t="shared" si="887"/>
        <v/>
      </c>
      <c r="N18578" s="11" t="str">
        <f t="shared" si="888"/>
        <v/>
      </c>
    </row>
    <row r="18579" spans="9:14" x14ac:dyDescent="0.25">
      <c r="I18579" s="11" t="b">
        <f t="shared" si="886"/>
        <v>0</v>
      </c>
      <c r="M18579" s="17" t="str">
        <f t="shared" si="887"/>
        <v/>
      </c>
      <c r="N18579" s="11" t="str">
        <f t="shared" si="888"/>
        <v/>
      </c>
    </row>
    <row r="18580" spans="9:14" x14ac:dyDescent="0.25">
      <c r="I18580" s="11" t="b">
        <f t="shared" si="886"/>
        <v>0</v>
      </c>
      <c r="M18580" s="17" t="str">
        <f t="shared" si="887"/>
        <v/>
      </c>
      <c r="N18580" s="11" t="str">
        <f t="shared" si="888"/>
        <v/>
      </c>
    </row>
    <row r="18581" spans="9:14" x14ac:dyDescent="0.25">
      <c r="I18581" s="11" t="b">
        <f t="shared" si="886"/>
        <v>0</v>
      </c>
      <c r="M18581" s="17" t="str">
        <f t="shared" si="887"/>
        <v/>
      </c>
      <c r="N18581" s="11" t="str">
        <f t="shared" si="888"/>
        <v/>
      </c>
    </row>
    <row r="18582" spans="9:14" x14ac:dyDescent="0.25">
      <c r="I18582" s="11" t="b">
        <f t="shared" si="886"/>
        <v>0</v>
      </c>
      <c r="M18582" s="17" t="str">
        <f t="shared" si="887"/>
        <v/>
      </c>
      <c r="N18582" s="11" t="str">
        <f t="shared" si="888"/>
        <v/>
      </c>
    </row>
    <row r="18583" spans="9:14" x14ac:dyDescent="0.25">
      <c r="I18583" s="11" t="b">
        <f t="shared" si="886"/>
        <v>0</v>
      </c>
      <c r="M18583" s="17" t="str">
        <f t="shared" si="887"/>
        <v/>
      </c>
      <c r="N18583" s="11" t="str">
        <f t="shared" si="888"/>
        <v/>
      </c>
    </row>
    <row r="18584" spans="9:14" x14ac:dyDescent="0.25">
      <c r="I18584" s="11" t="b">
        <f t="shared" si="886"/>
        <v>0</v>
      </c>
      <c r="M18584" s="17" t="str">
        <f t="shared" si="887"/>
        <v/>
      </c>
      <c r="N18584" s="11" t="str">
        <f t="shared" si="888"/>
        <v/>
      </c>
    </row>
    <row r="18585" spans="9:14" x14ac:dyDescent="0.25">
      <c r="I18585" s="11" t="b">
        <f t="shared" si="886"/>
        <v>0</v>
      </c>
      <c r="M18585" s="17" t="str">
        <f t="shared" si="887"/>
        <v/>
      </c>
      <c r="N18585" s="11" t="str">
        <f t="shared" si="888"/>
        <v/>
      </c>
    </row>
    <row r="18586" spans="9:14" x14ac:dyDescent="0.25">
      <c r="I18586" s="11" t="b">
        <f t="shared" si="886"/>
        <v>0</v>
      </c>
      <c r="M18586" s="17" t="str">
        <f t="shared" si="887"/>
        <v/>
      </c>
      <c r="N18586" s="11" t="str">
        <f t="shared" si="888"/>
        <v/>
      </c>
    </row>
    <row r="18587" spans="9:14" x14ac:dyDescent="0.25">
      <c r="I18587" s="11" t="b">
        <f t="shared" si="886"/>
        <v>0</v>
      </c>
      <c r="M18587" s="17" t="str">
        <f t="shared" si="887"/>
        <v/>
      </c>
      <c r="N18587" s="11" t="str">
        <f t="shared" si="888"/>
        <v/>
      </c>
    </row>
    <row r="18588" spans="9:14" x14ac:dyDescent="0.25">
      <c r="I18588" s="11" t="b">
        <f t="shared" si="886"/>
        <v>0</v>
      </c>
      <c r="M18588" s="17" t="str">
        <f t="shared" si="887"/>
        <v/>
      </c>
      <c r="N18588" s="11" t="str">
        <f t="shared" si="888"/>
        <v/>
      </c>
    </row>
    <row r="18589" spans="9:14" x14ac:dyDescent="0.25">
      <c r="I18589" s="11" t="b">
        <f t="shared" ref="I18589:I18652" si="889">IF(AND(G18589="MERCADO PAGO",A18589="FATURAMENTO"),1,IF(AND(OR(G18589="MERCADO PAGO",G18589="pix mercado pago",G18589= "débito automático mercado pago", G18589= "boleto mercado pago"),A18589="DESPESAS"),4,IF(AND(G18589="SAFRA",A18589="FATURAMENTO"),2,IF(AND(OR(G18589="SAFRA",G18589="PIX SAFRA", G18589="DÉBITO AUTOMÁTICO SAFRA", G18589= "BOLETO SAFRA", G18589= "transferência safra"), A18589="DESPESAS"),5,IF(AND(G18589="espécie",A18589="FATURAMENTO"),3,IF(AND(G18589="espécie",A18589="DESPESAS"),6))))))</f>
        <v>0</v>
      </c>
      <c r="M18589" s="17" t="str">
        <f t="shared" si="887"/>
        <v/>
      </c>
      <c r="N18589" s="11" t="str">
        <f t="shared" si="888"/>
        <v/>
      </c>
    </row>
    <row r="18590" spans="9:14" x14ac:dyDescent="0.25">
      <c r="I18590" s="11" t="b">
        <f t="shared" si="889"/>
        <v>0</v>
      </c>
      <c r="M18590" s="17" t="str">
        <f t="shared" si="887"/>
        <v/>
      </c>
      <c r="N18590" s="11" t="str">
        <f t="shared" si="888"/>
        <v/>
      </c>
    </row>
    <row r="18591" spans="9:14" x14ac:dyDescent="0.25">
      <c r="I18591" s="11" t="b">
        <f t="shared" si="889"/>
        <v>0</v>
      </c>
      <c r="M18591" s="17" t="str">
        <f t="shared" si="887"/>
        <v/>
      </c>
      <c r="N18591" s="11" t="str">
        <f t="shared" si="888"/>
        <v/>
      </c>
    </row>
    <row r="18592" spans="9:14" x14ac:dyDescent="0.25">
      <c r="I18592" s="11" t="b">
        <f t="shared" si="889"/>
        <v>0</v>
      </c>
      <c r="M18592" s="17" t="str">
        <f t="shared" si="887"/>
        <v/>
      </c>
      <c r="N18592" s="11" t="str">
        <f t="shared" si="888"/>
        <v/>
      </c>
    </row>
    <row r="18593" spans="9:14" x14ac:dyDescent="0.25">
      <c r="I18593" s="11" t="b">
        <f t="shared" si="889"/>
        <v>0</v>
      </c>
      <c r="M18593" s="17" t="str">
        <f t="shared" si="887"/>
        <v/>
      </c>
      <c r="N18593" s="11" t="str">
        <f t="shared" si="888"/>
        <v/>
      </c>
    </row>
    <row r="18594" spans="9:14" x14ac:dyDescent="0.25">
      <c r="I18594" s="11" t="b">
        <f t="shared" si="889"/>
        <v>0</v>
      </c>
      <c r="M18594" s="17" t="str">
        <f t="shared" si="887"/>
        <v/>
      </c>
      <c r="N18594" s="11" t="str">
        <f t="shared" si="888"/>
        <v/>
      </c>
    </row>
    <row r="18595" spans="9:14" x14ac:dyDescent="0.25">
      <c r="I18595" s="11" t="b">
        <f t="shared" si="889"/>
        <v>0</v>
      </c>
      <c r="M18595" s="17" t="str">
        <f t="shared" si="887"/>
        <v/>
      </c>
      <c r="N18595" s="11" t="str">
        <f t="shared" si="888"/>
        <v/>
      </c>
    </row>
    <row r="18596" spans="9:14" x14ac:dyDescent="0.25">
      <c r="I18596" s="11" t="b">
        <f t="shared" si="889"/>
        <v>0</v>
      </c>
      <c r="M18596" s="17" t="str">
        <f t="shared" si="887"/>
        <v/>
      </c>
      <c r="N18596" s="11" t="str">
        <f t="shared" si="888"/>
        <v/>
      </c>
    </row>
    <row r="18597" spans="9:14" x14ac:dyDescent="0.25">
      <c r="I18597" s="11" t="b">
        <f t="shared" si="889"/>
        <v>0</v>
      </c>
      <c r="M18597" s="17" t="str">
        <f t="shared" si="887"/>
        <v/>
      </c>
      <c r="N18597" s="11" t="str">
        <f t="shared" si="888"/>
        <v/>
      </c>
    </row>
    <row r="18598" spans="9:14" x14ac:dyDescent="0.25">
      <c r="I18598" s="11" t="b">
        <f t="shared" si="889"/>
        <v>0</v>
      </c>
      <c r="M18598" s="17" t="str">
        <f t="shared" si="887"/>
        <v/>
      </c>
      <c r="N18598" s="11" t="str">
        <f t="shared" si="888"/>
        <v/>
      </c>
    </row>
    <row r="18599" spans="9:14" x14ac:dyDescent="0.25">
      <c r="I18599" s="11" t="b">
        <f t="shared" si="889"/>
        <v>0</v>
      </c>
      <c r="M18599" s="17" t="str">
        <f t="shared" si="887"/>
        <v/>
      </c>
      <c r="N18599" s="11" t="str">
        <f t="shared" si="888"/>
        <v/>
      </c>
    </row>
    <row r="18600" spans="9:14" x14ac:dyDescent="0.25">
      <c r="I18600" s="11" t="b">
        <f t="shared" si="889"/>
        <v>0</v>
      </c>
      <c r="M18600" s="17" t="str">
        <f t="shared" si="887"/>
        <v/>
      </c>
      <c r="N18600" s="11" t="str">
        <f t="shared" si="888"/>
        <v/>
      </c>
    </row>
    <row r="18601" spans="9:14" x14ac:dyDescent="0.25">
      <c r="I18601" s="11" t="b">
        <f t="shared" si="889"/>
        <v>0</v>
      </c>
      <c r="M18601" s="17" t="str">
        <f t="shared" si="887"/>
        <v/>
      </c>
      <c r="N18601" s="11" t="str">
        <f t="shared" si="888"/>
        <v/>
      </c>
    </row>
    <row r="18602" spans="9:14" x14ac:dyDescent="0.25">
      <c r="I18602" s="11" t="b">
        <f t="shared" si="889"/>
        <v>0</v>
      </c>
      <c r="M18602" s="17" t="str">
        <f t="shared" si="887"/>
        <v/>
      </c>
      <c r="N18602" s="11" t="str">
        <f t="shared" si="888"/>
        <v/>
      </c>
    </row>
    <row r="18603" spans="9:14" x14ac:dyDescent="0.25">
      <c r="I18603" s="11" t="b">
        <f t="shared" si="889"/>
        <v>0</v>
      </c>
      <c r="M18603" s="17" t="str">
        <f t="shared" si="887"/>
        <v/>
      </c>
      <c r="N18603" s="11" t="str">
        <f t="shared" si="888"/>
        <v/>
      </c>
    </row>
    <row r="18604" spans="9:14" x14ac:dyDescent="0.25">
      <c r="I18604" s="11" t="b">
        <f t="shared" si="889"/>
        <v>0</v>
      </c>
      <c r="M18604" s="17" t="str">
        <f t="shared" si="887"/>
        <v/>
      </c>
      <c r="N18604" s="11" t="str">
        <f t="shared" si="888"/>
        <v/>
      </c>
    </row>
    <row r="18605" spans="9:14" x14ac:dyDescent="0.25">
      <c r="I18605" s="11" t="b">
        <f t="shared" si="889"/>
        <v>0</v>
      </c>
      <c r="M18605" s="17" t="str">
        <f t="shared" si="887"/>
        <v/>
      </c>
      <c r="N18605" s="11" t="str">
        <f t="shared" si="888"/>
        <v/>
      </c>
    </row>
    <row r="18606" spans="9:14" x14ac:dyDescent="0.25">
      <c r="I18606" s="11" t="b">
        <f t="shared" si="889"/>
        <v>0</v>
      </c>
      <c r="M18606" s="17" t="str">
        <f t="shared" si="887"/>
        <v/>
      </c>
      <c r="N18606" s="11" t="str">
        <f t="shared" si="888"/>
        <v/>
      </c>
    </row>
    <row r="18607" spans="9:14" x14ac:dyDescent="0.25">
      <c r="I18607" s="11" t="b">
        <f t="shared" si="889"/>
        <v>0</v>
      </c>
      <c r="M18607" s="17" t="str">
        <f t="shared" si="887"/>
        <v/>
      </c>
      <c r="N18607" s="11" t="str">
        <f t="shared" si="888"/>
        <v/>
      </c>
    </row>
    <row r="18608" spans="9:14" x14ac:dyDescent="0.25">
      <c r="I18608" s="11" t="b">
        <f t="shared" si="889"/>
        <v>0</v>
      </c>
      <c r="M18608" s="17" t="str">
        <f t="shared" si="887"/>
        <v/>
      </c>
      <c r="N18608" s="11" t="str">
        <f t="shared" si="888"/>
        <v/>
      </c>
    </row>
    <row r="18609" spans="9:14" x14ac:dyDescent="0.25">
      <c r="I18609" s="11" t="b">
        <f t="shared" si="889"/>
        <v>0</v>
      </c>
      <c r="M18609" s="17" t="str">
        <f t="shared" si="887"/>
        <v/>
      </c>
      <c r="N18609" s="11" t="str">
        <f t="shared" si="888"/>
        <v/>
      </c>
    </row>
    <row r="18610" spans="9:14" x14ac:dyDescent="0.25">
      <c r="I18610" s="11" t="b">
        <f t="shared" si="889"/>
        <v>0</v>
      </c>
      <c r="M18610" s="17" t="str">
        <f t="shared" si="887"/>
        <v/>
      </c>
      <c r="N18610" s="11" t="str">
        <f t="shared" si="888"/>
        <v/>
      </c>
    </row>
    <row r="18611" spans="9:14" x14ac:dyDescent="0.25">
      <c r="I18611" s="11" t="b">
        <f t="shared" si="889"/>
        <v>0</v>
      </c>
      <c r="M18611" s="17" t="str">
        <f t="shared" si="887"/>
        <v/>
      </c>
      <c r="N18611" s="11" t="str">
        <f t="shared" si="888"/>
        <v/>
      </c>
    </row>
    <row r="18612" spans="9:14" x14ac:dyDescent="0.25">
      <c r="I18612" s="11" t="b">
        <f t="shared" si="889"/>
        <v>0</v>
      </c>
      <c r="M18612" s="17" t="str">
        <f t="shared" si="887"/>
        <v/>
      </c>
      <c r="N18612" s="11" t="str">
        <f t="shared" si="888"/>
        <v/>
      </c>
    </row>
    <row r="18613" spans="9:14" x14ac:dyDescent="0.25">
      <c r="I18613" s="11" t="b">
        <f t="shared" si="889"/>
        <v>0</v>
      </c>
      <c r="M18613" s="17" t="str">
        <f t="shared" si="887"/>
        <v/>
      </c>
      <c r="N18613" s="11" t="str">
        <f t="shared" si="888"/>
        <v/>
      </c>
    </row>
    <row r="18614" spans="9:14" x14ac:dyDescent="0.25">
      <c r="I18614" s="11" t="b">
        <f t="shared" si="889"/>
        <v>0</v>
      </c>
      <c r="M18614" s="17" t="str">
        <f t="shared" si="887"/>
        <v/>
      </c>
      <c r="N18614" s="11" t="str">
        <f t="shared" si="888"/>
        <v/>
      </c>
    </row>
    <row r="18615" spans="9:14" x14ac:dyDescent="0.25">
      <c r="I18615" s="11" t="b">
        <f t="shared" si="889"/>
        <v>0</v>
      </c>
      <c r="M18615" s="17" t="str">
        <f t="shared" si="887"/>
        <v/>
      </c>
      <c r="N18615" s="11" t="str">
        <f t="shared" si="888"/>
        <v/>
      </c>
    </row>
    <row r="18616" spans="9:14" x14ac:dyDescent="0.25">
      <c r="I18616" s="11" t="b">
        <f t="shared" si="889"/>
        <v>0</v>
      </c>
      <c r="M18616" s="17" t="str">
        <f t="shared" si="887"/>
        <v/>
      </c>
      <c r="N18616" s="11" t="str">
        <f t="shared" si="888"/>
        <v/>
      </c>
    </row>
    <row r="18617" spans="9:14" x14ac:dyDescent="0.25">
      <c r="I18617" s="11" t="b">
        <f t="shared" si="889"/>
        <v>0</v>
      </c>
      <c r="M18617" s="17" t="str">
        <f t="shared" si="887"/>
        <v/>
      </c>
      <c r="N18617" s="11" t="str">
        <f t="shared" si="888"/>
        <v/>
      </c>
    </row>
    <row r="18618" spans="9:14" x14ac:dyDescent="0.25">
      <c r="I18618" s="11" t="b">
        <f t="shared" si="889"/>
        <v>0</v>
      </c>
      <c r="M18618" s="17" t="str">
        <f t="shared" si="887"/>
        <v/>
      </c>
      <c r="N18618" s="11" t="str">
        <f t="shared" si="888"/>
        <v/>
      </c>
    </row>
    <row r="18619" spans="9:14" x14ac:dyDescent="0.25">
      <c r="I18619" s="11" t="b">
        <f t="shared" si="889"/>
        <v>0</v>
      </c>
      <c r="M18619" s="17" t="str">
        <f t="shared" si="887"/>
        <v/>
      </c>
      <c r="N18619" s="11" t="str">
        <f t="shared" si="888"/>
        <v/>
      </c>
    </row>
    <row r="18620" spans="9:14" x14ac:dyDescent="0.25">
      <c r="I18620" s="11" t="b">
        <f t="shared" si="889"/>
        <v>0</v>
      </c>
      <c r="M18620" s="17" t="str">
        <f t="shared" si="887"/>
        <v/>
      </c>
      <c r="N18620" s="11" t="str">
        <f t="shared" si="888"/>
        <v/>
      </c>
    </row>
    <row r="18621" spans="9:14" x14ac:dyDescent="0.25">
      <c r="I18621" s="11" t="b">
        <f t="shared" si="889"/>
        <v>0</v>
      </c>
      <c r="M18621" s="17" t="str">
        <f t="shared" si="887"/>
        <v/>
      </c>
      <c r="N18621" s="11" t="str">
        <f t="shared" si="888"/>
        <v/>
      </c>
    </row>
    <row r="18622" spans="9:14" x14ac:dyDescent="0.25">
      <c r="I18622" s="11" t="b">
        <f t="shared" si="889"/>
        <v>0</v>
      </c>
      <c r="M18622" s="17" t="str">
        <f t="shared" si="887"/>
        <v/>
      </c>
      <c r="N18622" s="11" t="str">
        <f t="shared" si="888"/>
        <v/>
      </c>
    </row>
    <row r="18623" spans="9:14" x14ac:dyDescent="0.25">
      <c r="I18623" s="11" t="b">
        <f t="shared" si="889"/>
        <v>0</v>
      </c>
      <c r="M18623" s="17" t="str">
        <f t="shared" si="887"/>
        <v/>
      </c>
      <c r="N18623" s="11" t="str">
        <f t="shared" si="888"/>
        <v/>
      </c>
    </row>
    <row r="18624" spans="9:14" x14ac:dyDescent="0.25">
      <c r="I18624" s="11" t="b">
        <f t="shared" si="889"/>
        <v>0</v>
      </c>
      <c r="M18624" s="17" t="str">
        <f t="shared" si="887"/>
        <v/>
      </c>
      <c r="N18624" s="11" t="str">
        <f t="shared" si="888"/>
        <v/>
      </c>
    </row>
    <row r="18625" spans="9:14" x14ac:dyDescent="0.25">
      <c r="I18625" s="11" t="b">
        <f t="shared" si="889"/>
        <v>0</v>
      </c>
      <c r="M18625" s="17" t="str">
        <f t="shared" ref="M18625:M18688" si="890">IF(B18625=0, "",M18624+ J18625-K18625)</f>
        <v/>
      </c>
      <c r="N18625" s="11" t="str">
        <f t="shared" ref="N18625:N18688" si="891">IF(B18625=0, "", MONTH(B18625))</f>
        <v/>
      </c>
    </row>
    <row r="18626" spans="9:14" x14ac:dyDescent="0.25">
      <c r="I18626" s="11" t="b">
        <f t="shared" si="889"/>
        <v>0</v>
      </c>
      <c r="M18626" s="17" t="str">
        <f t="shared" si="890"/>
        <v/>
      </c>
      <c r="N18626" s="11" t="str">
        <f t="shared" si="891"/>
        <v/>
      </c>
    </row>
    <row r="18627" spans="9:14" x14ac:dyDescent="0.25">
      <c r="I18627" s="11" t="b">
        <f t="shared" si="889"/>
        <v>0</v>
      </c>
      <c r="M18627" s="17" t="str">
        <f t="shared" si="890"/>
        <v/>
      </c>
      <c r="N18627" s="11" t="str">
        <f t="shared" si="891"/>
        <v/>
      </c>
    </row>
    <row r="18628" spans="9:14" x14ac:dyDescent="0.25">
      <c r="I18628" s="11" t="b">
        <f t="shared" si="889"/>
        <v>0</v>
      </c>
      <c r="M18628" s="17" t="str">
        <f t="shared" si="890"/>
        <v/>
      </c>
      <c r="N18628" s="11" t="str">
        <f t="shared" si="891"/>
        <v/>
      </c>
    </row>
    <row r="18629" spans="9:14" x14ac:dyDescent="0.25">
      <c r="I18629" s="11" t="b">
        <f t="shared" si="889"/>
        <v>0</v>
      </c>
      <c r="M18629" s="17" t="str">
        <f t="shared" si="890"/>
        <v/>
      </c>
      <c r="N18629" s="11" t="str">
        <f t="shared" si="891"/>
        <v/>
      </c>
    </row>
    <row r="18630" spans="9:14" x14ac:dyDescent="0.25">
      <c r="I18630" s="11" t="b">
        <f t="shared" si="889"/>
        <v>0</v>
      </c>
      <c r="M18630" s="17" t="str">
        <f t="shared" si="890"/>
        <v/>
      </c>
      <c r="N18630" s="11" t="str">
        <f t="shared" si="891"/>
        <v/>
      </c>
    </row>
    <row r="18631" spans="9:14" x14ac:dyDescent="0.25">
      <c r="I18631" s="11" t="b">
        <f t="shared" si="889"/>
        <v>0</v>
      </c>
      <c r="M18631" s="17" t="str">
        <f t="shared" si="890"/>
        <v/>
      </c>
      <c r="N18631" s="11" t="str">
        <f t="shared" si="891"/>
        <v/>
      </c>
    </row>
    <row r="18632" spans="9:14" x14ac:dyDescent="0.25">
      <c r="I18632" s="11" t="b">
        <f t="shared" si="889"/>
        <v>0</v>
      </c>
      <c r="M18632" s="17" t="str">
        <f t="shared" si="890"/>
        <v/>
      </c>
      <c r="N18632" s="11" t="str">
        <f t="shared" si="891"/>
        <v/>
      </c>
    </row>
    <row r="18633" spans="9:14" x14ac:dyDescent="0.25">
      <c r="I18633" s="11" t="b">
        <f t="shared" si="889"/>
        <v>0</v>
      </c>
      <c r="M18633" s="17" t="str">
        <f t="shared" si="890"/>
        <v/>
      </c>
      <c r="N18633" s="11" t="str">
        <f t="shared" si="891"/>
        <v/>
      </c>
    </row>
    <row r="18634" spans="9:14" x14ac:dyDescent="0.25">
      <c r="I18634" s="11" t="b">
        <f t="shared" si="889"/>
        <v>0</v>
      </c>
      <c r="M18634" s="17" t="str">
        <f t="shared" si="890"/>
        <v/>
      </c>
      <c r="N18634" s="11" t="str">
        <f t="shared" si="891"/>
        <v/>
      </c>
    </row>
    <row r="18635" spans="9:14" x14ac:dyDescent="0.25">
      <c r="I18635" s="11" t="b">
        <f t="shared" si="889"/>
        <v>0</v>
      </c>
      <c r="M18635" s="17" t="str">
        <f t="shared" si="890"/>
        <v/>
      </c>
      <c r="N18635" s="11" t="str">
        <f t="shared" si="891"/>
        <v/>
      </c>
    </row>
    <row r="18636" spans="9:14" x14ac:dyDescent="0.25">
      <c r="I18636" s="11" t="b">
        <f t="shared" si="889"/>
        <v>0</v>
      </c>
      <c r="M18636" s="17" t="str">
        <f t="shared" si="890"/>
        <v/>
      </c>
      <c r="N18636" s="11" t="str">
        <f t="shared" si="891"/>
        <v/>
      </c>
    </row>
    <row r="18637" spans="9:14" x14ac:dyDescent="0.25">
      <c r="I18637" s="11" t="b">
        <f t="shared" si="889"/>
        <v>0</v>
      </c>
      <c r="M18637" s="17" t="str">
        <f t="shared" si="890"/>
        <v/>
      </c>
      <c r="N18637" s="11" t="str">
        <f t="shared" si="891"/>
        <v/>
      </c>
    </row>
    <row r="18638" spans="9:14" x14ac:dyDescent="0.25">
      <c r="I18638" s="11" t="b">
        <f t="shared" si="889"/>
        <v>0</v>
      </c>
      <c r="M18638" s="17" t="str">
        <f t="shared" si="890"/>
        <v/>
      </c>
      <c r="N18638" s="11" t="str">
        <f t="shared" si="891"/>
        <v/>
      </c>
    </row>
    <row r="18639" spans="9:14" x14ac:dyDescent="0.25">
      <c r="I18639" s="11" t="b">
        <f t="shared" si="889"/>
        <v>0</v>
      </c>
      <c r="M18639" s="17" t="str">
        <f t="shared" si="890"/>
        <v/>
      </c>
      <c r="N18639" s="11" t="str">
        <f t="shared" si="891"/>
        <v/>
      </c>
    </row>
    <row r="18640" spans="9:14" x14ac:dyDescent="0.25">
      <c r="I18640" s="11" t="b">
        <f t="shared" si="889"/>
        <v>0</v>
      </c>
      <c r="M18640" s="17" t="str">
        <f t="shared" si="890"/>
        <v/>
      </c>
      <c r="N18640" s="11" t="str">
        <f t="shared" si="891"/>
        <v/>
      </c>
    </row>
    <row r="18641" spans="9:14" x14ac:dyDescent="0.25">
      <c r="I18641" s="11" t="b">
        <f t="shared" si="889"/>
        <v>0</v>
      </c>
      <c r="M18641" s="17" t="str">
        <f t="shared" si="890"/>
        <v/>
      </c>
      <c r="N18641" s="11" t="str">
        <f t="shared" si="891"/>
        <v/>
      </c>
    </row>
    <row r="18642" spans="9:14" x14ac:dyDescent="0.25">
      <c r="I18642" s="11" t="b">
        <f t="shared" si="889"/>
        <v>0</v>
      </c>
      <c r="M18642" s="17" t="str">
        <f t="shared" si="890"/>
        <v/>
      </c>
      <c r="N18642" s="11" t="str">
        <f t="shared" si="891"/>
        <v/>
      </c>
    </row>
    <row r="18643" spans="9:14" x14ac:dyDescent="0.25">
      <c r="I18643" s="11" t="b">
        <f t="shared" si="889"/>
        <v>0</v>
      </c>
      <c r="M18643" s="17" t="str">
        <f t="shared" si="890"/>
        <v/>
      </c>
      <c r="N18643" s="11" t="str">
        <f t="shared" si="891"/>
        <v/>
      </c>
    </row>
    <row r="18644" spans="9:14" x14ac:dyDescent="0.25">
      <c r="I18644" s="11" t="b">
        <f t="shared" si="889"/>
        <v>0</v>
      </c>
      <c r="M18644" s="17" t="str">
        <f t="shared" si="890"/>
        <v/>
      </c>
      <c r="N18644" s="11" t="str">
        <f t="shared" si="891"/>
        <v/>
      </c>
    </row>
    <row r="18645" spans="9:14" x14ac:dyDescent="0.25">
      <c r="I18645" s="11" t="b">
        <f t="shared" si="889"/>
        <v>0</v>
      </c>
      <c r="M18645" s="17" t="str">
        <f t="shared" si="890"/>
        <v/>
      </c>
      <c r="N18645" s="11" t="str">
        <f t="shared" si="891"/>
        <v/>
      </c>
    </row>
    <row r="18646" spans="9:14" x14ac:dyDescent="0.25">
      <c r="I18646" s="11" t="b">
        <f t="shared" si="889"/>
        <v>0</v>
      </c>
      <c r="M18646" s="17" t="str">
        <f t="shared" si="890"/>
        <v/>
      </c>
      <c r="N18646" s="11" t="str">
        <f t="shared" si="891"/>
        <v/>
      </c>
    </row>
    <row r="18647" spans="9:14" x14ac:dyDescent="0.25">
      <c r="I18647" s="11" t="b">
        <f t="shared" si="889"/>
        <v>0</v>
      </c>
      <c r="M18647" s="17" t="str">
        <f t="shared" si="890"/>
        <v/>
      </c>
      <c r="N18647" s="11" t="str">
        <f t="shared" si="891"/>
        <v/>
      </c>
    </row>
    <row r="18648" spans="9:14" x14ac:dyDescent="0.25">
      <c r="I18648" s="11" t="b">
        <f t="shared" si="889"/>
        <v>0</v>
      </c>
      <c r="M18648" s="17" t="str">
        <f t="shared" si="890"/>
        <v/>
      </c>
      <c r="N18648" s="11" t="str">
        <f t="shared" si="891"/>
        <v/>
      </c>
    </row>
    <row r="18649" spans="9:14" x14ac:dyDescent="0.25">
      <c r="I18649" s="11" t="b">
        <f t="shared" si="889"/>
        <v>0</v>
      </c>
      <c r="M18649" s="17" t="str">
        <f t="shared" si="890"/>
        <v/>
      </c>
      <c r="N18649" s="11" t="str">
        <f t="shared" si="891"/>
        <v/>
      </c>
    </row>
    <row r="18650" spans="9:14" x14ac:dyDescent="0.25">
      <c r="I18650" s="11" t="b">
        <f t="shared" si="889"/>
        <v>0</v>
      </c>
      <c r="M18650" s="17" t="str">
        <f t="shared" si="890"/>
        <v/>
      </c>
      <c r="N18650" s="11" t="str">
        <f t="shared" si="891"/>
        <v/>
      </c>
    </row>
    <row r="18651" spans="9:14" x14ac:dyDescent="0.25">
      <c r="I18651" s="11" t="b">
        <f t="shared" si="889"/>
        <v>0</v>
      </c>
      <c r="M18651" s="17" t="str">
        <f t="shared" si="890"/>
        <v/>
      </c>
      <c r="N18651" s="11" t="str">
        <f t="shared" si="891"/>
        <v/>
      </c>
    </row>
    <row r="18652" spans="9:14" x14ac:dyDescent="0.25">
      <c r="I18652" s="11" t="b">
        <f t="shared" si="889"/>
        <v>0</v>
      </c>
      <c r="M18652" s="17" t="str">
        <f t="shared" si="890"/>
        <v/>
      </c>
      <c r="N18652" s="11" t="str">
        <f t="shared" si="891"/>
        <v/>
      </c>
    </row>
    <row r="18653" spans="9:14" x14ac:dyDescent="0.25">
      <c r="I18653" s="11" t="b">
        <f t="shared" ref="I18653:I18716" si="892">IF(AND(G18653="MERCADO PAGO",A18653="FATURAMENTO"),1,IF(AND(OR(G18653="MERCADO PAGO",G18653="pix mercado pago",G18653= "débito automático mercado pago", G18653= "boleto mercado pago"),A18653="DESPESAS"),4,IF(AND(G18653="SAFRA",A18653="FATURAMENTO"),2,IF(AND(OR(G18653="SAFRA",G18653="PIX SAFRA", G18653="DÉBITO AUTOMÁTICO SAFRA", G18653= "BOLETO SAFRA", G18653= "transferência safra"), A18653="DESPESAS"),5,IF(AND(G18653="espécie",A18653="FATURAMENTO"),3,IF(AND(G18653="espécie",A18653="DESPESAS"),6))))))</f>
        <v>0</v>
      </c>
      <c r="M18653" s="17" t="str">
        <f t="shared" si="890"/>
        <v/>
      </c>
      <c r="N18653" s="11" t="str">
        <f t="shared" si="891"/>
        <v/>
      </c>
    </row>
    <row r="18654" spans="9:14" x14ac:dyDescent="0.25">
      <c r="I18654" s="11" t="b">
        <f t="shared" si="892"/>
        <v>0</v>
      </c>
      <c r="M18654" s="17" t="str">
        <f t="shared" si="890"/>
        <v/>
      </c>
      <c r="N18654" s="11" t="str">
        <f t="shared" si="891"/>
        <v/>
      </c>
    </row>
    <row r="18655" spans="9:14" x14ac:dyDescent="0.25">
      <c r="I18655" s="11" t="b">
        <f t="shared" si="892"/>
        <v>0</v>
      </c>
      <c r="M18655" s="17" t="str">
        <f t="shared" si="890"/>
        <v/>
      </c>
      <c r="N18655" s="11" t="str">
        <f t="shared" si="891"/>
        <v/>
      </c>
    </row>
    <row r="18656" spans="9:14" x14ac:dyDescent="0.25">
      <c r="I18656" s="11" t="b">
        <f t="shared" si="892"/>
        <v>0</v>
      </c>
      <c r="M18656" s="17" t="str">
        <f t="shared" si="890"/>
        <v/>
      </c>
      <c r="N18656" s="11" t="str">
        <f t="shared" si="891"/>
        <v/>
      </c>
    </row>
    <row r="18657" spans="9:14" x14ac:dyDescent="0.25">
      <c r="I18657" s="11" t="b">
        <f t="shared" si="892"/>
        <v>0</v>
      </c>
      <c r="M18657" s="17" t="str">
        <f t="shared" si="890"/>
        <v/>
      </c>
      <c r="N18657" s="11" t="str">
        <f t="shared" si="891"/>
        <v/>
      </c>
    </row>
    <row r="18658" spans="9:14" x14ac:dyDescent="0.25">
      <c r="I18658" s="11" t="b">
        <f t="shared" si="892"/>
        <v>0</v>
      </c>
      <c r="M18658" s="17" t="str">
        <f t="shared" si="890"/>
        <v/>
      </c>
      <c r="N18658" s="11" t="str">
        <f t="shared" si="891"/>
        <v/>
      </c>
    </row>
    <row r="18659" spans="9:14" x14ac:dyDescent="0.25">
      <c r="I18659" s="11" t="b">
        <f t="shared" si="892"/>
        <v>0</v>
      </c>
      <c r="M18659" s="17" t="str">
        <f t="shared" si="890"/>
        <v/>
      </c>
      <c r="N18659" s="11" t="str">
        <f t="shared" si="891"/>
        <v/>
      </c>
    </row>
    <row r="18660" spans="9:14" x14ac:dyDescent="0.25">
      <c r="I18660" s="11" t="b">
        <f t="shared" si="892"/>
        <v>0</v>
      </c>
      <c r="M18660" s="17" t="str">
        <f t="shared" si="890"/>
        <v/>
      </c>
      <c r="N18660" s="11" t="str">
        <f t="shared" si="891"/>
        <v/>
      </c>
    </row>
    <row r="18661" spans="9:14" x14ac:dyDescent="0.25">
      <c r="I18661" s="11" t="b">
        <f t="shared" si="892"/>
        <v>0</v>
      </c>
      <c r="M18661" s="17" t="str">
        <f t="shared" si="890"/>
        <v/>
      </c>
      <c r="N18661" s="11" t="str">
        <f t="shared" si="891"/>
        <v/>
      </c>
    </row>
    <row r="18662" spans="9:14" x14ac:dyDescent="0.25">
      <c r="I18662" s="11" t="b">
        <f t="shared" si="892"/>
        <v>0</v>
      </c>
      <c r="M18662" s="17" t="str">
        <f t="shared" si="890"/>
        <v/>
      </c>
      <c r="N18662" s="11" t="str">
        <f t="shared" si="891"/>
        <v/>
      </c>
    </row>
    <row r="18663" spans="9:14" x14ac:dyDescent="0.25">
      <c r="I18663" s="11" t="b">
        <f t="shared" si="892"/>
        <v>0</v>
      </c>
      <c r="M18663" s="17" t="str">
        <f t="shared" si="890"/>
        <v/>
      </c>
      <c r="N18663" s="11" t="str">
        <f t="shared" si="891"/>
        <v/>
      </c>
    </row>
    <row r="18664" spans="9:14" x14ac:dyDescent="0.25">
      <c r="I18664" s="11" t="b">
        <f t="shared" si="892"/>
        <v>0</v>
      </c>
      <c r="M18664" s="17" t="str">
        <f t="shared" si="890"/>
        <v/>
      </c>
      <c r="N18664" s="11" t="str">
        <f t="shared" si="891"/>
        <v/>
      </c>
    </row>
    <row r="18665" spans="9:14" x14ac:dyDescent="0.25">
      <c r="I18665" s="11" t="b">
        <f t="shared" si="892"/>
        <v>0</v>
      </c>
      <c r="M18665" s="17" t="str">
        <f t="shared" si="890"/>
        <v/>
      </c>
      <c r="N18665" s="11" t="str">
        <f t="shared" si="891"/>
        <v/>
      </c>
    </row>
    <row r="18666" spans="9:14" x14ac:dyDescent="0.25">
      <c r="I18666" s="11" t="b">
        <f t="shared" si="892"/>
        <v>0</v>
      </c>
      <c r="M18666" s="17" t="str">
        <f t="shared" si="890"/>
        <v/>
      </c>
      <c r="N18666" s="11" t="str">
        <f t="shared" si="891"/>
        <v/>
      </c>
    </row>
    <row r="18667" spans="9:14" x14ac:dyDescent="0.25">
      <c r="I18667" s="11" t="b">
        <f t="shared" si="892"/>
        <v>0</v>
      </c>
      <c r="M18667" s="17" t="str">
        <f t="shared" si="890"/>
        <v/>
      </c>
      <c r="N18667" s="11" t="str">
        <f t="shared" si="891"/>
        <v/>
      </c>
    </row>
    <row r="18668" spans="9:14" x14ac:dyDescent="0.25">
      <c r="I18668" s="11" t="b">
        <f t="shared" si="892"/>
        <v>0</v>
      </c>
      <c r="M18668" s="17" t="str">
        <f t="shared" si="890"/>
        <v/>
      </c>
      <c r="N18668" s="11" t="str">
        <f t="shared" si="891"/>
        <v/>
      </c>
    </row>
    <row r="18669" spans="9:14" x14ac:dyDescent="0.25">
      <c r="I18669" s="11" t="b">
        <f t="shared" si="892"/>
        <v>0</v>
      </c>
      <c r="M18669" s="17" t="str">
        <f t="shared" si="890"/>
        <v/>
      </c>
      <c r="N18669" s="11" t="str">
        <f t="shared" si="891"/>
        <v/>
      </c>
    </row>
    <row r="18670" spans="9:14" x14ac:dyDescent="0.25">
      <c r="I18670" s="11" t="b">
        <f t="shared" si="892"/>
        <v>0</v>
      </c>
      <c r="M18670" s="17" t="str">
        <f t="shared" si="890"/>
        <v/>
      </c>
      <c r="N18670" s="11" t="str">
        <f t="shared" si="891"/>
        <v/>
      </c>
    </row>
    <row r="18671" spans="9:14" x14ac:dyDescent="0.25">
      <c r="I18671" s="11" t="b">
        <f t="shared" si="892"/>
        <v>0</v>
      </c>
      <c r="M18671" s="17" t="str">
        <f t="shared" si="890"/>
        <v/>
      </c>
      <c r="N18671" s="11" t="str">
        <f t="shared" si="891"/>
        <v/>
      </c>
    </row>
    <row r="18672" spans="9:14" x14ac:dyDescent="0.25">
      <c r="I18672" s="11" t="b">
        <f t="shared" si="892"/>
        <v>0</v>
      </c>
      <c r="M18672" s="17" t="str">
        <f t="shared" si="890"/>
        <v/>
      </c>
      <c r="N18672" s="11" t="str">
        <f t="shared" si="891"/>
        <v/>
      </c>
    </row>
    <row r="18673" spans="9:14" x14ac:dyDescent="0.25">
      <c r="I18673" s="11" t="b">
        <f t="shared" si="892"/>
        <v>0</v>
      </c>
      <c r="M18673" s="17" t="str">
        <f t="shared" si="890"/>
        <v/>
      </c>
      <c r="N18673" s="11" t="str">
        <f t="shared" si="891"/>
        <v/>
      </c>
    </row>
    <row r="18674" spans="9:14" x14ac:dyDescent="0.25">
      <c r="I18674" s="11" t="b">
        <f t="shared" si="892"/>
        <v>0</v>
      </c>
      <c r="M18674" s="17" t="str">
        <f t="shared" si="890"/>
        <v/>
      </c>
      <c r="N18674" s="11" t="str">
        <f t="shared" si="891"/>
        <v/>
      </c>
    </row>
    <row r="18675" spans="9:14" x14ac:dyDescent="0.25">
      <c r="I18675" s="11" t="b">
        <f t="shared" si="892"/>
        <v>0</v>
      </c>
      <c r="M18675" s="17" t="str">
        <f t="shared" si="890"/>
        <v/>
      </c>
      <c r="N18675" s="11" t="str">
        <f t="shared" si="891"/>
        <v/>
      </c>
    </row>
    <row r="18676" spans="9:14" x14ac:dyDescent="0.25">
      <c r="I18676" s="11" t="b">
        <f t="shared" si="892"/>
        <v>0</v>
      </c>
      <c r="M18676" s="17" t="str">
        <f t="shared" si="890"/>
        <v/>
      </c>
      <c r="N18676" s="11" t="str">
        <f t="shared" si="891"/>
        <v/>
      </c>
    </row>
    <row r="18677" spans="9:14" x14ac:dyDescent="0.25">
      <c r="I18677" s="11" t="b">
        <f t="shared" si="892"/>
        <v>0</v>
      </c>
      <c r="M18677" s="17" t="str">
        <f t="shared" si="890"/>
        <v/>
      </c>
      <c r="N18677" s="11" t="str">
        <f t="shared" si="891"/>
        <v/>
      </c>
    </row>
    <row r="18678" spans="9:14" x14ac:dyDescent="0.25">
      <c r="I18678" s="11" t="b">
        <f t="shared" si="892"/>
        <v>0</v>
      </c>
      <c r="M18678" s="17" t="str">
        <f t="shared" si="890"/>
        <v/>
      </c>
      <c r="N18678" s="11" t="str">
        <f t="shared" si="891"/>
        <v/>
      </c>
    </row>
    <row r="18679" spans="9:14" x14ac:dyDescent="0.25">
      <c r="I18679" s="11" t="b">
        <f t="shared" si="892"/>
        <v>0</v>
      </c>
      <c r="M18679" s="17" t="str">
        <f t="shared" si="890"/>
        <v/>
      </c>
      <c r="N18679" s="11" t="str">
        <f t="shared" si="891"/>
        <v/>
      </c>
    </row>
    <row r="18680" spans="9:14" x14ac:dyDescent="0.25">
      <c r="I18680" s="11" t="b">
        <f t="shared" si="892"/>
        <v>0</v>
      </c>
      <c r="M18680" s="17" t="str">
        <f t="shared" si="890"/>
        <v/>
      </c>
      <c r="N18680" s="11" t="str">
        <f t="shared" si="891"/>
        <v/>
      </c>
    </row>
    <row r="18681" spans="9:14" x14ac:dyDescent="0.25">
      <c r="I18681" s="11" t="b">
        <f t="shared" si="892"/>
        <v>0</v>
      </c>
      <c r="M18681" s="17" t="str">
        <f t="shared" si="890"/>
        <v/>
      </c>
      <c r="N18681" s="11" t="str">
        <f t="shared" si="891"/>
        <v/>
      </c>
    </row>
    <row r="18682" spans="9:14" x14ac:dyDescent="0.25">
      <c r="I18682" s="11" t="b">
        <f t="shared" si="892"/>
        <v>0</v>
      </c>
      <c r="M18682" s="17" t="str">
        <f t="shared" si="890"/>
        <v/>
      </c>
      <c r="N18682" s="11" t="str">
        <f t="shared" si="891"/>
        <v/>
      </c>
    </row>
    <row r="18683" spans="9:14" x14ac:dyDescent="0.25">
      <c r="I18683" s="11" t="b">
        <f t="shared" si="892"/>
        <v>0</v>
      </c>
      <c r="M18683" s="17" t="str">
        <f t="shared" si="890"/>
        <v/>
      </c>
      <c r="N18683" s="11" t="str">
        <f t="shared" si="891"/>
        <v/>
      </c>
    </row>
    <row r="18684" spans="9:14" x14ac:dyDescent="0.25">
      <c r="I18684" s="11" t="b">
        <f t="shared" si="892"/>
        <v>0</v>
      </c>
      <c r="M18684" s="17" t="str">
        <f t="shared" si="890"/>
        <v/>
      </c>
      <c r="N18684" s="11" t="str">
        <f t="shared" si="891"/>
        <v/>
      </c>
    </row>
    <row r="18685" spans="9:14" x14ac:dyDescent="0.25">
      <c r="I18685" s="11" t="b">
        <f t="shared" si="892"/>
        <v>0</v>
      </c>
      <c r="M18685" s="17" t="str">
        <f t="shared" si="890"/>
        <v/>
      </c>
      <c r="N18685" s="11" t="str">
        <f t="shared" si="891"/>
        <v/>
      </c>
    </row>
    <row r="18686" spans="9:14" x14ac:dyDescent="0.25">
      <c r="I18686" s="11" t="b">
        <f t="shared" si="892"/>
        <v>0</v>
      </c>
      <c r="M18686" s="17" t="str">
        <f t="shared" si="890"/>
        <v/>
      </c>
      <c r="N18686" s="11" t="str">
        <f t="shared" si="891"/>
        <v/>
      </c>
    </row>
    <row r="18687" spans="9:14" x14ac:dyDescent="0.25">
      <c r="I18687" s="11" t="b">
        <f t="shared" si="892"/>
        <v>0</v>
      </c>
      <c r="M18687" s="17" t="str">
        <f t="shared" si="890"/>
        <v/>
      </c>
      <c r="N18687" s="11" t="str">
        <f t="shared" si="891"/>
        <v/>
      </c>
    </row>
    <row r="18688" spans="9:14" x14ac:dyDescent="0.25">
      <c r="I18688" s="11" t="b">
        <f t="shared" si="892"/>
        <v>0</v>
      </c>
      <c r="M18688" s="17" t="str">
        <f t="shared" si="890"/>
        <v/>
      </c>
      <c r="N18688" s="11" t="str">
        <f t="shared" si="891"/>
        <v/>
      </c>
    </row>
    <row r="18689" spans="9:14" x14ac:dyDescent="0.25">
      <c r="I18689" s="11" t="b">
        <f t="shared" si="892"/>
        <v>0</v>
      </c>
      <c r="M18689" s="17" t="str">
        <f t="shared" ref="M18689:M18752" si="893">IF(B18689=0, "",M18688+ J18689-K18689)</f>
        <v/>
      </c>
      <c r="N18689" s="11" t="str">
        <f t="shared" ref="N18689:N18752" si="894">IF(B18689=0, "", MONTH(B18689))</f>
        <v/>
      </c>
    </row>
    <row r="18690" spans="9:14" x14ac:dyDescent="0.25">
      <c r="I18690" s="11" t="b">
        <f t="shared" si="892"/>
        <v>0</v>
      </c>
      <c r="M18690" s="17" t="str">
        <f t="shared" si="893"/>
        <v/>
      </c>
      <c r="N18690" s="11" t="str">
        <f t="shared" si="894"/>
        <v/>
      </c>
    </row>
    <row r="18691" spans="9:14" x14ac:dyDescent="0.25">
      <c r="I18691" s="11" t="b">
        <f t="shared" si="892"/>
        <v>0</v>
      </c>
      <c r="M18691" s="17" t="str">
        <f t="shared" si="893"/>
        <v/>
      </c>
      <c r="N18691" s="11" t="str">
        <f t="shared" si="894"/>
        <v/>
      </c>
    </row>
    <row r="18692" spans="9:14" x14ac:dyDescent="0.25">
      <c r="I18692" s="11" t="b">
        <f t="shared" si="892"/>
        <v>0</v>
      </c>
      <c r="M18692" s="17" t="str">
        <f t="shared" si="893"/>
        <v/>
      </c>
      <c r="N18692" s="11" t="str">
        <f t="shared" si="894"/>
        <v/>
      </c>
    </row>
    <row r="18693" spans="9:14" x14ac:dyDescent="0.25">
      <c r="I18693" s="11" t="b">
        <f t="shared" si="892"/>
        <v>0</v>
      </c>
      <c r="M18693" s="17" t="str">
        <f t="shared" si="893"/>
        <v/>
      </c>
      <c r="N18693" s="11" t="str">
        <f t="shared" si="894"/>
        <v/>
      </c>
    </row>
    <row r="18694" spans="9:14" x14ac:dyDescent="0.25">
      <c r="I18694" s="11" t="b">
        <f t="shared" si="892"/>
        <v>0</v>
      </c>
      <c r="M18694" s="17" t="str">
        <f t="shared" si="893"/>
        <v/>
      </c>
      <c r="N18694" s="11" t="str">
        <f t="shared" si="894"/>
        <v/>
      </c>
    </row>
    <row r="18695" spans="9:14" x14ac:dyDescent="0.25">
      <c r="I18695" s="11" t="b">
        <f t="shared" si="892"/>
        <v>0</v>
      </c>
      <c r="M18695" s="17" t="str">
        <f t="shared" si="893"/>
        <v/>
      </c>
      <c r="N18695" s="11" t="str">
        <f t="shared" si="894"/>
        <v/>
      </c>
    </row>
    <row r="18696" spans="9:14" x14ac:dyDescent="0.25">
      <c r="I18696" s="11" t="b">
        <f t="shared" si="892"/>
        <v>0</v>
      </c>
      <c r="M18696" s="17" t="str">
        <f t="shared" si="893"/>
        <v/>
      </c>
      <c r="N18696" s="11" t="str">
        <f t="shared" si="894"/>
        <v/>
      </c>
    </row>
    <row r="18697" spans="9:14" x14ac:dyDescent="0.25">
      <c r="I18697" s="11" t="b">
        <f t="shared" si="892"/>
        <v>0</v>
      </c>
      <c r="M18697" s="17" t="str">
        <f t="shared" si="893"/>
        <v/>
      </c>
      <c r="N18697" s="11" t="str">
        <f t="shared" si="894"/>
        <v/>
      </c>
    </row>
    <row r="18698" spans="9:14" x14ac:dyDescent="0.25">
      <c r="I18698" s="11" t="b">
        <f t="shared" si="892"/>
        <v>0</v>
      </c>
      <c r="M18698" s="17" t="str">
        <f t="shared" si="893"/>
        <v/>
      </c>
      <c r="N18698" s="11" t="str">
        <f t="shared" si="894"/>
        <v/>
      </c>
    </row>
    <row r="18699" spans="9:14" x14ac:dyDescent="0.25">
      <c r="I18699" s="11" t="b">
        <f t="shared" si="892"/>
        <v>0</v>
      </c>
      <c r="M18699" s="17" t="str">
        <f t="shared" si="893"/>
        <v/>
      </c>
      <c r="N18699" s="11" t="str">
        <f t="shared" si="894"/>
        <v/>
      </c>
    </row>
    <row r="18700" spans="9:14" x14ac:dyDescent="0.25">
      <c r="I18700" s="11" t="b">
        <f t="shared" si="892"/>
        <v>0</v>
      </c>
      <c r="M18700" s="17" t="str">
        <f t="shared" si="893"/>
        <v/>
      </c>
      <c r="N18700" s="11" t="str">
        <f t="shared" si="894"/>
        <v/>
      </c>
    </row>
    <row r="18701" spans="9:14" x14ac:dyDescent="0.25">
      <c r="I18701" s="11" t="b">
        <f t="shared" si="892"/>
        <v>0</v>
      </c>
      <c r="M18701" s="17" t="str">
        <f t="shared" si="893"/>
        <v/>
      </c>
      <c r="N18701" s="11" t="str">
        <f t="shared" si="894"/>
        <v/>
      </c>
    </row>
    <row r="18702" spans="9:14" x14ac:dyDescent="0.25">
      <c r="I18702" s="11" t="b">
        <f t="shared" si="892"/>
        <v>0</v>
      </c>
      <c r="M18702" s="17" t="str">
        <f t="shared" si="893"/>
        <v/>
      </c>
      <c r="N18702" s="11" t="str">
        <f t="shared" si="894"/>
        <v/>
      </c>
    </row>
    <row r="18703" spans="9:14" x14ac:dyDescent="0.25">
      <c r="I18703" s="11" t="b">
        <f t="shared" si="892"/>
        <v>0</v>
      </c>
      <c r="M18703" s="17" t="str">
        <f t="shared" si="893"/>
        <v/>
      </c>
      <c r="N18703" s="11" t="str">
        <f t="shared" si="894"/>
        <v/>
      </c>
    </row>
    <row r="18704" spans="9:14" x14ac:dyDescent="0.25">
      <c r="I18704" s="11" t="b">
        <f t="shared" si="892"/>
        <v>0</v>
      </c>
      <c r="M18704" s="17" t="str">
        <f t="shared" si="893"/>
        <v/>
      </c>
      <c r="N18704" s="11" t="str">
        <f t="shared" si="894"/>
        <v/>
      </c>
    </row>
    <row r="18705" spans="9:14" x14ac:dyDescent="0.25">
      <c r="I18705" s="11" t="b">
        <f t="shared" si="892"/>
        <v>0</v>
      </c>
      <c r="M18705" s="17" t="str">
        <f t="shared" si="893"/>
        <v/>
      </c>
      <c r="N18705" s="11" t="str">
        <f t="shared" si="894"/>
        <v/>
      </c>
    </row>
    <row r="18706" spans="9:14" x14ac:dyDescent="0.25">
      <c r="I18706" s="11" t="b">
        <f t="shared" si="892"/>
        <v>0</v>
      </c>
      <c r="M18706" s="17" t="str">
        <f t="shared" si="893"/>
        <v/>
      </c>
      <c r="N18706" s="11" t="str">
        <f t="shared" si="894"/>
        <v/>
      </c>
    </row>
    <row r="18707" spans="9:14" x14ac:dyDescent="0.25">
      <c r="I18707" s="11" t="b">
        <f t="shared" si="892"/>
        <v>0</v>
      </c>
      <c r="M18707" s="17" t="str">
        <f t="shared" si="893"/>
        <v/>
      </c>
      <c r="N18707" s="11" t="str">
        <f t="shared" si="894"/>
        <v/>
      </c>
    </row>
    <row r="18708" spans="9:14" x14ac:dyDescent="0.25">
      <c r="I18708" s="11" t="b">
        <f t="shared" si="892"/>
        <v>0</v>
      </c>
      <c r="M18708" s="17" t="str">
        <f t="shared" si="893"/>
        <v/>
      </c>
      <c r="N18708" s="11" t="str">
        <f t="shared" si="894"/>
        <v/>
      </c>
    </row>
    <row r="18709" spans="9:14" x14ac:dyDescent="0.25">
      <c r="I18709" s="11" t="b">
        <f t="shared" si="892"/>
        <v>0</v>
      </c>
      <c r="M18709" s="17" t="str">
        <f t="shared" si="893"/>
        <v/>
      </c>
      <c r="N18709" s="11" t="str">
        <f t="shared" si="894"/>
        <v/>
      </c>
    </row>
    <row r="18710" spans="9:14" x14ac:dyDescent="0.25">
      <c r="I18710" s="11" t="b">
        <f t="shared" si="892"/>
        <v>0</v>
      </c>
      <c r="M18710" s="17" t="str">
        <f t="shared" si="893"/>
        <v/>
      </c>
      <c r="N18710" s="11" t="str">
        <f t="shared" si="894"/>
        <v/>
      </c>
    </row>
    <row r="18711" spans="9:14" x14ac:dyDescent="0.25">
      <c r="I18711" s="11" t="b">
        <f t="shared" si="892"/>
        <v>0</v>
      </c>
      <c r="M18711" s="17" t="str">
        <f t="shared" si="893"/>
        <v/>
      </c>
      <c r="N18711" s="11" t="str">
        <f t="shared" si="894"/>
        <v/>
      </c>
    </row>
    <row r="18712" spans="9:14" x14ac:dyDescent="0.25">
      <c r="I18712" s="11" t="b">
        <f t="shared" si="892"/>
        <v>0</v>
      </c>
      <c r="M18712" s="17" t="str">
        <f t="shared" si="893"/>
        <v/>
      </c>
      <c r="N18712" s="11" t="str">
        <f t="shared" si="894"/>
        <v/>
      </c>
    </row>
    <row r="18713" spans="9:14" x14ac:dyDescent="0.25">
      <c r="I18713" s="11" t="b">
        <f t="shared" si="892"/>
        <v>0</v>
      </c>
      <c r="M18713" s="17" t="str">
        <f t="shared" si="893"/>
        <v/>
      </c>
      <c r="N18713" s="11" t="str">
        <f t="shared" si="894"/>
        <v/>
      </c>
    </row>
    <row r="18714" spans="9:14" x14ac:dyDescent="0.25">
      <c r="I18714" s="11" t="b">
        <f t="shared" si="892"/>
        <v>0</v>
      </c>
      <c r="M18714" s="17" t="str">
        <f t="shared" si="893"/>
        <v/>
      </c>
      <c r="N18714" s="11" t="str">
        <f t="shared" si="894"/>
        <v/>
      </c>
    </row>
    <row r="18715" spans="9:14" x14ac:dyDescent="0.25">
      <c r="I18715" s="11" t="b">
        <f t="shared" si="892"/>
        <v>0</v>
      </c>
      <c r="M18715" s="17" t="str">
        <f t="shared" si="893"/>
        <v/>
      </c>
      <c r="N18715" s="11" t="str">
        <f t="shared" si="894"/>
        <v/>
      </c>
    </row>
    <row r="18716" spans="9:14" x14ac:dyDescent="0.25">
      <c r="I18716" s="11" t="b">
        <f t="shared" si="892"/>
        <v>0</v>
      </c>
      <c r="M18716" s="17" t="str">
        <f t="shared" si="893"/>
        <v/>
      </c>
      <c r="N18716" s="11" t="str">
        <f t="shared" si="894"/>
        <v/>
      </c>
    </row>
    <row r="18717" spans="9:14" x14ac:dyDescent="0.25">
      <c r="I18717" s="11" t="b">
        <f t="shared" ref="I18717:I18780" si="895">IF(AND(G18717="MERCADO PAGO",A18717="FATURAMENTO"),1,IF(AND(OR(G18717="MERCADO PAGO",G18717="pix mercado pago",G18717= "débito automático mercado pago", G18717= "boleto mercado pago"),A18717="DESPESAS"),4,IF(AND(G18717="SAFRA",A18717="FATURAMENTO"),2,IF(AND(OR(G18717="SAFRA",G18717="PIX SAFRA", G18717="DÉBITO AUTOMÁTICO SAFRA", G18717= "BOLETO SAFRA", G18717= "transferência safra"), A18717="DESPESAS"),5,IF(AND(G18717="espécie",A18717="FATURAMENTO"),3,IF(AND(G18717="espécie",A18717="DESPESAS"),6))))))</f>
        <v>0</v>
      </c>
      <c r="M18717" s="17" t="str">
        <f t="shared" si="893"/>
        <v/>
      </c>
      <c r="N18717" s="11" t="str">
        <f t="shared" si="894"/>
        <v/>
      </c>
    </row>
    <row r="18718" spans="9:14" x14ac:dyDescent="0.25">
      <c r="I18718" s="11" t="b">
        <f t="shared" si="895"/>
        <v>0</v>
      </c>
      <c r="M18718" s="17" t="str">
        <f t="shared" si="893"/>
        <v/>
      </c>
      <c r="N18718" s="11" t="str">
        <f t="shared" si="894"/>
        <v/>
      </c>
    </row>
    <row r="18719" spans="9:14" x14ac:dyDescent="0.25">
      <c r="I18719" s="11" t="b">
        <f t="shared" si="895"/>
        <v>0</v>
      </c>
      <c r="M18719" s="17" t="str">
        <f t="shared" si="893"/>
        <v/>
      </c>
      <c r="N18719" s="11" t="str">
        <f t="shared" si="894"/>
        <v/>
      </c>
    </row>
    <row r="18720" spans="9:14" x14ac:dyDescent="0.25">
      <c r="I18720" s="11" t="b">
        <f t="shared" si="895"/>
        <v>0</v>
      </c>
      <c r="M18720" s="17" t="str">
        <f t="shared" si="893"/>
        <v/>
      </c>
      <c r="N18720" s="11" t="str">
        <f t="shared" si="894"/>
        <v/>
      </c>
    </row>
    <row r="18721" spans="9:14" x14ac:dyDescent="0.25">
      <c r="I18721" s="11" t="b">
        <f t="shared" si="895"/>
        <v>0</v>
      </c>
      <c r="M18721" s="17" t="str">
        <f t="shared" si="893"/>
        <v/>
      </c>
      <c r="N18721" s="11" t="str">
        <f t="shared" si="894"/>
        <v/>
      </c>
    </row>
    <row r="18722" spans="9:14" x14ac:dyDescent="0.25">
      <c r="I18722" s="11" t="b">
        <f t="shared" si="895"/>
        <v>0</v>
      </c>
      <c r="M18722" s="17" t="str">
        <f t="shared" si="893"/>
        <v/>
      </c>
      <c r="N18722" s="11" t="str">
        <f t="shared" si="894"/>
        <v/>
      </c>
    </row>
    <row r="18723" spans="9:14" x14ac:dyDescent="0.25">
      <c r="I18723" s="11" t="b">
        <f t="shared" si="895"/>
        <v>0</v>
      </c>
      <c r="M18723" s="17" t="str">
        <f t="shared" si="893"/>
        <v/>
      </c>
      <c r="N18723" s="11" t="str">
        <f t="shared" si="894"/>
        <v/>
      </c>
    </row>
    <row r="18724" spans="9:14" x14ac:dyDescent="0.25">
      <c r="I18724" s="11" t="b">
        <f t="shared" si="895"/>
        <v>0</v>
      </c>
      <c r="M18724" s="17" t="str">
        <f t="shared" si="893"/>
        <v/>
      </c>
      <c r="N18724" s="11" t="str">
        <f t="shared" si="894"/>
        <v/>
      </c>
    </row>
    <row r="18725" spans="9:14" x14ac:dyDescent="0.25">
      <c r="I18725" s="11" t="b">
        <f t="shared" si="895"/>
        <v>0</v>
      </c>
      <c r="M18725" s="17" t="str">
        <f t="shared" si="893"/>
        <v/>
      </c>
      <c r="N18725" s="11" t="str">
        <f t="shared" si="894"/>
        <v/>
      </c>
    </row>
    <row r="18726" spans="9:14" x14ac:dyDescent="0.25">
      <c r="I18726" s="11" t="b">
        <f t="shared" si="895"/>
        <v>0</v>
      </c>
      <c r="M18726" s="17" t="str">
        <f t="shared" si="893"/>
        <v/>
      </c>
      <c r="N18726" s="11" t="str">
        <f t="shared" si="894"/>
        <v/>
      </c>
    </row>
    <row r="18727" spans="9:14" x14ac:dyDescent="0.25">
      <c r="I18727" s="11" t="b">
        <f t="shared" si="895"/>
        <v>0</v>
      </c>
      <c r="M18727" s="17" t="str">
        <f t="shared" si="893"/>
        <v/>
      </c>
      <c r="N18727" s="11" t="str">
        <f t="shared" si="894"/>
        <v/>
      </c>
    </row>
    <row r="18728" spans="9:14" x14ac:dyDescent="0.25">
      <c r="I18728" s="11" t="b">
        <f t="shared" si="895"/>
        <v>0</v>
      </c>
      <c r="M18728" s="17" t="str">
        <f t="shared" si="893"/>
        <v/>
      </c>
      <c r="N18728" s="11" t="str">
        <f t="shared" si="894"/>
        <v/>
      </c>
    </row>
    <row r="18729" spans="9:14" x14ac:dyDescent="0.25">
      <c r="I18729" s="11" t="b">
        <f t="shared" si="895"/>
        <v>0</v>
      </c>
      <c r="M18729" s="17" t="str">
        <f t="shared" si="893"/>
        <v/>
      </c>
      <c r="N18729" s="11" t="str">
        <f t="shared" si="894"/>
        <v/>
      </c>
    </row>
    <row r="18730" spans="9:14" x14ac:dyDescent="0.25">
      <c r="I18730" s="11" t="b">
        <f t="shared" si="895"/>
        <v>0</v>
      </c>
      <c r="M18730" s="17" t="str">
        <f t="shared" si="893"/>
        <v/>
      </c>
      <c r="N18730" s="11" t="str">
        <f t="shared" si="894"/>
        <v/>
      </c>
    </row>
    <row r="18731" spans="9:14" x14ac:dyDescent="0.25">
      <c r="I18731" s="11" t="b">
        <f t="shared" si="895"/>
        <v>0</v>
      </c>
      <c r="M18731" s="17" t="str">
        <f t="shared" si="893"/>
        <v/>
      </c>
      <c r="N18731" s="11" t="str">
        <f t="shared" si="894"/>
        <v/>
      </c>
    </row>
    <row r="18732" spans="9:14" x14ac:dyDescent="0.25">
      <c r="I18732" s="11" t="b">
        <f t="shared" si="895"/>
        <v>0</v>
      </c>
      <c r="M18732" s="17" t="str">
        <f t="shared" si="893"/>
        <v/>
      </c>
      <c r="N18732" s="11" t="str">
        <f t="shared" si="894"/>
        <v/>
      </c>
    </row>
    <row r="18733" spans="9:14" x14ac:dyDescent="0.25">
      <c r="I18733" s="11" t="b">
        <f t="shared" si="895"/>
        <v>0</v>
      </c>
      <c r="M18733" s="17" t="str">
        <f t="shared" si="893"/>
        <v/>
      </c>
      <c r="N18733" s="11" t="str">
        <f t="shared" si="894"/>
        <v/>
      </c>
    </row>
    <row r="18734" spans="9:14" x14ac:dyDescent="0.25">
      <c r="I18734" s="11" t="b">
        <f t="shared" si="895"/>
        <v>0</v>
      </c>
      <c r="M18734" s="17" t="str">
        <f t="shared" si="893"/>
        <v/>
      </c>
      <c r="N18734" s="11" t="str">
        <f t="shared" si="894"/>
        <v/>
      </c>
    </row>
    <row r="18735" spans="9:14" x14ac:dyDescent="0.25">
      <c r="I18735" s="11" t="b">
        <f t="shared" si="895"/>
        <v>0</v>
      </c>
      <c r="M18735" s="17" t="str">
        <f t="shared" si="893"/>
        <v/>
      </c>
      <c r="N18735" s="11" t="str">
        <f t="shared" si="894"/>
        <v/>
      </c>
    </row>
    <row r="18736" spans="9:14" x14ac:dyDescent="0.25">
      <c r="I18736" s="11" t="b">
        <f t="shared" si="895"/>
        <v>0</v>
      </c>
      <c r="M18736" s="17" t="str">
        <f t="shared" si="893"/>
        <v/>
      </c>
      <c r="N18736" s="11" t="str">
        <f t="shared" si="894"/>
        <v/>
      </c>
    </row>
    <row r="18737" spans="9:14" x14ac:dyDescent="0.25">
      <c r="I18737" s="11" t="b">
        <f t="shared" si="895"/>
        <v>0</v>
      </c>
      <c r="M18737" s="17" t="str">
        <f t="shared" si="893"/>
        <v/>
      </c>
      <c r="N18737" s="11" t="str">
        <f t="shared" si="894"/>
        <v/>
      </c>
    </row>
    <row r="18738" spans="9:14" x14ac:dyDescent="0.25">
      <c r="I18738" s="11" t="b">
        <f t="shared" si="895"/>
        <v>0</v>
      </c>
      <c r="M18738" s="17" t="str">
        <f t="shared" si="893"/>
        <v/>
      </c>
      <c r="N18738" s="11" t="str">
        <f t="shared" si="894"/>
        <v/>
      </c>
    </row>
    <row r="18739" spans="9:14" x14ac:dyDescent="0.25">
      <c r="I18739" s="11" t="b">
        <f t="shared" si="895"/>
        <v>0</v>
      </c>
      <c r="M18739" s="17" t="str">
        <f t="shared" si="893"/>
        <v/>
      </c>
      <c r="N18739" s="11" t="str">
        <f t="shared" si="894"/>
        <v/>
      </c>
    </row>
    <row r="18740" spans="9:14" x14ac:dyDescent="0.25">
      <c r="I18740" s="11" t="b">
        <f t="shared" si="895"/>
        <v>0</v>
      </c>
      <c r="M18740" s="17" t="str">
        <f t="shared" si="893"/>
        <v/>
      </c>
      <c r="N18740" s="11" t="str">
        <f t="shared" si="894"/>
        <v/>
      </c>
    </row>
    <row r="18741" spans="9:14" x14ac:dyDescent="0.25">
      <c r="I18741" s="11" t="b">
        <f t="shared" si="895"/>
        <v>0</v>
      </c>
      <c r="M18741" s="17" t="str">
        <f t="shared" si="893"/>
        <v/>
      </c>
      <c r="N18741" s="11" t="str">
        <f t="shared" si="894"/>
        <v/>
      </c>
    </row>
    <row r="18742" spans="9:14" x14ac:dyDescent="0.25">
      <c r="I18742" s="11" t="b">
        <f t="shared" si="895"/>
        <v>0</v>
      </c>
      <c r="M18742" s="17" t="str">
        <f t="shared" si="893"/>
        <v/>
      </c>
      <c r="N18742" s="11" t="str">
        <f t="shared" si="894"/>
        <v/>
      </c>
    </row>
    <row r="18743" spans="9:14" x14ac:dyDescent="0.25">
      <c r="I18743" s="11" t="b">
        <f t="shared" si="895"/>
        <v>0</v>
      </c>
      <c r="M18743" s="17" t="str">
        <f t="shared" si="893"/>
        <v/>
      </c>
      <c r="N18743" s="11" t="str">
        <f t="shared" si="894"/>
        <v/>
      </c>
    </row>
    <row r="18744" spans="9:14" x14ac:dyDescent="0.25">
      <c r="I18744" s="11" t="b">
        <f t="shared" si="895"/>
        <v>0</v>
      </c>
      <c r="M18744" s="17" t="str">
        <f t="shared" si="893"/>
        <v/>
      </c>
      <c r="N18744" s="11" t="str">
        <f t="shared" si="894"/>
        <v/>
      </c>
    </row>
    <row r="18745" spans="9:14" x14ac:dyDescent="0.25">
      <c r="I18745" s="11" t="b">
        <f t="shared" si="895"/>
        <v>0</v>
      </c>
      <c r="M18745" s="17" t="str">
        <f t="shared" si="893"/>
        <v/>
      </c>
      <c r="N18745" s="11" t="str">
        <f t="shared" si="894"/>
        <v/>
      </c>
    </row>
    <row r="18746" spans="9:14" x14ac:dyDescent="0.25">
      <c r="I18746" s="11" t="b">
        <f t="shared" si="895"/>
        <v>0</v>
      </c>
      <c r="M18746" s="17" t="str">
        <f t="shared" si="893"/>
        <v/>
      </c>
      <c r="N18746" s="11" t="str">
        <f t="shared" si="894"/>
        <v/>
      </c>
    </row>
    <row r="18747" spans="9:14" x14ac:dyDescent="0.25">
      <c r="I18747" s="11" t="b">
        <f t="shared" si="895"/>
        <v>0</v>
      </c>
      <c r="M18747" s="17" t="str">
        <f t="shared" si="893"/>
        <v/>
      </c>
      <c r="N18747" s="11" t="str">
        <f t="shared" si="894"/>
        <v/>
      </c>
    </row>
    <row r="18748" spans="9:14" x14ac:dyDescent="0.25">
      <c r="I18748" s="11" t="b">
        <f t="shared" si="895"/>
        <v>0</v>
      </c>
      <c r="M18748" s="17" t="str">
        <f t="shared" si="893"/>
        <v/>
      </c>
      <c r="N18748" s="11" t="str">
        <f t="shared" si="894"/>
        <v/>
      </c>
    </row>
    <row r="18749" spans="9:14" x14ac:dyDescent="0.25">
      <c r="I18749" s="11" t="b">
        <f t="shared" si="895"/>
        <v>0</v>
      </c>
      <c r="M18749" s="17" t="str">
        <f t="shared" si="893"/>
        <v/>
      </c>
      <c r="N18749" s="11" t="str">
        <f t="shared" si="894"/>
        <v/>
      </c>
    </row>
    <row r="18750" spans="9:14" x14ac:dyDescent="0.25">
      <c r="I18750" s="11" t="b">
        <f t="shared" si="895"/>
        <v>0</v>
      </c>
      <c r="M18750" s="17" t="str">
        <f t="shared" si="893"/>
        <v/>
      </c>
      <c r="N18750" s="11" t="str">
        <f t="shared" si="894"/>
        <v/>
      </c>
    </row>
    <row r="18751" spans="9:14" x14ac:dyDescent="0.25">
      <c r="I18751" s="11" t="b">
        <f t="shared" si="895"/>
        <v>0</v>
      </c>
      <c r="M18751" s="17" t="str">
        <f t="shared" si="893"/>
        <v/>
      </c>
      <c r="N18751" s="11" t="str">
        <f t="shared" si="894"/>
        <v/>
      </c>
    </row>
    <row r="18752" spans="9:14" x14ac:dyDescent="0.25">
      <c r="I18752" s="11" t="b">
        <f t="shared" si="895"/>
        <v>0</v>
      </c>
      <c r="M18752" s="17" t="str">
        <f t="shared" si="893"/>
        <v/>
      </c>
      <c r="N18752" s="11" t="str">
        <f t="shared" si="894"/>
        <v/>
      </c>
    </row>
    <row r="18753" spans="9:14" x14ac:dyDescent="0.25">
      <c r="I18753" s="11" t="b">
        <f t="shared" si="895"/>
        <v>0</v>
      </c>
      <c r="M18753" s="17" t="str">
        <f t="shared" ref="M18753:M18816" si="896">IF(B18753=0, "",M18752+ J18753-K18753)</f>
        <v/>
      </c>
      <c r="N18753" s="11" t="str">
        <f t="shared" ref="N18753:N18816" si="897">IF(B18753=0, "", MONTH(B18753))</f>
        <v/>
      </c>
    </row>
    <row r="18754" spans="9:14" x14ac:dyDescent="0.25">
      <c r="I18754" s="11" t="b">
        <f t="shared" si="895"/>
        <v>0</v>
      </c>
      <c r="M18754" s="17" t="str">
        <f t="shared" si="896"/>
        <v/>
      </c>
      <c r="N18754" s="11" t="str">
        <f t="shared" si="897"/>
        <v/>
      </c>
    </row>
    <row r="18755" spans="9:14" x14ac:dyDescent="0.25">
      <c r="I18755" s="11" t="b">
        <f t="shared" si="895"/>
        <v>0</v>
      </c>
      <c r="M18755" s="17" t="str">
        <f t="shared" si="896"/>
        <v/>
      </c>
      <c r="N18755" s="11" t="str">
        <f t="shared" si="897"/>
        <v/>
      </c>
    </row>
    <row r="18756" spans="9:14" x14ac:dyDescent="0.25">
      <c r="I18756" s="11" t="b">
        <f t="shared" si="895"/>
        <v>0</v>
      </c>
      <c r="M18756" s="17" t="str">
        <f t="shared" si="896"/>
        <v/>
      </c>
      <c r="N18756" s="11" t="str">
        <f t="shared" si="897"/>
        <v/>
      </c>
    </row>
    <row r="18757" spans="9:14" x14ac:dyDescent="0.25">
      <c r="I18757" s="11" t="b">
        <f t="shared" si="895"/>
        <v>0</v>
      </c>
      <c r="M18757" s="17" t="str">
        <f t="shared" si="896"/>
        <v/>
      </c>
      <c r="N18757" s="11" t="str">
        <f t="shared" si="897"/>
        <v/>
      </c>
    </row>
    <row r="18758" spans="9:14" x14ac:dyDescent="0.25">
      <c r="I18758" s="11" t="b">
        <f t="shared" si="895"/>
        <v>0</v>
      </c>
      <c r="M18758" s="17" t="str">
        <f t="shared" si="896"/>
        <v/>
      </c>
      <c r="N18758" s="11" t="str">
        <f t="shared" si="897"/>
        <v/>
      </c>
    </row>
    <row r="18759" spans="9:14" x14ac:dyDescent="0.25">
      <c r="I18759" s="11" t="b">
        <f t="shared" si="895"/>
        <v>0</v>
      </c>
      <c r="M18759" s="17" t="str">
        <f t="shared" si="896"/>
        <v/>
      </c>
      <c r="N18759" s="11" t="str">
        <f t="shared" si="897"/>
        <v/>
      </c>
    </row>
    <row r="18760" spans="9:14" x14ac:dyDescent="0.25">
      <c r="I18760" s="11" t="b">
        <f t="shared" si="895"/>
        <v>0</v>
      </c>
      <c r="M18760" s="17" t="str">
        <f t="shared" si="896"/>
        <v/>
      </c>
      <c r="N18760" s="11" t="str">
        <f t="shared" si="897"/>
        <v/>
      </c>
    </row>
    <row r="18761" spans="9:14" x14ac:dyDescent="0.25">
      <c r="I18761" s="11" t="b">
        <f t="shared" si="895"/>
        <v>0</v>
      </c>
      <c r="M18761" s="17" t="str">
        <f t="shared" si="896"/>
        <v/>
      </c>
      <c r="N18761" s="11" t="str">
        <f t="shared" si="897"/>
        <v/>
      </c>
    </row>
    <row r="18762" spans="9:14" x14ac:dyDescent="0.25">
      <c r="I18762" s="11" t="b">
        <f t="shared" si="895"/>
        <v>0</v>
      </c>
      <c r="M18762" s="17" t="str">
        <f t="shared" si="896"/>
        <v/>
      </c>
      <c r="N18762" s="11" t="str">
        <f t="shared" si="897"/>
        <v/>
      </c>
    </row>
    <row r="18763" spans="9:14" x14ac:dyDescent="0.25">
      <c r="I18763" s="11" t="b">
        <f t="shared" si="895"/>
        <v>0</v>
      </c>
      <c r="M18763" s="17" t="str">
        <f t="shared" si="896"/>
        <v/>
      </c>
      <c r="N18763" s="11" t="str">
        <f t="shared" si="897"/>
        <v/>
      </c>
    </row>
    <row r="18764" spans="9:14" x14ac:dyDescent="0.25">
      <c r="I18764" s="11" t="b">
        <f t="shared" si="895"/>
        <v>0</v>
      </c>
      <c r="M18764" s="17" t="str">
        <f t="shared" si="896"/>
        <v/>
      </c>
      <c r="N18764" s="11" t="str">
        <f t="shared" si="897"/>
        <v/>
      </c>
    </row>
    <row r="18765" spans="9:14" x14ac:dyDescent="0.25">
      <c r="I18765" s="11" t="b">
        <f t="shared" si="895"/>
        <v>0</v>
      </c>
      <c r="M18765" s="17" t="str">
        <f t="shared" si="896"/>
        <v/>
      </c>
      <c r="N18765" s="11" t="str">
        <f t="shared" si="897"/>
        <v/>
      </c>
    </row>
    <row r="18766" spans="9:14" x14ac:dyDescent="0.25">
      <c r="I18766" s="11" t="b">
        <f t="shared" si="895"/>
        <v>0</v>
      </c>
      <c r="M18766" s="17" t="str">
        <f t="shared" si="896"/>
        <v/>
      </c>
      <c r="N18766" s="11" t="str">
        <f t="shared" si="897"/>
        <v/>
      </c>
    </row>
    <row r="18767" spans="9:14" x14ac:dyDescent="0.25">
      <c r="I18767" s="11" t="b">
        <f t="shared" si="895"/>
        <v>0</v>
      </c>
      <c r="M18767" s="17" t="str">
        <f t="shared" si="896"/>
        <v/>
      </c>
      <c r="N18767" s="11" t="str">
        <f t="shared" si="897"/>
        <v/>
      </c>
    </row>
    <row r="18768" spans="9:14" x14ac:dyDescent="0.25">
      <c r="I18768" s="11" t="b">
        <f t="shared" si="895"/>
        <v>0</v>
      </c>
      <c r="M18768" s="17" t="str">
        <f t="shared" si="896"/>
        <v/>
      </c>
      <c r="N18768" s="11" t="str">
        <f t="shared" si="897"/>
        <v/>
      </c>
    </row>
    <row r="18769" spans="9:14" x14ac:dyDescent="0.25">
      <c r="I18769" s="11" t="b">
        <f t="shared" si="895"/>
        <v>0</v>
      </c>
      <c r="M18769" s="17" t="str">
        <f t="shared" si="896"/>
        <v/>
      </c>
      <c r="N18769" s="11" t="str">
        <f t="shared" si="897"/>
        <v/>
      </c>
    </row>
    <row r="18770" spans="9:14" x14ac:dyDescent="0.25">
      <c r="I18770" s="11" t="b">
        <f t="shared" si="895"/>
        <v>0</v>
      </c>
      <c r="M18770" s="17" t="str">
        <f t="shared" si="896"/>
        <v/>
      </c>
      <c r="N18770" s="11" t="str">
        <f t="shared" si="897"/>
        <v/>
      </c>
    </row>
    <row r="18771" spans="9:14" x14ac:dyDescent="0.25">
      <c r="I18771" s="11" t="b">
        <f t="shared" si="895"/>
        <v>0</v>
      </c>
      <c r="M18771" s="17" t="str">
        <f t="shared" si="896"/>
        <v/>
      </c>
      <c r="N18771" s="11" t="str">
        <f t="shared" si="897"/>
        <v/>
      </c>
    </row>
    <row r="18772" spans="9:14" x14ac:dyDescent="0.25">
      <c r="I18772" s="11" t="b">
        <f t="shared" si="895"/>
        <v>0</v>
      </c>
      <c r="M18772" s="17" t="str">
        <f t="shared" si="896"/>
        <v/>
      </c>
      <c r="N18772" s="11" t="str">
        <f t="shared" si="897"/>
        <v/>
      </c>
    </row>
    <row r="18773" spans="9:14" x14ac:dyDescent="0.25">
      <c r="I18773" s="11" t="b">
        <f t="shared" si="895"/>
        <v>0</v>
      </c>
      <c r="M18773" s="17" t="str">
        <f t="shared" si="896"/>
        <v/>
      </c>
      <c r="N18773" s="11" t="str">
        <f t="shared" si="897"/>
        <v/>
      </c>
    </row>
    <row r="18774" spans="9:14" x14ac:dyDescent="0.25">
      <c r="I18774" s="11" t="b">
        <f t="shared" si="895"/>
        <v>0</v>
      </c>
      <c r="M18774" s="17" t="str">
        <f t="shared" si="896"/>
        <v/>
      </c>
      <c r="N18774" s="11" t="str">
        <f t="shared" si="897"/>
        <v/>
      </c>
    </row>
    <row r="18775" spans="9:14" x14ac:dyDescent="0.25">
      <c r="I18775" s="11" t="b">
        <f t="shared" si="895"/>
        <v>0</v>
      </c>
      <c r="M18775" s="17" t="str">
        <f t="shared" si="896"/>
        <v/>
      </c>
      <c r="N18775" s="11" t="str">
        <f t="shared" si="897"/>
        <v/>
      </c>
    </row>
    <row r="18776" spans="9:14" x14ac:dyDescent="0.25">
      <c r="I18776" s="11" t="b">
        <f t="shared" si="895"/>
        <v>0</v>
      </c>
      <c r="M18776" s="17" t="str">
        <f t="shared" si="896"/>
        <v/>
      </c>
      <c r="N18776" s="11" t="str">
        <f t="shared" si="897"/>
        <v/>
      </c>
    </row>
    <row r="18777" spans="9:14" x14ac:dyDescent="0.25">
      <c r="I18777" s="11" t="b">
        <f t="shared" si="895"/>
        <v>0</v>
      </c>
      <c r="M18777" s="17" t="str">
        <f t="shared" si="896"/>
        <v/>
      </c>
      <c r="N18777" s="11" t="str">
        <f t="shared" si="897"/>
        <v/>
      </c>
    </row>
    <row r="18778" spans="9:14" x14ac:dyDescent="0.25">
      <c r="I18778" s="11" t="b">
        <f t="shared" si="895"/>
        <v>0</v>
      </c>
      <c r="M18778" s="17" t="str">
        <f t="shared" si="896"/>
        <v/>
      </c>
      <c r="N18778" s="11" t="str">
        <f t="shared" si="897"/>
        <v/>
      </c>
    </row>
    <row r="18779" spans="9:14" x14ac:dyDescent="0.25">
      <c r="I18779" s="11" t="b">
        <f t="shared" si="895"/>
        <v>0</v>
      </c>
      <c r="M18779" s="17" t="str">
        <f t="shared" si="896"/>
        <v/>
      </c>
      <c r="N18779" s="11" t="str">
        <f t="shared" si="897"/>
        <v/>
      </c>
    </row>
    <row r="18780" spans="9:14" x14ac:dyDescent="0.25">
      <c r="I18780" s="11" t="b">
        <f t="shared" si="895"/>
        <v>0</v>
      </c>
      <c r="M18780" s="17" t="str">
        <f t="shared" si="896"/>
        <v/>
      </c>
      <c r="N18780" s="11" t="str">
        <f t="shared" si="897"/>
        <v/>
      </c>
    </row>
    <row r="18781" spans="9:14" x14ac:dyDescent="0.25">
      <c r="I18781" s="11" t="b">
        <f t="shared" ref="I18781:I18844" si="898">IF(AND(G18781="MERCADO PAGO",A18781="FATURAMENTO"),1,IF(AND(OR(G18781="MERCADO PAGO",G18781="pix mercado pago",G18781= "débito automático mercado pago", G18781= "boleto mercado pago"),A18781="DESPESAS"),4,IF(AND(G18781="SAFRA",A18781="FATURAMENTO"),2,IF(AND(OR(G18781="SAFRA",G18781="PIX SAFRA", G18781="DÉBITO AUTOMÁTICO SAFRA", G18781= "BOLETO SAFRA", G18781= "transferência safra"), A18781="DESPESAS"),5,IF(AND(G18781="espécie",A18781="FATURAMENTO"),3,IF(AND(G18781="espécie",A18781="DESPESAS"),6))))))</f>
        <v>0</v>
      </c>
      <c r="M18781" s="17" t="str">
        <f t="shared" si="896"/>
        <v/>
      </c>
      <c r="N18781" s="11" t="str">
        <f t="shared" si="897"/>
        <v/>
      </c>
    </row>
    <row r="18782" spans="9:14" x14ac:dyDescent="0.25">
      <c r="I18782" s="11" t="b">
        <f t="shared" si="898"/>
        <v>0</v>
      </c>
      <c r="M18782" s="17" t="str">
        <f t="shared" si="896"/>
        <v/>
      </c>
      <c r="N18782" s="11" t="str">
        <f t="shared" si="897"/>
        <v/>
      </c>
    </row>
    <row r="18783" spans="9:14" x14ac:dyDescent="0.25">
      <c r="I18783" s="11" t="b">
        <f t="shared" si="898"/>
        <v>0</v>
      </c>
      <c r="M18783" s="17" t="str">
        <f t="shared" si="896"/>
        <v/>
      </c>
      <c r="N18783" s="11" t="str">
        <f t="shared" si="897"/>
        <v/>
      </c>
    </row>
    <row r="18784" spans="9:14" x14ac:dyDescent="0.25">
      <c r="I18784" s="11" t="b">
        <f t="shared" si="898"/>
        <v>0</v>
      </c>
      <c r="M18784" s="17" t="str">
        <f t="shared" si="896"/>
        <v/>
      </c>
      <c r="N18784" s="11" t="str">
        <f t="shared" si="897"/>
        <v/>
      </c>
    </row>
    <row r="18785" spans="9:14" x14ac:dyDescent="0.25">
      <c r="I18785" s="11" t="b">
        <f t="shared" si="898"/>
        <v>0</v>
      </c>
      <c r="M18785" s="17" t="str">
        <f t="shared" si="896"/>
        <v/>
      </c>
      <c r="N18785" s="11" t="str">
        <f t="shared" si="897"/>
        <v/>
      </c>
    </row>
    <row r="18786" spans="9:14" x14ac:dyDescent="0.25">
      <c r="I18786" s="11" t="b">
        <f t="shared" si="898"/>
        <v>0</v>
      </c>
      <c r="M18786" s="17" t="str">
        <f t="shared" si="896"/>
        <v/>
      </c>
      <c r="N18786" s="11" t="str">
        <f t="shared" si="897"/>
        <v/>
      </c>
    </row>
    <row r="18787" spans="9:14" x14ac:dyDescent="0.25">
      <c r="I18787" s="11" t="b">
        <f t="shared" si="898"/>
        <v>0</v>
      </c>
      <c r="M18787" s="17" t="str">
        <f t="shared" si="896"/>
        <v/>
      </c>
      <c r="N18787" s="11" t="str">
        <f t="shared" si="897"/>
        <v/>
      </c>
    </row>
    <row r="18788" spans="9:14" x14ac:dyDescent="0.25">
      <c r="I18788" s="11" t="b">
        <f t="shared" si="898"/>
        <v>0</v>
      </c>
      <c r="M18788" s="17" t="str">
        <f t="shared" si="896"/>
        <v/>
      </c>
      <c r="N18788" s="11" t="str">
        <f t="shared" si="897"/>
        <v/>
      </c>
    </row>
    <row r="18789" spans="9:14" x14ac:dyDescent="0.25">
      <c r="I18789" s="11" t="b">
        <f t="shared" si="898"/>
        <v>0</v>
      </c>
      <c r="M18789" s="17" t="str">
        <f t="shared" si="896"/>
        <v/>
      </c>
      <c r="N18789" s="11" t="str">
        <f t="shared" si="897"/>
        <v/>
      </c>
    </row>
    <row r="18790" spans="9:14" x14ac:dyDescent="0.25">
      <c r="I18790" s="11" t="b">
        <f t="shared" si="898"/>
        <v>0</v>
      </c>
      <c r="M18790" s="17" t="str">
        <f t="shared" si="896"/>
        <v/>
      </c>
      <c r="N18790" s="11" t="str">
        <f t="shared" si="897"/>
        <v/>
      </c>
    </row>
    <row r="18791" spans="9:14" x14ac:dyDescent="0.25">
      <c r="I18791" s="11" t="b">
        <f t="shared" si="898"/>
        <v>0</v>
      </c>
      <c r="M18791" s="17" t="str">
        <f t="shared" si="896"/>
        <v/>
      </c>
      <c r="N18791" s="11" t="str">
        <f t="shared" si="897"/>
        <v/>
      </c>
    </row>
    <row r="18792" spans="9:14" x14ac:dyDescent="0.25">
      <c r="I18792" s="11" t="b">
        <f t="shared" si="898"/>
        <v>0</v>
      </c>
      <c r="M18792" s="17" t="str">
        <f t="shared" si="896"/>
        <v/>
      </c>
      <c r="N18792" s="11" t="str">
        <f t="shared" si="897"/>
        <v/>
      </c>
    </row>
    <row r="18793" spans="9:14" x14ac:dyDescent="0.25">
      <c r="I18793" s="11" t="b">
        <f t="shared" si="898"/>
        <v>0</v>
      </c>
      <c r="M18793" s="17" t="str">
        <f t="shared" si="896"/>
        <v/>
      </c>
      <c r="N18793" s="11" t="str">
        <f t="shared" si="897"/>
        <v/>
      </c>
    </row>
    <row r="18794" spans="9:14" x14ac:dyDescent="0.25">
      <c r="I18794" s="11" t="b">
        <f t="shared" si="898"/>
        <v>0</v>
      </c>
      <c r="M18794" s="17" t="str">
        <f t="shared" si="896"/>
        <v/>
      </c>
      <c r="N18794" s="11" t="str">
        <f t="shared" si="897"/>
        <v/>
      </c>
    </row>
    <row r="18795" spans="9:14" x14ac:dyDescent="0.25">
      <c r="I18795" s="11" t="b">
        <f t="shared" si="898"/>
        <v>0</v>
      </c>
      <c r="M18795" s="17" t="str">
        <f t="shared" si="896"/>
        <v/>
      </c>
      <c r="N18795" s="11" t="str">
        <f t="shared" si="897"/>
        <v/>
      </c>
    </row>
    <row r="18796" spans="9:14" x14ac:dyDescent="0.25">
      <c r="I18796" s="11" t="b">
        <f t="shared" si="898"/>
        <v>0</v>
      </c>
      <c r="M18796" s="17" t="str">
        <f t="shared" si="896"/>
        <v/>
      </c>
      <c r="N18796" s="11" t="str">
        <f t="shared" si="897"/>
        <v/>
      </c>
    </row>
    <row r="18797" spans="9:14" x14ac:dyDescent="0.25">
      <c r="I18797" s="11" t="b">
        <f t="shared" si="898"/>
        <v>0</v>
      </c>
      <c r="M18797" s="17" t="str">
        <f t="shared" si="896"/>
        <v/>
      </c>
      <c r="N18797" s="11" t="str">
        <f t="shared" si="897"/>
        <v/>
      </c>
    </row>
    <row r="18798" spans="9:14" x14ac:dyDescent="0.25">
      <c r="I18798" s="11" t="b">
        <f t="shared" si="898"/>
        <v>0</v>
      </c>
      <c r="M18798" s="17" t="str">
        <f t="shared" si="896"/>
        <v/>
      </c>
      <c r="N18798" s="11" t="str">
        <f t="shared" si="897"/>
        <v/>
      </c>
    </row>
    <row r="18799" spans="9:14" x14ac:dyDescent="0.25">
      <c r="I18799" s="11" t="b">
        <f t="shared" si="898"/>
        <v>0</v>
      </c>
      <c r="M18799" s="17" t="str">
        <f t="shared" si="896"/>
        <v/>
      </c>
      <c r="N18799" s="11" t="str">
        <f t="shared" si="897"/>
        <v/>
      </c>
    </row>
    <row r="18800" spans="9:14" x14ac:dyDescent="0.25">
      <c r="I18800" s="11" t="b">
        <f t="shared" si="898"/>
        <v>0</v>
      </c>
      <c r="M18800" s="17" t="str">
        <f t="shared" si="896"/>
        <v/>
      </c>
      <c r="N18800" s="11" t="str">
        <f t="shared" si="897"/>
        <v/>
      </c>
    </row>
    <row r="18801" spans="9:14" x14ac:dyDescent="0.25">
      <c r="I18801" s="11" t="b">
        <f t="shared" si="898"/>
        <v>0</v>
      </c>
      <c r="M18801" s="17" t="str">
        <f t="shared" si="896"/>
        <v/>
      </c>
      <c r="N18801" s="11" t="str">
        <f t="shared" si="897"/>
        <v/>
      </c>
    </row>
    <row r="18802" spans="9:14" x14ac:dyDescent="0.25">
      <c r="I18802" s="11" t="b">
        <f t="shared" si="898"/>
        <v>0</v>
      </c>
      <c r="M18802" s="17" t="str">
        <f t="shared" si="896"/>
        <v/>
      </c>
      <c r="N18802" s="11" t="str">
        <f t="shared" si="897"/>
        <v/>
      </c>
    </row>
    <row r="18803" spans="9:14" x14ac:dyDescent="0.25">
      <c r="I18803" s="11" t="b">
        <f t="shared" si="898"/>
        <v>0</v>
      </c>
      <c r="M18803" s="17" t="str">
        <f t="shared" si="896"/>
        <v/>
      </c>
      <c r="N18803" s="11" t="str">
        <f t="shared" si="897"/>
        <v/>
      </c>
    </row>
    <row r="18804" spans="9:14" x14ac:dyDescent="0.25">
      <c r="I18804" s="11" t="b">
        <f t="shared" si="898"/>
        <v>0</v>
      </c>
      <c r="M18804" s="17" t="str">
        <f t="shared" si="896"/>
        <v/>
      </c>
      <c r="N18804" s="11" t="str">
        <f t="shared" si="897"/>
        <v/>
      </c>
    </row>
    <row r="18805" spans="9:14" x14ac:dyDescent="0.25">
      <c r="I18805" s="11" t="b">
        <f t="shared" si="898"/>
        <v>0</v>
      </c>
      <c r="M18805" s="17" t="str">
        <f t="shared" si="896"/>
        <v/>
      </c>
      <c r="N18805" s="11" t="str">
        <f t="shared" si="897"/>
        <v/>
      </c>
    </row>
    <row r="18806" spans="9:14" x14ac:dyDescent="0.25">
      <c r="I18806" s="11" t="b">
        <f t="shared" si="898"/>
        <v>0</v>
      </c>
      <c r="M18806" s="17" t="str">
        <f t="shared" si="896"/>
        <v/>
      </c>
      <c r="N18806" s="11" t="str">
        <f t="shared" si="897"/>
        <v/>
      </c>
    </row>
    <row r="18807" spans="9:14" x14ac:dyDescent="0.25">
      <c r="I18807" s="11" t="b">
        <f t="shared" si="898"/>
        <v>0</v>
      </c>
      <c r="M18807" s="17" t="str">
        <f t="shared" si="896"/>
        <v/>
      </c>
      <c r="N18807" s="11" t="str">
        <f t="shared" si="897"/>
        <v/>
      </c>
    </row>
    <row r="18808" spans="9:14" x14ac:dyDescent="0.25">
      <c r="I18808" s="11" t="b">
        <f t="shared" si="898"/>
        <v>0</v>
      </c>
      <c r="M18808" s="17" t="str">
        <f t="shared" si="896"/>
        <v/>
      </c>
      <c r="N18808" s="11" t="str">
        <f t="shared" si="897"/>
        <v/>
      </c>
    </row>
    <row r="18809" spans="9:14" x14ac:dyDescent="0.25">
      <c r="I18809" s="11" t="b">
        <f t="shared" si="898"/>
        <v>0</v>
      </c>
      <c r="M18809" s="17" t="str">
        <f t="shared" si="896"/>
        <v/>
      </c>
      <c r="N18809" s="11" t="str">
        <f t="shared" si="897"/>
        <v/>
      </c>
    </row>
    <row r="18810" spans="9:14" x14ac:dyDescent="0.25">
      <c r="I18810" s="11" t="b">
        <f t="shared" si="898"/>
        <v>0</v>
      </c>
      <c r="M18810" s="17" t="str">
        <f t="shared" si="896"/>
        <v/>
      </c>
      <c r="N18810" s="11" t="str">
        <f t="shared" si="897"/>
        <v/>
      </c>
    </row>
    <row r="18811" spans="9:14" x14ac:dyDescent="0.25">
      <c r="I18811" s="11" t="b">
        <f t="shared" si="898"/>
        <v>0</v>
      </c>
      <c r="M18811" s="17" t="str">
        <f t="shared" si="896"/>
        <v/>
      </c>
      <c r="N18811" s="11" t="str">
        <f t="shared" si="897"/>
        <v/>
      </c>
    </row>
    <row r="18812" spans="9:14" x14ac:dyDescent="0.25">
      <c r="I18812" s="11" t="b">
        <f t="shared" si="898"/>
        <v>0</v>
      </c>
      <c r="M18812" s="17" t="str">
        <f t="shared" si="896"/>
        <v/>
      </c>
      <c r="N18812" s="11" t="str">
        <f t="shared" si="897"/>
        <v/>
      </c>
    </row>
    <row r="18813" spans="9:14" x14ac:dyDescent="0.25">
      <c r="I18813" s="11" t="b">
        <f t="shared" si="898"/>
        <v>0</v>
      </c>
      <c r="M18813" s="17" t="str">
        <f t="shared" si="896"/>
        <v/>
      </c>
      <c r="N18813" s="11" t="str">
        <f t="shared" si="897"/>
        <v/>
      </c>
    </row>
    <row r="18814" spans="9:14" x14ac:dyDescent="0.25">
      <c r="I18814" s="11" t="b">
        <f t="shared" si="898"/>
        <v>0</v>
      </c>
      <c r="M18814" s="17" t="str">
        <f t="shared" si="896"/>
        <v/>
      </c>
      <c r="N18814" s="11" t="str">
        <f t="shared" si="897"/>
        <v/>
      </c>
    </row>
    <row r="18815" spans="9:14" x14ac:dyDescent="0.25">
      <c r="I18815" s="11" t="b">
        <f t="shared" si="898"/>
        <v>0</v>
      </c>
      <c r="M18815" s="17" t="str">
        <f t="shared" si="896"/>
        <v/>
      </c>
      <c r="N18815" s="11" t="str">
        <f t="shared" si="897"/>
        <v/>
      </c>
    </row>
    <row r="18816" spans="9:14" x14ac:dyDescent="0.25">
      <c r="I18816" s="11" t="b">
        <f t="shared" si="898"/>
        <v>0</v>
      </c>
      <c r="M18816" s="17" t="str">
        <f t="shared" si="896"/>
        <v/>
      </c>
      <c r="N18816" s="11" t="str">
        <f t="shared" si="897"/>
        <v/>
      </c>
    </row>
    <row r="18817" spans="9:14" x14ac:dyDescent="0.25">
      <c r="I18817" s="11" t="b">
        <f t="shared" si="898"/>
        <v>0</v>
      </c>
      <c r="M18817" s="17" t="str">
        <f t="shared" ref="M18817:M18880" si="899">IF(B18817=0, "",M18816+ J18817-K18817)</f>
        <v/>
      </c>
      <c r="N18817" s="11" t="str">
        <f t="shared" ref="N18817:N18880" si="900">IF(B18817=0, "", MONTH(B18817))</f>
        <v/>
      </c>
    </row>
    <row r="18818" spans="9:14" x14ac:dyDescent="0.25">
      <c r="I18818" s="11" t="b">
        <f t="shared" si="898"/>
        <v>0</v>
      </c>
      <c r="M18818" s="17" t="str">
        <f t="shared" si="899"/>
        <v/>
      </c>
      <c r="N18818" s="11" t="str">
        <f t="shared" si="900"/>
        <v/>
      </c>
    </row>
    <row r="18819" spans="9:14" x14ac:dyDescent="0.25">
      <c r="I18819" s="11" t="b">
        <f t="shared" si="898"/>
        <v>0</v>
      </c>
      <c r="M18819" s="17" t="str">
        <f t="shared" si="899"/>
        <v/>
      </c>
      <c r="N18819" s="11" t="str">
        <f t="shared" si="900"/>
        <v/>
      </c>
    </row>
    <row r="18820" spans="9:14" x14ac:dyDescent="0.25">
      <c r="I18820" s="11" t="b">
        <f t="shared" si="898"/>
        <v>0</v>
      </c>
      <c r="M18820" s="17" t="str">
        <f t="shared" si="899"/>
        <v/>
      </c>
      <c r="N18820" s="11" t="str">
        <f t="shared" si="900"/>
        <v/>
      </c>
    </row>
    <row r="18821" spans="9:14" x14ac:dyDescent="0.25">
      <c r="I18821" s="11" t="b">
        <f t="shared" si="898"/>
        <v>0</v>
      </c>
      <c r="M18821" s="17" t="str">
        <f t="shared" si="899"/>
        <v/>
      </c>
      <c r="N18821" s="11" t="str">
        <f t="shared" si="900"/>
        <v/>
      </c>
    </row>
    <row r="18822" spans="9:14" x14ac:dyDescent="0.25">
      <c r="I18822" s="11" t="b">
        <f t="shared" si="898"/>
        <v>0</v>
      </c>
      <c r="M18822" s="17" t="str">
        <f t="shared" si="899"/>
        <v/>
      </c>
      <c r="N18822" s="11" t="str">
        <f t="shared" si="900"/>
        <v/>
      </c>
    </row>
    <row r="18823" spans="9:14" x14ac:dyDescent="0.25">
      <c r="I18823" s="11" t="b">
        <f t="shared" si="898"/>
        <v>0</v>
      </c>
      <c r="M18823" s="17" t="str">
        <f t="shared" si="899"/>
        <v/>
      </c>
      <c r="N18823" s="11" t="str">
        <f t="shared" si="900"/>
        <v/>
      </c>
    </row>
    <row r="18824" spans="9:14" x14ac:dyDescent="0.25">
      <c r="I18824" s="11" t="b">
        <f t="shared" si="898"/>
        <v>0</v>
      </c>
      <c r="M18824" s="17" t="str">
        <f t="shared" si="899"/>
        <v/>
      </c>
      <c r="N18824" s="11" t="str">
        <f t="shared" si="900"/>
        <v/>
      </c>
    </row>
    <row r="18825" spans="9:14" x14ac:dyDescent="0.25">
      <c r="I18825" s="11" t="b">
        <f t="shared" si="898"/>
        <v>0</v>
      </c>
      <c r="M18825" s="17" t="str">
        <f t="shared" si="899"/>
        <v/>
      </c>
      <c r="N18825" s="11" t="str">
        <f t="shared" si="900"/>
        <v/>
      </c>
    </row>
    <row r="18826" spans="9:14" x14ac:dyDescent="0.25">
      <c r="I18826" s="11" t="b">
        <f t="shared" si="898"/>
        <v>0</v>
      </c>
      <c r="M18826" s="17" t="str">
        <f t="shared" si="899"/>
        <v/>
      </c>
      <c r="N18826" s="11" t="str">
        <f t="shared" si="900"/>
        <v/>
      </c>
    </row>
    <row r="18827" spans="9:14" x14ac:dyDescent="0.25">
      <c r="I18827" s="11" t="b">
        <f t="shared" si="898"/>
        <v>0</v>
      </c>
      <c r="M18827" s="17" t="str">
        <f t="shared" si="899"/>
        <v/>
      </c>
      <c r="N18827" s="11" t="str">
        <f t="shared" si="900"/>
        <v/>
      </c>
    </row>
    <row r="18828" spans="9:14" x14ac:dyDescent="0.25">
      <c r="I18828" s="11" t="b">
        <f t="shared" si="898"/>
        <v>0</v>
      </c>
      <c r="M18828" s="17" t="str">
        <f t="shared" si="899"/>
        <v/>
      </c>
      <c r="N18828" s="11" t="str">
        <f t="shared" si="900"/>
        <v/>
      </c>
    </row>
    <row r="18829" spans="9:14" x14ac:dyDescent="0.25">
      <c r="I18829" s="11" t="b">
        <f t="shared" si="898"/>
        <v>0</v>
      </c>
      <c r="M18829" s="17" t="str">
        <f t="shared" si="899"/>
        <v/>
      </c>
      <c r="N18829" s="11" t="str">
        <f t="shared" si="900"/>
        <v/>
      </c>
    </row>
    <row r="18830" spans="9:14" x14ac:dyDescent="0.25">
      <c r="I18830" s="11" t="b">
        <f t="shared" si="898"/>
        <v>0</v>
      </c>
      <c r="M18830" s="17" t="str">
        <f t="shared" si="899"/>
        <v/>
      </c>
      <c r="N18830" s="11" t="str">
        <f t="shared" si="900"/>
        <v/>
      </c>
    </row>
    <row r="18831" spans="9:14" x14ac:dyDescent="0.25">
      <c r="I18831" s="11" t="b">
        <f t="shared" si="898"/>
        <v>0</v>
      </c>
      <c r="M18831" s="17" t="str">
        <f t="shared" si="899"/>
        <v/>
      </c>
      <c r="N18831" s="11" t="str">
        <f t="shared" si="900"/>
        <v/>
      </c>
    </row>
    <row r="18832" spans="9:14" x14ac:dyDescent="0.25">
      <c r="I18832" s="11" t="b">
        <f t="shared" si="898"/>
        <v>0</v>
      </c>
      <c r="M18832" s="17" t="str">
        <f t="shared" si="899"/>
        <v/>
      </c>
      <c r="N18832" s="11" t="str">
        <f t="shared" si="900"/>
        <v/>
      </c>
    </row>
    <row r="18833" spans="9:14" x14ac:dyDescent="0.25">
      <c r="I18833" s="11" t="b">
        <f t="shared" si="898"/>
        <v>0</v>
      </c>
      <c r="M18833" s="17" t="str">
        <f t="shared" si="899"/>
        <v/>
      </c>
      <c r="N18833" s="11" t="str">
        <f t="shared" si="900"/>
        <v/>
      </c>
    </row>
    <row r="18834" spans="9:14" x14ac:dyDescent="0.25">
      <c r="I18834" s="11" t="b">
        <f t="shared" si="898"/>
        <v>0</v>
      </c>
      <c r="M18834" s="17" t="str">
        <f t="shared" si="899"/>
        <v/>
      </c>
      <c r="N18834" s="11" t="str">
        <f t="shared" si="900"/>
        <v/>
      </c>
    </row>
    <row r="18835" spans="9:14" x14ac:dyDescent="0.25">
      <c r="I18835" s="11" t="b">
        <f t="shared" si="898"/>
        <v>0</v>
      </c>
      <c r="M18835" s="17" t="str">
        <f t="shared" si="899"/>
        <v/>
      </c>
      <c r="N18835" s="11" t="str">
        <f t="shared" si="900"/>
        <v/>
      </c>
    </row>
    <row r="18836" spans="9:14" x14ac:dyDescent="0.25">
      <c r="I18836" s="11" t="b">
        <f t="shared" si="898"/>
        <v>0</v>
      </c>
      <c r="M18836" s="17" t="str">
        <f t="shared" si="899"/>
        <v/>
      </c>
      <c r="N18836" s="11" t="str">
        <f t="shared" si="900"/>
        <v/>
      </c>
    </row>
    <row r="18837" spans="9:14" x14ac:dyDescent="0.25">
      <c r="I18837" s="11" t="b">
        <f t="shared" si="898"/>
        <v>0</v>
      </c>
      <c r="M18837" s="17" t="str">
        <f t="shared" si="899"/>
        <v/>
      </c>
      <c r="N18837" s="11" t="str">
        <f t="shared" si="900"/>
        <v/>
      </c>
    </row>
    <row r="18838" spans="9:14" x14ac:dyDescent="0.25">
      <c r="I18838" s="11" t="b">
        <f t="shared" si="898"/>
        <v>0</v>
      </c>
      <c r="M18838" s="17" t="str">
        <f t="shared" si="899"/>
        <v/>
      </c>
      <c r="N18838" s="11" t="str">
        <f t="shared" si="900"/>
        <v/>
      </c>
    </row>
    <row r="18839" spans="9:14" x14ac:dyDescent="0.25">
      <c r="I18839" s="11" t="b">
        <f t="shared" si="898"/>
        <v>0</v>
      </c>
      <c r="M18839" s="17" t="str">
        <f t="shared" si="899"/>
        <v/>
      </c>
      <c r="N18839" s="11" t="str">
        <f t="shared" si="900"/>
        <v/>
      </c>
    </row>
    <row r="18840" spans="9:14" x14ac:dyDescent="0.25">
      <c r="I18840" s="11" t="b">
        <f t="shared" si="898"/>
        <v>0</v>
      </c>
      <c r="M18840" s="17" t="str">
        <f t="shared" si="899"/>
        <v/>
      </c>
      <c r="N18840" s="11" t="str">
        <f t="shared" si="900"/>
        <v/>
      </c>
    </row>
    <row r="18841" spans="9:14" x14ac:dyDescent="0.25">
      <c r="I18841" s="11" t="b">
        <f t="shared" si="898"/>
        <v>0</v>
      </c>
      <c r="M18841" s="17" t="str">
        <f t="shared" si="899"/>
        <v/>
      </c>
      <c r="N18841" s="11" t="str">
        <f t="shared" si="900"/>
        <v/>
      </c>
    </row>
    <row r="18842" spans="9:14" x14ac:dyDescent="0.25">
      <c r="I18842" s="11" t="b">
        <f t="shared" si="898"/>
        <v>0</v>
      </c>
      <c r="M18842" s="17" t="str">
        <f t="shared" si="899"/>
        <v/>
      </c>
      <c r="N18842" s="11" t="str">
        <f t="shared" si="900"/>
        <v/>
      </c>
    </row>
    <row r="18843" spans="9:14" x14ac:dyDescent="0.25">
      <c r="I18843" s="11" t="b">
        <f t="shared" si="898"/>
        <v>0</v>
      </c>
      <c r="M18843" s="17" t="str">
        <f t="shared" si="899"/>
        <v/>
      </c>
      <c r="N18843" s="11" t="str">
        <f t="shared" si="900"/>
        <v/>
      </c>
    </row>
    <row r="18844" spans="9:14" x14ac:dyDescent="0.25">
      <c r="I18844" s="11" t="b">
        <f t="shared" si="898"/>
        <v>0</v>
      </c>
      <c r="M18844" s="17" t="str">
        <f t="shared" si="899"/>
        <v/>
      </c>
      <c r="N18844" s="11" t="str">
        <f t="shared" si="900"/>
        <v/>
      </c>
    </row>
    <row r="18845" spans="9:14" x14ac:dyDescent="0.25">
      <c r="I18845" s="11" t="b">
        <f t="shared" ref="I18845:I18908" si="901">IF(AND(G18845="MERCADO PAGO",A18845="FATURAMENTO"),1,IF(AND(OR(G18845="MERCADO PAGO",G18845="pix mercado pago",G18845= "débito automático mercado pago", G18845= "boleto mercado pago"),A18845="DESPESAS"),4,IF(AND(G18845="SAFRA",A18845="FATURAMENTO"),2,IF(AND(OR(G18845="SAFRA",G18845="PIX SAFRA", G18845="DÉBITO AUTOMÁTICO SAFRA", G18845= "BOLETO SAFRA", G18845= "transferência safra"), A18845="DESPESAS"),5,IF(AND(G18845="espécie",A18845="FATURAMENTO"),3,IF(AND(G18845="espécie",A18845="DESPESAS"),6))))))</f>
        <v>0</v>
      </c>
      <c r="M18845" s="17" t="str">
        <f t="shared" si="899"/>
        <v/>
      </c>
      <c r="N18845" s="11" t="str">
        <f t="shared" si="900"/>
        <v/>
      </c>
    </row>
    <row r="18846" spans="9:14" x14ac:dyDescent="0.25">
      <c r="I18846" s="11" t="b">
        <f t="shared" si="901"/>
        <v>0</v>
      </c>
      <c r="M18846" s="17" t="str">
        <f t="shared" si="899"/>
        <v/>
      </c>
      <c r="N18846" s="11" t="str">
        <f t="shared" si="900"/>
        <v/>
      </c>
    </row>
    <row r="18847" spans="9:14" x14ac:dyDescent="0.25">
      <c r="I18847" s="11" t="b">
        <f t="shared" si="901"/>
        <v>0</v>
      </c>
      <c r="M18847" s="17" t="str">
        <f t="shared" si="899"/>
        <v/>
      </c>
      <c r="N18847" s="11" t="str">
        <f t="shared" si="900"/>
        <v/>
      </c>
    </row>
    <row r="18848" spans="9:14" x14ac:dyDescent="0.25">
      <c r="I18848" s="11" t="b">
        <f t="shared" si="901"/>
        <v>0</v>
      </c>
      <c r="M18848" s="17" t="str">
        <f t="shared" si="899"/>
        <v/>
      </c>
      <c r="N18848" s="11" t="str">
        <f t="shared" si="900"/>
        <v/>
      </c>
    </row>
    <row r="18849" spans="9:14" x14ac:dyDescent="0.25">
      <c r="I18849" s="11" t="b">
        <f t="shared" si="901"/>
        <v>0</v>
      </c>
      <c r="M18849" s="17" t="str">
        <f t="shared" si="899"/>
        <v/>
      </c>
      <c r="N18849" s="11" t="str">
        <f t="shared" si="900"/>
        <v/>
      </c>
    </row>
    <row r="18850" spans="9:14" x14ac:dyDescent="0.25">
      <c r="I18850" s="11" t="b">
        <f t="shared" si="901"/>
        <v>0</v>
      </c>
      <c r="M18850" s="17" t="str">
        <f t="shared" si="899"/>
        <v/>
      </c>
      <c r="N18850" s="11" t="str">
        <f t="shared" si="900"/>
        <v/>
      </c>
    </row>
    <row r="18851" spans="9:14" x14ac:dyDescent="0.25">
      <c r="I18851" s="11" t="b">
        <f t="shared" si="901"/>
        <v>0</v>
      </c>
      <c r="M18851" s="17" t="str">
        <f t="shared" si="899"/>
        <v/>
      </c>
      <c r="N18851" s="11" t="str">
        <f t="shared" si="900"/>
        <v/>
      </c>
    </row>
    <row r="18852" spans="9:14" x14ac:dyDescent="0.25">
      <c r="I18852" s="11" t="b">
        <f t="shared" si="901"/>
        <v>0</v>
      </c>
      <c r="M18852" s="17" t="str">
        <f t="shared" si="899"/>
        <v/>
      </c>
      <c r="N18852" s="11" t="str">
        <f t="shared" si="900"/>
        <v/>
      </c>
    </row>
    <row r="18853" spans="9:14" x14ac:dyDescent="0.25">
      <c r="I18853" s="11" t="b">
        <f t="shared" si="901"/>
        <v>0</v>
      </c>
      <c r="M18853" s="17" t="str">
        <f t="shared" si="899"/>
        <v/>
      </c>
      <c r="N18853" s="11" t="str">
        <f t="shared" si="900"/>
        <v/>
      </c>
    </row>
    <row r="18854" spans="9:14" x14ac:dyDescent="0.25">
      <c r="I18854" s="11" t="b">
        <f t="shared" si="901"/>
        <v>0</v>
      </c>
      <c r="M18854" s="17" t="str">
        <f t="shared" si="899"/>
        <v/>
      </c>
      <c r="N18854" s="11" t="str">
        <f t="shared" si="900"/>
        <v/>
      </c>
    </row>
    <row r="18855" spans="9:14" x14ac:dyDescent="0.25">
      <c r="I18855" s="11" t="b">
        <f t="shared" si="901"/>
        <v>0</v>
      </c>
      <c r="M18855" s="17" t="str">
        <f t="shared" si="899"/>
        <v/>
      </c>
      <c r="N18855" s="11" t="str">
        <f t="shared" si="900"/>
        <v/>
      </c>
    </row>
    <row r="18856" spans="9:14" x14ac:dyDescent="0.25">
      <c r="I18856" s="11" t="b">
        <f t="shared" si="901"/>
        <v>0</v>
      </c>
      <c r="M18856" s="17" t="str">
        <f t="shared" si="899"/>
        <v/>
      </c>
      <c r="N18856" s="11" t="str">
        <f t="shared" si="900"/>
        <v/>
      </c>
    </row>
    <row r="18857" spans="9:14" x14ac:dyDescent="0.25">
      <c r="I18857" s="11" t="b">
        <f t="shared" si="901"/>
        <v>0</v>
      </c>
      <c r="M18857" s="17" t="str">
        <f t="shared" si="899"/>
        <v/>
      </c>
      <c r="N18857" s="11" t="str">
        <f t="shared" si="900"/>
        <v/>
      </c>
    </row>
    <row r="18858" spans="9:14" x14ac:dyDescent="0.25">
      <c r="I18858" s="11" t="b">
        <f t="shared" si="901"/>
        <v>0</v>
      </c>
      <c r="M18858" s="17" t="str">
        <f t="shared" si="899"/>
        <v/>
      </c>
      <c r="N18858" s="11" t="str">
        <f t="shared" si="900"/>
        <v/>
      </c>
    </row>
    <row r="18859" spans="9:14" x14ac:dyDescent="0.25">
      <c r="I18859" s="11" t="b">
        <f t="shared" si="901"/>
        <v>0</v>
      </c>
      <c r="M18859" s="17" t="str">
        <f t="shared" si="899"/>
        <v/>
      </c>
      <c r="N18859" s="11" t="str">
        <f t="shared" si="900"/>
        <v/>
      </c>
    </row>
    <row r="18860" spans="9:14" x14ac:dyDescent="0.25">
      <c r="I18860" s="11" t="b">
        <f t="shared" si="901"/>
        <v>0</v>
      </c>
      <c r="M18860" s="17" t="str">
        <f t="shared" si="899"/>
        <v/>
      </c>
      <c r="N18860" s="11" t="str">
        <f t="shared" si="900"/>
        <v/>
      </c>
    </row>
    <row r="18861" spans="9:14" x14ac:dyDescent="0.25">
      <c r="I18861" s="11" t="b">
        <f t="shared" si="901"/>
        <v>0</v>
      </c>
      <c r="M18861" s="17" t="str">
        <f t="shared" si="899"/>
        <v/>
      </c>
      <c r="N18861" s="11" t="str">
        <f t="shared" si="900"/>
        <v/>
      </c>
    </row>
    <row r="18862" spans="9:14" x14ac:dyDescent="0.25">
      <c r="I18862" s="11" t="b">
        <f t="shared" si="901"/>
        <v>0</v>
      </c>
      <c r="M18862" s="17" t="str">
        <f t="shared" si="899"/>
        <v/>
      </c>
      <c r="N18862" s="11" t="str">
        <f t="shared" si="900"/>
        <v/>
      </c>
    </row>
    <row r="18863" spans="9:14" x14ac:dyDescent="0.25">
      <c r="I18863" s="11" t="b">
        <f t="shared" si="901"/>
        <v>0</v>
      </c>
      <c r="M18863" s="17" t="str">
        <f t="shared" si="899"/>
        <v/>
      </c>
      <c r="N18863" s="11" t="str">
        <f t="shared" si="900"/>
        <v/>
      </c>
    </row>
    <row r="18864" spans="9:14" x14ac:dyDescent="0.25">
      <c r="I18864" s="11" t="b">
        <f t="shared" si="901"/>
        <v>0</v>
      </c>
      <c r="M18864" s="17" t="str">
        <f t="shared" si="899"/>
        <v/>
      </c>
      <c r="N18864" s="11" t="str">
        <f t="shared" si="900"/>
        <v/>
      </c>
    </row>
    <row r="18865" spans="9:14" x14ac:dyDescent="0.25">
      <c r="I18865" s="11" t="b">
        <f t="shared" si="901"/>
        <v>0</v>
      </c>
      <c r="M18865" s="17" t="str">
        <f t="shared" si="899"/>
        <v/>
      </c>
      <c r="N18865" s="11" t="str">
        <f t="shared" si="900"/>
        <v/>
      </c>
    </row>
    <row r="18866" spans="9:14" x14ac:dyDescent="0.25">
      <c r="I18866" s="11" t="b">
        <f t="shared" si="901"/>
        <v>0</v>
      </c>
      <c r="M18866" s="17" t="str">
        <f t="shared" si="899"/>
        <v/>
      </c>
      <c r="N18866" s="11" t="str">
        <f t="shared" si="900"/>
        <v/>
      </c>
    </row>
    <row r="18867" spans="9:14" x14ac:dyDescent="0.25">
      <c r="I18867" s="11" t="b">
        <f t="shared" si="901"/>
        <v>0</v>
      </c>
      <c r="M18867" s="17" t="str">
        <f t="shared" si="899"/>
        <v/>
      </c>
      <c r="N18867" s="11" t="str">
        <f t="shared" si="900"/>
        <v/>
      </c>
    </row>
    <row r="18868" spans="9:14" x14ac:dyDescent="0.25">
      <c r="I18868" s="11" t="b">
        <f t="shared" si="901"/>
        <v>0</v>
      </c>
      <c r="M18868" s="17" t="str">
        <f t="shared" si="899"/>
        <v/>
      </c>
      <c r="N18868" s="11" t="str">
        <f t="shared" si="900"/>
        <v/>
      </c>
    </row>
    <row r="18869" spans="9:14" x14ac:dyDescent="0.25">
      <c r="I18869" s="11" t="b">
        <f t="shared" si="901"/>
        <v>0</v>
      </c>
      <c r="M18869" s="17" t="str">
        <f t="shared" si="899"/>
        <v/>
      </c>
      <c r="N18869" s="11" t="str">
        <f t="shared" si="900"/>
        <v/>
      </c>
    </row>
    <row r="18870" spans="9:14" x14ac:dyDescent="0.25">
      <c r="I18870" s="11" t="b">
        <f t="shared" si="901"/>
        <v>0</v>
      </c>
      <c r="M18870" s="17" t="str">
        <f t="shared" si="899"/>
        <v/>
      </c>
      <c r="N18870" s="11" t="str">
        <f t="shared" si="900"/>
        <v/>
      </c>
    </row>
    <row r="18871" spans="9:14" x14ac:dyDescent="0.25">
      <c r="I18871" s="11" t="b">
        <f t="shared" si="901"/>
        <v>0</v>
      </c>
      <c r="M18871" s="17" t="str">
        <f t="shared" si="899"/>
        <v/>
      </c>
      <c r="N18871" s="11" t="str">
        <f t="shared" si="900"/>
        <v/>
      </c>
    </row>
    <row r="18872" spans="9:14" x14ac:dyDescent="0.25">
      <c r="I18872" s="11" t="b">
        <f t="shared" si="901"/>
        <v>0</v>
      </c>
      <c r="M18872" s="17" t="str">
        <f t="shared" si="899"/>
        <v/>
      </c>
      <c r="N18872" s="11" t="str">
        <f t="shared" si="900"/>
        <v/>
      </c>
    </row>
    <row r="18873" spans="9:14" x14ac:dyDescent="0.25">
      <c r="I18873" s="11" t="b">
        <f t="shared" si="901"/>
        <v>0</v>
      </c>
      <c r="M18873" s="17" t="str">
        <f t="shared" si="899"/>
        <v/>
      </c>
      <c r="N18873" s="11" t="str">
        <f t="shared" si="900"/>
        <v/>
      </c>
    </row>
    <row r="18874" spans="9:14" x14ac:dyDescent="0.25">
      <c r="I18874" s="11" t="b">
        <f t="shared" si="901"/>
        <v>0</v>
      </c>
      <c r="M18874" s="17" t="str">
        <f t="shared" si="899"/>
        <v/>
      </c>
      <c r="N18874" s="11" t="str">
        <f t="shared" si="900"/>
        <v/>
      </c>
    </row>
    <row r="18875" spans="9:14" x14ac:dyDescent="0.25">
      <c r="I18875" s="11" t="b">
        <f t="shared" si="901"/>
        <v>0</v>
      </c>
      <c r="M18875" s="17" t="str">
        <f t="shared" si="899"/>
        <v/>
      </c>
      <c r="N18875" s="11" t="str">
        <f t="shared" si="900"/>
        <v/>
      </c>
    </row>
    <row r="18876" spans="9:14" x14ac:dyDescent="0.25">
      <c r="I18876" s="11" t="b">
        <f t="shared" si="901"/>
        <v>0</v>
      </c>
      <c r="M18876" s="17" t="str">
        <f t="shared" si="899"/>
        <v/>
      </c>
      <c r="N18876" s="11" t="str">
        <f t="shared" si="900"/>
        <v/>
      </c>
    </row>
    <row r="18877" spans="9:14" x14ac:dyDescent="0.25">
      <c r="I18877" s="11" t="b">
        <f t="shared" si="901"/>
        <v>0</v>
      </c>
      <c r="M18877" s="17" t="str">
        <f t="shared" si="899"/>
        <v/>
      </c>
      <c r="N18877" s="11" t="str">
        <f t="shared" si="900"/>
        <v/>
      </c>
    </row>
    <row r="18878" spans="9:14" x14ac:dyDescent="0.25">
      <c r="I18878" s="11" t="b">
        <f t="shared" si="901"/>
        <v>0</v>
      </c>
      <c r="M18878" s="17" t="str">
        <f t="shared" si="899"/>
        <v/>
      </c>
      <c r="N18878" s="11" t="str">
        <f t="shared" si="900"/>
        <v/>
      </c>
    </row>
    <row r="18879" spans="9:14" x14ac:dyDescent="0.25">
      <c r="I18879" s="11" t="b">
        <f t="shared" si="901"/>
        <v>0</v>
      </c>
      <c r="M18879" s="17" t="str">
        <f t="shared" si="899"/>
        <v/>
      </c>
      <c r="N18879" s="11" t="str">
        <f t="shared" si="900"/>
        <v/>
      </c>
    </row>
    <row r="18880" spans="9:14" x14ac:dyDescent="0.25">
      <c r="I18880" s="11" t="b">
        <f t="shared" si="901"/>
        <v>0</v>
      </c>
      <c r="M18880" s="17" t="str">
        <f t="shared" si="899"/>
        <v/>
      </c>
      <c r="N18880" s="11" t="str">
        <f t="shared" si="900"/>
        <v/>
      </c>
    </row>
    <row r="18881" spans="9:14" x14ac:dyDescent="0.25">
      <c r="I18881" s="11" t="b">
        <f t="shared" si="901"/>
        <v>0</v>
      </c>
      <c r="M18881" s="17" t="str">
        <f t="shared" ref="M18881:M18944" si="902">IF(B18881=0, "",M18880+ J18881-K18881)</f>
        <v/>
      </c>
      <c r="N18881" s="11" t="str">
        <f t="shared" ref="N18881:N18944" si="903">IF(B18881=0, "", MONTH(B18881))</f>
        <v/>
      </c>
    </row>
    <row r="18882" spans="9:14" x14ac:dyDescent="0.25">
      <c r="I18882" s="11" t="b">
        <f t="shared" si="901"/>
        <v>0</v>
      </c>
      <c r="M18882" s="17" t="str">
        <f t="shared" si="902"/>
        <v/>
      </c>
      <c r="N18882" s="11" t="str">
        <f t="shared" si="903"/>
        <v/>
      </c>
    </row>
    <row r="18883" spans="9:14" x14ac:dyDescent="0.25">
      <c r="I18883" s="11" t="b">
        <f t="shared" si="901"/>
        <v>0</v>
      </c>
      <c r="M18883" s="17" t="str">
        <f t="shared" si="902"/>
        <v/>
      </c>
      <c r="N18883" s="11" t="str">
        <f t="shared" si="903"/>
        <v/>
      </c>
    </row>
    <row r="18884" spans="9:14" x14ac:dyDescent="0.25">
      <c r="I18884" s="11" t="b">
        <f t="shared" si="901"/>
        <v>0</v>
      </c>
      <c r="M18884" s="17" t="str">
        <f t="shared" si="902"/>
        <v/>
      </c>
      <c r="N18884" s="11" t="str">
        <f t="shared" si="903"/>
        <v/>
      </c>
    </row>
    <row r="18885" spans="9:14" x14ac:dyDescent="0.25">
      <c r="I18885" s="11" t="b">
        <f t="shared" si="901"/>
        <v>0</v>
      </c>
      <c r="M18885" s="17" t="str">
        <f t="shared" si="902"/>
        <v/>
      </c>
      <c r="N18885" s="11" t="str">
        <f t="shared" si="903"/>
        <v/>
      </c>
    </row>
    <row r="18886" spans="9:14" x14ac:dyDescent="0.25">
      <c r="I18886" s="11" t="b">
        <f t="shared" si="901"/>
        <v>0</v>
      </c>
      <c r="M18886" s="17" t="str">
        <f t="shared" si="902"/>
        <v/>
      </c>
      <c r="N18886" s="11" t="str">
        <f t="shared" si="903"/>
        <v/>
      </c>
    </row>
    <row r="18887" spans="9:14" x14ac:dyDescent="0.25">
      <c r="I18887" s="11" t="b">
        <f t="shared" si="901"/>
        <v>0</v>
      </c>
      <c r="M18887" s="17" t="str">
        <f t="shared" si="902"/>
        <v/>
      </c>
      <c r="N18887" s="11" t="str">
        <f t="shared" si="903"/>
        <v/>
      </c>
    </row>
    <row r="18888" spans="9:14" x14ac:dyDescent="0.25">
      <c r="I18888" s="11" t="b">
        <f t="shared" si="901"/>
        <v>0</v>
      </c>
      <c r="M18888" s="17" t="str">
        <f t="shared" si="902"/>
        <v/>
      </c>
      <c r="N18888" s="11" t="str">
        <f t="shared" si="903"/>
        <v/>
      </c>
    </row>
    <row r="18889" spans="9:14" x14ac:dyDescent="0.25">
      <c r="I18889" s="11" t="b">
        <f t="shared" si="901"/>
        <v>0</v>
      </c>
      <c r="M18889" s="17" t="str">
        <f t="shared" si="902"/>
        <v/>
      </c>
      <c r="N18889" s="11" t="str">
        <f t="shared" si="903"/>
        <v/>
      </c>
    </row>
    <row r="18890" spans="9:14" x14ac:dyDescent="0.25">
      <c r="I18890" s="11" t="b">
        <f t="shared" si="901"/>
        <v>0</v>
      </c>
      <c r="M18890" s="17" t="str">
        <f t="shared" si="902"/>
        <v/>
      </c>
      <c r="N18890" s="11" t="str">
        <f t="shared" si="903"/>
        <v/>
      </c>
    </row>
    <row r="18891" spans="9:14" x14ac:dyDescent="0.25">
      <c r="I18891" s="11" t="b">
        <f t="shared" si="901"/>
        <v>0</v>
      </c>
      <c r="M18891" s="17" t="str">
        <f t="shared" si="902"/>
        <v/>
      </c>
      <c r="N18891" s="11" t="str">
        <f t="shared" si="903"/>
        <v/>
      </c>
    </row>
    <row r="18892" spans="9:14" x14ac:dyDescent="0.25">
      <c r="I18892" s="11" t="b">
        <f t="shared" si="901"/>
        <v>0</v>
      </c>
      <c r="M18892" s="17" t="str">
        <f t="shared" si="902"/>
        <v/>
      </c>
      <c r="N18892" s="11" t="str">
        <f t="shared" si="903"/>
        <v/>
      </c>
    </row>
    <row r="18893" spans="9:14" x14ac:dyDescent="0.25">
      <c r="I18893" s="11" t="b">
        <f t="shared" si="901"/>
        <v>0</v>
      </c>
      <c r="M18893" s="17" t="str">
        <f t="shared" si="902"/>
        <v/>
      </c>
      <c r="N18893" s="11" t="str">
        <f t="shared" si="903"/>
        <v/>
      </c>
    </row>
    <row r="18894" spans="9:14" x14ac:dyDescent="0.25">
      <c r="I18894" s="11" t="b">
        <f t="shared" si="901"/>
        <v>0</v>
      </c>
      <c r="M18894" s="17" t="str">
        <f t="shared" si="902"/>
        <v/>
      </c>
      <c r="N18894" s="11" t="str">
        <f t="shared" si="903"/>
        <v/>
      </c>
    </row>
    <row r="18895" spans="9:14" x14ac:dyDescent="0.25">
      <c r="I18895" s="11" t="b">
        <f t="shared" si="901"/>
        <v>0</v>
      </c>
      <c r="M18895" s="17" t="str">
        <f t="shared" si="902"/>
        <v/>
      </c>
      <c r="N18895" s="11" t="str">
        <f t="shared" si="903"/>
        <v/>
      </c>
    </row>
    <row r="18896" spans="9:14" x14ac:dyDescent="0.25">
      <c r="I18896" s="11" t="b">
        <f t="shared" si="901"/>
        <v>0</v>
      </c>
      <c r="M18896" s="17" t="str">
        <f t="shared" si="902"/>
        <v/>
      </c>
      <c r="N18896" s="11" t="str">
        <f t="shared" si="903"/>
        <v/>
      </c>
    </row>
    <row r="18897" spans="9:14" x14ac:dyDescent="0.25">
      <c r="I18897" s="11" t="b">
        <f t="shared" si="901"/>
        <v>0</v>
      </c>
      <c r="M18897" s="17" t="str">
        <f t="shared" si="902"/>
        <v/>
      </c>
      <c r="N18897" s="11" t="str">
        <f t="shared" si="903"/>
        <v/>
      </c>
    </row>
    <row r="18898" spans="9:14" x14ac:dyDescent="0.25">
      <c r="I18898" s="11" t="b">
        <f t="shared" si="901"/>
        <v>0</v>
      </c>
      <c r="M18898" s="17" t="str">
        <f t="shared" si="902"/>
        <v/>
      </c>
      <c r="N18898" s="11" t="str">
        <f t="shared" si="903"/>
        <v/>
      </c>
    </row>
    <row r="18899" spans="9:14" x14ac:dyDescent="0.25">
      <c r="I18899" s="11" t="b">
        <f t="shared" si="901"/>
        <v>0</v>
      </c>
      <c r="M18899" s="17" t="str">
        <f t="shared" si="902"/>
        <v/>
      </c>
      <c r="N18899" s="11" t="str">
        <f t="shared" si="903"/>
        <v/>
      </c>
    </row>
    <row r="18900" spans="9:14" x14ac:dyDescent="0.25">
      <c r="I18900" s="11" t="b">
        <f t="shared" si="901"/>
        <v>0</v>
      </c>
      <c r="M18900" s="17" t="str">
        <f t="shared" si="902"/>
        <v/>
      </c>
      <c r="N18900" s="11" t="str">
        <f t="shared" si="903"/>
        <v/>
      </c>
    </row>
    <row r="18901" spans="9:14" x14ac:dyDescent="0.25">
      <c r="I18901" s="11" t="b">
        <f t="shared" si="901"/>
        <v>0</v>
      </c>
      <c r="M18901" s="17" t="str">
        <f t="shared" si="902"/>
        <v/>
      </c>
      <c r="N18901" s="11" t="str">
        <f t="shared" si="903"/>
        <v/>
      </c>
    </row>
    <row r="18902" spans="9:14" x14ac:dyDescent="0.25">
      <c r="I18902" s="11" t="b">
        <f t="shared" si="901"/>
        <v>0</v>
      </c>
      <c r="M18902" s="17" t="str">
        <f t="shared" si="902"/>
        <v/>
      </c>
      <c r="N18902" s="11" t="str">
        <f t="shared" si="903"/>
        <v/>
      </c>
    </row>
    <row r="18903" spans="9:14" x14ac:dyDescent="0.25">
      <c r="I18903" s="11" t="b">
        <f t="shared" si="901"/>
        <v>0</v>
      </c>
      <c r="M18903" s="17" t="str">
        <f t="shared" si="902"/>
        <v/>
      </c>
      <c r="N18903" s="11" t="str">
        <f t="shared" si="903"/>
        <v/>
      </c>
    </row>
    <row r="18904" spans="9:14" x14ac:dyDescent="0.25">
      <c r="I18904" s="11" t="b">
        <f t="shared" si="901"/>
        <v>0</v>
      </c>
      <c r="M18904" s="17" t="str">
        <f t="shared" si="902"/>
        <v/>
      </c>
      <c r="N18904" s="11" t="str">
        <f t="shared" si="903"/>
        <v/>
      </c>
    </row>
    <row r="18905" spans="9:14" x14ac:dyDescent="0.25">
      <c r="I18905" s="11" t="b">
        <f t="shared" si="901"/>
        <v>0</v>
      </c>
      <c r="M18905" s="17" t="str">
        <f t="shared" si="902"/>
        <v/>
      </c>
      <c r="N18905" s="11" t="str">
        <f t="shared" si="903"/>
        <v/>
      </c>
    </row>
    <row r="18906" spans="9:14" x14ac:dyDescent="0.25">
      <c r="I18906" s="11" t="b">
        <f t="shared" si="901"/>
        <v>0</v>
      </c>
      <c r="M18906" s="17" t="str">
        <f t="shared" si="902"/>
        <v/>
      </c>
      <c r="N18906" s="11" t="str">
        <f t="shared" si="903"/>
        <v/>
      </c>
    </row>
    <row r="18907" spans="9:14" x14ac:dyDescent="0.25">
      <c r="I18907" s="11" t="b">
        <f t="shared" si="901"/>
        <v>0</v>
      </c>
      <c r="M18907" s="17" t="str">
        <f t="shared" si="902"/>
        <v/>
      </c>
      <c r="N18907" s="11" t="str">
        <f t="shared" si="903"/>
        <v/>
      </c>
    </row>
    <row r="18908" spans="9:14" x14ac:dyDescent="0.25">
      <c r="I18908" s="11" t="b">
        <f t="shared" si="901"/>
        <v>0</v>
      </c>
      <c r="M18908" s="17" t="str">
        <f t="shared" si="902"/>
        <v/>
      </c>
      <c r="N18908" s="11" t="str">
        <f t="shared" si="903"/>
        <v/>
      </c>
    </row>
    <row r="18909" spans="9:14" x14ac:dyDescent="0.25">
      <c r="I18909" s="11" t="b">
        <f t="shared" ref="I18909:I18972" si="904">IF(AND(G18909="MERCADO PAGO",A18909="FATURAMENTO"),1,IF(AND(OR(G18909="MERCADO PAGO",G18909="pix mercado pago",G18909= "débito automático mercado pago", G18909= "boleto mercado pago"),A18909="DESPESAS"),4,IF(AND(G18909="SAFRA",A18909="FATURAMENTO"),2,IF(AND(OR(G18909="SAFRA",G18909="PIX SAFRA", G18909="DÉBITO AUTOMÁTICO SAFRA", G18909= "BOLETO SAFRA", G18909= "transferência safra"), A18909="DESPESAS"),5,IF(AND(G18909="espécie",A18909="FATURAMENTO"),3,IF(AND(G18909="espécie",A18909="DESPESAS"),6))))))</f>
        <v>0</v>
      </c>
      <c r="M18909" s="17" t="str">
        <f t="shared" si="902"/>
        <v/>
      </c>
      <c r="N18909" s="11" t="str">
        <f t="shared" si="903"/>
        <v/>
      </c>
    </row>
    <row r="18910" spans="9:14" x14ac:dyDescent="0.25">
      <c r="I18910" s="11" t="b">
        <f t="shared" si="904"/>
        <v>0</v>
      </c>
      <c r="M18910" s="17" t="str">
        <f t="shared" si="902"/>
        <v/>
      </c>
      <c r="N18910" s="11" t="str">
        <f t="shared" si="903"/>
        <v/>
      </c>
    </row>
    <row r="18911" spans="9:14" x14ac:dyDescent="0.25">
      <c r="I18911" s="11" t="b">
        <f t="shared" si="904"/>
        <v>0</v>
      </c>
      <c r="M18911" s="17" t="str">
        <f t="shared" si="902"/>
        <v/>
      </c>
      <c r="N18911" s="11" t="str">
        <f t="shared" si="903"/>
        <v/>
      </c>
    </row>
    <row r="18912" spans="9:14" x14ac:dyDescent="0.25">
      <c r="I18912" s="11" t="b">
        <f t="shared" si="904"/>
        <v>0</v>
      </c>
      <c r="M18912" s="17" t="str">
        <f t="shared" si="902"/>
        <v/>
      </c>
      <c r="N18912" s="11" t="str">
        <f t="shared" si="903"/>
        <v/>
      </c>
    </row>
    <row r="18913" spans="9:14" x14ac:dyDescent="0.25">
      <c r="I18913" s="11" t="b">
        <f t="shared" si="904"/>
        <v>0</v>
      </c>
      <c r="M18913" s="17" t="str">
        <f t="shared" si="902"/>
        <v/>
      </c>
      <c r="N18913" s="11" t="str">
        <f t="shared" si="903"/>
        <v/>
      </c>
    </row>
    <row r="18914" spans="9:14" x14ac:dyDescent="0.25">
      <c r="I18914" s="11" t="b">
        <f t="shared" si="904"/>
        <v>0</v>
      </c>
      <c r="M18914" s="17" t="str">
        <f t="shared" si="902"/>
        <v/>
      </c>
      <c r="N18914" s="11" t="str">
        <f t="shared" si="903"/>
        <v/>
      </c>
    </row>
    <row r="18915" spans="9:14" x14ac:dyDescent="0.25">
      <c r="I18915" s="11" t="b">
        <f t="shared" si="904"/>
        <v>0</v>
      </c>
      <c r="M18915" s="17" t="str">
        <f t="shared" si="902"/>
        <v/>
      </c>
      <c r="N18915" s="11" t="str">
        <f t="shared" si="903"/>
        <v/>
      </c>
    </row>
    <row r="18916" spans="9:14" x14ac:dyDescent="0.25">
      <c r="I18916" s="11" t="b">
        <f t="shared" si="904"/>
        <v>0</v>
      </c>
      <c r="M18916" s="17" t="str">
        <f t="shared" si="902"/>
        <v/>
      </c>
      <c r="N18916" s="11" t="str">
        <f t="shared" si="903"/>
        <v/>
      </c>
    </row>
    <row r="18917" spans="9:14" x14ac:dyDescent="0.25">
      <c r="I18917" s="11" t="b">
        <f t="shared" si="904"/>
        <v>0</v>
      </c>
      <c r="M18917" s="17" t="str">
        <f t="shared" si="902"/>
        <v/>
      </c>
      <c r="N18917" s="11" t="str">
        <f t="shared" si="903"/>
        <v/>
      </c>
    </row>
    <row r="18918" spans="9:14" x14ac:dyDescent="0.25">
      <c r="I18918" s="11" t="b">
        <f t="shared" si="904"/>
        <v>0</v>
      </c>
      <c r="M18918" s="17" t="str">
        <f t="shared" si="902"/>
        <v/>
      </c>
      <c r="N18918" s="11" t="str">
        <f t="shared" si="903"/>
        <v/>
      </c>
    </row>
    <row r="18919" spans="9:14" x14ac:dyDescent="0.25">
      <c r="I18919" s="11" t="b">
        <f t="shared" si="904"/>
        <v>0</v>
      </c>
      <c r="M18919" s="17" t="str">
        <f t="shared" si="902"/>
        <v/>
      </c>
      <c r="N18919" s="11" t="str">
        <f t="shared" si="903"/>
        <v/>
      </c>
    </row>
    <row r="18920" spans="9:14" x14ac:dyDescent="0.25">
      <c r="I18920" s="11" t="b">
        <f t="shared" si="904"/>
        <v>0</v>
      </c>
      <c r="M18920" s="17" t="str">
        <f t="shared" si="902"/>
        <v/>
      </c>
      <c r="N18920" s="11" t="str">
        <f t="shared" si="903"/>
        <v/>
      </c>
    </row>
    <row r="18921" spans="9:14" x14ac:dyDescent="0.25">
      <c r="I18921" s="11" t="b">
        <f t="shared" si="904"/>
        <v>0</v>
      </c>
      <c r="M18921" s="17" t="str">
        <f t="shared" si="902"/>
        <v/>
      </c>
      <c r="N18921" s="11" t="str">
        <f t="shared" si="903"/>
        <v/>
      </c>
    </row>
    <row r="18922" spans="9:14" x14ac:dyDescent="0.25">
      <c r="I18922" s="11" t="b">
        <f t="shared" si="904"/>
        <v>0</v>
      </c>
      <c r="M18922" s="17" t="str">
        <f t="shared" si="902"/>
        <v/>
      </c>
      <c r="N18922" s="11" t="str">
        <f t="shared" si="903"/>
        <v/>
      </c>
    </row>
    <row r="18923" spans="9:14" x14ac:dyDescent="0.25">
      <c r="I18923" s="11" t="b">
        <f t="shared" si="904"/>
        <v>0</v>
      </c>
      <c r="M18923" s="17" t="str">
        <f t="shared" si="902"/>
        <v/>
      </c>
      <c r="N18923" s="11" t="str">
        <f t="shared" si="903"/>
        <v/>
      </c>
    </row>
    <row r="18924" spans="9:14" x14ac:dyDescent="0.25">
      <c r="I18924" s="11" t="b">
        <f t="shared" si="904"/>
        <v>0</v>
      </c>
      <c r="M18924" s="17" t="str">
        <f t="shared" si="902"/>
        <v/>
      </c>
      <c r="N18924" s="11" t="str">
        <f t="shared" si="903"/>
        <v/>
      </c>
    </row>
    <row r="18925" spans="9:14" x14ac:dyDescent="0.25">
      <c r="I18925" s="11" t="b">
        <f t="shared" si="904"/>
        <v>0</v>
      </c>
      <c r="M18925" s="17" t="str">
        <f t="shared" si="902"/>
        <v/>
      </c>
      <c r="N18925" s="11" t="str">
        <f t="shared" si="903"/>
        <v/>
      </c>
    </row>
    <row r="18926" spans="9:14" x14ac:dyDescent="0.25">
      <c r="I18926" s="11" t="b">
        <f t="shared" si="904"/>
        <v>0</v>
      </c>
      <c r="M18926" s="17" t="str">
        <f t="shared" si="902"/>
        <v/>
      </c>
      <c r="N18926" s="11" t="str">
        <f t="shared" si="903"/>
        <v/>
      </c>
    </row>
    <row r="18927" spans="9:14" x14ac:dyDescent="0.25">
      <c r="I18927" s="11" t="b">
        <f t="shared" si="904"/>
        <v>0</v>
      </c>
      <c r="M18927" s="17" t="str">
        <f t="shared" si="902"/>
        <v/>
      </c>
      <c r="N18927" s="11" t="str">
        <f t="shared" si="903"/>
        <v/>
      </c>
    </row>
    <row r="18928" spans="9:14" x14ac:dyDescent="0.25">
      <c r="I18928" s="11" t="b">
        <f t="shared" si="904"/>
        <v>0</v>
      </c>
      <c r="M18928" s="17" t="str">
        <f t="shared" si="902"/>
        <v/>
      </c>
      <c r="N18928" s="11" t="str">
        <f t="shared" si="903"/>
        <v/>
      </c>
    </row>
    <row r="18929" spans="9:14" x14ac:dyDescent="0.25">
      <c r="I18929" s="11" t="b">
        <f t="shared" si="904"/>
        <v>0</v>
      </c>
      <c r="M18929" s="17" t="str">
        <f t="shared" si="902"/>
        <v/>
      </c>
      <c r="N18929" s="11" t="str">
        <f t="shared" si="903"/>
        <v/>
      </c>
    </row>
    <row r="18930" spans="9:14" x14ac:dyDescent="0.25">
      <c r="I18930" s="11" t="b">
        <f t="shared" si="904"/>
        <v>0</v>
      </c>
      <c r="M18930" s="17" t="str">
        <f t="shared" si="902"/>
        <v/>
      </c>
      <c r="N18930" s="11" t="str">
        <f t="shared" si="903"/>
        <v/>
      </c>
    </row>
    <row r="18931" spans="9:14" x14ac:dyDescent="0.25">
      <c r="I18931" s="11" t="b">
        <f t="shared" si="904"/>
        <v>0</v>
      </c>
      <c r="M18931" s="17" t="str">
        <f t="shared" si="902"/>
        <v/>
      </c>
      <c r="N18931" s="11" t="str">
        <f t="shared" si="903"/>
        <v/>
      </c>
    </row>
    <row r="18932" spans="9:14" x14ac:dyDescent="0.25">
      <c r="I18932" s="11" t="b">
        <f t="shared" si="904"/>
        <v>0</v>
      </c>
      <c r="M18932" s="17" t="str">
        <f t="shared" si="902"/>
        <v/>
      </c>
      <c r="N18932" s="11" t="str">
        <f t="shared" si="903"/>
        <v/>
      </c>
    </row>
    <row r="18933" spans="9:14" x14ac:dyDescent="0.25">
      <c r="I18933" s="11" t="b">
        <f t="shared" si="904"/>
        <v>0</v>
      </c>
      <c r="M18933" s="17" t="str">
        <f t="shared" si="902"/>
        <v/>
      </c>
      <c r="N18933" s="11" t="str">
        <f t="shared" si="903"/>
        <v/>
      </c>
    </row>
    <row r="18934" spans="9:14" x14ac:dyDescent="0.25">
      <c r="I18934" s="11" t="b">
        <f t="shared" si="904"/>
        <v>0</v>
      </c>
      <c r="M18934" s="17" t="str">
        <f t="shared" si="902"/>
        <v/>
      </c>
      <c r="N18934" s="11" t="str">
        <f t="shared" si="903"/>
        <v/>
      </c>
    </row>
    <row r="18935" spans="9:14" x14ac:dyDescent="0.25">
      <c r="I18935" s="11" t="b">
        <f t="shared" si="904"/>
        <v>0</v>
      </c>
      <c r="M18935" s="17" t="str">
        <f t="shared" si="902"/>
        <v/>
      </c>
      <c r="N18935" s="11" t="str">
        <f t="shared" si="903"/>
        <v/>
      </c>
    </row>
    <row r="18936" spans="9:14" x14ac:dyDescent="0.25">
      <c r="I18936" s="11" t="b">
        <f t="shared" si="904"/>
        <v>0</v>
      </c>
      <c r="M18936" s="17" t="str">
        <f t="shared" si="902"/>
        <v/>
      </c>
      <c r="N18936" s="11" t="str">
        <f t="shared" si="903"/>
        <v/>
      </c>
    </row>
    <row r="18937" spans="9:14" x14ac:dyDescent="0.25">
      <c r="I18937" s="11" t="b">
        <f t="shared" si="904"/>
        <v>0</v>
      </c>
      <c r="M18937" s="17" t="str">
        <f t="shared" si="902"/>
        <v/>
      </c>
      <c r="N18937" s="11" t="str">
        <f t="shared" si="903"/>
        <v/>
      </c>
    </row>
    <row r="18938" spans="9:14" x14ac:dyDescent="0.25">
      <c r="I18938" s="11" t="b">
        <f t="shared" si="904"/>
        <v>0</v>
      </c>
      <c r="M18938" s="17" t="str">
        <f t="shared" si="902"/>
        <v/>
      </c>
      <c r="N18938" s="11" t="str">
        <f t="shared" si="903"/>
        <v/>
      </c>
    </row>
    <row r="18939" spans="9:14" x14ac:dyDescent="0.25">
      <c r="I18939" s="11" t="b">
        <f t="shared" si="904"/>
        <v>0</v>
      </c>
      <c r="M18939" s="17" t="str">
        <f t="shared" si="902"/>
        <v/>
      </c>
      <c r="N18939" s="11" t="str">
        <f t="shared" si="903"/>
        <v/>
      </c>
    </row>
    <row r="18940" spans="9:14" x14ac:dyDescent="0.25">
      <c r="I18940" s="11" t="b">
        <f t="shared" si="904"/>
        <v>0</v>
      </c>
      <c r="M18940" s="17" t="str">
        <f t="shared" si="902"/>
        <v/>
      </c>
      <c r="N18940" s="11" t="str">
        <f t="shared" si="903"/>
        <v/>
      </c>
    </row>
    <row r="18941" spans="9:14" x14ac:dyDescent="0.25">
      <c r="I18941" s="11" t="b">
        <f t="shared" si="904"/>
        <v>0</v>
      </c>
      <c r="M18941" s="17" t="str">
        <f t="shared" si="902"/>
        <v/>
      </c>
      <c r="N18941" s="11" t="str">
        <f t="shared" si="903"/>
        <v/>
      </c>
    </row>
    <row r="18942" spans="9:14" x14ac:dyDescent="0.25">
      <c r="I18942" s="11" t="b">
        <f t="shared" si="904"/>
        <v>0</v>
      </c>
      <c r="M18942" s="17" t="str">
        <f t="shared" si="902"/>
        <v/>
      </c>
      <c r="N18942" s="11" t="str">
        <f t="shared" si="903"/>
        <v/>
      </c>
    </row>
    <row r="18943" spans="9:14" x14ac:dyDescent="0.25">
      <c r="I18943" s="11" t="b">
        <f t="shared" si="904"/>
        <v>0</v>
      </c>
      <c r="M18943" s="17" t="str">
        <f t="shared" si="902"/>
        <v/>
      </c>
      <c r="N18943" s="11" t="str">
        <f t="shared" si="903"/>
        <v/>
      </c>
    </row>
    <row r="18944" spans="9:14" x14ac:dyDescent="0.25">
      <c r="I18944" s="11" t="b">
        <f t="shared" si="904"/>
        <v>0</v>
      </c>
      <c r="M18944" s="17" t="str">
        <f t="shared" si="902"/>
        <v/>
      </c>
      <c r="N18944" s="11" t="str">
        <f t="shared" si="903"/>
        <v/>
      </c>
    </row>
    <row r="18945" spans="9:14" x14ac:dyDescent="0.25">
      <c r="I18945" s="11" t="b">
        <f t="shared" si="904"/>
        <v>0</v>
      </c>
      <c r="M18945" s="17" t="str">
        <f t="shared" ref="M18945:M19008" si="905">IF(B18945=0, "",M18944+ J18945-K18945)</f>
        <v/>
      </c>
      <c r="N18945" s="11" t="str">
        <f t="shared" ref="N18945:N19008" si="906">IF(B18945=0, "", MONTH(B18945))</f>
        <v/>
      </c>
    </row>
    <row r="18946" spans="9:14" x14ac:dyDescent="0.25">
      <c r="I18946" s="11" t="b">
        <f t="shared" si="904"/>
        <v>0</v>
      </c>
      <c r="M18946" s="17" t="str">
        <f t="shared" si="905"/>
        <v/>
      </c>
      <c r="N18946" s="11" t="str">
        <f t="shared" si="906"/>
        <v/>
      </c>
    </row>
    <row r="18947" spans="9:14" x14ac:dyDescent="0.25">
      <c r="I18947" s="11" t="b">
        <f t="shared" si="904"/>
        <v>0</v>
      </c>
      <c r="M18947" s="17" t="str">
        <f t="shared" si="905"/>
        <v/>
      </c>
      <c r="N18947" s="11" t="str">
        <f t="shared" si="906"/>
        <v/>
      </c>
    </row>
    <row r="18948" spans="9:14" x14ac:dyDescent="0.25">
      <c r="I18948" s="11" t="b">
        <f t="shared" si="904"/>
        <v>0</v>
      </c>
      <c r="M18948" s="17" t="str">
        <f t="shared" si="905"/>
        <v/>
      </c>
      <c r="N18948" s="11" t="str">
        <f t="shared" si="906"/>
        <v/>
      </c>
    </row>
    <row r="18949" spans="9:14" x14ac:dyDescent="0.25">
      <c r="I18949" s="11" t="b">
        <f t="shared" si="904"/>
        <v>0</v>
      </c>
      <c r="M18949" s="17" t="str">
        <f t="shared" si="905"/>
        <v/>
      </c>
      <c r="N18949" s="11" t="str">
        <f t="shared" si="906"/>
        <v/>
      </c>
    </row>
    <row r="18950" spans="9:14" x14ac:dyDescent="0.25">
      <c r="I18950" s="11" t="b">
        <f t="shared" si="904"/>
        <v>0</v>
      </c>
      <c r="M18950" s="17" t="str">
        <f t="shared" si="905"/>
        <v/>
      </c>
      <c r="N18950" s="11" t="str">
        <f t="shared" si="906"/>
        <v/>
      </c>
    </row>
    <row r="18951" spans="9:14" x14ac:dyDescent="0.25">
      <c r="I18951" s="11" t="b">
        <f t="shared" si="904"/>
        <v>0</v>
      </c>
      <c r="M18951" s="17" t="str">
        <f t="shared" si="905"/>
        <v/>
      </c>
      <c r="N18951" s="11" t="str">
        <f t="shared" si="906"/>
        <v/>
      </c>
    </row>
    <row r="18952" spans="9:14" x14ac:dyDescent="0.25">
      <c r="I18952" s="11" t="b">
        <f t="shared" si="904"/>
        <v>0</v>
      </c>
      <c r="M18952" s="17" t="str">
        <f t="shared" si="905"/>
        <v/>
      </c>
      <c r="N18952" s="11" t="str">
        <f t="shared" si="906"/>
        <v/>
      </c>
    </row>
    <row r="18953" spans="9:14" x14ac:dyDescent="0.25">
      <c r="I18953" s="11" t="b">
        <f t="shared" si="904"/>
        <v>0</v>
      </c>
      <c r="M18953" s="17" t="str">
        <f t="shared" si="905"/>
        <v/>
      </c>
      <c r="N18953" s="11" t="str">
        <f t="shared" si="906"/>
        <v/>
      </c>
    </row>
    <row r="18954" spans="9:14" x14ac:dyDescent="0.25">
      <c r="I18954" s="11" t="b">
        <f t="shared" si="904"/>
        <v>0</v>
      </c>
      <c r="M18954" s="17" t="str">
        <f t="shared" si="905"/>
        <v/>
      </c>
      <c r="N18954" s="11" t="str">
        <f t="shared" si="906"/>
        <v/>
      </c>
    </row>
    <row r="18955" spans="9:14" x14ac:dyDescent="0.25">
      <c r="I18955" s="11" t="b">
        <f t="shared" si="904"/>
        <v>0</v>
      </c>
      <c r="M18955" s="17" t="str">
        <f t="shared" si="905"/>
        <v/>
      </c>
      <c r="N18955" s="11" t="str">
        <f t="shared" si="906"/>
        <v/>
      </c>
    </row>
    <row r="18956" spans="9:14" x14ac:dyDescent="0.25">
      <c r="I18956" s="11" t="b">
        <f t="shared" si="904"/>
        <v>0</v>
      </c>
      <c r="M18956" s="17" t="str">
        <f t="shared" si="905"/>
        <v/>
      </c>
      <c r="N18956" s="11" t="str">
        <f t="shared" si="906"/>
        <v/>
      </c>
    </row>
    <row r="18957" spans="9:14" x14ac:dyDescent="0.25">
      <c r="I18957" s="11" t="b">
        <f t="shared" si="904"/>
        <v>0</v>
      </c>
      <c r="M18957" s="17" t="str">
        <f t="shared" si="905"/>
        <v/>
      </c>
      <c r="N18957" s="11" t="str">
        <f t="shared" si="906"/>
        <v/>
      </c>
    </row>
    <row r="18958" spans="9:14" x14ac:dyDescent="0.25">
      <c r="I18958" s="11" t="b">
        <f t="shared" si="904"/>
        <v>0</v>
      </c>
      <c r="M18958" s="17" t="str">
        <f t="shared" si="905"/>
        <v/>
      </c>
      <c r="N18958" s="11" t="str">
        <f t="shared" si="906"/>
        <v/>
      </c>
    </row>
    <row r="18959" spans="9:14" x14ac:dyDescent="0.25">
      <c r="I18959" s="11" t="b">
        <f t="shared" si="904"/>
        <v>0</v>
      </c>
      <c r="M18959" s="17" t="str">
        <f t="shared" si="905"/>
        <v/>
      </c>
      <c r="N18959" s="11" t="str">
        <f t="shared" si="906"/>
        <v/>
      </c>
    </row>
    <row r="18960" spans="9:14" x14ac:dyDescent="0.25">
      <c r="I18960" s="11" t="b">
        <f t="shared" si="904"/>
        <v>0</v>
      </c>
      <c r="M18960" s="17" t="str">
        <f t="shared" si="905"/>
        <v/>
      </c>
      <c r="N18960" s="11" t="str">
        <f t="shared" si="906"/>
        <v/>
      </c>
    </row>
    <row r="18961" spans="9:14" x14ac:dyDescent="0.25">
      <c r="I18961" s="11" t="b">
        <f t="shared" si="904"/>
        <v>0</v>
      </c>
      <c r="M18961" s="17" t="str">
        <f t="shared" si="905"/>
        <v/>
      </c>
      <c r="N18961" s="11" t="str">
        <f t="shared" si="906"/>
        <v/>
      </c>
    </row>
    <row r="18962" spans="9:14" x14ac:dyDescent="0.25">
      <c r="I18962" s="11" t="b">
        <f t="shared" si="904"/>
        <v>0</v>
      </c>
      <c r="M18962" s="17" t="str">
        <f t="shared" si="905"/>
        <v/>
      </c>
      <c r="N18962" s="11" t="str">
        <f t="shared" si="906"/>
        <v/>
      </c>
    </row>
    <row r="18963" spans="9:14" x14ac:dyDescent="0.25">
      <c r="I18963" s="11" t="b">
        <f t="shared" si="904"/>
        <v>0</v>
      </c>
      <c r="M18963" s="17" t="str">
        <f t="shared" si="905"/>
        <v/>
      </c>
      <c r="N18963" s="11" t="str">
        <f t="shared" si="906"/>
        <v/>
      </c>
    </row>
    <row r="18964" spans="9:14" x14ac:dyDescent="0.25">
      <c r="I18964" s="11" t="b">
        <f t="shared" si="904"/>
        <v>0</v>
      </c>
      <c r="M18964" s="17" t="str">
        <f t="shared" si="905"/>
        <v/>
      </c>
      <c r="N18964" s="11" t="str">
        <f t="shared" si="906"/>
        <v/>
      </c>
    </row>
    <row r="18965" spans="9:14" x14ac:dyDescent="0.25">
      <c r="I18965" s="11" t="b">
        <f t="shared" si="904"/>
        <v>0</v>
      </c>
      <c r="M18965" s="17" t="str">
        <f t="shared" si="905"/>
        <v/>
      </c>
      <c r="N18965" s="11" t="str">
        <f t="shared" si="906"/>
        <v/>
      </c>
    </row>
    <row r="18966" spans="9:14" x14ac:dyDescent="0.25">
      <c r="I18966" s="11" t="b">
        <f t="shared" si="904"/>
        <v>0</v>
      </c>
      <c r="M18966" s="17" t="str">
        <f t="shared" si="905"/>
        <v/>
      </c>
      <c r="N18966" s="11" t="str">
        <f t="shared" si="906"/>
        <v/>
      </c>
    </row>
    <row r="18967" spans="9:14" x14ac:dyDescent="0.25">
      <c r="I18967" s="11" t="b">
        <f t="shared" si="904"/>
        <v>0</v>
      </c>
      <c r="M18967" s="17" t="str">
        <f t="shared" si="905"/>
        <v/>
      </c>
      <c r="N18967" s="11" t="str">
        <f t="shared" si="906"/>
        <v/>
      </c>
    </row>
    <row r="18968" spans="9:14" x14ac:dyDescent="0.25">
      <c r="I18968" s="11" t="b">
        <f t="shared" si="904"/>
        <v>0</v>
      </c>
      <c r="M18968" s="17" t="str">
        <f t="shared" si="905"/>
        <v/>
      </c>
      <c r="N18968" s="11" t="str">
        <f t="shared" si="906"/>
        <v/>
      </c>
    </row>
    <row r="18969" spans="9:14" x14ac:dyDescent="0.25">
      <c r="I18969" s="11" t="b">
        <f t="shared" si="904"/>
        <v>0</v>
      </c>
      <c r="M18969" s="17" t="str">
        <f t="shared" si="905"/>
        <v/>
      </c>
      <c r="N18969" s="11" t="str">
        <f t="shared" si="906"/>
        <v/>
      </c>
    </row>
    <row r="18970" spans="9:14" x14ac:dyDescent="0.25">
      <c r="I18970" s="11" t="b">
        <f t="shared" si="904"/>
        <v>0</v>
      </c>
      <c r="M18970" s="17" t="str">
        <f t="shared" si="905"/>
        <v/>
      </c>
      <c r="N18970" s="11" t="str">
        <f t="shared" si="906"/>
        <v/>
      </c>
    </row>
    <row r="18971" spans="9:14" x14ac:dyDescent="0.25">
      <c r="I18971" s="11" t="b">
        <f t="shared" si="904"/>
        <v>0</v>
      </c>
      <c r="M18971" s="17" t="str">
        <f t="shared" si="905"/>
        <v/>
      </c>
      <c r="N18971" s="11" t="str">
        <f t="shared" si="906"/>
        <v/>
      </c>
    </row>
    <row r="18972" spans="9:14" x14ac:dyDescent="0.25">
      <c r="I18972" s="11" t="b">
        <f t="shared" si="904"/>
        <v>0</v>
      </c>
      <c r="M18972" s="17" t="str">
        <f t="shared" si="905"/>
        <v/>
      </c>
      <c r="N18972" s="11" t="str">
        <f t="shared" si="906"/>
        <v/>
      </c>
    </row>
    <row r="18973" spans="9:14" x14ac:dyDescent="0.25">
      <c r="I18973" s="11" t="b">
        <f t="shared" ref="I18973:I19036" si="907">IF(AND(G18973="MERCADO PAGO",A18973="FATURAMENTO"),1,IF(AND(OR(G18973="MERCADO PAGO",G18973="pix mercado pago",G18973= "débito automático mercado pago", G18973= "boleto mercado pago"),A18973="DESPESAS"),4,IF(AND(G18973="SAFRA",A18973="FATURAMENTO"),2,IF(AND(OR(G18973="SAFRA",G18973="PIX SAFRA", G18973="DÉBITO AUTOMÁTICO SAFRA", G18973= "BOLETO SAFRA", G18973= "transferência safra"), A18973="DESPESAS"),5,IF(AND(G18973="espécie",A18973="FATURAMENTO"),3,IF(AND(G18973="espécie",A18973="DESPESAS"),6))))))</f>
        <v>0</v>
      </c>
      <c r="M18973" s="17" t="str">
        <f t="shared" si="905"/>
        <v/>
      </c>
      <c r="N18973" s="11" t="str">
        <f t="shared" si="906"/>
        <v/>
      </c>
    </row>
    <row r="18974" spans="9:14" x14ac:dyDescent="0.25">
      <c r="I18974" s="11" t="b">
        <f t="shared" si="907"/>
        <v>0</v>
      </c>
      <c r="M18974" s="17" t="str">
        <f t="shared" si="905"/>
        <v/>
      </c>
      <c r="N18974" s="11" t="str">
        <f t="shared" si="906"/>
        <v/>
      </c>
    </row>
    <row r="18975" spans="9:14" x14ac:dyDescent="0.25">
      <c r="I18975" s="11" t="b">
        <f t="shared" si="907"/>
        <v>0</v>
      </c>
      <c r="M18975" s="17" t="str">
        <f t="shared" si="905"/>
        <v/>
      </c>
      <c r="N18975" s="11" t="str">
        <f t="shared" si="906"/>
        <v/>
      </c>
    </row>
    <row r="18976" spans="9:14" x14ac:dyDescent="0.25">
      <c r="I18976" s="11" t="b">
        <f t="shared" si="907"/>
        <v>0</v>
      </c>
      <c r="M18976" s="17" t="str">
        <f t="shared" si="905"/>
        <v/>
      </c>
      <c r="N18976" s="11" t="str">
        <f t="shared" si="906"/>
        <v/>
      </c>
    </row>
    <row r="18977" spans="9:14" x14ac:dyDescent="0.25">
      <c r="I18977" s="11" t="b">
        <f t="shared" si="907"/>
        <v>0</v>
      </c>
      <c r="M18977" s="17" t="str">
        <f t="shared" si="905"/>
        <v/>
      </c>
      <c r="N18977" s="11" t="str">
        <f t="shared" si="906"/>
        <v/>
      </c>
    </row>
    <row r="18978" spans="9:14" x14ac:dyDescent="0.25">
      <c r="I18978" s="11" t="b">
        <f t="shared" si="907"/>
        <v>0</v>
      </c>
      <c r="M18978" s="17" t="str">
        <f t="shared" si="905"/>
        <v/>
      </c>
      <c r="N18978" s="11" t="str">
        <f t="shared" si="906"/>
        <v/>
      </c>
    </row>
    <row r="18979" spans="9:14" x14ac:dyDescent="0.25">
      <c r="I18979" s="11" t="b">
        <f t="shared" si="907"/>
        <v>0</v>
      </c>
      <c r="M18979" s="17" t="str">
        <f t="shared" si="905"/>
        <v/>
      </c>
      <c r="N18979" s="11" t="str">
        <f t="shared" si="906"/>
        <v/>
      </c>
    </row>
    <row r="18980" spans="9:14" x14ac:dyDescent="0.25">
      <c r="I18980" s="11" t="b">
        <f t="shared" si="907"/>
        <v>0</v>
      </c>
      <c r="M18980" s="17" t="str">
        <f t="shared" si="905"/>
        <v/>
      </c>
      <c r="N18980" s="11" t="str">
        <f t="shared" si="906"/>
        <v/>
      </c>
    </row>
    <row r="18981" spans="9:14" x14ac:dyDescent="0.25">
      <c r="I18981" s="11" t="b">
        <f t="shared" si="907"/>
        <v>0</v>
      </c>
      <c r="M18981" s="17" t="str">
        <f t="shared" si="905"/>
        <v/>
      </c>
      <c r="N18981" s="11" t="str">
        <f t="shared" si="906"/>
        <v/>
      </c>
    </row>
    <row r="18982" spans="9:14" x14ac:dyDescent="0.25">
      <c r="I18982" s="11" t="b">
        <f t="shared" si="907"/>
        <v>0</v>
      </c>
      <c r="M18982" s="17" t="str">
        <f t="shared" si="905"/>
        <v/>
      </c>
      <c r="N18982" s="11" t="str">
        <f t="shared" si="906"/>
        <v/>
      </c>
    </row>
    <row r="18983" spans="9:14" x14ac:dyDescent="0.25">
      <c r="I18983" s="11" t="b">
        <f t="shared" si="907"/>
        <v>0</v>
      </c>
      <c r="M18983" s="17" t="str">
        <f t="shared" si="905"/>
        <v/>
      </c>
      <c r="N18983" s="11" t="str">
        <f t="shared" si="906"/>
        <v/>
      </c>
    </row>
    <row r="18984" spans="9:14" x14ac:dyDescent="0.25">
      <c r="I18984" s="11" t="b">
        <f t="shared" si="907"/>
        <v>0</v>
      </c>
      <c r="M18984" s="17" t="str">
        <f t="shared" si="905"/>
        <v/>
      </c>
      <c r="N18984" s="11" t="str">
        <f t="shared" si="906"/>
        <v/>
      </c>
    </row>
    <row r="18985" spans="9:14" x14ac:dyDescent="0.25">
      <c r="I18985" s="11" t="b">
        <f t="shared" si="907"/>
        <v>0</v>
      </c>
      <c r="M18985" s="17" t="str">
        <f t="shared" si="905"/>
        <v/>
      </c>
      <c r="N18985" s="11" t="str">
        <f t="shared" si="906"/>
        <v/>
      </c>
    </row>
    <row r="18986" spans="9:14" x14ac:dyDescent="0.25">
      <c r="I18986" s="11" t="b">
        <f t="shared" si="907"/>
        <v>0</v>
      </c>
      <c r="M18986" s="17" t="str">
        <f t="shared" si="905"/>
        <v/>
      </c>
      <c r="N18986" s="11" t="str">
        <f t="shared" si="906"/>
        <v/>
      </c>
    </row>
    <row r="18987" spans="9:14" x14ac:dyDescent="0.25">
      <c r="I18987" s="11" t="b">
        <f t="shared" si="907"/>
        <v>0</v>
      </c>
      <c r="M18987" s="17" t="str">
        <f t="shared" si="905"/>
        <v/>
      </c>
      <c r="N18987" s="11" t="str">
        <f t="shared" si="906"/>
        <v/>
      </c>
    </row>
    <row r="18988" spans="9:14" x14ac:dyDescent="0.25">
      <c r="I18988" s="11" t="b">
        <f t="shared" si="907"/>
        <v>0</v>
      </c>
      <c r="M18988" s="17" t="str">
        <f t="shared" si="905"/>
        <v/>
      </c>
      <c r="N18988" s="11" t="str">
        <f t="shared" si="906"/>
        <v/>
      </c>
    </row>
    <row r="18989" spans="9:14" x14ac:dyDescent="0.25">
      <c r="I18989" s="11" t="b">
        <f t="shared" si="907"/>
        <v>0</v>
      </c>
      <c r="M18989" s="17" t="str">
        <f t="shared" si="905"/>
        <v/>
      </c>
      <c r="N18989" s="11" t="str">
        <f t="shared" si="906"/>
        <v/>
      </c>
    </row>
    <row r="18990" spans="9:14" x14ac:dyDescent="0.25">
      <c r="I18990" s="11" t="b">
        <f t="shared" si="907"/>
        <v>0</v>
      </c>
      <c r="M18990" s="17" t="str">
        <f t="shared" si="905"/>
        <v/>
      </c>
      <c r="N18990" s="11" t="str">
        <f t="shared" si="906"/>
        <v/>
      </c>
    </row>
    <row r="18991" spans="9:14" x14ac:dyDescent="0.25">
      <c r="I18991" s="11" t="b">
        <f t="shared" si="907"/>
        <v>0</v>
      </c>
      <c r="M18991" s="17" t="str">
        <f t="shared" si="905"/>
        <v/>
      </c>
      <c r="N18991" s="11" t="str">
        <f t="shared" si="906"/>
        <v/>
      </c>
    </row>
    <row r="18992" spans="9:14" x14ac:dyDescent="0.25">
      <c r="I18992" s="11" t="b">
        <f t="shared" si="907"/>
        <v>0</v>
      </c>
      <c r="M18992" s="17" t="str">
        <f t="shared" si="905"/>
        <v/>
      </c>
      <c r="N18992" s="11" t="str">
        <f t="shared" si="906"/>
        <v/>
      </c>
    </row>
    <row r="18993" spans="9:14" x14ac:dyDescent="0.25">
      <c r="I18993" s="11" t="b">
        <f t="shared" si="907"/>
        <v>0</v>
      </c>
      <c r="M18993" s="17" t="str">
        <f t="shared" si="905"/>
        <v/>
      </c>
      <c r="N18993" s="11" t="str">
        <f t="shared" si="906"/>
        <v/>
      </c>
    </row>
    <row r="18994" spans="9:14" x14ac:dyDescent="0.25">
      <c r="I18994" s="11" t="b">
        <f t="shared" si="907"/>
        <v>0</v>
      </c>
      <c r="M18994" s="17" t="str">
        <f t="shared" si="905"/>
        <v/>
      </c>
      <c r="N18994" s="11" t="str">
        <f t="shared" si="906"/>
        <v/>
      </c>
    </row>
    <row r="18995" spans="9:14" x14ac:dyDescent="0.25">
      <c r="I18995" s="11" t="b">
        <f t="shared" si="907"/>
        <v>0</v>
      </c>
      <c r="M18995" s="17" t="str">
        <f t="shared" si="905"/>
        <v/>
      </c>
      <c r="N18995" s="11" t="str">
        <f t="shared" si="906"/>
        <v/>
      </c>
    </row>
    <row r="18996" spans="9:14" x14ac:dyDescent="0.25">
      <c r="I18996" s="11" t="b">
        <f t="shared" si="907"/>
        <v>0</v>
      </c>
      <c r="M18996" s="17" t="str">
        <f t="shared" si="905"/>
        <v/>
      </c>
      <c r="N18996" s="11" t="str">
        <f t="shared" si="906"/>
        <v/>
      </c>
    </row>
    <row r="18997" spans="9:14" x14ac:dyDescent="0.25">
      <c r="I18997" s="11" t="b">
        <f t="shared" si="907"/>
        <v>0</v>
      </c>
      <c r="M18997" s="17" t="str">
        <f t="shared" si="905"/>
        <v/>
      </c>
      <c r="N18997" s="11" t="str">
        <f t="shared" si="906"/>
        <v/>
      </c>
    </row>
    <row r="18998" spans="9:14" x14ac:dyDescent="0.25">
      <c r="I18998" s="11" t="b">
        <f t="shared" si="907"/>
        <v>0</v>
      </c>
      <c r="M18998" s="17" t="str">
        <f t="shared" si="905"/>
        <v/>
      </c>
      <c r="N18998" s="11" t="str">
        <f t="shared" si="906"/>
        <v/>
      </c>
    </row>
    <row r="18999" spans="9:14" x14ac:dyDescent="0.25">
      <c r="I18999" s="11" t="b">
        <f t="shared" si="907"/>
        <v>0</v>
      </c>
      <c r="M18999" s="17" t="str">
        <f t="shared" si="905"/>
        <v/>
      </c>
      <c r="N18999" s="11" t="str">
        <f t="shared" si="906"/>
        <v/>
      </c>
    </row>
    <row r="19000" spans="9:14" x14ac:dyDescent="0.25">
      <c r="I19000" s="11" t="b">
        <f t="shared" si="907"/>
        <v>0</v>
      </c>
      <c r="M19000" s="17" t="str">
        <f t="shared" si="905"/>
        <v/>
      </c>
      <c r="N19000" s="11" t="str">
        <f t="shared" si="906"/>
        <v/>
      </c>
    </row>
    <row r="19001" spans="9:14" x14ac:dyDescent="0.25">
      <c r="I19001" s="11" t="b">
        <f t="shared" si="907"/>
        <v>0</v>
      </c>
      <c r="M19001" s="17" t="str">
        <f t="shared" si="905"/>
        <v/>
      </c>
      <c r="N19001" s="11" t="str">
        <f t="shared" si="906"/>
        <v/>
      </c>
    </row>
    <row r="19002" spans="9:14" x14ac:dyDescent="0.25">
      <c r="I19002" s="11" t="b">
        <f t="shared" si="907"/>
        <v>0</v>
      </c>
      <c r="M19002" s="17" t="str">
        <f t="shared" si="905"/>
        <v/>
      </c>
      <c r="N19002" s="11" t="str">
        <f t="shared" si="906"/>
        <v/>
      </c>
    </row>
    <row r="19003" spans="9:14" x14ac:dyDescent="0.25">
      <c r="I19003" s="11" t="b">
        <f t="shared" si="907"/>
        <v>0</v>
      </c>
      <c r="M19003" s="17" t="str">
        <f t="shared" si="905"/>
        <v/>
      </c>
      <c r="N19003" s="11" t="str">
        <f t="shared" si="906"/>
        <v/>
      </c>
    </row>
    <row r="19004" spans="9:14" x14ac:dyDescent="0.25">
      <c r="I19004" s="11" t="b">
        <f t="shared" si="907"/>
        <v>0</v>
      </c>
      <c r="M19004" s="17" t="str">
        <f t="shared" si="905"/>
        <v/>
      </c>
      <c r="N19004" s="11" t="str">
        <f t="shared" si="906"/>
        <v/>
      </c>
    </row>
    <row r="19005" spans="9:14" x14ac:dyDescent="0.25">
      <c r="I19005" s="11" t="b">
        <f t="shared" si="907"/>
        <v>0</v>
      </c>
      <c r="M19005" s="17" t="str">
        <f t="shared" si="905"/>
        <v/>
      </c>
      <c r="N19005" s="11" t="str">
        <f t="shared" si="906"/>
        <v/>
      </c>
    </row>
    <row r="19006" spans="9:14" x14ac:dyDescent="0.25">
      <c r="I19006" s="11" t="b">
        <f t="shared" si="907"/>
        <v>0</v>
      </c>
      <c r="M19006" s="17" t="str">
        <f t="shared" si="905"/>
        <v/>
      </c>
      <c r="N19006" s="11" t="str">
        <f t="shared" si="906"/>
        <v/>
      </c>
    </row>
    <row r="19007" spans="9:14" x14ac:dyDescent="0.25">
      <c r="I19007" s="11" t="b">
        <f t="shared" si="907"/>
        <v>0</v>
      </c>
      <c r="M19007" s="17" t="str">
        <f t="shared" si="905"/>
        <v/>
      </c>
      <c r="N19007" s="11" t="str">
        <f t="shared" si="906"/>
        <v/>
      </c>
    </row>
    <row r="19008" spans="9:14" x14ac:dyDescent="0.25">
      <c r="I19008" s="11" t="b">
        <f t="shared" si="907"/>
        <v>0</v>
      </c>
      <c r="M19008" s="17" t="str">
        <f t="shared" si="905"/>
        <v/>
      </c>
      <c r="N19008" s="11" t="str">
        <f t="shared" si="906"/>
        <v/>
      </c>
    </row>
    <row r="19009" spans="9:14" x14ac:dyDescent="0.25">
      <c r="I19009" s="11" t="b">
        <f t="shared" si="907"/>
        <v>0</v>
      </c>
      <c r="M19009" s="17" t="str">
        <f t="shared" ref="M19009:M19072" si="908">IF(B19009=0, "",M19008+ J19009-K19009)</f>
        <v/>
      </c>
      <c r="N19009" s="11" t="str">
        <f t="shared" ref="N19009:N19072" si="909">IF(B19009=0, "", MONTH(B19009))</f>
        <v/>
      </c>
    </row>
    <row r="19010" spans="9:14" x14ac:dyDescent="0.25">
      <c r="I19010" s="11" t="b">
        <f t="shared" si="907"/>
        <v>0</v>
      </c>
      <c r="M19010" s="17" t="str">
        <f t="shared" si="908"/>
        <v/>
      </c>
      <c r="N19010" s="11" t="str">
        <f t="shared" si="909"/>
        <v/>
      </c>
    </row>
    <row r="19011" spans="9:14" x14ac:dyDescent="0.25">
      <c r="I19011" s="11" t="b">
        <f t="shared" si="907"/>
        <v>0</v>
      </c>
      <c r="M19011" s="17" t="str">
        <f t="shared" si="908"/>
        <v/>
      </c>
      <c r="N19011" s="11" t="str">
        <f t="shared" si="909"/>
        <v/>
      </c>
    </row>
    <row r="19012" spans="9:14" x14ac:dyDescent="0.25">
      <c r="I19012" s="11" t="b">
        <f t="shared" si="907"/>
        <v>0</v>
      </c>
      <c r="M19012" s="17" t="str">
        <f t="shared" si="908"/>
        <v/>
      </c>
      <c r="N19012" s="11" t="str">
        <f t="shared" si="909"/>
        <v/>
      </c>
    </row>
    <row r="19013" spans="9:14" x14ac:dyDescent="0.25">
      <c r="I19013" s="11" t="b">
        <f t="shared" si="907"/>
        <v>0</v>
      </c>
      <c r="M19013" s="17" t="str">
        <f t="shared" si="908"/>
        <v/>
      </c>
      <c r="N19013" s="11" t="str">
        <f t="shared" si="909"/>
        <v/>
      </c>
    </row>
    <row r="19014" spans="9:14" x14ac:dyDescent="0.25">
      <c r="I19014" s="11" t="b">
        <f t="shared" si="907"/>
        <v>0</v>
      </c>
      <c r="M19014" s="17" t="str">
        <f t="shared" si="908"/>
        <v/>
      </c>
      <c r="N19014" s="11" t="str">
        <f t="shared" si="909"/>
        <v/>
      </c>
    </row>
    <row r="19015" spans="9:14" x14ac:dyDescent="0.25">
      <c r="I19015" s="11" t="b">
        <f t="shared" si="907"/>
        <v>0</v>
      </c>
      <c r="M19015" s="17" t="str">
        <f t="shared" si="908"/>
        <v/>
      </c>
      <c r="N19015" s="11" t="str">
        <f t="shared" si="909"/>
        <v/>
      </c>
    </row>
    <row r="19016" spans="9:14" x14ac:dyDescent="0.25">
      <c r="I19016" s="11" t="b">
        <f t="shared" si="907"/>
        <v>0</v>
      </c>
      <c r="M19016" s="17" t="str">
        <f t="shared" si="908"/>
        <v/>
      </c>
      <c r="N19016" s="11" t="str">
        <f t="shared" si="909"/>
        <v/>
      </c>
    </row>
    <row r="19017" spans="9:14" x14ac:dyDescent="0.25">
      <c r="I19017" s="11" t="b">
        <f t="shared" si="907"/>
        <v>0</v>
      </c>
      <c r="M19017" s="17" t="str">
        <f t="shared" si="908"/>
        <v/>
      </c>
      <c r="N19017" s="11" t="str">
        <f t="shared" si="909"/>
        <v/>
      </c>
    </row>
    <row r="19018" spans="9:14" x14ac:dyDescent="0.25">
      <c r="I19018" s="11" t="b">
        <f t="shared" si="907"/>
        <v>0</v>
      </c>
      <c r="M19018" s="17" t="str">
        <f t="shared" si="908"/>
        <v/>
      </c>
      <c r="N19018" s="11" t="str">
        <f t="shared" si="909"/>
        <v/>
      </c>
    </row>
    <row r="19019" spans="9:14" x14ac:dyDescent="0.25">
      <c r="I19019" s="11" t="b">
        <f t="shared" si="907"/>
        <v>0</v>
      </c>
      <c r="M19019" s="17" t="str">
        <f t="shared" si="908"/>
        <v/>
      </c>
      <c r="N19019" s="11" t="str">
        <f t="shared" si="909"/>
        <v/>
      </c>
    </row>
    <row r="19020" spans="9:14" x14ac:dyDescent="0.25">
      <c r="I19020" s="11" t="b">
        <f t="shared" si="907"/>
        <v>0</v>
      </c>
      <c r="M19020" s="17" t="str">
        <f t="shared" si="908"/>
        <v/>
      </c>
      <c r="N19020" s="11" t="str">
        <f t="shared" si="909"/>
        <v/>
      </c>
    </row>
    <row r="19021" spans="9:14" x14ac:dyDescent="0.25">
      <c r="I19021" s="11" t="b">
        <f t="shared" si="907"/>
        <v>0</v>
      </c>
      <c r="M19021" s="17" t="str">
        <f t="shared" si="908"/>
        <v/>
      </c>
      <c r="N19021" s="11" t="str">
        <f t="shared" si="909"/>
        <v/>
      </c>
    </row>
    <row r="19022" spans="9:14" x14ac:dyDescent="0.25">
      <c r="I19022" s="11" t="b">
        <f t="shared" si="907"/>
        <v>0</v>
      </c>
      <c r="M19022" s="17" t="str">
        <f t="shared" si="908"/>
        <v/>
      </c>
      <c r="N19022" s="11" t="str">
        <f t="shared" si="909"/>
        <v/>
      </c>
    </row>
    <row r="19023" spans="9:14" x14ac:dyDescent="0.25">
      <c r="I19023" s="11" t="b">
        <f t="shared" si="907"/>
        <v>0</v>
      </c>
      <c r="M19023" s="17" t="str">
        <f t="shared" si="908"/>
        <v/>
      </c>
      <c r="N19023" s="11" t="str">
        <f t="shared" si="909"/>
        <v/>
      </c>
    </row>
    <row r="19024" spans="9:14" x14ac:dyDescent="0.25">
      <c r="I19024" s="11" t="b">
        <f t="shared" si="907"/>
        <v>0</v>
      </c>
      <c r="M19024" s="17" t="str">
        <f t="shared" si="908"/>
        <v/>
      </c>
      <c r="N19024" s="11" t="str">
        <f t="shared" si="909"/>
        <v/>
      </c>
    </row>
    <row r="19025" spans="9:14" x14ac:dyDescent="0.25">
      <c r="I19025" s="11" t="b">
        <f t="shared" si="907"/>
        <v>0</v>
      </c>
      <c r="M19025" s="17" t="str">
        <f t="shared" si="908"/>
        <v/>
      </c>
      <c r="N19025" s="11" t="str">
        <f t="shared" si="909"/>
        <v/>
      </c>
    </row>
    <row r="19026" spans="9:14" x14ac:dyDescent="0.25">
      <c r="I19026" s="11" t="b">
        <f t="shared" si="907"/>
        <v>0</v>
      </c>
      <c r="M19026" s="17" t="str">
        <f t="shared" si="908"/>
        <v/>
      </c>
      <c r="N19026" s="11" t="str">
        <f t="shared" si="909"/>
        <v/>
      </c>
    </row>
    <row r="19027" spans="9:14" x14ac:dyDescent="0.25">
      <c r="I19027" s="11" t="b">
        <f t="shared" si="907"/>
        <v>0</v>
      </c>
      <c r="M19027" s="17" t="str">
        <f t="shared" si="908"/>
        <v/>
      </c>
      <c r="N19027" s="11" t="str">
        <f t="shared" si="909"/>
        <v/>
      </c>
    </row>
    <row r="19028" spans="9:14" x14ac:dyDescent="0.25">
      <c r="I19028" s="11" t="b">
        <f t="shared" si="907"/>
        <v>0</v>
      </c>
      <c r="M19028" s="17" t="str">
        <f t="shared" si="908"/>
        <v/>
      </c>
      <c r="N19028" s="11" t="str">
        <f t="shared" si="909"/>
        <v/>
      </c>
    </row>
    <row r="19029" spans="9:14" x14ac:dyDescent="0.25">
      <c r="I19029" s="11" t="b">
        <f t="shared" si="907"/>
        <v>0</v>
      </c>
      <c r="M19029" s="17" t="str">
        <f t="shared" si="908"/>
        <v/>
      </c>
      <c r="N19029" s="11" t="str">
        <f t="shared" si="909"/>
        <v/>
      </c>
    </row>
    <row r="19030" spans="9:14" x14ac:dyDescent="0.25">
      <c r="I19030" s="11" t="b">
        <f t="shared" si="907"/>
        <v>0</v>
      </c>
      <c r="M19030" s="17" t="str">
        <f t="shared" si="908"/>
        <v/>
      </c>
      <c r="N19030" s="11" t="str">
        <f t="shared" si="909"/>
        <v/>
      </c>
    </row>
    <row r="19031" spans="9:14" x14ac:dyDescent="0.25">
      <c r="I19031" s="11" t="b">
        <f t="shared" si="907"/>
        <v>0</v>
      </c>
      <c r="M19031" s="17" t="str">
        <f t="shared" si="908"/>
        <v/>
      </c>
      <c r="N19031" s="11" t="str">
        <f t="shared" si="909"/>
        <v/>
      </c>
    </row>
    <row r="19032" spans="9:14" x14ac:dyDescent="0.25">
      <c r="I19032" s="11" t="b">
        <f t="shared" si="907"/>
        <v>0</v>
      </c>
      <c r="M19032" s="17" t="str">
        <f t="shared" si="908"/>
        <v/>
      </c>
      <c r="N19032" s="11" t="str">
        <f t="shared" si="909"/>
        <v/>
      </c>
    </row>
    <row r="19033" spans="9:14" x14ac:dyDescent="0.25">
      <c r="I19033" s="11" t="b">
        <f t="shared" si="907"/>
        <v>0</v>
      </c>
      <c r="M19033" s="17" t="str">
        <f t="shared" si="908"/>
        <v/>
      </c>
      <c r="N19033" s="11" t="str">
        <f t="shared" si="909"/>
        <v/>
      </c>
    </row>
    <row r="19034" spans="9:14" x14ac:dyDescent="0.25">
      <c r="I19034" s="11" t="b">
        <f t="shared" si="907"/>
        <v>0</v>
      </c>
      <c r="M19034" s="17" t="str">
        <f t="shared" si="908"/>
        <v/>
      </c>
      <c r="N19034" s="11" t="str">
        <f t="shared" si="909"/>
        <v/>
      </c>
    </row>
    <row r="19035" spans="9:14" x14ac:dyDescent="0.25">
      <c r="I19035" s="11" t="b">
        <f t="shared" si="907"/>
        <v>0</v>
      </c>
      <c r="M19035" s="17" t="str">
        <f t="shared" si="908"/>
        <v/>
      </c>
      <c r="N19035" s="11" t="str">
        <f t="shared" si="909"/>
        <v/>
      </c>
    </row>
    <row r="19036" spans="9:14" x14ac:dyDescent="0.25">
      <c r="I19036" s="11" t="b">
        <f t="shared" si="907"/>
        <v>0</v>
      </c>
      <c r="M19036" s="17" t="str">
        <f t="shared" si="908"/>
        <v/>
      </c>
      <c r="N19036" s="11" t="str">
        <f t="shared" si="909"/>
        <v/>
      </c>
    </row>
    <row r="19037" spans="9:14" x14ac:dyDescent="0.25">
      <c r="I19037" s="11" t="b">
        <f t="shared" ref="I19037:I19100" si="910">IF(AND(G19037="MERCADO PAGO",A19037="FATURAMENTO"),1,IF(AND(OR(G19037="MERCADO PAGO",G19037="pix mercado pago",G19037= "débito automático mercado pago", G19037= "boleto mercado pago"),A19037="DESPESAS"),4,IF(AND(G19037="SAFRA",A19037="FATURAMENTO"),2,IF(AND(OR(G19037="SAFRA",G19037="PIX SAFRA", G19037="DÉBITO AUTOMÁTICO SAFRA", G19037= "BOLETO SAFRA", G19037= "transferência safra"), A19037="DESPESAS"),5,IF(AND(G19037="espécie",A19037="FATURAMENTO"),3,IF(AND(G19037="espécie",A19037="DESPESAS"),6))))))</f>
        <v>0</v>
      </c>
      <c r="M19037" s="17" t="str">
        <f t="shared" si="908"/>
        <v/>
      </c>
      <c r="N19037" s="11" t="str">
        <f t="shared" si="909"/>
        <v/>
      </c>
    </row>
    <row r="19038" spans="9:14" x14ac:dyDescent="0.25">
      <c r="I19038" s="11" t="b">
        <f t="shared" si="910"/>
        <v>0</v>
      </c>
      <c r="M19038" s="17" t="str">
        <f t="shared" si="908"/>
        <v/>
      </c>
      <c r="N19038" s="11" t="str">
        <f t="shared" si="909"/>
        <v/>
      </c>
    </row>
    <row r="19039" spans="9:14" x14ac:dyDescent="0.25">
      <c r="I19039" s="11" t="b">
        <f t="shared" si="910"/>
        <v>0</v>
      </c>
      <c r="M19039" s="17" t="str">
        <f t="shared" si="908"/>
        <v/>
      </c>
      <c r="N19039" s="11" t="str">
        <f t="shared" si="909"/>
        <v/>
      </c>
    </row>
    <row r="19040" spans="9:14" x14ac:dyDescent="0.25">
      <c r="I19040" s="11" t="b">
        <f t="shared" si="910"/>
        <v>0</v>
      </c>
      <c r="M19040" s="17" t="str">
        <f t="shared" si="908"/>
        <v/>
      </c>
      <c r="N19040" s="11" t="str">
        <f t="shared" si="909"/>
        <v/>
      </c>
    </row>
    <row r="19041" spans="9:14" x14ac:dyDescent="0.25">
      <c r="I19041" s="11" t="b">
        <f t="shared" si="910"/>
        <v>0</v>
      </c>
      <c r="M19041" s="17" t="str">
        <f t="shared" si="908"/>
        <v/>
      </c>
      <c r="N19041" s="11" t="str">
        <f t="shared" si="909"/>
        <v/>
      </c>
    </row>
    <row r="19042" spans="9:14" x14ac:dyDescent="0.25">
      <c r="I19042" s="11" t="b">
        <f t="shared" si="910"/>
        <v>0</v>
      </c>
      <c r="M19042" s="17" t="str">
        <f t="shared" si="908"/>
        <v/>
      </c>
      <c r="N19042" s="11" t="str">
        <f t="shared" si="909"/>
        <v/>
      </c>
    </row>
    <row r="19043" spans="9:14" x14ac:dyDescent="0.25">
      <c r="I19043" s="11" t="b">
        <f t="shared" si="910"/>
        <v>0</v>
      </c>
      <c r="M19043" s="17" t="str">
        <f t="shared" si="908"/>
        <v/>
      </c>
      <c r="N19043" s="11" t="str">
        <f t="shared" si="909"/>
        <v/>
      </c>
    </row>
    <row r="19044" spans="9:14" x14ac:dyDescent="0.25">
      <c r="I19044" s="11" t="b">
        <f t="shared" si="910"/>
        <v>0</v>
      </c>
      <c r="M19044" s="17" t="str">
        <f t="shared" si="908"/>
        <v/>
      </c>
      <c r="N19044" s="11" t="str">
        <f t="shared" si="909"/>
        <v/>
      </c>
    </row>
    <row r="19045" spans="9:14" x14ac:dyDescent="0.25">
      <c r="I19045" s="11" t="b">
        <f t="shared" si="910"/>
        <v>0</v>
      </c>
      <c r="M19045" s="17" t="str">
        <f t="shared" si="908"/>
        <v/>
      </c>
      <c r="N19045" s="11" t="str">
        <f t="shared" si="909"/>
        <v/>
      </c>
    </row>
    <row r="19046" spans="9:14" x14ac:dyDescent="0.25">
      <c r="I19046" s="11" t="b">
        <f t="shared" si="910"/>
        <v>0</v>
      </c>
      <c r="M19046" s="17" t="str">
        <f t="shared" si="908"/>
        <v/>
      </c>
      <c r="N19046" s="11" t="str">
        <f t="shared" si="909"/>
        <v/>
      </c>
    </row>
    <row r="19047" spans="9:14" x14ac:dyDescent="0.25">
      <c r="I19047" s="11" t="b">
        <f t="shared" si="910"/>
        <v>0</v>
      </c>
      <c r="M19047" s="17" t="str">
        <f t="shared" si="908"/>
        <v/>
      </c>
      <c r="N19047" s="11" t="str">
        <f t="shared" si="909"/>
        <v/>
      </c>
    </row>
    <row r="19048" spans="9:14" x14ac:dyDescent="0.25">
      <c r="I19048" s="11" t="b">
        <f t="shared" si="910"/>
        <v>0</v>
      </c>
      <c r="M19048" s="17" t="str">
        <f t="shared" si="908"/>
        <v/>
      </c>
      <c r="N19048" s="11" t="str">
        <f t="shared" si="909"/>
        <v/>
      </c>
    </row>
    <row r="19049" spans="9:14" x14ac:dyDescent="0.25">
      <c r="I19049" s="11" t="b">
        <f t="shared" si="910"/>
        <v>0</v>
      </c>
      <c r="M19049" s="17" t="str">
        <f t="shared" si="908"/>
        <v/>
      </c>
      <c r="N19049" s="11" t="str">
        <f t="shared" si="909"/>
        <v/>
      </c>
    </row>
    <row r="19050" spans="9:14" x14ac:dyDescent="0.25">
      <c r="I19050" s="11" t="b">
        <f t="shared" si="910"/>
        <v>0</v>
      </c>
      <c r="M19050" s="17" t="str">
        <f t="shared" si="908"/>
        <v/>
      </c>
      <c r="N19050" s="11" t="str">
        <f t="shared" si="909"/>
        <v/>
      </c>
    </row>
    <row r="19051" spans="9:14" x14ac:dyDescent="0.25">
      <c r="I19051" s="11" t="b">
        <f t="shared" si="910"/>
        <v>0</v>
      </c>
      <c r="M19051" s="17" t="str">
        <f t="shared" si="908"/>
        <v/>
      </c>
      <c r="N19051" s="11" t="str">
        <f t="shared" si="909"/>
        <v/>
      </c>
    </row>
    <row r="19052" spans="9:14" x14ac:dyDescent="0.25">
      <c r="I19052" s="11" t="b">
        <f t="shared" si="910"/>
        <v>0</v>
      </c>
      <c r="M19052" s="17" t="str">
        <f t="shared" si="908"/>
        <v/>
      </c>
      <c r="N19052" s="11" t="str">
        <f t="shared" si="909"/>
        <v/>
      </c>
    </row>
    <row r="19053" spans="9:14" x14ac:dyDescent="0.25">
      <c r="I19053" s="11" t="b">
        <f t="shared" si="910"/>
        <v>0</v>
      </c>
      <c r="M19053" s="17" t="str">
        <f t="shared" si="908"/>
        <v/>
      </c>
      <c r="N19053" s="11" t="str">
        <f t="shared" si="909"/>
        <v/>
      </c>
    </row>
    <row r="19054" spans="9:14" x14ac:dyDescent="0.25">
      <c r="I19054" s="11" t="b">
        <f t="shared" si="910"/>
        <v>0</v>
      </c>
      <c r="M19054" s="17" t="str">
        <f t="shared" si="908"/>
        <v/>
      </c>
      <c r="N19054" s="11" t="str">
        <f t="shared" si="909"/>
        <v/>
      </c>
    </row>
    <row r="19055" spans="9:14" x14ac:dyDescent="0.25">
      <c r="I19055" s="11" t="b">
        <f t="shared" si="910"/>
        <v>0</v>
      </c>
      <c r="M19055" s="17" t="str">
        <f t="shared" si="908"/>
        <v/>
      </c>
      <c r="N19055" s="11" t="str">
        <f t="shared" si="909"/>
        <v/>
      </c>
    </row>
    <row r="19056" spans="9:14" x14ac:dyDescent="0.25">
      <c r="I19056" s="11" t="b">
        <f t="shared" si="910"/>
        <v>0</v>
      </c>
      <c r="M19056" s="17" t="str">
        <f t="shared" si="908"/>
        <v/>
      </c>
      <c r="N19056" s="11" t="str">
        <f t="shared" si="909"/>
        <v/>
      </c>
    </row>
    <row r="19057" spans="9:14" x14ac:dyDescent="0.25">
      <c r="I19057" s="11" t="b">
        <f t="shared" si="910"/>
        <v>0</v>
      </c>
      <c r="M19057" s="17" t="str">
        <f t="shared" si="908"/>
        <v/>
      </c>
      <c r="N19057" s="11" t="str">
        <f t="shared" si="909"/>
        <v/>
      </c>
    </row>
    <row r="19058" spans="9:14" x14ac:dyDescent="0.25">
      <c r="I19058" s="11" t="b">
        <f t="shared" si="910"/>
        <v>0</v>
      </c>
      <c r="M19058" s="17" t="str">
        <f t="shared" si="908"/>
        <v/>
      </c>
      <c r="N19058" s="11" t="str">
        <f t="shared" si="909"/>
        <v/>
      </c>
    </row>
    <row r="19059" spans="9:14" x14ac:dyDescent="0.25">
      <c r="I19059" s="11" t="b">
        <f t="shared" si="910"/>
        <v>0</v>
      </c>
      <c r="M19059" s="17" t="str">
        <f t="shared" si="908"/>
        <v/>
      </c>
      <c r="N19059" s="11" t="str">
        <f t="shared" si="909"/>
        <v/>
      </c>
    </row>
    <row r="19060" spans="9:14" x14ac:dyDescent="0.25">
      <c r="I19060" s="11" t="b">
        <f t="shared" si="910"/>
        <v>0</v>
      </c>
      <c r="M19060" s="17" t="str">
        <f t="shared" si="908"/>
        <v/>
      </c>
      <c r="N19060" s="11" t="str">
        <f t="shared" si="909"/>
        <v/>
      </c>
    </row>
    <row r="19061" spans="9:14" x14ac:dyDescent="0.25">
      <c r="I19061" s="11" t="b">
        <f t="shared" si="910"/>
        <v>0</v>
      </c>
      <c r="M19061" s="17" t="str">
        <f t="shared" si="908"/>
        <v/>
      </c>
      <c r="N19061" s="11" t="str">
        <f t="shared" si="909"/>
        <v/>
      </c>
    </row>
    <row r="19062" spans="9:14" x14ac:dyDescent="0.25">
      <c r="I19062" s="11" t="b">
        <f t="shared" si="910"/>
        <v>0</v>
      </c>
      <c r="M19062" s="17" t="str">
        <f t="shared" si="908"/>
        <v/>
      </c>
      <c r="N19062" s="11" t="str">
        <f t="shared" si="909"/>
        <v/>
      </c>
    </row>
    <row r="19063" spans="9:14" x14ac:dyDescent="0.25">
      <c r="I19063" s="11" t="b">
        <f t="shared" si="910"/>
        <v>0</v>
      </c>
      <c r="M19063" s="17" t="str">
        <f t="shared" si="908"/>
        <v/>
      </c>
      <c r="N19063" s="11" t="str">
        <f t="shared" si="909"/>
        <v/>
      </c>
    </row>
    <row r="19064" spans="9:14" x14ac:dyDescent="0.25">
      <c r="I19064" s="11" t="b">
        <f t="shared" si="910"/>
        <v>0</v>
      </c>
      <c r="M19064" s="17" t="str">
        <f t="shared" si="908"/>
        <v/>
      </c>
      <c r="N19064" s="11" t="str">
        <f t="shared" si="909"/>
        <v/>
      </c>
    </row>
    <row r="19065" spans="9:14" x14ac:dyDescent="0.25">
      <c r="I19065" s="11" t="b">
        <f t="shared" si="910"/>
        <v>0</v>
      </c>
      <c r="M19065" s="17" t="str">
        <f t="shared" si="908"/>
        <v/>
      </c>
      <c r="N19065" s="11" t="str">
        <f t="shared" si="909"/>
        <v/>
      </c>
    </row>
    <row r="19066" spans="9:14" x14ac:dyDescent="0.25">
      <c r="I19066" s="11" t="b">
        <f t="shared" si="910"/>
        <v>0</v>
      </c>
      <c r="M19066" s="17" t="str">
        <f t="shared" si="908"/>
        <v/>
      </c>
      <c r="N19066" s="11" t="str">
        <f t="shared" si="909"/>
        <v/>
      </c>
    </row>
    <row r="19067" spans="9:14" x14ac:dyDescent="0.25">
      <c r="I19067" s="11" t="b">
        <f t="shared" si="910"/>
        <v>0</v>
      </c>
      <c r="M19067" s="17" t="str">
        <f t="shared" si="908"/>
        <v/>
      </c>
      <c r="N19067" s="11" t="str">
        <f t="shared" si="909"/>
        <v/>
      </c>
    </row>
    <row r="19068" spans="9:14" x14ac:dyDescent="0.25">
      <c r="I19068" s="11" t="b">
        <f t="shared" si="910"/>
        <v>0</v>
      </c>
      <c r="M19068" s="17" t="str">
        <f t="shared" si="908"/>
        <v/>
      </c>
      <c r="N19068" s="11" t="str">
        <f t="shared" si="909"/>
        <v/>
      </c>
    </row>
    <row r="19069" spans="9:14" x14ac:dyDescent="0.25">
      <c r="I19069" s="11" t="b">
        <f t="shared" si="910"/>
        <v>0</v>
      </c>
      <c r="M19069" s="17" t="str">
        <f t="shared" si="908"/>
        <v/>
      </c>
      <c r="N19069" s="11" t="str">
        <f t="shared" si="909"/>
        <v/>
      </c>
    </row>
    <row r="19070" spans="9:14" x14ac:dyDescent="0.25">
      <c r="I19070" s="11" t="b">
        <f t="shared" si="910"/>
        <v>0</v>
      </c>
      <c r="M19070" s="17" t="str">
        <f t="shared" si="908"/>
        <v/>
      </c>
      <c r="N19070" s="11" t="str">
        <f t="shared" si="909"/>
        <v/>
      </c>
    </row>
    <row r="19071" spans="9:14" x14ac:dyDescent="0.25">
      <c r="I19071" s="11" t="b">
        <f t="shared" si="910"/>
        <v>0</v>
      </c>
      <c r="M19071" s="17" t="str">
        <f t="shared" si="908"/>
        <v/>
      </c>
      <c r="N19071" s="11" t="str">
        <f t="shared" si="909"/>
        <v/>
      </c>
    </row>
    <row r="19072" spans="9:14" x14ac:dyDescent="0.25">
      <c r="I19072" s="11" t="b">
        <f t="shared" si="910"/>
        <v>0</v>
      </c>
      <c r="M19072" s="17" t="str">
        <f t="shared" si="908"/>
        <v/>
      </c>
      <c r="N19072" s="11" t="str">
        <f t="shared" si="909"/>
        <v/>
      </c>
    </row>
    <row r="19073" spans="9:14" x14ac:dyDescent="0.25">
      <c r="I19073" s="11" t="b">
        <f t="shared" si="910"/>
        <v>0</v>
      </c>
      <c r="M19073" s="17" t="str">
        <f t="shared" ref="M19073:M19136" si="911">IF(B19073=0, "",M19072+ J19073-K19073)</f>
        <v/>
      </c>
      <c r="N19073" s="11" t="str">
        <f t="shared" ref="N19073:N19136" si="912">IF(B19073=0, "", MONTH(B19073))</f>
        <v/>
      </c>
    </row>
    <row r="19074" spans="9:14" x14ac:dyDescent="0.25">
      <c r="I19074" s="11" t="b">
        <f t="shared" si="910"/>
        <v>0</v>
      </c>
      <c r="M19074" s="17" t="str">
        <f t="shared" si="911"/>
        <v/>
      </c>
      <c r="N19074" s="11" t="str">
        <f t="shared" si="912"/>
        <v/>
      </c>
    </row>
    <row r="19075" spans="9:14" x14ac:dyDescent="0.25">
      <c r="I19075" s="11" t="b">
        <f t="shared" si="910"/>
        <v>0</v>
      </c>
      <c r="M19075" s="17" t="str">
        <f t="shared" si="911"/>
        <v/>
      </c>
      <c r="N19075" s="11" t="str">
        <f t="shared" si="912"/>
        <v/>
      </c>
    </row>
    <row r="19076" spans="9:14" x14ac:dyDescent="0.25">
      <c r="I19076" s="11" t="b">
        <f t="shared" si="910"/>
        <v>0</v>
      </c>
      <c r="M19076" s="17" t="str">
        <f t="shared" si="911"/>
        <v/>
      </c>
      <c r="N19076" s="11" t="str">
        <f t="shared" si="912"/>
        <v/>
      </c>
    </row>
    <row r="19077" spans="9:14" x14ac:dyDescent="0.25">
      <c r="I19077" s="11" t="b">
        <f t="shared" si="910"/>
        <v>0</v>
      </c>
      <c r="M19077" s="17" t="str">
        <f t="shared" si="911"/>
        <v/>
      </c>
      <c r="N19077" s="11" t="str">
        <f t="shared" si="912"/>
        <v/>
      </c>
    </row>
    <row r="19078" spans="9:14" x14ac:dyDescent="0.25">
      <c r="I19078" s="11" t="b">
        <f t="shared" si="910"/>
        <v>0</v>
      </c>
      <c r="M19078" s="17" t="str">
        <f t="shared" si="911"/>
        <v/>
      </c>
      <c r="N19078" s="11" t="str">
        <f t="shared" si="912"/>
        <v/>
      </c>
    </row>
    <row r="19079" spans="9:14" x14ac:dyDescent="0.25">
      <c r="I19079" s="11" t="b">
        <f t="shared" si="910"/>
        <v>0</v>
      </c>
      <c r="M19079" s="17" t="str">
        <f t="shared" si="911"/>
        <v/>
      </c>
      <c r="N19079" s="11" t="str">
        <f t="shared" si="912"/>
        <v/>
      </c>
    </row>
    <row r="19080" spans="9:14" x14ac:dyDescent="0.25">
      <c r="I19080" s="11" t="b">
        <f t="shared" si="910"/>
        <v>0</v>
      </c>
      <c r="M19080" s="17" t="str">
        <f t="shared" si="911"/>
        <v/>
      </c>
      <c r="N19080" s="11" t="str">
        <f t="shared" si="912"/>
        <v/>
      </c>
    </row>
    <row r="19081" spans="9:14" x14ac:dyDescent="0.25">
      <c r="I19081" s="11" t="b">
        <f t="shared" si="910"/>
        <v>0</v>
      </c>
      <c r="M19081" s="17" t="str">
        <f t="shared" si="911"/>
        <v/>
      </c>
      <c r="N19081" s="11" t="str">
        <f t="shared" si="912"/>
        <v/>
      </c>
    </row>
    <row r="19082" spans="9:14" x14ac:dyDescent="0.25">
      <c r="I19082" s="11" t="b">
        <f t="shared" si="910"/>
        <v>0</v>
      </c>
      <c r="M19082" s="17" t="str">
        <f t="shared" si="911"/>
        <v/>
      </c>
      <c r="N19082" s="11" t="str">
        <f t="shared" si="912"/>
        <v/>
      </c>
    </row>
    <row r="19083" spans="9:14" x14ac:dyDescent="0.25">
      <c r="I19083" s="11" t="b">
        <f t="shared" si="910"/>
        <v>0</v>
      </c>
      <c r="M19083" s="17" t="str">
        <f t="shared" si="911"/>
        <v/>
      </c>
      <c r="N19083" s="11" t="str">
        <f t="shared" si="912"/>
        <v/>
      </c>
    </row>
    <row r="19084" spans="9:14" x14ac:dyDescent="0.25">
      <c r="I19084" s="11" t="b">
        <f t="shared" si="910"/>
        <v>0</v>
      </c>
      <c r="M19084" s="17" t="str">
        <f t="shared" si="911"/>
        <v/>
      </c>
      <c r="N19084" s="11" t="str">
        <f t="shared" si="912"/>
        <v/>
      </c>
    </row>
    <row r="19085" spans="9:14" x14ac:dyDescent="0.25">
      <c r="I19085" s="11" t="b">
        <f t="shared" si="910"/>
        <v>0</v>
      </c>
      <c r="M19085" s="17" t="str">
        <f t="shared" si="911"/>
        <v/>
      </c>
      <c r="N19085" s="11" t="str">
        <f t="shared" si="912"/>
        <v/>
      </c>
    </row>
    <row r="19086" spans="9:14" x14ac:dyDescent="0.25">
      <c r="I19086" s="11" t="b">
        <f t="shared" si="910"/>
        <v>0</v>
      </c>
      <c r="M19086" s="17" t="str">
        <f t="shared" si="911"/>
        <v/>
      </c>
      <c r="N19086" s="11" t="str">
        <f t="shared" si="912"/>
        <v/>
      </c>
    </row>
    <row r="19087" spans="9:14" x14ac:dyDescent="0.25">
      <c r="I19087" s="11" t="b">
        <f t="shared" si="910"/>
        <v>0</v>
      </c>
      <c r="M19087" s="17" t="str">
        <f t="shared" si="911"/>
        <v/>
      </c>
      <c r="N19087" s="11" t="str">
        <f t="shared" si="912"/>
        <v/>
      </c>
    </row>
    <row r="19088" spans="9:14" x14ac:dyDescent="0.25">
      <c r="I19088" s="11" t="b">
        <f t="shared" si="910"/>
        <v>0</v>
      </c>
      <c r="M19088" s="17" t="str">
        <f t="shared" si="911"/>
        <v/>
      </c>
      <c r="N19088" s="11" t="str">
        <f t="shared" si="912"/>
        <v/>
      </c>
    </row>
    <row r="19089" spans="9:14" x14ac:dyDescent="0.25">
      <c r="I19089" s="11" t="b">
        <f t="shared" si="910"/>
        <v>0</v>
      </c>
      <c r="M19089" s="17" t="str">
        <f t="shared" si="911"/>
        <v/>
      </c>
      <c r="N19089" s="11" t="str">
        <f t="shared" si="912"/>
        <v/>
      </c>
    </row>
    <row r="19090" spans="9:14" x14ac:dyDescent="0.25">
      <c r="I19090" s="11" t="b">
        <f t="shared" si="910"/>
        <v>0</v>
      </c>
      <c r="M19090" s="17" t="str">
        <f t="shared" si="911"/>
        <v/>
      </c>
      <c r="N19090" s="11" t="str">
        <f t="shared" si="912"/>
        <v/>
      </c>
    </row>
    <row r="19091" spans="9:14" x14ac:dyDescent="0.25">
      <c r="I19091" s="11" t="b">
        <f t="shared" si="910"/>
        <v>0</v>
      </c>
      <c r="M19091" s="17" t="str">
        <f t="shared" si="911"/>
        <v/>
      </c>
      <c r="N19091" s="11" t="str">
        <f t="shared" si="912"/>
        <v/>
      </c>
    </row>
    <row r="19092" spans="9:14" x14ac:dyDescent="0.25">
      <c r="I19092" s="11" t="b">
        <f t="shared" si="910"/>
        <v>0</v>
      </c>
      <c r="M19092" s="17" t="str">
        <f t="shared" si="911"/>
        <v/>
      </c>
      <c r="N19092" s="11" t="str">
        <f t="shared" si="912"/>
        <v/>
      </c>
    </row>
    <row r="19093" spans="9:14" x14ac:dyDescent="0.25">
      <c r="I19093" s="11" t="b">
        <f t="shared" si="910"/>
        <v>0</v>
      </c>
      <c r="M19093" s="17" t="str">
        <f t="shared" si="911"/>
        <v/>
      </c>
      <c r="N19093" s="11" t="str">
        <f t="shared" si="912"/>
        <v/>
      </c>
    </row>
    <row r="19094" spans="9:14" x14ac:dyDescent="0.25">
      <c r="I19094" s="11" t="b">
        <f t="shared" si="910"/>
        <v>0</v>
      </c>
      <c r="M19094" s="17" t="str">
        <f t="shared" si="911"/>
        <v/>
      </c>
      <c r="N19094" s="11" t="str">
        <f t="shared" si="912"/>
        <v/>
      </c>
    </row>
    <row r="19095" spans="9:14" x14ac:dyDescent="0.25">
      <c r="I19095" s="11" t="b">
        <f t="shared" si="910"/>
        <v>0</v>
      </c>
      <c r="M19095" s="17" t="str">
        <f t="shared" si="911"/>
        <v/>
      </c>
      <c r="N19095" s="11" t="str">
        <f t="shared" si="912"/>
        <v/>
      </c>
    </row>
    <row r="19096" spans="9:14" x14ac:dyDescent="0.25">
      <c r="I19096" s="11" t="b">
        <f t="shared" si="910"/>
        <v>0</v>
      </c>
      <c r="M19096" s="17" t="str">
        <f t="shared" si="911"/>
        <v/>
      </c>
      <c r="N19096" s="11" t="str">
        <f t="shared" si="912"/>
        <v/>
      </c>
    </row>
    <row r="19097" spans="9:14" x14ac:dyDescent="0.25">
      <c r="I19097" s="11" t="b">
        <f t="shared" si="910"/>
        <v>0</v>
      </c>
      <c r="M19097" s="17" t="str">
        <f t="shared" si="911"/>
        <v/>
      </c>
      <c r="N19097" s="11" t="str">
        <f t="shared" si="912"/>
        <v/>
      </c>
    </row>
    <row r="19098" spans="9:14" x14ac:dyDescent="0.25">
      <c r="I19098" s="11" t="b">
        <f t="shared" si="910"/>
        <v>0</v>
      </c>
      <c r="M19098" s="17" t="str">
        <f t="shared" si="911"/>
        <v/>
      </c>
      <c r="N19098" s="11" t="str">
        <f t="shared" si="912"/>
        <v/>
      </c>
    </row>
    <row r="19099" spans="9:14" x14ac:dyDescent="0.25">
      <c r="I19099" s="11" t="b">
        <f t="shared" si="910"/>
        <v>0</v>
      </c>
      <c r="M19099" s="17" t="str">
        <f t="shared" si="911"/>
        <v/>
      </c>
      <c r="N19099" s="11" t="str">
        <f t="shared" si="912"/>
        <v/>
      </c>
    </row>
    <row r="19100" spans="9:14" x14ac:dyDescent="0.25">
      <c r="I19100" s="11" t="b">
        <f t="shared" si="910"/>
        <v>0</v>
      </c>
      <c r="M19100" s="17" t="str">
        <f t="shared" si="911"/>
        <v/>
      </c>
      <c r="N19100" s="11" t="str">
        <f t="shared" si="912"/>
        <v/>
      </c>
    </row>
    <row r="19101" spans="9:14" x14ac:dyDescent="0.25">
      <c r="I19101" s="11" t="b">
        <f t="shared" ref="I19101:I19164" si="913">IF(AND(G19101="MERCADO PAGO",A19101="FATURAMENTO"),1,IF(AND(OR(G19101="MERCADO PAGO",G19101="pix mercado pago",G19101= "débito automático mercado pago", G19101= "boleto mercado pago"),A19101="DESPESAS"),4,IF(AND(G19101="SAFRA",A19101="FATURAMENTO"),2,IF(AND(OR(G19101="SAFRA",G19101="PIX SAFRA", G19101="DÉBITO AUTOMÁTICO SAFRA", G19101= "BOLETO SAFRA", G19101= "transferência safra"), A19101="DESPESAS"),5,IF(AND(G19101="espécie",A19101="FATURAMENTO"),3,IF(AND(G19101="espécie",A19101="DESPESAS"),6))))))</f>
        <v>0</v>
      </c>
      <c r="M19101" s="17" t="str">
        <f t="shared" si="911"/>
        <v/>
      </c>
      <c r="N19101" s="11" t="str">
        <f t="shared" si="912"/>
        <v/>
      </c>
    </row>
    <row r="19102" spans="9:14" x14ac:dyDescent="0.25">
      <c r="I19102" s="11" t="b">
        <f t="shared" si="913"/>
        <v>0</v>
      </c>
      <c r="M19102" s="17" t="str">
        <f t="shared" si="911"/>
        <v/>
      </c>
      <c r="N19102" s="11" t="str">
        <f t="shared" si="912"/>
        <v/>
      </c>
    </row>
    <row r="19103" spans="9:14" x14ac:dyDescent="0.25">
      <c r="I19103" s="11" t="b">
        <f t="shared" si="913"/>
        <v>0</v>
      </c>
      <c r="M19103" s="17" t="str">
        <f t="shared" si="911"/>
        <v/>
      </c>
      <c r="N19103" s="11" t="str">
        <f t="shared" si="912"/>
        <v/>
      </c>
    </row>
    <row r="19104" spans="9:14" x14ac:dyDescent="0.25">
      <c r="I19104" s="11" t="b">
        <f t="shared" si="913"/>
        <v>0</v>
      </c>
      <c r="M19104" s="17" t="str">
        <f t="shared" si="911"/>
        <v/>
      </c>
      <c r="N19104" s="11" t="str">
        <f t="shared" si="912"/>
        <v/>
      </c>
    </row>
    <row r="19105" spans="9:14" x14ac:dyDescent="0.25">
      <c r="I19105" s="11" t="b">
        <f t="shared" si="913"/>
        <v>0</v>
      </c>
      <c r="M19105" s="17" t="str">
        <f t="shared" si="911"/>
        <v/>
      </c>
      <c r="N19105" s="11" t="str">
        <f t="shared" si="912"/>
        <v/>
      </c>
    </row>
    <row r="19106" spans="9:14" x14ac:dyDescent="0.25">
      <c r="I19106" s="11" t="b">
        <f t="shared" si="913"/>
        <v>0</v>
      </c>
      <c r="M19106" s="17" t="str">
        <f t="shared" si="911"/>
        <v/>
      </c>
      <c r="N19106" s="11" t="str">
        <f t="shared" si="912"/>
        <v/>
      </c>
    </row>
    <row r="19107" spans="9:14" x14ac:dyDescent="0.25">
      <c r="I19107" s="11" t="b">
        <f t="shared" si="913"/>
        <v>0</v>
      </c>
      <c r="M19107" s="17" t="str">
        <f t="shared" si="911"/>
        <v/>
      </c>
      <c r="N19107" s="11" t="str">
        <f t="shared" si="912"/>
        <v/>
      </c>
    </row>
    <row r="19108" spans="9:14" x14ac:dyDescent="0.25">
      <c r="I19108" s="11" t="b">
        <f t="shared" si="913"/>
        <v>0</v>
      </c>
      <c r="M19108" s="17" t="str">
        <f t="shared" si="911"/>
        <v/>
      </c>
      <c r="N19108" s="11" t="str">
        <f t="shared" si="912"/>
        <v/>
      </c>
    </row>
    <row r="19109" spans="9:14" x14ac:dyDescent="0.25">
      <c r="I19109" s="11" t="b">
        <f t="shared" si="913"/>
        <v>0</v>
      </c>
      <c r="M19109" s="17" t="str">
        <f t="shared" si="911"/>
        <v/>
      </c>
      <c r="N19109" s="11" t="str">
        <f t="shared" si="912"/>
        <v/>
      </c>
    </row>
    <row r="19110" spans="9:14" x14ac:dyDescent="0.25">
      <c r="I19110" s="11" t="b">
        <f t="shared" si="913"/>
        <v>0</v>
      </c>
      <c r="M19110" s="17" t="str">
        <f t="shared" si="911"/>
        <v/>
      </c>
      <c r="N19110" s="11" t="str">
        <f t="shared" si="912"/>
        <v/>
      </c>
    </row>
    <row r="19111" spans="9:14" x14ac:dyDescent="0.25">
      <c r="I19111" s="11" t="b">
        <f t="shared" si="913"/>
        <v>0</v>
      </c>
      <c r="M19111" s="17" t="str">
        <f t="shared" si="911"/>
        <v/>
      </c>
      <c r="N19111" s="11" t="str">
        <f t="shared" si="912"/>
        <v/>
      </c>
    </row>
    <row r="19112" spans="9:14" x14ac:dyDescent="0.25">
      <c r="I19112" s="11" t="b">
        <f t="shared" si="913"/>
        <v>0</v>
      </c>
      <c r="M19112" s="17" t="str">
        <f t="shared" si="911"/>
        <v/>
      </c>
      <c r="N19112" s="11" t="str">
        <f t="shared" si="912"/>
        <v/>
      </c>
    </row>
    <row r="19113" spans="9:14" x14ac:dyDescent="0.25">
      <c r="I19113" s="11" t="b">
        <f t="shared" si="913"/>
        <v>0</v>
      </c>
      <c r="M19113" s="17" t="str">
        <f t="shared" si="911"/>
        <v/>
      </c>
      <c r="N19113" s="11" t="str">
        <f t="shared" si="912"/>
        <v/>
      </c>
    </row>
    <row r="19114" spans="9:14" x14ac:dyDescent="0.25">
      <c r="I19114" s="11" t="b">
        <f t="shared" si="913"/>
        <v>0</v>
      </c>
      <c r="M19114" s="17" t="str">
        <f t="shared" si="911"/>
        <v/>
      </c>
      <c r="N19114" s="11" t="str">
        <f t="shared" si="912"/>
        <v/>
      </c>
    </row>
    <row r="19115" spans="9:14" x14ac:dyDescent="0.25">
      <c r="I19115" s="11" t="b">
        <f t="shared" si="913"/>
        <v>0</v>
      </c>
      <c r="M19115" s="17" t="str">
        <f t="shared" si="911"/>
        <v/>
      </c>
      <c r="N19115" s="11" t="str">
        <f t="shared" si="912"/>
        <v/>
      </c>
    </row>
    <row r="19116" spans="9:14" x14ac:dyDescent="0.25">
      <c r="I19116" s="11" t="b">
        <f t="shared" si="913"/>
        <v>0</v>
      </c>
      <c r="M19116" s="17" t="str">
        <f t="shared" si="911"/>
        <v/>
      </c>
      <c r="N19116" s="11" t="str">
        <f t="shared" si="912"/>
        <v/>
      </c>
    </row>
    <row r="19117" spans="9:14" x14ac:dyDescent="0.25">
      <c r="I19117" s="11" t="b">
        <f t="shared" si="913"/>
        <v>0</v>
      </c>
      <c r="M19117" s="17" t="str">
        <f t="shared" si="911"/>
        <v/>
      </c>
      <c r="N19117" s="11" t="str">
        <f t="shared" si="912"/>
        <v/>
      </c>
    </row>
    <row r="19118" spans="9:14" x14ac:dyDescent="0.25">
      <c r="I19118" s="11" t="b">
        <f t="shared" si="913"/>
        <v>0</v>
      </c>
      <c r="M19118" s="17" t="str">
        <f t="shared" si="911"/>
        <v/>
      </c>
      <c r="N19118" s="11" t="str">
        <f t="shared" si="912"/>
        <v/>
      </c>
    </row>
    <row r="19119" spans="9:14" x14ac:dyDescent="0.25">
      <c r="I19119" s="11" t="b">
        <f t="shared" si="913"/>
        <v>0</v>
      </c>
      <c r="M19119" s="17" t="str">
        <f t="shared" si="911"/>
        <v/>
      </c>
      <c r="N19119" s="11" t="str">
        <f t="shared" si="912"/>
        <v/>
      </c>
    </row>
    <row r="19120" spans="9:14" x14ac:dyDescent="0.25">
      <c r="I19120" s="11" t="b">
        <f t="shared" si="913"/>
        <v>0</v>
      </c>
      <c r="M19120" s="17" t="str">
        <f t="shared" si="911"/>
        <v/>
      </c>
      <c r="N19120" s="11" t="str">
        <f t="shared" si="912"/>
        <v/>
      </c>
    </row>
    <row r="19121" spans="9:14" x14ac:dyDescent="0.25">
      <c r="I19121" s="11" t="b">
        <f t="shared" si="913"/>
        <v>0</v>
      </c>
      <c r="M19121" s="17" t="str">
        <f t="shared" si="911"/>
        <v/>
      </c>
      <c r="N19121" s="11" t="str">
        <f t="shared" si="912"/>
        <v/>
      </c>
    </row>
    <row r="19122" spans="9:14" x14ac:dyDescent="0.25">
      <c r="I19122" s="11" t="b">
        <f t="shared" si="913"/>
        <v>0</v>
      </c>
      <c r="M19122" s="17" t="str">
        <f t="shared" si="911"/>
        <v/>
      </c>
      <c r="N19122" s="11" t="str">
        <f t="shared" si="912"/>
        <v/>
      </c>
    </row>
    <row r="19123" spans="9:14" x14ac:dyDescent="0.25">
      <c r="I19123" s="11" t="b">
        <f t="shared" si="913"/>
        <v>0</v>
      </c>
      <c r="M19123" s="17" t="str">
        <f t="shared" si="911"/>
        <v/>
      </c>
      <c r="N19123" s="11" t="str">
        <f t="shared" si="912"/>
        <v/>
      </c>
    </row>
    <row r="19124" spans="9:14" x14ac:dyDescent="0.25">
      <c r="I19124" s="11" t="b">
        <f t="shared" si="913"/>
        <v>0</v>
      </c>
      <c r="M19124" s="17" t="str">
        <f t="shared" si="911"/>
        <v/>
      </c>
      <c r="N19124" s="11" t="str">
        <f t="shared" si="912"/>
        <v/>
      </c>
    </row>
    <row r="19125" spans="9:14" x14ac:dyDescent="0.25">
      <c r="I19125" s="11" t="b">
        <f t="shared" si="913"/>
        <v>0</v>
      </c>
      <c r="M19125" s="17" t="str">
        <f t="shared" si="911"/>
        <v/>
      </c>
      <c r="N19125" s="11" t="str">
        <f t="shared" si="912"/>
        <v/>
      </c>
    </row>
    <row r="19126" spans="9:14" x14ac:dyDescent="0.25">
      <c r="I19126" s="11" t="b">
        <f t="shared" si="913"/>
        <v>0</v>
      </c>
      <c r="M19126" s="17" t="str">
        <f t="shared" si="911"/>
        <v/>
      </c>
      <c r="N19126" s="11" t="str">
        <f t="shared" si="912"/>
        <v/>
      </c>
    </row>
    <row r="19127" spans="9:14" x14ac:dyDescent="0.25">
      <c r="I19127" s="11" t="b">
        <f t="shared" si="913"/>
        <v>0</v>
      </c>
      <c r="M19127" s="17" t="str">
        <f t="shared" si="911"/>
        <v/>
      </c>
      <c r="N19127" s="11" t="str">
        <f t="shared" si="912"/>
        <v/>
      </c>
    </row>
    <row r="19128" spans="9:14" x14ac:dyDescent="0.25">
      <c r="I19128" s="11" t="b">
        <f t="shared" si="913"/>
        <v>0</v>
      </c>
      <c r="M19128" s="17" t="str">
        <f t="shared" si="911"/>
        <v/>
      </c>
      <c r="N19128" s="11" t="str">
        <f t="shared" si="912"/>
        <v/>
      </c>
    </row>
    <row r="19129" spans="9:14" x14ac:dyDescent="0.25">
      <c r="I19129" s="11" t="b">
        <f t="shared" si="913"/>
        <v>0</v>
      </c>
      <c r="M19129" s="17" t="str">
        <f t="shared" si="911"/>
        <v/>
      </c>
      <c r="N19129" s="11" t="str">
        <f t="shared" si="912"/>
        <v/>
      </c>
    </row>
    <row r="19130" spans="9:14" x14ac:dyDescent="0.25">
      <c r="I19130" s="11" t="b">
        <f t="shared" si="913"/>
        <v>0</v>
      </c>
      <c r="M19130" s="17" t="str">
        <f t="shared" si="911"/>
        <v/>
      </c>
      <c r="N19130" s="11" t="str">
        <f t="shared" si="912"/>
        <v/>
      </c>
    </row>
    <row r="19131" spans="9:14" x14ac:dyDescent="0.25">
      <c r="I19131" s="11" t="b">
        <f t="shared" si="913"/>
        <v>0</v>
      </c>
      <c r="M19131" s="17" t="str">
        <f t="shared" si="911"/>
        <v/>
      </c>
      <c r="N19131" s="11" t="str">
        <f t="shared" si="912"/>
        <v/>
      </c>
    </row>
    <row r="19132" spans="9:14" x14ac:dyDescent="0.25">
      <c r="I19132" s="11" t="b">
        <f t="shared" si="913"/>
        <v>0</v>
      </c>
      <c r="M19132" s="17" t="str">
        <f t="shared" si="911"/>
        <v/>
      </c>
      <c r="N19132" s="11" t="str">
        <f t="shared" si="912"/>
        <v/>
      </c>
    </row>
    <row r="19133" spans="9:14" x14ac:dyDescent="0.25">
      <c r="I19133" s="11" t="b">
        <f t="shared" si="913"/>
        <v>0</v>
      </c>
      <c r="M19133" s="17" t="str">
        <f t="shared" si="911"/>
        <v/>
      </c>
      <c r="N19133" s="11" t="str">
        <f t="shared" si="912"/>
        <v/>
      </c>
    </row>
    <row r="19134" spans="9:14" x14ac:dyDescent="0.25">
      <c r="I19134" s="11" t="b">
        <f t="shared" si="913"/>
        <v>0</v>
      </c>
      <c r="M19134" s="17" t="str">
        <f t="shared" si="911"/>
        <v/>
      </c>
      <c r="N19134" s="11" t="str">
        <f t="shared" si="912"/>
        <v/>
      </c>
    </row>
    <row r="19135" spans="9:14" x14ac:dyDescent="0.25">
      <c r="I19135" s="11" t="b">
        <f t="shared" si="913"/>
        <v>0</v>
      </c>
      <c r="M19135" s="17" t="str">
        <f t="shared" si="911"/>
        <v/>
      </c>
      <c r="N19135" s="11" t="str">
        <f t="shared" si="912"/>
        <v/>
      </c>
    </row>
    <row r="19136" spans="9:14" x14ac:dyDescent="0.25">
      <c r="I19136" s="11" t="b">
        <f t="shared" si="913"/>
        <v>0</v>
      </c>
      <c r="M19136" s="17" t="str">
        <f t="shared" si="911"/>
        <v/>
      </c>
      <c r="N19136" s="11" t="str">
        <f t="shared" si="912"/>
        <v/>
      </c>
    </row>
    <row r="19137" spans="9:14" x14ac:dyDescent="0.25">
      <c r="I19137" s="11" t="b">
        <f t="shared" si="913"/>
        <v>0</v>
      </c>
      <c r="M19137" s="17" t="str">
        <f t="shared" ref="M19137:M19200" si="914">IF(B19137=0, "",M19136+ J19137-K19137)</f>
        <v/>
      </c>
      <c r="N19137" s="11" t="str">
        <f t="shared" ref="N19137:N19200" si="915">IF(B19137=0, "", MONTH(B19137))</f>
        <v/>
      </c>
    </row>
    <row r="19138" spans="9:14" x14ac:dyDescent="0.25">
      <c r="I19138" s="11" t="b">
        <f t="shared" si="913"/>
        <v>0</v>
      </c>
      <c r="M19138" s="17" t="str">
        <f t="shared" si="914"/>
        <v/>
      </c>
      <c r="N19138" s="11" t="str">
        <f t="shared" si="915"/>
        <v/>
      </c>
    </row>
    <row r="19139" spans="9:14" x14ac:dyDescent="0.25">
      <c r="I19139" s="11" t="b">
        <f t="shared" si="913"/>
        <v>0</v>
      </c>
      <c r="M19139" s="17" t="str">
        <f t="shared" si="914"/>
        <v/>
      </c>
      <c r="N19139" s="11" t="str">
        <f t="shared" si="915"/>
        <v/>
      </c>
    </row>
    <row r="19140" spans="9:14" x14ac:dyDescent="0.25">
      <c r="I19140" s="11" t="b">
        <f t="shared" si="913"/>
        <v>0</v>
      </c>
      <c r="M19140" s="17" t="str">
        <f t="shared" si="914"/>
        <v/>
      </c>
      <c r="N19140" s="11" t="str">
        <f t="shared" si="915"/>
        <v/>
      </c>
    </row>
    <row r="19141" spans="9:14" x14ac:dyDescent="0.25">
      <c r="I19141" s="11" t="b">
        <f t="shared" si="913"/>
        <v>0</v>
      </c>
      <c r="M19141" s="17" t="str">
        <f t="shared" si="914"/>
        <v/>
      </c>
      <c r="N19141" s="11" t="str">
        <f t="shared" si="915"/>
        <v/>
      </c>
    </row>
    <row r="19142" spans="9:14" x14ac:dyDescent="0.25">
      <c r="I19142" s="11" t="b">
        <f t="shared" si="913"/>
        <v>0</v>
      </c>
      <c r="M19142" s="17" t="str">
        <f t="shared" si="914"/>
        <v/>
      </c>
      <c r="N19142" s="11" t="str">
        <f t="shared" si="915"/>
        <v/>
      </c>
    </row>
    <row r="19143" spans="9:14" x14ac:dyDescent="0.25">
      <c r="I19143" s="11" t="b">
        <f t="shared" si="913"/>
        <v>0</v>
      </c>
      <c r="M19143" s="17" t="str">
        <f t="shared" si="914"/>
        <v/>
      </c>
      <c r="N19143" s="11" t="str">
        <f t="shared" si="915"/>
        <v/>
      </c>
    </row>
    <row r="19144" spans="9:14" x14ac:dyDescent="0.25">
      <c r="I19144" s="11" t="b">
        <f t="shared" si="913"/>
        <v>0</v>
      </c>
      <c r="M19144" s="17" t="str">
        <f t="shared" si="914"/>
        <v/>
      </c>
      <c r="N19144" s="11" t="str">
        <f t="shared" si="915"/>
        <v/>
      </c>
    </row>
    <row r="19145" spans="9:14" x14ac:dyDescent="0.25">
      <c r="I19145" s="11" t="b">
        <f t="shared" si="913"/>
        <v>0</v>
      </c>
      <c r="M19145" s="17" t="str">
        <f t="shared" si="914"/>
        <v/>
      </c>
      <c r="N19145" s="11" t="str">
        <f t="shared" si="915"/>
        <v/>
      </c>
    </row>
    <row r="19146" spans="9:14" x14ac:dyDescent="0.25">
      <c r="I19146" s="11" t="b">
        <f t="shared" si="913"/>
        <v>0</v>
      </c>
      <c r="M19146" s="17" t="str">
        <f t="shared" si="914"/>
        <v/>
      </c>
      <c r="N19146" s="11" t="str">
        <f t="shared" si="915"/>
        <v/>
      </c>
    </row>
    <row r="19147" spans="9:14" x14ac:dyDescent="0.25">
      <c r="I19147" s="11" t="b">
        <f t="shared" si="913"/>
        <v>0</v>
      </c>
      <c r="M19147" s="17" t="str">
        <f t="shared" si="914"/>
        <v/>
      </c>
      <c r="N19147" s="11" t="str">
        <f t="shared" si="915"/>
        <v/>
      </c>
    </row>
    <row r="19148" spans="9:14" x14ac:dyDescent="0.25">
      <c r="I19148" s="11" t="b">
        <f t="shared" si="913"/>
        <v>0</v>
      </c>
      <c r="M19148" s="17" t="str">
        <f t="shared" si="914"/>
        <v/>
      </c>
      <c r="N19148" s="11" t="str">
        <f t="shared" si="915"/>
        <v/>
      </c>
    </row>
    <row r="19149" spans="9:14" x14ac:dyDescent="0.25">
      <c r="I19149" s="11" t="b">
        <f t="shared" si="913"/>
        <v>0</v>
      </c>
      <c r="M19149" s="17" t="str">
        <f t="shared" si="914"/>
        <v/>
      </c>
      <c r="N19149" s="11" t="str">
        <f t="shared" si="915"/>
        <v/>
      </c>
    </row>
    <row r="19150" spans="9:14" x14ac:dyDescent="0.25">
      <c r="I19150" s="11" t="b">
        <f t="shared" si="913"/>
        <v>0</v>
      </c>
      <c r="M19150" s="17" t="str">
        <f t="shared" si="914"/>
        <v/>
      </c>
      <c r="N19150" s="11" t="str">
        <f t="shared" si="915"/>
        <v/>
      </c>
    </row>
    <row r="19151" spans="9:14" x14ac:dyDescent="0.25">
      <c r="I19151" s="11" t="b">
        <f t="shared" si="913"/>
        <v>0</v>
      </c>
      <c r="M19151" s="17" t="str">
        <f t="shared" si="914"/>
        <v/>
      </c>
      <c r="N19151" s="11" t="str">
        <f t="shared" si="915"/>
        <v/>
      </c>
    </row>
    <row r="19152" spans="9:14" x14ac:dyDescent="0.25">
      <c r="I19152" s="11" t="b">
        <f t="shared" si="913"/>
        <v>0</v>
      </c>
      <c r="M19152" s="17" t="str">
        <f t="shared" si="914"/>
        <v/>
      </c>
      <c r="N19152" s="11" t="str">
        <f t="shared" si="915"/>
        <v/>
      </c>
    </row>
    <row r="19153" spans="9:14" x14ac:dyDescent="0.25">
      <c r="I19153" s="11" t="b">
        <f t="shared" si="913"/>
        <v>0</v>
      </c>
      <c r="M19153" s="17" t="str">
        <f t="shared" si="914"/>
        <v/>
      </c>
      <c r="N19153" s="11" t="str">
        <f t="shared" si="915"/>
        <v/>
      </c>
    </row>
    <row r="19154" spans="9:14" x14ac:dyDescent="0.25">
      <c r="I19154" s="11" t="b">
        <f t="shared" si="913"/>
        <v>0</v>
      </c>
      <c r="M19154" s="17" t="str">
        <f t="shared" si="914"/>
        <v/>
      </c>
      <c r="N19154" s="11" t="str">
        <f t="shared" si="915"/>
        <v/>
      </c>
    </row>
    <row r="19155" spans="9:14" x14ac:dyDescent="0.25">
      <c r="I19155" s="11" t="b">
        <f t="shared" si="913"/>
        <v>0</v>
      </c>
      <c r="M19155" s="17" t="str">
        <f t="shared" si="914"/>
        <v/>
      </c>
      <c r="N19155" s="11" t="str">
        <f t="shared" si="915"/>
        <v/>
      </c>
    </row>
    <row r="19156" spans="9:14" x14ac:dyDescent="0.25">
      <c r="I19156" s="11" t="b">
        <f t="shared" si="913"/>
        <v>0</v>
      </c>
      <c r="M19156" s="17" t="str">
        <f t="shared" si="914"/>
        <v/>
      </c>
      <c r="N19156" s="11" t="str">
        <f t="shared" si="915"/>
        <v/>
      </c>
    </row>
    <row r="19157" spans="9:14" x14ac:dyDescent="0.25">
      <c r="I19157" s="11" t="b">
        <f t="shared" si="913"/>
        <v>0</v>
      </c>
      <c r="M19157" s="17" t="str">
        <f t="shared" si="914"/>
        <v/>
      </c>
      <c r="N19157" s="11" t="str">
        <f t="shared" si="915"/>
        <v/>
      </c>
    </row>
    <row r="19158" spans="9:14" x14ac:dyDescent="0.25">
      <c r="I19158" s="11" t="b">
        <f t="shared" si="913"/>
        <v>0</v>
      </c>
      <c r="M19158" s="17" t="str">
        <f t="shared" si="914"/>
        <v/>
      </c>
      <c r="N19158" s="11" t="str">
        <f t="shared" si="915"/>
        <v/>
      </c>
    </row>
    <row r="19159" spans="9:14" x14ac:dyDescent="0.25">
      <c r="I19159" s="11" t="b">
        <f t="shared" si="913"/>
        <v>0</v>
      </c>
      <c r="M19159" s="17" t="str">
        <f t="shared" si="914"/>
        <v/>
      </c>
      <c r="N19159" s="11" t="str">
        <f t="shared" si="915"/>
        <v/>
      </c>
    </row>
    <row r="19160" spans="9:14" x14ac:dyDescent="0.25">
      <c r="I19160" s="11" t="b">
        <f t="shared" si="913"/>
        <v>0</v>
      </c>
      <c r="M19160" s="17" t="str">
        <f t="shared" si="914"/>
        <v/>
      </c>
      <c r="N19160" s="11" t="str">
        <f t="shared" si="915"/>
        <v/>
      </c>
    </row>
    <row r="19161" spans="9:14" x14ac:dyDescent="0.25">
      <c r="I19161" s="11" t="b">
        <f t="shared" si="913"/>
        <v>0</v>
      </c>
      <c r="M19161" s="17" t="str">
        <f t="shared" si="914"/>
        <v/>
      </c>
      <c r="N19161" s="11" t="str">
        <f t="shared" si="915"/>
        <v/>
      </c>
    </row>
    <row r="19162" spans="9:14" x14ac:dyDescent="0.25">
      <c r="I19162" s="11" t="b">
        <f t="shared" si="913"/>
        <v>0</v>
      </c>
      <c r="M19162" s="17" t="str">
        <f t="shared" si="914"/>
        <v/>
      </c>
      <c r="N19162" s="11" t="str">
        <f t="shared" si="915"/>
        <v/>
      </c>
    </row>
    <row r="19163" spans="9:14" x14ac:dyDescent="0.25">
      <c r="I19163" s="11" t="b">
        <f t="shared" si="913"/>
        <v>0</v>
      </c>
      <c r="M19163" s="17" t="str">
        <f t="shared" si="914"/>
        <v/>
      </c>
      <c r="N19163" s="11" t="str">
        <f t="shared" si="915"/>
        <v/>
      </c>
    </row>
    <row r="19164" spans="9:14" x14ac:dyDescent="0.25">
      <c r="I19164" s="11" t="b">
        <f t="shared" si="913"/>
        <v>0</v>
      </c>
      <c r="M19164" s="17" t="str">
        <f t="shared" si="914"/>
        <v/>
      </c>
      <c r="N19164" s="11" t="str">
        <f t="shared" si="915"/>
        <v/>
      </c>
    </row>
    <row r="19165" spans="9:14" x14ac:dyDescent="0.25">
      <c r="I19165" s="11" t="b">
        <f t="shared" ref="I19165:I19228" si="916">IF(AND(G19165="MERCADO PAGO",A19165="FATURAMENTO"),1,IF(AND(OR(G19165="MERCADO PAGO",G19165="pix mercado pago",G19165= "débito automático mercado pago", G19165= "boleto mercado pago"),A19165="DESPESAS"),4,IF(AND(G19165="SAFRA",A19165="FATURAMENTO"),2,IF(AND(OR(G19165="SAFRA",G19165="PIX SAFRA", G19165="DÉBITO AUTOMÁTICO SAFRA", G19165= "BOLETO SAFRA", G19165= "transferência safra"), A19165="DESPESAS"),5,IF(AND(G19165="espécie",A19165="FATURAMENTO"),3,IF(AND(G19165="espécie",A19165="DESPESAS"),6))))))</f>
        <v>0</v>
      </c>
      <c r="M19165" s="17" t="str">
        <f t="shared" si="914"/>
        <v/>
      </c>
      <c r="N19165" s="11" t="str">
        <f t="shared" si="915"/>
        <v/>
      </c>
    </row>
    <row r="19166" spans="9:14" x14ac:dyDescent="0.25">
      <c r="I19166" s="11" t="b">
        <f t="shared" si="916"/>
        <v>0</v>
      </c>
      <c r="M19166" s="17" t="str">
        <f t="shared" si="914"/>
        <v/>
      </c>
      <c r="N19166" s="11" t="str">
        <f t="shared" si="915"/>
        <v/>
      </c>
    </row>
    <row r="19167" spans="9:14" x14ac:dyDescent="0.25">
      <c r="I19167" s="11" t="b">
        <f t="shared" si="916"/>
        <v>0</v>
      </c>
      <c r="M19167" s="17" t="str">
        <f t="shared" si="914"/>
        <v/>
      </c>
      <c r="N19167" s="11" t="str">
        <f t="shared" si="915"/>
        <v/>
      </c>
    </row>
    <row r="19168" spans="9:14" x14ac:dyDescent="0.25">
      <c r="I19168" s="11" t="b">
        <f t="shared" si="916"/>
        <v>0</v>
      </c>
      <c r="M19168" s="17" t="str">
        <f t="shared" si="914"/>
        <v/>
      </c>
      <c r="N19168" s="11" t="str">
        <f t="shared" si="915"/>
        <v/>
      </c>
    </row>
    <row r="19169" spans="9:14" x14ac:dyDescent="0.25">
      <c r="I19169" s="11" t="b">
        <f t="shared" si="916"/>
        <v>0</v>
      </c>
      <c r="M19169" s="17" t="str">
        <f t="shared" si="914"/>
        <v/>
      </c>
      <c r="N19169" s="11" t="str">
        <f t="shared" si="915"/>
        <v/>
      </c>
    </row>
    <row r="19170" spans="9:14" x14ac:dyDescent="0.25">
      <c r="I19170" s="11" t="b">
        <f t="shared" si="916"/>
        <v>0</v>
      </c>
      <c r="M19170" s="17" t="str">
        <f t="shared" si="914"/>
        <v/>
      </c>
      <c r="N19170" s="11" t="str">
        <f t="shared" si="915"/>
        <v/>
      </c>
    </row>
    <row r="19171" spans="9:14" x14ac:dyDescent="0.25">
      <c r="I19171" s="11" t="b">
        <f t="shared" si="916"/>
        <v>0</v>
      </c>
      <c r="M19171" s="17" t="str">
        <f t="shared" si="914"/>
        <v/>
      </c>
      <c r="N19171" s="11" t="str">
        <f t="shared" si="915"/>
        <v/>
      </c>
    </row>
    <row r="19172" spans="9:14" x14ac:dyDescent="0.25">
      <c r="I19172" s="11" t="b">
        <f t="shared" si="916"/>
        <v>0</v>
      </c>
      <c r="M19172" s="17" t="str">
        <f t="shared" si="914"/>
        <v/>
      </c>
      <c r="N19172" s="11" t="str">
        <f t="shared" si="915"/>
        <v/>
      </c>
    </row>
    <row r="19173" spans="9:14" x14ac:dyDescent="0.25">
      <c r="I19173" s="11" t="b">
        <f t="shared" si="916"/>
        <v>0</v>
      </c>
      <c r="M19173" s="17" t="str">
        <f t="shared" si="914"/>
        <v/>
      </c>
      <c r="N19173" s="11" t="str">
        <f t="shared" si="915"/>
        <v/>
      </c>
    </row>
    <row r="19174" spans="9:14" x14ac:dyDescent="0.25">
      <c r="I19174" s="11" t="b">
        <f t="shared" si="916"/>
        <v>0</v>
      </c>
      <c r="M19174" s="17" t="str">
        <f t="shared" si="914"/>
        <v/>
      </c>
      <c r="N19174" s="11" t="str">
        <f t="shared" si="915"/>
        <v/>
      </c>
    </row>
    <row r="19175" spans="9:14" x14ac:dyDescent="0.25">
      <c r="I19175" s="11" t="b">
        <f t="shared" si="916"/>
        <v>0</v>
      </c>
      <c r="M19175" s="17" t="str">
        <f t="shared" si="914"/>
        <v/>
      </c>
      <c r="N19175" s="11" t="str">
        <f t="shared" si="915"/>
        <v/>
      </c>
    </row>
    <row r="19176" spans="9:14" x14ac:dyDescent="0.25">
      <c r="I19176" s="11" t="b">
        <f t="shared" si="916"/>
        <v>0</v>
      </c>
      <c r="M19176" s="17" t="str">
        <f t="shared" si="914"/>
        <v/>
      </c>
      <c r="N19176" s="11" t="str">
        <f t="shared" si="915"/>
        <v/>
      </c>
    </row>
    <row r="19177" spans="9:14" x14ac:dyDescent="0.25">
      <c r="I19177" s="11" t="b">
        <f t="shared" si="916"/>
        <v>0</v>
      </c>
      <c r="M19177" s="17" t="str">
        <f t="shared" si="914"/>
        <v/>
      </c>
      <c r="N19177" s="11" t="str">
        <f t="shared" si="915"/>
        <v/>
      </c>
    </row>
    <row r="19178" spans="9:14" x14ac:dyDescent="0.25">
      <c r="I19178" s="11" t="b">
        <f t="shared" si="916"/>
        <v>0</v>
      </c>
      <c r="M19178" s="17" t="str">
        <f t="shared" si="914"/>
        <v/>
      </c>
      <c r="N19178" s="11" t="str">
        <f t="shared" si="915"/>
        <v/>
      </c>
    </row>
    <row r="19179" spans="9:14" x14ac:dyDescent="0.25">
      <c r="I19179" s="11" t="b">
        <f t="shared" si="916"/>
        <v>0</v>
      </c>
      <c r="M19179" s="17" t="str">
        <f t="shared" si="914"/>
        <v/>
      </c>
      <c r="N19179" s="11" t="str">
        <f t="shared" si="915"/>
        <v/>
      </c>
    </row>
    <row r="19180" spans="9:14" x14ac:dyDescent="0.25">
      <c r="I19180" s="11" t="b">
        <f t="shared" si="916"/>
        <v>0</v>
      </c>
      <c r="M19180" s="17" t="str">
        <f t="shared" si="914"/>
        <v/>
      </c>
      <c r="N19180" s="11" t="str">
        <f t="shared" si="915"/>
        <v/>
      </c>
    </row>
    <row r="19181" spans="9:14" x14ac:dyDescent="0.25">
      <c r="I19181" s="11" t="b">
        <f t="shared" si="916"/>
        <v>0</v>
      </c>
      <c r="M19181" s="17" t="str">
        <f t="shared" si="914"/>
        <v/>
      </c>
      <c r="N19181" s="11" t="str">
        <f t="shared" si="915"/>
        <v/>
      </c>
    </row>
    <row r="19182" spans="9:14" x14ac:dyDescent="0.25">
      <c r="I19182" s="11" t="b">
        <f t="shared" si="916"/>
        <v>0</v>
      </c>
      <c r="M19182" s="17" t="str">
        <f t="shared" si="914"/>
        <v/>
      </c>
      <c r="N19182" s="11" t="str">
        <f t="shared" si="915"/>
        <v/>
      </c>
    </row>
    <row r="19183" spans="9:14" x14ac:dyDescent="0.25">
      <c r="I19183" s="11" t="b">
        <f t="shared" si="916"/>
        <v>0</v>
      </c>
      <c r="M19183" s="17" t="str">
        <f t="shared" si="914"/>
        <v/>
      </c>
      <c r="N19183" s="11" t="str">
        <f t="shared" si="915"/>
        <v/>
      </c>
    </row>
    <row r="19184" spans="9:14" x14ac:dyDescent="0.25">
      <c r="I19184" s="11" t="b">
        <f t="shared" si="916"/>
        <v>0</v>
      </c>
      <c r="M19184" s="17" t="str">
        <f t="shared" si="914"/>
        <v/>
      </c>
      <c r="N19184" s="11" t="str">
        <f t="shared" si="915"/>
        <v/>
      </c>
    </row>
    <row r="19185" spans="9:14" x14ac:dyDescent="0.25">
      <c r="I19185" s="11" t="b">
        <f t="shared" si="916"/>
        <v>0</v>
      </c>
      <c r="M19185" s="17" t="str">
        <f t="shared" si="914"/>
        <v/>
      </c>
      <c r="N19185" s="11" t="str">
        <f t="shared" si="915"/>
        <v/>
      </c>
    </row>
    <row r="19186" spans="9:14" x14ac:dyDescent="0.25">
      <c r="I19186" s="11" t="b">
        <f t="shared" si="916"/>
        <v>0</v>
      </c>
      <c r="M19186" s="17" t="str">
        <f t="shared" si="914"/>
        <v/>
      </c>
      <c r="N19186" s="11" t="str">
        <f t="shared" si="915"/>
        <v/>
      </c>
    </row>
    <row r="19187" spans="9:14" x14ac:dyDescent="0.25">
      <c r="I19187" s="11" t="b">
        <f t="shared" si="916"/>
        <v>0</v>
      </c>
      <c r="M19187" s="17" t="str">
        <f t="shared" si="914"/>
        <v/>
      </c>
      <c r="N19187" s="11" t="str">
        <f t="shared" si="915"/>
        <v/>
      </c>
    </row>
    <row r="19188" spans="9:14" x14ac:dyDescent="0.25">
      <c r="I19188" s="11" t="b">
        <f t="shared" si="916"/>
        <v>0</v>
      </c>
      <c r="M19188" s="17" t="str">
        <f t="shared" si="914"/>
        <v/>
      </c>
      <c r="N19188" s="11" t="str">
        <f t="shared" si="915"/>
        <v/>
      </c>
    </row>
    <row r="19189" spans="9:14" x14ac:dyDescent="0.25">
      <c r="I19189" s="11" t="b">
        <f t="shared" si="916"/>
        <v>0</v>
      </c>
      <c r="M19189" s="17" t="str">
        <f t="shared" si="914"/>
        <v/>
      </c>
      <c r="N19189" s="11" t="str">
        <f t="shared" si="915"/>
        <v/>
      </c>
    </row>
    <row r="19190" spans="9:14" x14ac:dyDescent="0.25">
      <c r="I19190" s="11" t="b">
        <f t="shared" si="916"/>
        <v>0</v>
      </c>
      <c r="M19190" s="17" t="str">
        <f t="shared" si="914"/>
        <v/>
      </c>
      <c r="N19190" s="11" t="str">
        <f t="shared" si="915"/>
        <v/>
      </c>
    </row>
    <row r="19191" spans="9:14" x14ac:dyDescent="0.25">
      <c r="I19191" s="11" t="b">
        <f t="shared" si="916"/>
        <v>0</v>
      </c>
      <c r="M19191" s="17" t="str">
        <f t="shared" si="914"/>
        <v/>
      </c>
      <c r="N19191" s="11" t="str">
        <f t="shared" si="915"/>
        <v/>
      </c>
    </row>
    <row r="19192" spans="9:14" x14ac:dyDescent="0.25">
      <c r="I19192" s="11" t="b">
        <f t="shared" si="916"/>
        <v>0</v>
      </c>
      <c r="M19192" s="17" t="str">
        <f t="shared" si="914"/>
        <v/>
      </c>
      <c r="N19192" s="11" t="str">
        <f t="shared" si="915"/>
        <v/>
      </c>
    </row>
    <row r="19193" spans="9:14" x14ac:dyDescent="0.25">
      <c r="I19193" s="11" t="b">
        <f t="shared" si="916"/>
        <v>0</v>
      </c>
      <c r="M19193" s="17" t="str">
        <f t="shared" si="914"/>
        <v/>
      </c>
      <c r="N19193" s="11" t="str">
        <f t="shared" si="915"/>
        <v/>
      </c>
    </row>
    <row r="19194" spans="9:14" x14ac:dyDescent="0.25">
      <c r="I19194" s="11" t="b">
        <f t="shared" si="916"/>
        <v>0</v>
      </c>
      <c r="M19194" s="17" t="str">
        <f t="shared" si="914"/>
        <v/>
      </c>
      <c r="N19194" s="11" t="str">
        <f t="shared" si="915"/>
        <v/>
      </c>
    </row>
    <row r="19195" spans="9:14" x14ac:dyDescent="0.25">
      <c r="I19195" s="11" t="b">
        <f t="shared" si="916"/>
        <v>0</v>
      </c>
      <c r="M19195" s="17" t="str">
        <f t="shared" si="914"/>
        <v/>
      </c>
      <c r="N19195" s="11" t="str">
        <f t="shared" si="915"/>
        <v/>
      </c>
    </row>
    <row r="19196" spans="9:14" x14ac:dyDescent="0.25">
      <c r="I19196" s="11" t="b">
        <f t="shared" si="916"/>
        <v>0</v>
      </c>
      <c r="M19196" s="17" t="str">
        <f t="shared" si="914"/>
        <v/>
      </c>
      <c r="N19196" s="11" t="str">
        <f t="shared" si="915"/>
        <v/>
      </c>
    </row>
    <row r="19197" spans="9:14" x14ac:dyDescent="0.25">
      <c r="I19197" s="11" t="b">
        <f t="shared" si="916"/>
        <v>0</v>
      </c>
      <c r="M19197" s="17" t="str">
        <f t="shared" si="914"/>
        <v/>
      </c>
      <c r="N19197" s="11" t="str">
        <f t="shared" si="915"/>
        <v/>
      </c>
    </row>
    <row r="19198" spans="9:14" x14ac:dyDescent="0.25">
      <c r="I19198" s="11" t="b">
        <f t="shared" si="916"/>
        <v>0</v>
      </c>
      <c r="M19198" s="17" t="str">
        <f t="shared" si="914"/>
        <v/>
      </c>
      <c r="N19198" s="11" t="str">
        <f t="shared" si="915"/>
        <v/>
      </c>
    </row>
    <row r="19199" spans="9:14" x14ac:dyDescent="0.25">
      <c r="I19199" s="11" t="b">
        <f t="shared" si="916"/>
        <v>0</v>
      </c>
      <c r="M19199" s="17" t="str">
        <f t="shared" si="914"/>
        <v/>
      </c>
      <c r="N19199" s="11" t="str">
        <f t="shared" si="915"/>
        <v/>
      </c>
    </row>
    <row r="19200" spans="9:14" x14ac:dyDescent="0.25">
      <c r="I19200" s="11" t="b">
        <f t="shared" si="916"/>
        <v>0</v>
      </c>
      <c r="M19200" s="17" t="str">
        <f t="shared" si="914"/>
        <v/>
      </c>
      <c r="N19200" s="11" t="str">
        <f t="shared" si="915"/>
        <v/>
      </c>
    </row>
    <row r="19201" spans="9:14" x14ac:dyDescent="0.25">
      <c r="I19201" s="11" t="b">
        <f t="shared" si="916"/>
        <v>0</v>
      </c>
      <c r="M19201" s="17" t="str">
        <f t="shared" ref="M19201:M19264" si="917">IF(B19201=0, "",M19200+ J19201-K19201)</f>
        <v/>
      </c>
      <c r="N19201" s="11" t="str">
        <f t="shared" ref="N19201:N19264" si="918">IF(B19201=0, "", MONTH(B19201))</f>
        <v/>
      </c>
    </row>
    <row r="19202" spans="9:14" x14ac:dyDescent="0.25">
      <c r="I19202" s="11" t="b">
        <f t="shared" si="916"/>
        <v>0</v>
      </c>
      <c r="M19202" s="17" t="str">
        <f t="shared" si="917"/>
        <v/>
      </c>
      <c r="N19202" s="11" t="str">
        <f t="shared" si="918"/>
        <v/>
      </c>
    </row>
    <row r="19203" spans="9:14" x14ac:dyDescent="0.25">
      <c r="I19203" s="11" t="b">
        <f t="shared" si="916"/>
        <v>0</v>
      </c>
      <c r="M19203" s="17" t="str">
        <f t="shared" si="917"/>
        <v/>
      </c>
      <c r="N19203" s="11" t="str">
        <f t="shared" si="918"/>
        <v/>
      </c>
    </row>
    <row r="19204" spans="9:14" x14ac:dyDescent="0.25">
      <c r="I19204" s="11" t="b">
        <f t="shared" si="916"/>
        <v>0</v>
      </c>
      <c r="M19204" s="17" t="str">
        <f t="shared" si="917"/>
        <v/>
      </c>
      <c r="N19204" s="11" t="str">
        <f t="shared" si="918"/>
        <v/>
      </c>
    </row>
    <row r="19205" spans="9:14" x14ac:dyDescent="0.25">
      <c r="I19205" s="11" t="b">
        <f t="shared" si="916"/>
        <v>0</v>
      </c>
      <c r="M19205" s="17" t="str">
        <f t="shared" si="917"/>
        <v/>
      </c>
      <c r="N19205" s="11" t="str">
        <f t="shared" si="918"/>
        <v/>
      </c>
    </row>
    <row r="19206" spans="9:14" x14ac:dyDescent="0.25">
      <c r="I19206" s="11" t="b">
        <f t="shared" si="916"/>
        <v>0</v>
      </c>
      <c r="M19206" s="17" t="str">
        <f t="shared" si="917"/>
        <v/>
      </c>
      <c r="N19206" s="11" t="str">
        <f t="shared" si="918"/>
        <v/>
      </c>
    </row>
    <row r="19207" spans="9:14" x14ac:dyDescent="0.25">
      <c r="I19207" s="11" t="b">
        <f t="shared" si="916"/>
        <v>0</v>
      </c>
      <c r="M19207" s="17" t="str">
        <f t="shared" si="917"/>
        <v/>
      </c>
      <c r="N19207" s="11" t="str">
        <f t="shared" si="918"/>
        <v/>
      </c>
    </row>
    <row r="19208" spans="9:14" x14ac:dyDescent="0.25">
      <c r="I19208" s="11" t="b">
        <f t="shared" si="916"/>
        <v>0</v>
      </c>
      <c r="M19208" s="17" t="str">
        <f t="shared" si="917"/>
        <v/>
      </c>
      <c r="N19208" s="11" t="str">
        <f t="shared" si="918"/>
        <v/>
      </c>
    </row>
    <row r="19209" spans="9:14" x14ac:dyDescent="0.25">
      <c r="I19209" s="11" t="b">
        <f t="shared" si="916"/>
        <v>0</v>
      </c>
      <c r="M19209" s="17" t="str">
        <f t="shared" si="917"/>
        <v/>
      </c>
      <c r="N19209" s="11" t="str">
        <f t="shared" si="918"/>
        <v/>
      </c>
    </row>
    <row r="19210" spans="9:14" x14ac:dyDescent="0.25">
      <c r="I19210" s="11" t="b">
        <f t="shared" si="916"/>
        <v>0</v>
      </c>
      <c r="M19210" s="17" t="str">
        <f t="shared" si="917"/>
        <v/>
      </c>
      <c r="N19210" s="11" t="str">
        <f t="shared" si="918"/>
        <v/>
      </c>
    </row>
    <row r="19211" spans="9:14" x14ac:dyDescent="0.25">
      <c r="I19211" s="11" t="b">
        <f t="shared" si="916"/>
        <v>0</v>
      </c>
      <c r="M19211" s="17" t="str">
        <f t="shared" si="917"/>
        <v/>
      </c>
      <c r="N19211" s="11" t="str">
        <f t="shared" si="918"/>
        <v/>
      </c>
    </row>
    <row r="19212" spans="9:14" x14ac:dyDescent="0.25">
      <c r="I19212" s="11" t="b">
        <f t="shared" si="916"/>
        <v>0</v>
      </c>
      <c r="M19212" s="17" t="str">
        <f t="shared" si="917"/>
        <v/>
      </c>
      <c r="N19212" s="11" t="str">
        <f t="shared" si="918"/>
        <v/>
      </c>
    </row>
    <row r="19213" spans="9:14" x14ac:dyDescent="0.25">
      <c r="I19213" s="11" t="b">
        <f t="shared" si="916"/>
        <v>0</v>
      </c>
      <c r="M19213" s="17" t="str">
        <f t="shared" si="917"/>
        <v/>
      </c>
      <c r="N19213" s="11" t="str">
        <f t="shared" si="918"/>
        <v/>
      </c>
    </row>
    <row r="19214" spans="9:14" x14ac:dyDescent="0.25">
      <c r="I19214" s="11" t="b">
        <f t="shared" si="916"/>
        <v>0</v>
      </c>
      <c r="M19214" s="17" t="str">
        <f t="shared" si="917"/>
        <v/>
      </c>
      <c r="N19214" s="11" t="str">
        <f t="shared" si="918"/>
        <v/>
      </c>
    </row>
    <row r="19215" spans="9:14" x14ac:dyDescent="0.25">
      <c r="I19215" s="11" t="b">
        <f t="shared" si="916"/>
        <v>0</v>
      </c>
      <c r="M19215" s="17" t="str">
        <f t="shared" si="917"/>
        <v/>
      </c>
      <c r="N19215" s="11" t="str">
        <f t="shared" si="918"/>
        <v/>
      </c>
    </row>
    <row r="19216" spans="9:14" x14ac:dyDescent="0.25">
      <c r="I19216" s="11" t="b">
        <f t="shared" si="916"/>
        <v>0</v>
      </c>
      <c r="M19216" s="17" t="str">
        <f t="shared" si="917"/>
        <v/>
      </c>
      <c r="N19216" s="11" t="str">
        <f t="shared" si="918"/>
        <v/>
      </c>
    </row>
    <row r="19217" spans="9:14" x14ac:dyDescent="0.25">
      <c r="I19217" s="11" t="b">
        <f t="shared" si="916"/>
        <v>0</v>
      </c>
      <c r="M19217" s="17" t="str">
        <f t="shared" si="917"/>
        <v/>
      </c>
      <c r="N19217" s="11" t="str">
        <f t="shared" si="918"/>
        <v/>
      </c>
    </row>
    <row r="19218" spans="9:14" x14ac:dyDescent="0.25">
      <c r="I19218" s="11" t="b">
        <f t="shared" si="916"/>
        <v>0</v>
      </c>
      <c r="M19218" s="17" t="str">
        <f t="shared" si="917"/>
        <v/>
      </c>
      <c r="N19218" s="11" t="str">
        <f t="shared" si="918"/>
        <v/>
      </c>
    </row>
    <row r="19219" spans="9:14" x14ac:dyDescent="0.25">
      <c r="I19219" s="11" t="b">
        <f t="shared" si="916"/>
        <v>0</v>
      </c>
      <c r="M19219" s="17" t="str">
        <f t="shared" si="917"/>
        <v/>
      </c>
      <c r="N19219" s="11" t="str">
        <f t="shared" si="918"/>
        <v/>
      </c>
    </row>
    <row r="19220" spans="9:14" x14ac:dyDescent="0.25">
      <c r="I19220" s="11" t="b">
        <f t="shared" si="916"/>
        <v>0</v>
      </c>
      <c r="M19220" s="17" t="str">
        <f t="shared" si="917"/>
        <v/>
      </c>
      <c r="N19220" s="11" t="str">
        <f t="shared" si="918"/>
        <v/>
      </c>
    </row>
    <row r="19221" spans="9:14" x14ac:dyDescent="0.25">
      <c r="I19221" s="11" t="b">
        <f t="shared" si="916"/>
        <v>0</v>
      </c>
      <c r="M19221" s="17" t="str">
        <f t="shared" si="917"/>
        <v/>
      </c>
      <c r="N19221" s="11" t="str">
        <f t="shared" si="918"/>
        <v/>
      </c>
    </row>
    <row r="19222" spans="9:14" x14ac:dyDescent="0.25">
      <c r="I19222" s="11" t="b">
        <f t="shared" si="916"/>
        <v>0</v>
      </c>
      <c r="M19222" s="17" t="str">
        <f t="shared" si="917"/>
        <v/>
      </c>
      <c r="N19222" s="11" t="str">
        <f t="shared" si="918"/>
        <v/>
      </c>
    </row>
    <row r="19223" spans="9:14" x14ac:dyDescent="0.25">
      <c r="I19223" s="11" t="b">
        <f t="shared" si="916"/>
        <v>0</v>
      </c>
      <c r="M19223" s="17" t="str">
        <f t="shared" si="917"/>
        <v/>
      </c>
      <c r="N19223" s="11" t="str">
        <f t="shared" si="918"/>
        <v/>
      </c>
    </row>
    <row r="19224" spans="9:14" x14ac:dyDescent="0.25">
      <c r="I19224" s="11" t="b">
        <f t="shared" si="916"/>
        <v>0</v>
      </c>
      <c r="M19224" s="17" t="str">
        <f t="shared" si="917"/>
        <v/>
      </c>
      <c r="N19224" s="11" t="str">
        <f t="shared" si="918"/>
        <v/>
      </c>
    </row>
    <row r="19225" spans="9:14" x14ac:dyDescent="0.25">
      <c r="I19225" s="11" t="b">
        <f t="shared" si="916"/>
        <v>0</v>
      </c>
      <c r="M19225" s="17" t="str">
        <f t="shared" si="917"/>
        <v/>
      </c>
      <c r="N19225" s="11" t="str">
        <f t="shared" si="918"/>
        <v/>
      </c>
    </row>
    <row r="19226" spans="9:14" x14ac:dyDescent="0.25">
      <c r="I19226" s="11" t="b">
        <f t="shared" si="916"/>
        <v>0</v>
      </c>
      <c r="M19226" s="17" t="str">
        <f t="shared" si="917"/>
        <v/>
      </c>
      <c r="N19226" s="11" t="str">
        <f t="shared" si="918"/>
        <v/>
      </c>
    </row>
    <row r="19227" spans="9:14" x14ac:dyDescent="0.25">
      <c r="I19227" s="11" t="b">
        <f t="shared" si="916"/>
        <v>0</v>
      </c>
      <c r="M19227" s="17" t="str">
        <f t="shared" si="917"/>
        <v/>
      </c>
      <c r="N19227" s="11" t="str">
        <f t="shared" si="918"/>
        <v/>
      </c>
    </row>
    <row r="19228" spans="9:14" x14ac:dyDescent="0.25">
      <c r="I19228" s="11" t="b">
        <f t="shared" si="916"/>
        <v>0</v>
      </c>
      <c r="M19228" s="17" t="str">
        <f t="shared" si="917"/>
        <v/>
      </c>
      <c r="N19228" s="11" t="str">
        <f t="shared" si="918"/>
        <v/>
      </c>
    </row>
    <row r="19229" spans="9:14" x14ac:dyDescent="0.25">
      <c r="I19229" s="11" t="b">
        <f t="shared" ref="I19229:I19292" si="919">IF(AND(G19229="MERCADO PAGO",A19229="FATURAMENTO"),1,IF(AND(OR(G19229="MERCADO PAGO",G19229="pix mercado pago",G19229= "débito automático mercado pago", G19229= "boleto mercado pago"),A19229="DESPESAS"),4,IF(AND(G19229="SAFRA",A19229="FATURAMENTO"),2,IF(AND(OR(G19229="SAFRA",G19229="PIX SAFRA", G19229="DÉBITO AUTOMÁTICO SAFRA", G19229= "BOLETO SAFRA", G19229= "transferência safra"), A19229="DESPESAS"),5,IF(AND(G19229="espécie",A19229="FATURAMENTO"),3,IF(AND(G19229="espécie",A19229="DESPESAS"),6))))))</f>
        <v>0</v>
      </c>
      <c r="M19229" s="17" t="str">
        <f t="shared" si="917"/>
        <v/>
      </c>
      <c r="N19229" s="11" t="str">
        <f t="shared" si="918"/>
        <v/>
      </c>
    </row>
    <row r="19230" spans="9:14" x14ac:dyDescent="0.25">
      <c r="I19230" s="11" t="b">
        <f t="shared" si="919"/>
        <v>0</v>
      </c>
      <c r="M19230" s="17" t="str">
        <f t="shared" si="917"/>
        <v/>
      </c>
      <c r="N19230" s="11" t="str">
        <f t="shared" si="918"/>
        <v/>
      </c>
    </row>
    <row r="19231" spans="9:14" x14ac:dyDescent="0.25">
      <c r="I19231" s="11" t="b">
        <f t="shared" si="919"/>
        <v>0</v>
      </c>
      <c r="M19231" s="17" t="str">
        <f t="shared" si="917"/>
        <v/>
      </c>
      <c r="N19231" s="11" t="str">
        <f t="shared" si="918"/>
        <v/>
      </c>
    </row>
    <row r="19232" spans="9:14" x14ac:dyDescent="0.25">
      <c r="I19232" s="11" t="b">
        <f t="shared" si="919"/>
        <v>0</v>
      </c>
      <c r="M19232" s="17" t="str">
        <f t="shared" si="917"/>
        <v/>
      </c>
      <c r="N19232" s="11" t="str">
        <f t="shared" si="918"/>
        <v/>
      </c>
    </row>
    <row r="19233" spans="9:14" x14ac:dyDescent="0.25">
      <c r="I19233" s="11" t="b">
        <f t="shared" si="919"/>
        <v>0</v>
      </c>
      <c r="M19233" s="17" t="str">
        <f t="shared" si="917"/>
        <v/>
      </c>
      <c r="N19233" s="11" t="str">
        <f t="shared" si="918"/>
        <v/>
      </c>
    </row>
    <row r="19234" spans="9:14" x14ac:dyDescent="0.25">
      <c r="I19234" s="11" t="b">
        <f t="shared" si="919"/>
        <v>0</v>
      </c>
      <c r="M19234" s="17" t="str">
        <f t="shared" si="917"/>
        <v/>
      </c>
      <c r="N19234" s="11" t="str">
        <f t="shared" si="918"/>
        <v/>
      </c>
    </row>
    <row r="19235" spans="9:14" x14ac:dyDescent="0.25">
      <c r="I19235" s="11" t="b">
        <f t="shared" si="919"/>
        <v>0</v>
      </c>
      <c r="M19235" s="17" t="str">
        <f t="shared" si="917"/>
        <v/>
      </c>
      <c r="N19235" s="11" t="str">
        <f t="shared" si="918"/>
        <v/>
      </c>
    </row>
    <row r="19236" spans="9:14" x14ac:dyDescent="0.25">
      <c r="I19236" s="11" t="b">
        <f t="shared" si="919"/>
        <v>0</v>
      </c>
      <c r="M19236" s="17" t="str">
        <f t="shared" si="917"/>
        <v/>
      </c>
      <c r="N19236" s="11" t="str">
        <f t="shared" si="918"/>
        <v/>
      </c>
    </row>
    <row r="19237" spans="9:14" x14ac:dyDescent="0.25">
      <c r="I19237" s="11" t="b">
        <f t="shared" si="919"/>
        <v>0</v>
      </c>
      <c r="M19237" s="17" t="str">
        <f t="shared" si="917"/>
        <v/>
      </c>
      <c r="N19237" s="11" t="str">
        <f t="shared" si="918"/>
        <v/>
      </c>
    </row>
    <row r="19238" spans="9:14" x14ac:dyDescent="0.25">
      <c r="I19238" s="11" t="b">
        <f t="shared" si="919"/>
        <v>0</v>
      </c>
      <c r="M19238" s="17" t="str">
        <f t="shared" si="917"/>
        <v/>
      </c>
      <c r="N19238" s="11" t="str">
        <f t="shared" si="918"/>
        <v/>
      </c>
    </row>
    <row r="19239" spans="9:14" x14ac:dyDescent="0.25">
      <c r="I19239" s="11" t="b">
        <f t="shared" si="919"/>
        <v>0</v>
      </c>
      <c r="M19239" s="17" t="str">
        <f t="shared" si="917"/>
        <v/>
      </c>
      <c r="N19239" s="11" t="str">
        <f t="shared" si="918"/>
        <v/>
      </c>
    </row>
    <row r="19240" spans="9:14" x14ac:dyDescent="0.25">
      <c r="I19240" s="11" t="b">
        <f t="shared" si="919"/>
        <v>0</v>
      </c>
      <c r="M19240" s="17" t="str">
        <f t="shared" si="917"/>
        <v/>
      </c>
      <c r="N19240" s="11" t="str">
        <f t="shared" si="918"/>
        <v/>
      </c>
    </row>
    <row r="19241" spans="9:14" x14ac:dyDescent="0.25">
      <c r="I19241" s="11" t="b">
        <f t="shared" si="919"/>
        <v>0</v>
      </c>
      <c r="M19241" s="17" t="str">
        <f t="shared" si="917"/>
        <v/>
      </c>
      <c r="N19241" s="11" t="str">
        <f t="shared" si="918"/>
        <v/>
      </c>
    </row>
    <row r="19242" spans="9:14" x14ac:dyDescent="0.25">
      <c r="I19242" s="11" t="b">
        <f t="shared" si="919"/>
        <v>0</v>
      </c>
      <c r="M19242" s="17" t="str">
        <f t="shared" si="917"/>
        <v/>
      </c>
      <c r="N19242" s="11" t="str">
        <f t="shared" si="918"/>
        <v/>
      </c>
    </row>
    <row r="19243" spans="9:14" x14ac:dyDescent="0.25">
      <c r="I19243" s="11" t="b">
        <f t="shared" si="919"/>
        <v>0</v>
      </c>
      <c r="M19243" s="17" t="str">
        <f t="shared" si="917"/>
        <v/>
      </c>
      <c r="N19243" s="11" t="str">
        <f t="shared" si="918"/>
        <v/>
      </c>
    </row>
    <row r="19244" spans="9:14" x14ac:dyDescent="0.25">
      <c r="I19244" s="11" t="b">
        <f t="shared" si="919"/>
        <v>0</v>
      </c>
      <c r="M19244" s="17" t="str">
        <f t="shared" si="917"/>
        <v/>
      </c>
      <c r="N19244" s="11" t="str">
        <f t="shared" si="918"/>
        <v/>
      </c>
    </row>
    <row r="19245" spans="9:14" x14ac:dyDescent="0.25">
      <c r="I19245" s="11" t="b">
        <f t="shared" si="919"/>
        <v>0</v>
      </c>
      <c r="M19245" s="17" t="str">
        <f t="shared" si="917"/>
        <v/>
      </c>
      <c r="N19245" s="11" t="str">
        <f t="shared" si="918"/>
        <v/>
      </c>
    </row>
    <row r="19246" spans="9:14" x14ac:dyDescent="0.25">
      <c r="I19246" s="11" t="b">
        <f t="shared" si="919"/>
        <v>0</v>
      </c>
      <c r="M19246" s="17" t="str">
        <f t="shared" si="917"/>
        <v/>
      </c>
      <c r="N19246" s="11" t="str">
        <f t="shared" si="918"/>
        <v/>
      </c>
    </row>
    <row r="19247" spans="9:14" x14ac:dyDescent="0.25">
      <c r="I19247" s="11" t="b">
        <f t="shared" si="919"/>
        <v>0</v>
      </c>
      <c r="M19247" s="17" t="str">
        <f t="shared" si="917"/>
        <v/>
      </c>
      <c r="N19247" s="11" t="str">
        <f t="shared" si="918"/>
        <v/>
      </c>
    </row>
    <row r="19248" spans="9:14" x14ac:dyDescent="0.25">
      <c r="I19248" s="11" t="b">
        <f t="shared" si="919"/>
        <v>0</v>
      </c>
      <c r="M19248" s="17" t="str">
        <f t="shared" si="917"/>
        <v/>
      </c>
      <c r="N19248" s="11" t="str">
        <f t="shared" si="918"/>
        <v/>
      </c>
    </row>
    <row r="19249" spans="9:14" x14ac:dyDescent="0.25">
      <c r="I19249" s="11" t="b">
        <f t="shared" si="919"/>
        <v>0</v>
      </c>
      <c r="M19249" s="17" t="str">
        <f t="shared" si="917"/>
        <v/>
      </c>
      <c r="N19249" s="11" t="str">
        <f t="shared" si="918"/>
        <v/>
      </c>
    </row>
    <row r="19250" spans="9:14" x14ac:dyDescent="0.25">
      <c r="I19250" s="11" t="b">
        <f t="shared" si="919"/>
        <v>0</v>
      </c>
      <c r="M19250" s="17" t="str">
        <f t="shared" si="917"/>
        <v/>
      </c>
      <c r="N19250" s="11" t="str">
        <f t="shared" si="918"/>
        <v/>
      </c>
    </row>
    <row r="19251" spans="9:14" x14ac:dyDescent="0.25">
      <c r="I19251" s="11" t="b">
        <f t="shared" si="919"/>
        <v>0</v>
      </c>
      <c r="M19251" s="17" t="str">
        <f t="shared" si="917"/>
        <v/>
      </c>
      <c r="N19251" s="11" t="str">
        <f t="shared" si="918"/>
        <v/>
      </c>
    </row>
    <row r="19252" spans="9:14" x14ac:dyDescent="0.25">
      <c r="I19252" s="11" t="b">
        <f t="shared" si="919"/>
        <v>0</v>
      </c>
      <c r="M19252" s="17" t="str">
        <f t="shared" si="917"/>
        <v/>
      </c>
      <c r="N19252" s="11" t="str">
        <f t="shared" si="918"/>
        <v/>
      </c>
    </row>
    <row r="19253" spans="9:14" x14ac:dyDescent="0.25">
      <c r="I19253" s="11" t="b">
        <f t="shared" si="919"/>
        <v>0</v>
      </c>
      <c r="M19253" s="17" t="str">
        <f t="shared" si="917"/>
        <v/>
      </c>
      <c r="N19253" s="11" t="str">
        <f t="shared" si="918"/>
        <v/>
      </c>
    </row>
    <row r="19254" spans="9:14" x14ac:dyDescent="0.25">
      <c r="I19254" s="11" t="b">
        <f t="shared" si="919"/>
        <v>0</v>
      </c>
      <c r="M19254" s="17" t="str">
        <f t="shared" si="917"/>
        <v/>
      </c>
      <c r="N19254" s="11" t="str">
        <f t="shared" si="918"/>
        <v/>
      </c>
    </row>
    <row r="19255" spans="9:14" x14ac:dyDescent="0.25">
      <c r="I19255" s="11" t="b">
        <f t="shared" si="919"/>
        <v>0</v>
      </c>
      <c r="M19255" s="17" t="str">
        <f t="shared" si="917"/>
        <v/>
      </c>
      <c r="N19255" s="11" t="str">
        <f t="shared" si="918"/>
        <v/>
      </c>
    </row>
    <row r="19256" spans="9:14" x14ac:dyDescent="0.25">
      <c r="I19256" s="11" t="b">
        <f t="shared" si="919"/>
        <v>0</v>
      </c>
      <c r="M19256" s="17" t="str">
        <f t="shared" si="917"/>
        <v/>
      </c>
      <c r="N19256" s="11" t="str">
        <f t="shared" si="918"/>
        <v/>
      </c>
    </row>
    <row r="19257" spans="9:14" x14ac:dyDescent="0.25">
      <c r="I19257" s="11" t="b">
        <f t="shared" si="919"/>
        <v>0</v>
      </c>
      <c r="M19257" s="17" t="str">
        <f t="shared" si="917"/>
        <v/>
      </c>
      <c r="N19257" s="11" t="str">
        <f t="shared" si="918"/>
        <v/>
      </c>
    </row>
    <row r="19258" spans="9:14" x14ac:dyDescent="0.25">
      <c r="I19258" s="11" t="b">
        <f t="shared" si="919"/>
        <v>0</v>
      </c>
      <c r="M19258" s="17" t="str">
        <f t="shared" si="917"/>
        <v/>
      </c>
      <c r="N19258" s="11" t="str">
        <f t="shared" si="918"/>
        <v/>
      </c>
    </row>
    <row r="19259" spans="9:14" x14ac:dyDescent="0.25">
      <c r="I19259" s="11" t="b">
        <f t="shared" si="919"/>
        <v>0</v>
      </c>
      <c r="M19259" s="17" t="str">
        <f t="shared" si="917"/>
        <v/>
      </c>
      <c r="N19259" s="11" t="str">
        <f t="shared" si="918"/>
        <v/>
      </c>
    </row>
    <row r="19260" spans="9:14" x14ac:dyDescent="0.25">
      <c r="I19260" s="11" t="b">
        <f t="shared" si="919"/>
        <v>0</v>
      </c>
      <c r="M19260" s="17" t="str">
        <f t="shared" si="917"/>
        <v/>
      </c>
      <c r="N19260" s="11" t="str">
        <f t="shared" si="918"/>
        <v/>
      </c>
    </row>
    <row r="19261" spans="9:14" x14ac:dyDescent="0.25">
      <c r="I19261" s="11" t="b">
        <f t="shared" si="919"/>
        <v>0</v>
      </c>
      <c r="M19261" s="17" t="str">
        <f t="shared" si="917"/>
        <v/>
      </c>
      <c r="N19261" s="11" t="str">
        <f t="shared" si="918"/>
        <v/>
      </c>
    </row>
    <row r="19262" spans="9:14" x14ac:dyDescent="0.25">
      <c r="I19262" s="11" t="b">
        <f t="shared" si="919"/>
        <v>0</v>
      </c>
      <c r="M19262" s="17" t="str">
        <f t="shared" si="917"/>
        <v/>
      </c>
      <c r="N19262" s="11" t="str">
        <f t="shared" si="918"/>
        <v/>
      </c>
    </row>
    <row r="19263" spans="9:14" x14ac:dyDescent="0.25">
      <c r="I19263" s="11" t="b">
        <f t="shared" si="919"/>
        <v>0</v>
      </c>
      <c r="M19263" s="17" t="str">
        <f t="shared" si="917"/>
        <v/>
      </c>
      <c r="N19263" s="11" t="str">
        <f t="shared" si="918"/>
        <v/>
      </c>
    </row>
    <row r="19264" spans="9:14" x14ac:dyDescent="0.25">
      <c r="I19264" s="11" t="b">
        <f t="shared" si="919"/>
        <v>0</v>
      </c>
      <c r="M19264" s="17" t="str">
        <f t="shared" si="917"/>
        <v/>
      </c>
      <c r="N19264" s="11" t="str">
        <f t="shared" si="918"/>
        <v/>
      </c>
    </row>
    <row r="19265" spans="9:14" x14ac:dyDescent="0.25">
      <c r="I19265" s="11" t="b">
        <f t="shared" si="919"/>
        <v>0</v>
      </c>
      <c r="M19265" s="17" t="str">
        <f t="shared" ref="M19265:M19328" si="920">IF(B19265=0, "",M19264+ J19265-K19265)</f>
        <v/>
      </c>
      <c r="N19265" s="11" t="str">
        <f t="shared" ref="N19265:N19328" si="921">IF(B19265=0, "", MONTH(B19265))</f>
        <v/>
      </c>
    </row>
    <row r="19266" spans="9:14" x14ac:dyDescent="0.25">
      <c r="I19266" s="11" t="b">
        <f t="shared" si="919"/>
        <v>0</v>
      </c>
      <c r="M19266" s="17" t="str">
        <f t="shared" si="920"/>
        <v/>
      </c>
      <c r="N19266" s="11" t="str">
        <f t="shared" si="921"/>
        <v/>
      </c>
    </row>
    <row r="19267" spans="9:14" x14ac:dyDescent="0.25">
      <c r="I19267" s="11" t="b">
        <f t="shared" si="919"/>
        <v>0</v>
      </c>
      <c r="M19267" s="17" t="str">
        <f t="shared" si="920"/>
        <v/>
      </c>
      <c r="N19267" s="11" t="str">
        <f t="shared" si="921"/>
        <v/>
      </c>
    </row>
    <row r="19268" spans="9:14" x14ac:dyDescent="0.25">
      <c r="I19268" s="11" t="b">
        <f t="shared" si="919"/>
        <v>0</v>
      </c>
      <c r="M19268" s="17" t="str">
        <f t="shared" si="920"/>
        <v/>
      </c>
      <c r="N19268" s="11" t="str">
        <f t="shared" si="921"/>
        <v/>
      </c>
    </row>
    <row r="19269" spans="9:14" x14ac:dyDescent="0.25">
      <c r="I19269" s="11" t="b">
        <f t="shared" si="919"/>
        <v>0</v>
      </c>
      <c r="M19269" s="17" t="str">
        <f t="shared" si="920"/>
        <v/>
      </c>
      <c r="N19269" s="11" t="str">
        <f t="shared" si="921"/>
        <v/>
      </c>
    </row>
    <row r="19270" spans="9:14" x14ac:dyDescent="0.25">
      <c r="I19270" s="11" t="b">
        <f t="shared" si="919"/>
        <v>0</v>
      </c>
      <c r="M19270" s="17" t="str">
        <f t="shared" si="920"/>
        <v/>
      </c>
      <c r="N19270" s="11" t="str">
        <f t="shared" si="921"/>
        <v/>
      </c>
    </row>
    <row r="19271" spans="9:14" x14ac:dyDescent="0.25">
      <c r="I19271" s="11" t="b">
        <f t="shared" si="919"/>
        <v>0</v>
      </c>
      <c r="M19271" s="17" t="str">
        <f t="shared" si="920"/>
        <v/>
      </c>
      <c r="N19271" s="11" t="str">
        <f t="shared" si="921"/>
        <v/>
      </c>
    </row>
    <row r="19272" spans="9:14" x14ac:dyDescent="0.25">
      <c r="I19272" s="11" t="b">
        <f t="shared" si="919"/>
        <v>0</v>
      </c>
      <c r="M19272" s="17" t="str">
        <f t="shared" si="920"/>
        <v/>
      </c>
      <c r="N19272" s="11" t="str">
        <f t="shared" si="921"/>
        <v/>
      </c>
    </row>
    <row r="19273" spans="9:14" x14ac:dyDescent="0.25">
      <c r="I19273" s="11" t="b">
        <f t="shared" si="919"/>
        <v>0</v>
      </c>
      <c r="M19273" s="17" t="str">
        <f t="shared" si="920"/>
        <v/>
      </c>
      <c r="N19273" s="11" t="str">
        <f t="shared" si="921"/>
        <v/>
      </c>
    </row>
    <row r="19274" spans="9:14" x14ac:dyDescent="0.25">
      <c r="I19274" s="11" t="b">
        <f t="shared" si="919"/>
        <v>0</v>
      </c>
      <c r="M19274" s="17" t="str">
        <f t="shared" si="920"/>
        <v/>
      </c>
      <c r="N19274" s="11" t="str">
        <f t="shared" si="921"/>
        <v/>
      </c>
    </row>
    <row r="19275" spans="9:14" x14ac:dyDescent="0.25">
      <c r="I19275" s="11" t="b">
        <f t="shared" si="919"/>
        <v>0</v>
      </c>
      <c r="M19275" s="17" t="str">
        <f t="shared" si="920"/>
        <v/>
      </c>
      <c r="N19275" s="11" t="str">
        <f t="shared" si="921"/>
        <v/>
      </c>
    </row>
    <row r="19276" spans="9:14" x14ac:dyDescent="0.25">
      <c r="I19276" s="11" t="b">
        <f t="shared" si="919"/>
        <v>0</v>
      </c>
      <c r="M19276" s="17" t="str">
        <f t="shared" si="920"/>
        <v/>
      </c>
      <c r="N19276" s="11" t="str">
        <f t="shared" si="921"/>
        <v/>
      </c>
    </row>
    <row r="19277" spans="9:14" x14ac:dyDescent="0.25">
      <c r="I19277" s="11" t="b">
        <f t="shared" si="919"/>
        <v>0</v>
      </c>
      <c r="M19277" s="17" t="str">
        <f t="shared" si="920"/>
        <v/>
      </c>
      <c r="N19277" s="11" t="str">
        <f t="shared" si="921"/>
        <v/>
      </c>
    </row>
    <row r="19278" spans="9:14" x14ac:dyDescent="0.25">
      <c r="I19278" s="11" t="b">
        <f t="shared" si="919"/>
        <v>0</v>
      </c>
      <c r="M19278" s="17" t="str">
        <f t="shared" si="920"/>
        <v/>
      </c>
      <c r="N19278" s="11" t="str">
        <f t="shared" si="921"/>
        <v/>
      </c>
    </row>
    <row r="19279" spans="9:14" x14ac:dyDescent="0.25">
      <c r="I19279" s="11" t="b">
        <f t="shared" si="919"/>
        <v>0</v>
      </c>
      <c r="M19279" s="17" t="str">
        <f t="shared" si="920"/>
        <v/>
      </c>
      <c r="N19279" s="11" t="str">
        <f t="shared" si="921"/>
        <v/>
      </c>
    </row>
    <row r="19280" spans="9:14" x14ac:dyDescent="0.25">
      <c r="I19280" s="11" t="b">
        <f t="shared" si="919"/>
        <v>0</v>
      </c>
      <c r="M19280" s="17" t="str">
        <f t="shared" si="920"/>
        <v/>
      </c>
      <c r="N19280" s="11" t="str">
        <f t="shared" si="921"/>
        <v/>
      </c>
    </row>
    <row r="19281" spans="9:14" x14ac:dyDescent="0.25">
      <c r="I19281" s="11" t="b">
        <f t="shared" si="919"/>
        <v>0</v>
      </c>
      <c r="M19281" s="17" t="str">
        <f t="shared" si="920"/>
        <v/>
      </c>
      <c r="N19281" s="11" t="str">
        <f t="shared" si="921"/>
        <v/>
      </c>
    </row>
    <row r="19282" spans="9:14" x14ac:dyDescent="0.25">
      <c r="I19282" s="11" t="b">
        <f t="shared" si="919"/>
        <v>0</v>
      </c>
      <c r="M19282" s="17" t="str">
        <f t="shared" si="920"/>
        <v/>
      </c>
      <c r="N19282" s="11" t="str">
        <f t="shared" si="921"/>
        <v/>
      </c>
    </row>
    <row r="19283" spans="9:14" x14ac:dyDescent="0.25">
      <c r="I19283" s="11" t="b">
        <f t="shared" si="919"/>
        <v>0</v>
      </c>
      <c r="M19283" s="17" t="str">
        <f t="shared" si="920"/>
        <v/>
      </c>
      <c r="N19283" s="11" t="str">
        <f t="shared" si="921"/>
        <v/>
      </c>
    </row>
    <row r="19284" spans="9:14" x14ac:dyDescent="0.25">
      <c r="I19284" s="11" t="b">
        <f t="shared" si="919"/>
        <v>0</v>
      </c>
      <c r="M19284" s="17" t="str">
        <f t="shared" si="920"/>
        <v/>
      </c>
      <c r="N19284" s="11" t="str">
        <f t="shared" si="921"/>
        <v/>
      </c>
    </row>
    <row r="19285" spans="9:14" x14ac:dyDescent="0.25">
      <c r="I19285" s="11" t="b">
        <f t="shared" si="919"/>
        <v>0</v>
      </c>
      <c r="M19285" s="17" t="str">
        <f t="shared" si="920"/>
        <v/>
      </c>
      <c r="N19285" s="11" t="str">
        <f t="shared" si="921"/>
        <v/>
      </c>
    </row>
    <row r="19286" spans="9:14" x14ac:dyDescent="0.25">
      <c r="I19286" s="11" t="b">
        <f t="shared" si="919"/>
        <v>0</v>
      </c>
      <c r="M19286" s="17" t="str">
        <f t="shared" si="920"/>
        <v/>
      </c>
      <c r="N19286" s="11" t="str">
        <f t="shared" si="921"/>
        <v/>
      </c>
    </row>
    <row r="19287" spans="9:14" x14ac:dyDescent="0.25">
      <c r="I19287" s="11" t="b">
        <f t="shared" si="919"/>
        <v>0</v>
      </c>
      <c r="M19287" s="17" t="str">
        <f t="shared" si="920"/>
        <v/>
      </c>
      <c r="N19287" s="11" t="str">
        <f t="shared" si="921"/>
        <v/>
      </c>
    </row>
    <row r="19288" spans="9:14" x14ac:dyDescent="0.25">
      <c r="I19288" s="11" t="b">
        <f t="shared" si="919"/>
        <v>0</v>
      </c>
      <c r="M19288" s="17" t="str">
        <f t="shared" si="920"/>
        <v/>
      </c>
      <c r="N19288" s="11" t="str">
        <f t="shared" si="921"/>
        <v/>
      </c>
    </row>
    <row r="19289" spans="9:14" x14ac:dyDescent="0.25">
      <c r="I19289" s="11" t="b">
        <f t="shared" si="919"/>
        <v>0</v>
      </c>
      <c r="M19289" s="17" t="str">
        <f t="shared" si="920"/>
        <v/>
      </c>
      <c r="N19289" s="11" t="str">
        <f t="shared" si="921"/>
        <v/>
      </c>
    </row>
    <row r="19290" spans="9:14" x14ac:dyDescent="0.25">
      <c r="I19290" s="11" t="b">
        <f t="shared" si="919"/>
        <v>0</v>
      </c>
      <c r="M19290" s="17" t="str">
        <f t="shared" si="920"/>
        <v/>
      </c>
      <c r="N19290" s="11" t="str">
        <f t="shared" si="921"/>
        <v/>
      </c>
    </row>
    <row r="19291" spans="9:14" x14ac:dyDescent="0.25">
      <c r="I19291" s="11" t="b">
        <f t="shared" si="919"/>
        <v>0</v>
      </c>
      <c r="M19291" s="17" t="str">
        <f t="shared" si="920"/>
        <v/>
      </c>
      <c r="N19291" s="11" t="str">
        <f t="shared" si="921"/>
        <v/>
      </c>
    </row>
    <row r="19292" spans="9:14" x14ac:dyDescent="0.25">
      <c r="I19292" s="11" t="b">
        <f t="shared" si="919"/>
        <v>0</v>
      </c>
      <c r="M19292" s="17" t="str">
        <f t="shared" si="920"/>
        <v/>
      </c>
      <c r="N19292" s="11" t="str">
        <f t="shared" si="921"/>
        <v/>
      </c>
    </row>
    <row r="19293" spans="9:14" x14ac:dyDescent="0.25">
      <c r="I19293" s="11" t="b">
        <f t="shared" ref="I19293:I19356" si="922">IF(AND(G19293="MERCADO PAGO",A19293="FATURAMENTO"),1,IF(AND(OR(G19293="MERCADO PAGO",G19293="pix mercado pago",G19293= "débito automático mercado pago", G19293= "boleto mercado pago"),A19293="DESPESAS"),4,IF(AND(G19293="SAFRA",A19293="FATURAMENTO"),2,IF(AND(OR(G19293="SAFRA",G19293="PIX SAFRA", G19293="DÉBITO AUTOMÁTICO SAFRA", G19293= "BOLETO SAFRA", G19293= "transferência safra"), A19293="DESPESAS"),5,IF(AND(G19293="espécie",A19293="FATURAMENTO"),3,IF(AND(G19293="espécie",A19293="DESPESAS"),6))))))</f>
        <v>0</v>
      </c>
      <c r="M19293" s="17" t="str">
        <f t="shared" si="920"/>
        <v/>
      </c>
      <c r="N19293" s="11" t="str">
        <f t="shared" si="921"/>
        <v/>
      </c>
    </row>
    <row r="19294" spans="9:14" x14ac:dyDescent="0.25">
      <c r="I19294" s="11" t="b">
        <f t="shared" si="922"/>
        <v>0</v>
      </c>
      <c r="M19294" s="17" t="str">
        <f t="shared" si="920"/>
        <v/>
      </c>
      <c r="N19294" s="11" t="str">
        <f t="shared" si="921"/>
        <v/>
      </c>
    </row>
    <row r="19295" spans="9:14" x14ac:dyDescent="0.25">
      <c r="I19295" s="11" t="b">
        <f t="shared" si="922"/>
        <v>0</v>
      </c>
      <c r="M19295" s="17" t="str">
        <f t="shared" si="920"/>
        <v/>
      </c>
      <c r="N19295" s="11" t="str">
        <f t="shared" si="921"/>
        <v/>
      </c>
    </row>
    <row r="19296" spans="9:14" x14ac:dyDescent="0.25">
      <c r="I19296" s="11" t="b">
        <f t="shared" si="922"/>
        <v>0</v>
      </c>
      <c r="M19296" s="17" t="str">
        <f t="shared" si="920"/>
        <v/>
      </c>
      <c r="N19296" s="11" t="str">
        <f t="shared" si="921"/>
        <v/>
      </c>
    </row>
    <row r="19297" spans="9:14" x14ac:dyDescent="0.25">
      <c r="I19297" s="11" t="b">
        <f t="shared" si="922"/>
        <v>0</v>
      </c>
      <c r="M19297" s="17" t="str">
        <f t="shared" si="920"/>
        <v/>
      </c>
      <c r="N19297" s="11" t="str">
        <f t="shared" si="921"/>
        <v/>
      </c>
    </row>
    <row r="19298" spans="9:14" x14ac:dyDescent="0.25">
      <c r="I19298" s="11" t="b">
        <f t="shared" si="922"/>
        <v>0</v>
      </c>
      <c r="M19298" s="17" t="str">
        <f t="shared" si="920"/>
        <v/>
      </c>
      <c r="N19298" s="11" t="str">
        <f t="shared" si="921"/>
        <v/>
      </c>
    </row>
    <row r="19299" spans="9:14" x14ac:dyDescent="0.25">
      <c r="I19299" s="11" t="b">
        <f t="shared" si="922"/>
        <v>0</v>
      </c>
      <c r="M19299" s="17" t="str">
        <f t="shared" si="920"/>
        <v/>
      </c>
      <c r="N19299" s="11" t="str">
        <f t="shared" si="921"/>
        <v/>
      </c>
    </row>
    <row r="19300" spans="9:14" x14ac:dyDescent="0.25">
      <c r="I19300" s="11" t="b">
        <f t="shared" si="922"/>
        <v>0</v>
      </c>
      <c r="M19300" s="17" t="str">
        <f t="shared" si="920"/>
        <v/>
      </c>
      <c r="N19300" s="11" t="str">
        <f t="shared" si="921"/>
        <v/>
      </c>
    </row>
    <row r="19301" spans="9:14" x14ac:dyDescent="0.25">
      <c r="I19301" s="11" t="b">
        <f t="shared" si="922"/>
        <v>0</v>
      </c>
      <c r="M19301" s="17" t="str">
        <f t="shared" si="920"/>
        <v/>
      </c>
      <c r="N19301" s="11" t="str">
        <f t="shared" si="921"/>
        <v/>
      </c>
    </row>
    <row r="19302" spans="9:14" x14ac:dyDescent="0.25">
      <c r="I19302" s="11" t="b">
        <f t="shared" si="922"/>
        <v>0</v>
      </c>
      <c r="M19302" s="17" t="str">
        <f t="shared" si="920"/>
        <v/>
      </c>
      <c r="N19302" s="11" t="str">
        <f t="shared" si="921"/>
        <v/>
      </c>
    </row>
    <row r="19303" spans="9:14" x14ac:dyDescent="0.25">
      <c r="I19303" s="11" t="b">
        <f t="shared" si="922"/>
        <v>0</v>
      </c>
      <c r="M19303" s="17" t="str">
        <f t="shared" si="920"/>
        <v/>
      </c>
      <c r="N19303" s="11" t="str">
        <f t="shared" si="921"/>
        <v/>
      </c>
    </row>
    <row r="19304" spans="9:14" x14ac:dyDescent="0.25">
      <c r="I19304" s="11" t="b">
        <f t="shared" si="922"/>
        <v>0</v>
      </c>
      <c r="M19304" s="17" t="str">
        <f t="shared" si="920"/>
        <v/>
      </c>
      <c r="N19304" s="11" t="str">
        <f t="shared" si="921"/>
        <v/>
      </c>
    </row>
    <row r="19305" spans="9:14" x14ac:dyDescent="0.25">
      <c r="I19305" s="11" t="b">
        <f t="shared" si="922"/>
        <v>0</v>
      </c>
      <c r="M19305" s="17" t="str">
        <f t="shared" si="920"/>
        <v/>
      </c>
      <c r="N19305" s="11" t="str">
        <f t="shared" si="921"/>
        <v/>
      </c>
    </row>
    <row r="19306" spans="9:14" x14ac:dyDescent="0.25">
      <c r="I19306" s="11" t="b">
        <f t="shared" si="922"/>
        <v>0</v>
      </c>
      <c r="M19306" s="17" t="str">
        <f t="shared" si="920"/>
        <v/>
      </c>
      <c r="N19306" s="11" t="str">
        <f t="shared" si="921"/>
        <v/>
      </c>
    </row>
    <row r="19307" spans="9:14" x14ac:dyDescent="0.25">
      <c r="I19307" s="11" t="b">
        <f t="shared" si="922"/>
        <v>0</v>
      </c>
      <c r="M19307" s="17" t="str">
        <f t="shared" si="920"/>
        <v/>
      </c>
      <c r="N19307" s="11" t="str">
        <f t="shared" si="921"/>
        <v/>
      </c>
    </row>
    <row r="19308" spans="9:14" x14ac:dyDescent="0.25">
      <c r="I19308" s="11" t="b">
        <f t="shared" si="922"/>
        <v>0</v>
      </c>
      <c r="M19308" s="17" t="str">
        <f t="shared" si="920"/>
        <v/>
      </c>
      <c r="N19308" s="11" t="str">
        <f t="shared" si="921"/>
        <v/>
      </c>
    </row>
    <row r="19309" spans="9:14" x14ac:dyDescent="0.25">
      <c r="I19309" s="11" t="b">
        <f t="shared" si="922"/>
        <v>0</v>
      </c>
      <c r="M19309" s="17" t="str">
        <f t="shared" si="920"/>
        <v/>
      </c>
      <c r="N19309" s="11" t="str">
        <f t="shared" si="921"/>
        <v/>
      </c>
    </row>
    <row r="19310" spans="9:14" x14ac:dyDescent="0.25">
      <c r="I19310" s="11" t="b">
        <f t="shared" si="922"/>
        <v>0</v>
      </c>
      <c r="M19310" s="17" t="str">
        <f t="shared" si="920"/>
        <v/>
      </c>
      <c r="N19310" s="11" t="str">
        <f t="shared" si="921"/>
        <v/>
      </c>
    </row>
    <row r="19311" spans="9:14" x14ac:dyDescent="0.25">
      <c r="I19311" s="11" t="b">
        <f t="shared" si="922"/>
        <v>0</v>
      </c>
      <c r="M19311" s="17" t="str">
        <f t="shared" si="920"/>
        <v/>
      </c>
      <c r="N19311" s="11" t="str">
        <f t="shared" si="921"/>
        <v/>
      </c>
    </row>
    <row r="19312" spans="9:14" x14ac:dyDescent="0.25">
      <c r="I19312" s="11" t="b">
        <f t="shared" si="922"/>
        <v>0</v>
      </c>
      <c r="M19312" s="17" t="str">
        <f t="shared" si="920"/>
        <v/>
      </c>
      <c r="N19312" s="11" t="str">
        <f t="shared" si="921"/>
        <v/>
      </c>
    </row>
    <row r="19313" spans="9:14" x14ac:dyDescent="0.25">
      <c r="I19313" s="11" t="b">
        <f t="shared" si="922"/>
        <v>0</v>
      </c>
      <c r="M19313" s="17" t="str">
        <f t="shared" si="920"/>
        <v/>
      </c>
      <c r="N19313" s="11" t="str">
        <f t="shared" si="921"/>
        <v/>
      </c>
    </row>
    <row r="19314" spans="9:14" x14ac:dyDescent="0.25">
      <c r="I19314" s="11" t="b">
        <f t="shared" si="922"/>
        <v>0</v>
      </c>
      <c r="M19314" s="17" t="str">
        <f t="shared" si="920"/>
        <v/>
      </c>
      <c r="N19314" s="11" t="str">
        <f t="shared" si="921"/>
        <v/>
      </c>
    </row>
    <row r="19315" spans="9:14" x14ac:dyDescent="0.25">
      <c r="I19315" s="11" t="b">
        <f t="shared" si="922"/>
        <v>0</v>
      </c>
      <c r="M19315" s="17" t="str">
        <f t="shared" si="920"/>
        <v/>
      </c>
      <c r="N19315" s="11" t="str">
        <f t="shared" si="921"/>
        <v/>
      </c>
    </row>
    <row r="19316" spans="9:14" x14ac:dyDescent="0.25">
      <c r="I19316" s="11" t="b">
        <f t="shared" si="922"/>
        <v>0</v>
      </c>
      <c r="M19316" s="17" t="str">
        <f t="shared" si="920"/>
        <v/>
      </c>
      <c r="N19316" s="11" t="str">
        <f t="shared" si="921"/>
        <v/>
      </c>
    </row>
    <row r="19317" spans="9:14" x14ac:dyDescent="0.25">
      <c r="I19317" s="11" t="b">
        <f t="shared" si="922"/>
        <v>0</v>
      </c>
      <c r="M19317" s="17" t="str">
        <f t="shared" si="920"/>
        <v/>
      </c>
      <c r="N19317" s="11" t="str">
        <f t="shared" si="921"/>
        <v/>
      </c>
    </row>
    <row r="19318" spans="9:14" x14ac:dyDescent="0.25">
      <c r="I19318" s="11" t="b">
        <f t="shared" si="922"/>
        <v>0</v>
      </c>
      <c r="M19318" s="17" t="str">
        <f t="shared" si="920"/>
        <v/>
      </c>
      <c r="N19318" s="11" t="str">
        <f t="shared" si="921"/>
        <v/>
      </c>
    </row>
    <row r="19319" spans="9:14" x14ac:dyDescent="0.25">
      <c r="I19319" s="11" t="b">
        <f t="shared" si="922"/>
        <v>0</v>
      </c>
      <c r="M19319" s="17" t="str">
        <f t="shared" si="920"/>
        <v/>
      </c>
      <c r="N19319" s="11" t="str">
        <f t="shared" si="921"/>
        <v/>
      </c>
    </row>
    <row r="19320" spans="9:14" x14ac:dyDescent="0.25">
      <c r="I19320" s="11" t="b">
        <f t="shared" si="922"/>
        <v>0</v>
      </c>
      <c r="M19320" s="17" t="str">
        <f t="shared" si="920"/>
        <v/>
      </c>
      <c r="N19320" s="11" t="str">
        <f t="shared" si="921"/>
        <v/>
      </c>
    </row>
    <row r="19321" spans="9:14" x14ac:dyDescent="0.25">
      <c r="I19321" s="11" t="b">
        <f t="shared" si="922"/>
        <v>0</v>
      </c>
      <c r="M19321" s="17" t="str">
        <f t="shared" si="920"/>
        <v/>
      </c>
      <c r="N19321" s="11" t="str">
        <f t="shared" si="921"/>
        <v/>
      </c>
    </row>
    <row r="19322" spans="9:14" x14ac:dyDescent="0.25">
      <c r="I19322" s="11" t="b">
        <f t="shared" si="922"/>
        <v>0</v>
      </c>
      <c r="M19322" s="17" t="str">
        <f t="shared" si="920"/>
        <v/>
      </c>
      <c r="N19322" s="11" t="str">
        <f t="shared" si="921"/>
        <v/>
      </c>
    </row>
    <row r="19323" spans="9:14" x14ac:dyDescent="0.25">
      <c r="I19323" s="11" t="b">
        <f t="shared" si="922"/>
        <v>0</v>
      </c>
      <c r="M19323" s="17" t="str">
        <f t="shared" si="920"/>
        <v/>
      </c>
      <c r="N19323" s="11" t="str">
        <f t="shared" si="921"/>
        <v/>
      </c>
    </row>
    <row r="19324" spans="9:14" x14ac:dyDescent="0.25">
      <c r="I19324" s="11" t="b">
        <f t="shared" si="922"/>
        <v>0</v>
      </c>
      <c r="M19324" s="17" t="str">
        <f t="shared" si="920"/>
        <v/>
      </c>
      <c r="N19324" s="11" t="str">
        <f t="shared" si="921"/>
        <v/>
      </c>
    </row>
    <row r="19325" spans="9:14" x14ac:dyDescent="0.25">
      <c r="I19325" s="11" t="b">
        <f t="shared" si="922"/>
        <v>0</v>
      </c>
      <c r="M19325" s="17" t="str">
        <f t="shared" si="920"/>
        <v/>
      </c>
      <c r="N19325" s="11" t="str">
        <f t="shared" si="921"/>
        <v/>
      </c>
    </row>
    <row r="19326" spans="9:14" x14ac:dyDescent="0.25">
      <c r="I19326" s="11" t="b">
        <f t="shared" si="922"/>
        <v>0</v>
      </c>
      <c r="M19326" s="17" t="str">
        <f t="shared" si="920"/>
        <v/>
      </c>
      <c r="N19326" s="11" t="str">
        <f t="shared" si="921"/>
        <v/>
      </c>
    </row>
    <row r="19327" spans="9:14" x14ac:dyDescent="0.25">
      <c r="I19327" s="11" t="b">
        <f t="shared" si="922"/>
        <v>0</v>
      </c>
      <c r="M19327" s="17" t="str">
        <f t="shared" si="920"/>
        <v/>
      </c>
      <c r="N19327" s="11" t="str">
        <f t="shared" si="921"/>
        <v/>
      </c>
    </row>
    <row r="19328" spans="9:14" x14ac:dyDescent="0.25">
      <c r="I19328" s="11" t="b">
        <f t="shared" si="922"/>
        <v>0</v>
      </c>
      <c r="M19328" s="17" t="str">
        <f t="shared" si="920"/>
        <v/>
      </c>
      <c r="N19328" s="11" t="str">
        <f t="shared" si="921"/>
        <v/>
      </c>
    </row>
    <row r="19329" spans="9:14" x14ac:dyDescent="0.25">
      <c r="I19329" s="11" t="b">
        <f t="shared" si="922"/>
        <v>0</v>
      </c>
      <c r="M19329" s="17" t="str">
        <f t="shared" ref="M19329:M19392" si="923">IF(B19329=0, "",M19328+ J19329-K19329)</f>
        <v/>
      </c>
      <c r="N19329" s="11" t="str">
        <f t="shared" ref="N19329:N19392" si="924">IF(B19329=0, "", MONTH(B19329))</f>
        <v/>
      </c>
    </row>
    <row r="19330" spans="9:14" x14ac:dyDescent="0.25">
      <c r="I19330" s="11" t="b">
        <f t="shared" si="922"/>
        <v>0</v>
      </c>
      <c r="M19330" s="17" t="str">
        <f t="shared" si="923"/>
        <v/>
      </c>
      <c r="N19330" s="11" t="str">
        <f t="shared" si="924"/>
        <v/>
      </c>
    </row>
    <row r="19331" spans="9:14" x14ac:dyDescent="0.25">
      <c r="I19331" s="11" t="b">
        <f t="shared" si="922"/>
        <v>0</v>
      </c>
      <c r="M19331" s="17" t="str">
        <f t="shared" si="923"/>
        <v/>
      </c>
      <c r="N19331" s="11" t="str">
        <f t="shared" si="924"/>
        <v/>
      </c>
    </row>
    <row r="19332" spans="9:14" x14ac:dyDescent="0.25">
      <c r="I19332" s="11" t="b">
        <f t="shared" si="922"/>
        <v>0</v>
      </c>
      <c r="M19332" s="17" t="str">
        <f t="shared" si="923"/>
        <v/>
      </c>
      <c r="N19332" s="11" t="str">
        <f t="shared" si="924"/>
        <v/>
      </c>
    </row>
    <row r="19333" spans="9:14" x14ac:dyDescent="0.25">
      <c r="I19333" s="11" t="b">
        <f t="shared" si="922"/>
        <v>0</v>
      </c>
      <c r="M19333" s="17" t="str">
        <f t="shared" si="923"/>
        <v/>
      </c>
      <c r="N19333" s="11" t="str">
        <f t="shared" si="924"/>
        <v/>
      </c>
    </row>
    <row r="19334" spans="9:14" x14ac:dyDescent="0.25">
      <c r="I19334" s="11" t="b">
        <f t="shared" si="922"/>
        <v>0</v>
      </c>
      <c r="M19334" s="17" t="str">
        <f t="shared" si="923"/>
        <v/>
      </c>
      <c r="N19334" s="11" t="str">
        <f t="shared" si="924"/>
        <v/>
      </c>
    </row>
    <row r="19335" spans="9:14" x14ac:dyDescent="0.25">
      <c r="I19335" s="11" t="b">
        <f t="shared" si="922"/>
        <v>0</v>
      </c>
      <c r="M19335" s="17" t="str">
        <f t="shared" si="923"/>
        <v/>
      </c>
      <c r="N19335" s="11" t="str">
        <f t="shared" si="924"/>
        <v/>
      </c>
    </row>
    <row r="19336" spans="9:14" x14ac:dyDescent="0.25">
      <c r="I19336" s="11" t="b">
        <f t="shared" si="922"/>
        <v>0</v>
      </c>
      <c r="M19336" s="17" t="str">
        <f t="shared" si="923"/>
        <v/>
      </c>
      <c r="N19336" s="11" t="str">
        <f t="shared" si="924"/>
        <v/>
      </c>
    </row>
    <row r="19337" spans="9:14" x14ac:dyDescent="0.25">
      <c r="I19337" s="11" t="b">
        <f t="shared" si="922"/>
        <v>0</v>
      </c>
      <c r="M19337" s="17" t="str">
        <f t="shared" si="923"/>
        <v/>
      </c>
      <c r="N19337" s="11" t="str">
        <f t="shared" si="924"/>
        <v/>
      </c>
    </row>
    <row r="19338" spans="9:14" x14ac:dyDescent="0.25">
      <c r="I19338" s="11" t="b">
        <f t="shared" si="922"/>
        <v>0</v>
      </c>
      <c r="M19338" s="17" t="str">
        <f t="shared" si="923"/>
        <v/>
      </c>
      <c r="N19338" s="11" t="str">
        <f t="shared" si="924"/>
        <v/>
      </c>
    </row>
    <row r="19339" spans="9:14" x14ac:dyDescent="0.25">
      <c r="I19339" s="11" t="b">
        <f t="shared" si="922"/>
        <v>0</v>
      </c>
      <c r="M19339" s="17" t="str">
        <f t="shared" si="923"/>
        <v/>
      </c>
      <c r="N19339" s="11" t="str">
        <f t="shared" si="924"/>
        <v/>
      </c>
    </row>
    <row r="19340" spans="9:14" x14ac:dyDescent="0.25">
      <c r="I19340" s="11" t="b">
        <f t="shared" si="922"/>
        <v>0</v>
      </c>
      <c r="M19340" s="17" t="str">
        <f t="shared" si="923"/>
        <v/>
      </c>
      <c r="N19340" s="11" t="str">
        <f t="shared" si="924"/>
        <v/>
      </c>
    </row>
    <row r="19341" spans="9:14" x14ac:dyDescent="0.25">
      <c r="I19341" s="11" t="b">
        <f t="shared" si="922"/>
        <v>0</v>
      </c>
      <c r="M19341" s="17" t="str">
        <f t="shared" si="923"/>
        <v/>
      </c>
      <c r="N19341" s="11" t="str">
        <f t="shared" si="924"/>
        <v/>
      </c>
    </row>
    <row r="19342" spans="9:14" x14ac:dyDescent="0.25">
      <c r="I19342" s="11" t="b">
        <f t="shared" si="922"/>
        <v>0</v>
      </c>
      <c r="M19342" s="17" t="str">
        <f t="shared" si="923"/>
        <v/>
      </c>
      <c r="N19342" s="11" t="str">
        <f t="shared" si="924"/>
        <v/>
      </c>
    </row>
    <row r="19343" spans="9:14" x14ac:dyDescent="0.25">
      <c r="I19343" s="11" t="b">
        <f t="shared" si="922"/>
        <v>0</v>
      </c>
      <c r="M19343" s="17" t="str">
        <f t="shared" si="923"/>
        <v/>
      </c>
      <c r="N19343" s="11" t="str">
        <f t="shared" si="924"/>
        <v/>
      </c>
    </row>
    <row r="19344" spans="9:14" x14ac:dyDescent="0.25">
      <c r="I19344" s="11" t="b">
        <f t="shared" si="922"/>
        <v>0</v>
      </c>
      <c r="M19344" s="17" t="str">
        <f t="shared" si="923"/>
        <v/>
      </c>
      <c r="N19344" s="11" t="str">
        <f t="shared" si="924"/>
        <v/>
      </c>
    </row>
    <row r="19345" spans="9:14" x14ac:dyDescent="0.25">
      <c r="I19345" s="11" t="b">
        <f t="shared" si="922"/>
        <v>0</v>
      </c>
      <c r="M19345" s="17" t="str">
        <f t="shared" si="923"/>
        <v/>
      </c>
      <c r="N19345" s="11" t="str">
        <f t="shared" si="924"/>
        <v/>
      </c>
    </row>
    <row r="19346" spans="9:14" x14ac:dyDescent="0.25">
      <c r="I19346" s="11" t="b">
        <f t="shared" si="922"/>
        <v>0</v>
      </c>
      <c r="M19346" s="17" t="str">
        <f t="shared" si="923"/>
        <v/>
      </c>
      <c r="N19346" s="11" t="str">
        <f t="shared" si="924"/>
        <v/>
      </c>
    </row>
    <row r="19347" spans="9:14" x14ac:dyDescent="0.25">
      <c r="I19347" s="11" t="b">
        <f t="shared" si="922"/>
        <v>0</v>
      </c>
      <c r="M19347" s="17" t="str">
        <f t="shared" si="923"/>
        <v/>
      </c>
      <c r="N19347" s="11" t="str">
        <f t="shared" si="924"/>
        <v/>
      </c>
    </row>
    <row r="19348" spans="9:14" x14ac:dyDescent="0.25">
      <c r="I19348" s="11" t="b">
        <f t="shared" si="922"/>
        <v>0</v>
      </c>
      <c r="M19348" s="17" t="str">
        <f t="shared" si="923"/>
        <v/>
      </c>
      <c r="N19348" s="11" t="str">
        <f t="shared" si="924"/>
        <v/>
      </c>
    </row>
    <row r="19349" spans="9:14" x14ac:dyDescent="0.25">
      <c r="I19349" s="11" t="b">
        <f t="shared" si="922"/>
        <v>0</v>
      </c>
      <c r="M19349" s="17" t="str">
        <f t="shared" si="923"/>
        <v/>
      </c>
      <c r="N19349" s="11" t="str">
        <f t="shared" si="924"/>
        <v/>
      </c>
    </row>
    <row r="19350" spans="9:14" x14ac:dyDescent="0.25">
      <c r="I19350" s="11" t="b">
        <f t="shared" si="922"/>
        <v>0</v>
      </c>
      <c r="M19350" s="17" t="str">
        <f t="shared" si="923"/>
        <v/>
      </c>
      <c r="N19350" s="11" t="str">
        <f t="shared" si="924"/>
        <v/>
      </c>
    </row>
    <row r="19351" spans="9:14" x14ac:dyDescent="0.25">
      <c r="I19351" s="11" t="b">
        <f t="shared" si="922"/>
        <v>0</v>
      </c>
      <c r="M19351" s="17" t="str">
        <f t="shared" si="923"/>
        <v/>
      </c>
      <c r="N19351" s="11" t="str">
        <f t="shared" si="924"/>
        <v/>
      </c>
    </row>
    <row r="19352" spans="9:14" x14ac:dyDescent="0.25">
      <c r="I19352" s="11" t="b">
        <f t="shared" si="922"/>
        <v>0</v>
      </c>
      <c r="M19352" s="17" t="str">
        <f t="shared" si="923"/>
        <v/>
      </c>
      <c r="N19352" s="11" t="str">
        <f t="shared" si="924"/>
        <v/>
      </c>
    </row>
    <row r="19353" spans="9:14" x14ac:dyDescent="0.25">
      <c r="I19353" s="11" t="b">
        <f t="shared" si="922"/>
        <v>0</v>
      </c>
      <c r="M19353" s="17" t="str">
        <f t="shared" si="923"/>
        <v/>
      </c>
      <c r="N19353" s="11" t="str">
        <f t="shared" si="924"/>
        <v/>
      </c>
    </row>
    <row r="19354" spans="9:14" x14ac:dyDescent="0.25">
      <c r="I19354" s="11" t="b">
        <f t="shared" si="922"/>
        <v>0</v>
      </c>
      <c r="M19354" s="17" t="str">
        <f t="shared" si="923"/>
        <v/>
      </c>
      <c r="N19354" s="11" t="str">
        <f t="shared" si="924"/>
        <v/>
      </c>
    </row>
    <row r="19355" spans="9:14" x14ac:dyDescent="0.25">
      <c r="I19355" s="11" t="b">
        <f t="shared" si="922"/>
        <v>0</v>
      </c>
      <c r="M19355" s="17" t="str">
        <f t="shared" si="923"/>
        <v/>
      </c>
      <c r="N19355" s="11" t="str">
        <f t="shared" si="924"/>
        <v/>
      </c>
    </row>
    <row r="19356" spans="9:14" x14ac:dyDescent="0.25">
      <c r="I19356" s="11" t="b">
        <f t="shared" si="922"/>
        <v>0</v>
      </c>
      <c r="M19356" s="17" t="str">
        <f t="shared" si="923"/>
        <v/>
      </c>
      <c r="N19356" s="11" t="str">
        <f t="shared" si="924"/>
        <v/>
      </c>
    </row>
    <row r="19357" spans="9:14" x14ac:dyDescent="0.25">
      <c r="I19357" s="11" t="b">
        <f t="shared" ref="I19357:I19420" si="925">IF(AND(G19357="MERCADO PAGO",A19357="FATURAMENTO"),1,IF(AND(OR(G19357="MERCADO PAGO",G19357="pix mercado pago",G19357= "débito automático mercado pago", G19357= "boleto mercado pago"),A19357="DESPESAS"),4,IF(AND(G19357="SAFRA",A19357="FATURAMENTO"),2,IF(AND(OR(G19357="SAFRA",G19357="PIX SAFRA", G19357="DÉBITO AUTOMÁTICO SAFRA", G19357= "BOLETO SAFRA", G19357= "transferência safra"), A19357="DESPESAS"),5,IF(AND(G19357="espécie",A19357="FATURAMENTO"),3,IF(AND(G19357="espécie",A19357="DESPESAS"),6))))))</f>
        <v>0</v>
      </c>
      <c r="M19357" s="17" t="str">
        <f t="shared" si="923"/>
        <v/>
      </c>
      <c r="N19357" s="11" t="str">
        <f t="shared" si="924"/>
        <v/>
      </c>
    </row>
    <row r="19358" spans="9:14" x14ac:dyDescent="0.25">
      <c r="I19358" s="11" t="b">
        <f t="shared" si="925"/>
        <v>0</v>
      </c>
      <c r="M19358" s="17" t="str">
        <f t="shared" si="923"/>
        <v/>
      </c>
      <c r="N19358" s="11" t="str">
        <f t="shared" si="924"/>
        <v/>
      </c>
    </row>
    <row r="19359" spans="9:14" x14ac:dyDescent="0.25">
      <c r="I19359" s="11" t="b">
        <f t="shared" si="925"/>
        <v>0</v>
      </c>
      <c r="M19359" s="17" t="str">
        <f t="shared" si="923"/>
        <v/>
      </c>
      <c r="N19359" s="11" t="str">
        <f t="shared" si="924"/>
        <v/>
      </c>
    </row>
    <row r="19360" spans="9:14" x14ac:dyDescent="0.25">
      <c r="I19360" s="11" t="b">
        <f t="shared" si="925"/>
        <v>0</v>
      </c>
      <c r="M19360" s="17" t="str">
        <f t="shared" si="923"/>
        <v/>
      </c>
      <c r="N19360" s="11" t="str">
        <f t="shared" si="924"/>
        <v/>
      </c>
    </row>
    <row r="19361" spans="9:14" x14ac:dyDescent="0.25">
      <c r="I19361" s="11" t="b">
        <f t="shared" si="925"/>
        <v>0</v>
      </c>
      <c r="M19361" s="17" t="str">
        <f t="shared" si="923"/>
        <v/>
      </c>
      <c r="N19361" s="11" t="str">
        <f t="shared" si="924"/>
        <v/>
      </c>
    </row>
    <row r="19362" spans="9:14" x14ac:dyDescent="0.25">
      <c r="I19362" s="11" t="b">
        <f t="shared" si="925"/>
        <v>0</v>
      </c>
      <c r="M19362" s="17" t="str">
        <f t="shared" si="923"/>
        <v/>
      </c>
      <c r="N19362" s="11" t="str">
        <f t="shared" si="924"/>
        <v/>
      </c>
    </row>
    <row r="19363" spans="9:14" x14ac:dyDescent="0.25">
      <c r="I19363" s="11" t="b">
        <f t="shared" si="925"/>
        <v>0</v>
      </c>
      <c r="M19363" s="17" t="str">
        <f t="shared" si="923"/>
        <v/>
      </c>
      <c r="N19363" s="11" t="str">
        <f t="shared" si="924"/>
        <v/>
      </c>
    </row>
    <row r="19364" spans="9:14" x14ac:dyDescent="0.25">
      <c r="I19364" s="11" t="b">
        <f t="shared" si="925"/>
        <v>0</v>
      </c>
      <c r="M19364" s="17" t="str">
        <f t="shared" si="923"/>
        <v/>
      </c>
      <c r="N19364" s="11" t="str">
        <f t="shared" si="924"/>
        <v/>
      </c>
    </row>
    <row r="19365" spans="9:14" x14ac:dyDescent="0.25">
      <c r="I19365" s="11" t="b">
        <f t="shared" si="925"/>
        <v>0</v>
      </c>
      <c r="M19365" s="17" t="str">
        <f t="shared" si="923"/>
        <v/>
      </c>
      <c r="N19365" s="11" t="str">
        <f t="shared" si="924"/>
        <v/>
      </c>
    </row>
    <row r="19366" spans="9:14" x14ac:dyDescent="0.25">
      <c r="I19366" s="11" t="b">
        <f t="shared" si="925"/>
        <v>0</v>
      </c>
      <c r="M19366" s="17" t="str">
        <f t="shared" si="923"/>
        <v/>
      </c>
      <c r="N19366" s="11" t="str">
        <f t="shared" si="924"/>
        <v/>
      </c>
    </row>
    <row r="19367" spans="9:14" x14ac:dyDescent="0.25">
      <c r="I19367" s="11" t="b">
        <f t="shared" si="925"/>
        <v>0</v>
      </c>
      <c r="M19367" s="17" t="str">
        <f t="shared" si="923"/>
        <v/>
      </c>
      <c r="N19367" s="11" t="str">
        <f t="shared" si="924"/>
        <v/>
      </c>
    </row>
    <row r="19368" spans="9:14" x14ac:dyDescent="0.25">
      <c r="I19368" s="11" t="b">
        <f t="shared" si="925"/>
        <v>0</v>
      </c>
      <c r="M19368" s="17" t="str">
        <f t="shared" si="923"/>
        <v/>
      </c>
      <c r="N19368" s="11" t="str">
        <f t="shared" si="924"/>
        <v/>
      </c>
    </row>
    <row r="19369" spans="9:14" x14ac:dyDescent="0.25">
      <c r="I19369" s="11" t="b">
        <f t="shared" si="925"/>
        <v>0</v>
      </c>
      <c r="M19369" s="17" t="str">
        <f t="shared" si="923"/>
        <v/>
      </c>
      <c r="N19369" s="11" t="str">
        <f t="shared" si="924"/>
        <v/>
      </c>
    </row>
    <row r="19370" spans="9:14" x14ac:dyDescent="0.25">
      <c r="I19370" s="11" t="b">
        <f t="shared" si="925"/>
        <v>0</v>
      </c>
      <c r="M19370" s="17" t="str">
        <f t="shared" si="923"/>
        <v/>
      </c>
      <c r="N19370" s="11" t="str">
        <f t="shared" si="924"/>
        <v/>
      </c>
    </row>
    <row r="19371" spans="9:14" x14ac:dyDescent="0.25">
      <c r="I19371" s="11" t="b">
        <f t="shared" si="925"/>
        <v>0</v>
      </c>
      <c r="M19371" s="17" t="str">
        <f t="shared" si="923"/>
        <v/>
      </c>
      <c r="N19371" s="11" t="str">
        <f t="shared" si="924"/>
        <v/>
      </c>
    </row>
    <row r="19372" spans="9:14" x14ac:dyDescent="0.25">
      <c r="I19372" s="11" t="b">
        <f t="shared" si="925"/>
        <v>0</v>
      </c>
      <c r="M19372" s="17" t="str">
        <f t="shared" si="923"/>
        <v/>
      </c>
      <c r="N19372" s="11" t="str">
        <f t="shared" si="924"/>
        <v/>
      </c>
    </row>
    <row r="19373" spans="9:14" x14ac:dyDescent="0.25">
      <c r="I19373" s="11" t="b">
        <f t="shared" si="925"/>
        <v>0</v>
      </c>
      <c r="M19373" s="17" t="str">
        <f t="shared" si="923"/>
        <v/>
      </c>
      <c r="N19373" s="11" t="str">
        <f t="shared" si="924"/>
        <v/>
      </c>
    </row>
    <row r="19374" spans="9:14" x14ac:dyDescent="0.25">
      <c r="I19374" s="11" t="b">
        <f t="shared" si="925"/>
        <v>0</v>
      </c>
      <c r="M19374" s="17" t="str">
        <f t="shared" si="923"/>
        <v/>
      </c>
      <c r="N19374" s="11" t="str">
        <f t="shared" si="924"/>
        <v/>
      </c>
    </row>
    <row r="19375" spans="9:14" x14ac:dyDescent="0.25">
      <c r="I19375" s="11" t="b">
        <f t="shared" si="925"/>
        <v>0</v>
      </c>
      <c r="M19375" s="17" t="str">
        <f t="shared" si="923"/>
        <v/>
      </c>
      <c r="N19375" s="11" t="str">
        <f t="shared" si="924"/>
        <v/>
      </c>
    </row>
    <row r="19376" spans="9:14" x14ac:dyDescent="0.25">
      <c r="I19376" s="11" t="b">
        <f t="shared" si="925"/>
        <v>0</v>
      </c>
      <c r="M19376" s="17" t="str">
        <f t="shared" si="923"/>
        <v/>
      </c>
      <c r="N19376" s="11" t="str">
        <f t="shared" si="924"/>
        <v/>
      </c>
    </row>
    <row r="19377" spans="9:14" x14ac:dyDescent="0.25">
      <c r="I19377" s="11" t="b">
        <f t="shared" si="925"/>
        <v>0</v>
      </c>
      <c r="M19377" s="17" t="str">
        <f t="shared" si="923"/>
        <v/>
      </c>
      <c r="N19377" s="11" t="str">
        <f t="shared" si="924"/>
        <v/>
      </c>
    </row>
    <row r="19378" spans="9:14" x14ac:dyDescent="0.25">
      <c r="I19378" s="11" t="b">
        <f t="shared" si="925"/>
        <v>0</v>
      </c>
      <c r="M19378" s="17" t="str">
        <f t="shared" si="923"/>
        <v/>
      </c>
      <c r="N19378" s="11" t="str">
        <f t="shared" si="924"/>
        <v/>
      </c>
    </row>
    <row r="19379" spans="9:14" x14ac:dyDescent="0.25">
      <c r="I19379" s="11" t="b">
        <f t="shared" si="925"/>
        <v>0</v>
      </c>
      <c r="M19379" s="17" t="str">
        <f t="shared" si="923"/>
        <v/>
      </c>
      <c r="N19379" s="11" t="str">
        <f t="shared" si="924"/>
        <v/>
      </c>
    </row>
    <row r="19380" spans="9:14" x14ac:dyDescent="0.25">
      <c r="I19380" s="11" t="b">
        <f t="shared" si="925"/>
        <v>0</v>
      </c>
      <c r="M19380" s="17" t="str">
        <f t="shared" si="923"/>
        <v/>
      </c>
      <c r="N19380" s="11" t="str">
        <f t="shared" si="924"/>
        <v/>
      </c>
    </row>
    <row r="19381" spans="9:14" x14ac:dyDescent="0.25">
      <c r="I19381" s="11" t="b">
        <f t="shared" si="925"/>
        <v>0</v>
      </c>
      <c r="M19381" s="17" t="str">
        <f t="shared" si="923"/>
        <v/>
      </c>
      <c r="N19381" s="11" t="str">
        <f t="shared" si="924"/>
        <v/>
      </c>
    </row>
    <row r="19382" spans="9:14" x14ac:dyDescent="0.25">
      <c r="I19382" s="11" t="b">
        <f t="shared" si="925"/>
        <v>0</v>
      </c>
      <c r="M19382" s="17" t="str">
        <f t="shared" si="923"/>
        <v/>
      </c>
      <c r="N19382" s="11" t="str">
        <f t="shared" si="924"/>
        <v/>
      </c>
    </row>
    <row r="19383" spans="9:14" x14ac:dyDescent="0.25">
      <c r="I19383" s="11" t="b">
        <f t="shared" si="925"/>
        <v>0</v>
      </c>
      <c r="M19383" s="17" t="str">
        <f t="shared" si="923"/>
        <v/>
      </c>
      <c r="N19383" s="11" t="str">
        <f t="shared" si="924"/>
        <v/>
      </c>
    </row>
    <row r="19384" spans="9:14" x14ac:dyDescent="0.25">
      <c r="I19384" s="11" t="b">
        <f t="shared" si="925"/>
        <v>0</v>
      </c>
      <c r="M19384" s="17" t="str">
        <f t="shared" si="923"/>
        <v/>
      </c>
      <c r="N19384" s="11" t="str">
        <f t="shared" si="924"/>
        <v/>
      </c>
    </row>
    <row r="19385" spans="9:14" x14ac:dyDescent="0.25">
      <c r="I19385" s="11" t="b">
        <f t="shared" si="925"/>
        <v>0</v>
      </c>
      <c r="M19385" s="17" t="str">
        <f t="shared" si="923"/>
        <v/>
      </c>
      <c r="N19385" s="11" t="str">
        <f t="shared" si="924"/>
        <v/>
      </c>
    </row>
    <row r="19386" spans="9:14" x14ac:dyDescent="0.25">
      <c r="I19386" s="11" t="b">
        <f t="shared" si="925"/>
        <v>0</v>
      </c>
      <c r="M19386" s="17" t="str">
        <f t="shared" si="923"/>
        <v/>
      </c>
      <c r="N19386" s="11" t="str">
        <f t="shared" si="924"/>
        <v/>
      </c>
    </row>
    <row r="19387" spans="9:14" x14ac:dyDescent="0.25">
      <c r="I19387" s="11" t="b">
        <f t="shared" si="925"/>
        <v>0</v>
      </c>
      <c r="M19387" s="17" t="str">
        <f t="shared" si="923"/>
        <v/>
      </c>
      <c r="N19387" s="11" t="str">
        <f t="shared" si="924"/>
        <v/>
      </c>
    </row>
    <row r="19388" spans="9:14" x14ac:dyDescent="0.25">
      <c r="I19388" s="11" t="b">
        <f t="shared" si="925"/>
        <v>0</v>
      </c>
      <c r="M19388" s="17" t="str">
        <f t="shared" si="923"/>
        <v/>
      </c>
      <c r="N19388" s="11" t="str">
        <f t="shared" si="924"/>
        <v/>
      </c>
    </row>
    <row r="19389" spans="9:14" x14ac:dyDescent="0.25">
      <c r="I19389" s="11" t="b">
        <f t="shared" si="925"/>
        <v>0</v>
      </c>
      <c r="M19389" s="17" t="str">
        <f t="shared" si="923"/>
        <v/>
      </c>
      <c r="N19389" s="11" t="str">
        <f t="shared" si="924"/>
        <v/>
      </c>
    </row>
    <row r="19390" spans="9:14" x14ac:dyDescent="0.25">
      <c r="I19390" s="11" t="b">
        <f t="shared" si="925"/>
        <v>0</v>
      </c>
      <c r="M19390" s="17" t="str">
        <f t="shared" si="923"/>
        <v/>
      </c>
      <c r="N19390" s="11" t="str">
        <f t="shared" si="924"/>
        <v/>
      </c>
    </row>
    <row r="19391" spans="9:14" x14ac:dyDescent="0.25">
      <c r="I19391" s="11" t="b">
        <f t="shared" si="925"/>
        <v>0</v>
      </c>
      <c r="M19391" s="17" t="str">
        <f t="shared" si="923"/>
        <v/>
      </c>
      <c r="N19391" s="11" t="str">
        <f t="shared" si="924"/>
        <v/>
      </c>
    </row>
    <row r="19392" spans="9:14" x14ac:dyDescent="0.25">
      <c r="I19392" s="11" t="b">
        <f t="shared" si="925"/>
        <v>0</v>
      </c>
      <c r="M19392" s="17" t="str">
        <f t="shared" si="923"/>
        <v/>
      </c>
      <c r="N19392" s="11" t="str">
        <f t="shared" si="924"/>
        <v/>
      </c>
    </row>
    <row r="19393" spans="9:14" x14ac:dyDescent="0.25">
      <c r="I19393" s="11" t="b">
        <f t="shared" si="925"/>
        <v>0</v>
      </c>
      <c r="M19393" s="17" t="str">
        <f t="shared" ref="M19393:M19456" si="926">IF(B19393=0, "",M19392+ J19393-K19393)</f>
        <v/>
      </c>
      <c r="N19393" s="11" t="str">
        <f t="shared" ref="N19393:N19456" si="927">IF(B19393=0, "", MONTH(B19393))</f>
        <v/>
      </c>
    </row>
    <row r="19394" spans="9:14" x14ac:dyDescent="0.25">
      <c r="I19394" s="11" t="b">
        <f t="shared" si="925"/>
        <v>0</v>
      </c>
      <c r="M19394" s="17" t="str">
        <f t="shared" si="926"/>
        <v/>
      </c>
      <c r="N19394" s="11" t="str">
        <f t="shared" si="927"/>
        <v/>
      </c>
    </row>
    <row r="19395" spans="9:14" x14ac:dyDescent="0.25">
      <c r="I19395" s="11" t="b">
        <f t="shared" si="925"/>
        <v>0</v>
      </c>
      <c r="M19395" s="17" t="str">
        <f t="shared" si="926"/>
        <v/>
      </c>
      <c r="N19395" s="11" t="str">
        <f t="shared" si="927"/>
        <v/>
      </c>
    </row>
    <row r="19396" spans="9:14" x14ac:dyDescent="0.25">
      <c r="I19396" s="11" t="b">
        <f t="shared" si="925"/>
        <v>0</v>
      </c>
      <c r="M19396" s="17" t="str">
        <f t="shared" si="926"/>
        <v/>
      </c>
      <c r="N19396" s="11" t="str">
        <f t="shared" si="927"/>
        <v/>
      </c>
    </row>
    <row r="19397" spans="9:14" x14ac:dyDescent="0.25">
      <c r="I19397" s="11" t="b">
        <f t="shared" si="925"/>
        <v>0</v>
      </c>
      <c r="M19397" s="17" t="str">
        <f t="shared" si="926"/>
        <v/>
      </c>
      <c r="N19397" s="11" t="str">
        <f t="shared" si="927"/>
        <v/>
      </c>
    </row>
    <row r="19398" spans="9:14" x14ac:dyDescent="0.25">
      <c r="I19398" s="11" t="b">
        <f t="shared" si="925"/>
        <v>0</v>
      </c>
      <c r="M19398" s="17" t="str">
        <f t="shared" si="926"/>
        <v/>
      </c>
      <c r="N19398" s="11" t="str">
        <f t="shared" si="927"/>
        <v/>
      </c>
    </row>
    <row r="19399" spans="9:14" x14ac:dyDescent="0.25">
      <c r="I19399" s="11" t="b">
        <f t="shared" si="925"/>
        <v>0</v>
      </c>
      <c r="M19399" s="17" t="str">
        <f t="shared" si="926"/>
        <v/>
      </c>
      <c r="N19399" s="11" t="str">
        <f t="shared" si="927"/>
        <v/>
      </c>
    </row>
    <row r="19400" spans="9:14" x14ac:dyDescent="0.25">
      <c r="I19400" s="11" t="b">
        <f t="shared" si="925"/>
        <v>0</v>
      </c>
      <c r="M19400" s="17" t="str">
        <f t="shared" si="926"/>
        <v/>
      </c>
      <c r="N19400" s="11" t="str">
        <f t="shared" si="927"/>
        <v/>
      </c>
    </row>
    <row r="19401" spans="9:14" x14ac:dyDescent="0.25">
      <c r="I19401" s="11" t="b">
        <f t="shared" si="925"/>
        <v>0</v>
      </c>
      <c r="M19401" s="17" t="str">
        <f t="shared" si="926"/>
        <v/>
      </c>
      <c r="N19401" s="11" t="str">
        <f t="shared" si="927"/>
        <v/>
      </c>
    </row>
    <row r="19402" spans="9:14" x14ac:dyDescent="0.25">
      <c r="I19402" s="11" t="b">
        <f t="shared" si="925"/>
        <v>0</v>
      </c>
      <c r="M19402" s="17" t="str">
        <f t="shared" si="926"/>
        <v/>
      </c>
      <c r="N19402" s="11" t="str">
        <f t="shared" si="927"/>
        <v/>
      </c>
    </row>
    <row r="19403" spans="9:14" x14ac:dyDescent="0.25">
      <c r="I19403" s="11" t="b">
        <f t="shared" si="925"/>
        <v>0</v>
      </c>
      <c r="M19403" s="17" t="str">
        <f t="shared" si="926"/>
        <v/>
      </c>
      <c r="N19403" s="11" t="str">
        <f t="shared" si="927"/>
        <v/>
      </c>
    </row>
    <row r="19404" spans="9:14" x14ac:dyDescent="0.25">
      <c r="I19404" s="11" t="b">
        <f t="shared" si="925"/>
        <v>0</v>
      </c>
      <c r="M19404" s="17" t="str">
        <f t="shared" si="926"/>
        <v/>
      </c>
      <c r="N19404" s="11" t="str">
        <f t="shared" si="927"/>
        <v/>
      </c>
    </row>
    <row r="19405" spans="9:14" x14ac:dyDescent="0.25">
      <c r="I19405" s="11" t="b">
        <f t="shared" si="925"/>
        <v>0</v>
      </c>
      <c r="M19405" s="17" t="str">
        <f t="shared" si="926"/>
        <v/>
      </c>
      <c r="N19405" s="11" t="str">
        <f t="shared" si="927"/>
        <v/>
      </c>
    </row>
    <row r="19406" spans="9:14" x14ac:dyDescent="0.25">
      <c r="I19406" s="11" t="b">
        <f t="shared" si="925"/>
        <v>0</v>
      </c>
      <c r="M19406" s="17" t="str">
        <f t="shared" si="926"/>
        <v/>
      </c>
      <c r="N19406" s="11" t="str">
        <f t="shared" si="927"/>
        <v/>
      </c>
    </row>
    <row r="19407" spans="9:14" x14ac:dyDescent="0.25">
      <c r="I19407" s="11" t="b">
        <f t="shared" si="925"/>
        <v>0</v>
      </c>
      <c r="M19407" s="17" t="str">
        <f t="shared" si="926"/>
        <v/>
      </c>
      <c r="N19407" s="11" t="str">
        <f t="shared" si="927"/>
        <v/>
      </c>
    </row>
    <row r="19408" spans="9:14" x14ac:dyDescent="0.25">
      <c r="I19408" s="11" t="b">
        <f t="shared" si="925"/>
        <v>0</v>
      </c>
      <c r="M19408" s="17" t="str">
        <f t="shared" si="926"/>
        <v/>
      </c>
      <c r="N19408" s="11" t="str">
        <f t="shared" si="927"/>
        <v/>
      </c>
    </row>
    <row r="19409" spans="9:14" x14ac:dyDescent="0.25">
      <c r="I19409" s="11" t="b">
        <f t="shared" si="925"/>
        <v>0</v>
      </c>
      <c r="M19409" s="17" t="str">
        <f t="shared" si="926"/>
        <v/>
      </c>
      <c r="N19409" s="11" t="str">
        <f t="shared" si="927"/>
        <v/>
      </c>
    </row>
    <row r="19410" spans="9:14" x14ac:dyDescent="0.25">
      <c r="I19410" s="11" t="b">
        <f t="shared" si="925"/>
        <v>0</v>
      </c>
      <c r="M19410" s="17" t="str">
        <f t="shared" si="926"/>
        <v/>
      </c>
      <c r="N19410" s="11" t="str">
        <f t="shared" si="927"/>
        <v/>
      </c>
    </row>
    <row r="19411" spans="9:14" x14ac:dyDescent="0.25">
      <c r="I19411" s="11" t="b">
        <f t="shared" si="925"/>
        <v>0</v>
      </c>
      <c r="M19411" s="17" t="str">
        <f t="shared" si="926"/>
        <v/>
      </c>
      <c r="N19411" s="11" t="str">
        <f t="shared" si="927"/>
        <v/>
      </c>
    </row>
    <row r="19412" spans="9:14" x14ac:dyDescent="0.25">
      <c r="I19412" s="11" t="b">
        <f t="shared" si="925"/>
        <v>0</v>
      </c>
      <c r="M19412" s="17" t="str">
        <f t="shared" si="926"/>
        <v/>
      </c>
      <c r="N19412" s="11" t="str">
        <f t="shared" si="927"/>
        <v/>
      </c>
    </row>
    <row r="19413" spans="9:14" x14ac:dyDescent="0.25">
      <c r="I19413" s="11" t="b">
        <f t="shared" si="925"/>
        <v>0</v>
      </c>
      <c r="M19413" s="17" t="str">
        <f t="shared" si="926"/>
        <v/>
      </c>
      <c r="N19413" s="11" t="str">
        <f t="shared" si="927"/>
        <v/>
      </c>
    </row>
    <row r="19414" spans="9:14" x14ac:dyDescent="0.25">
      <c r="I19414" s="11" t="b">
        <f t="shared" si="925"/>
        <v>0</v>
      </c>
      <c r="M19414" s="17" t="str">
        <f t="shared" si="926"/>
        <v/>
      </c>
      <c r="N19414" s="11" t="str">
        <f t="shared" si="927"/>
        <v/>
      </c>
    </row>
    <row r="19415" spans="9:14" x14ac:dyDescent="0.25">
      <c r="I19415" s="11" t="b">
        <f t="shared" si="925"/>
        <v>0</v>
      </c>
      <c r="M19415" s="17" t="str">
        <f t="shared" si="926"/>
        <v/>
      </c>
      <c r="N19415" s="11" t="str">
        <f t="shared" si="927"/>
        <v/>
      </c>
    </row>
    <row r="19416" spans="9:14" x14ac:dyDescent="0.25">
      <c r="I19416" s="11" t="b">
        <f t="shared" si="925"/>
        <v>0</v>
      </c>
      <c r="M19416" s="17" t="str">
        <f t="shared" si="926"/>
        <v/>
      </c>
      <c r="N19416" s="11" t="str">
        <f t="shared" si="927"/>
        <v/>
      </c>
    </row>
    <row r="19417" spans="9:14" x14ac:dyDescent="0.25">
      <c r="I19417" s="11" t="b">
        <f t="shared" si="925"/>
        <v>0</v>
      </c>
      <c r="M19417" s="17" t="str">
        <f t="shared" si="926"/>
        <v/>
      </c>
      <c r="N19417" s="11" t="str">
        <f t="shared" si="927"/>
        <v/>
      </c>
    </row>
    <row r="19418" spans="9:14" x14ac:dyDescent="0.25">
      <c r="I19418" s="11" t="b">
        <f t="shared" si="925"/>
        <v>0</v>
      </c>
      <c r="M19418" s="17" t="str">
        <f t="shared" si="926"/>
        <v/>
      </c>
      <c r="N19418" s="11" t="str">
        <f t="shared" si="927"/>
        <v/>
      </c>
    </row>
    <row r="19419" spans="9:14" x14ac:dyDescent="0.25">
      <c r="I19419" s="11" t="b">
        <f t="shared" si="925"/>
        <v>0</v>
      </c>
      <c r="M19419" s="17" t="str">
        <f t="shared" si="926"/>
        <v/>
      </c>
      <c r="N19419" s="11" t="str">
        <f t="shared" si="927"/>
        <v/>
      </c>
    </row>
    <row r="19420" spans="9:14" x14ac:dyDescent="0.25">
      <c r="I19420" s="11" t="b">
        <f t="shared" si="925"/>
        <v>0</v>
      </c>
      <c r="M19420" s="17" t="str">
        <f t="shared" si="926"/>
        <v/>
      </c>
      <c r="N19420" s="11" t="str">
        <f t="shared" si="927"/>
        <v/>
      </c>
    </row>
    <row r="19421" spans="9:14" x14ac:dyDescent="0.25">
      <c r="I19421" s="11" t="b">
        <f t="shared" ref="I19421:I19484" si="928">IF(AND(G19421="MERCADO PAGO",A19421="FATURAMENTO"),1,IF(AND(OR(G19421="MERCADO PAGO",G19421="pix mercado pago",G19421= "débito automático mercado pago", G19421= "boleto mercado pago"),A19421="DESPESAS"),4,IF(AND(G19421="SAFRA",A19421="FATURAMENTO"),2,IF(AND(OR(G19421="SAFRA",G19421="PIX SAFRA", G19421="DÉBITO AUTOMÁTICO SAFRA", G19421= "BOLETO SAFRA", G19421= "transferência safra"), A19421="DESPESAS"),5,IF(AND(G19421="espécie",A19421="FATURAMENTO"),3,IF(AND(G19421="espécie",A19421="DESPESAS"),6))))))</f>
        <v>0</v>
      </c>
      <c r="M19421" s="17" t="str">
        <f t="shared" si="926"/>
        <v/>
      </c>
      <c r="N19421" s="11" t="str">
        <f t="shared" si="927"/>
        <v/>
      </c>
    </row>
    <row r="19422" spans="9:14" x14ac:dyDescent="0.25">
      <c r="I19422" s="11" t="b">
        <f t="shared" si="928"/>
        <v>0</v>
      </c>
      <c r="M19422" s="17" t="str">
        <f t="shared" si="926"/>
        <v/>
      </c>
      <c r="N19422" s="11" t="str">
        <f t="shared" si="927"/>
        <v/>
      </c>
    </row>
    <row r="19423" spans="9:14" x14ac:dyDescent="0.25">
      <c r="I19423" s="11" t="b">
        <f t="shared" si="928"/>
        <v>0</v>
      </c>
      <c r="M19423" s="17" t="str">
        <f t="shared" si="926"/>
        <v/>
      </c>
      <c r="N19423" s="11" t="str">
        <f t="shared" si="927"/>
        <v/>
      </c>
    </row>
    <row r="19424" spans="9:14" x14ac:dyDescent="0.25">
      <c r="I19424" s="11" t="b">
        <f t="shared" si="928"/>
        <v>0</v>
      </c>
      <c r="M19424" s="17" t="str">
        <f t="shared" si="926"/>
        <v/>
      </c>
      <c r="N19424" s="11" t="str">
        <f t="shared" si="927"/>
        <v/>
      </c>
    </row>
    <row r="19425" spans="9:14" x14ac:dyDescent="0.25">
      <c r="I19425" s="11" t="b">
        <f t="shared" si="928"/>
        <v>0</v>
      </c>
      <c r="M19425" s="17" t="str">
        <f t="shared" si="926"/>
        <v/>
      </c>
      <c r="N19425" s="11" t="str">
        <f t="shared" si="927"/>
        <v/>
      </c>
    </row>
    <row r="19426" spans="9:14" x14ac:dyDescent="0.25">
      <c r="I19426" s="11" t="b">
        <f t="shared" si="928"/>
        <v>0</v>
      </c>
      <c r="M19426" s="17" t="str">
        <f t="shared" si="926"/>
        <v/>
      </c>
      <c r="N19426" s="11" t="str">
        <f t="shared" si="927"/>
        <v/>
      </c>
    </row>
    <row r="19427" spans="9:14" x14ac:dyDescent="0.25">
      <c r="I19427" s="11" t="b">
        <f t="shared" si="928"/>
        <v>0</v>
      </c>
      <c r="M19427" s="17" t="str">
        <f t="shared" si="926"/>
        <v/>
      </c>
      <c r="N19427" s="11" t="str">
        <f t="shared" si="927"/>
        <v/>
      </c>
    </row>
    <row r="19428" spans="9:14" x14ac:dyDescent="0.25">
      <c r="I19428" s="11" t="b">
        <f t="shared" si="928"/>
        <v>0</v>
      </c>
      <c r="M19428" s="17" t="str">
        <f t="shared" si="926"/>
        <v/>
      </c>
      <c r="N19428" s="11" t="str">
        <f t="shared" si="927"/>
        <v/>
      </c>
    </row>
    <row r="19429" spans="9:14" x14ac:dyDescent="0.25">
      <c r="I19429" s="11" t="b">
        <f t="shared" si="928"/>
        <v>0</v>
      </c>
      <c r="M19429" s="17" t="str">
        <f t="shared" si="926"/>
        <v/>
      </c>
      <c r="N19429" s="11" t="str">
        <f t="shared" si="927"/>
        <v/>
      </c>
    </row>
    <row r="19430" spans="9:14" x14ac:dyDescent="0.25">
      <c r="I19430" s="11" t="b">
        <f t="shared" si="928"/>
        <v>0</v>
      </c>
      <c r="M19430" s="17" t="str">
        <f t="shared" si="926"/>
        <v/>
      </c>
      <c r="N19430" s="11" t="str">
        <f t="shared" si="927"/>
        <v/>
      </c>
    </row>
    <row r="19431" spans="9:14" x14ac:dyDescent="0.25">
      <c r="I19431" s="11" t="b">
        <f t="shared" si="928"/>
        <v>0</v>
      </c>
      <c r="M19431" s="17" t="str">
        <f t="shared" si="926"/>
        <v/>
      </c>
      <c r="N19431" s="11" t="str">
        <f t="shared" si="927"/>
        <v/>
      </c>
    </row>
    <row r="19432" spans="9:14" x14ac:dyDescent="0.25">
      <c r="I19432" s="11" t="b">
        <f t="shared" si="928"/>
        <v>0</v>
      </c>
      <c r="M19432" s="17" t="str">
        <f t="shared" si="926"/>
        <v/>
      </c>
      <c r="N19432" s="11" t="str">
        <f t="shared" si="927"/>
        <v/>
      </c>
    </row>
    <row r="19433" spans="9:14" x14ac:dyDescent="0.25">
      <c r="I19433" s="11" t="b">
        <f t="shared" si="928"/>
        <v>0</v>
      </c>
      <c r="M19433" s="17" t="str">
        <f t="shared" si="926"/>
        <v/>
      </c>
      <c r="N19433" s="11" t="str">
        <f t="shared" si="927"/>
        <v/>
      </c>
    </row>
    <row r="19434" spans="9:14" x14ac:dyDescent="0.25">
      <c r="I19434" s="11" t="b">
        <f t="shared" si="928"/>
        <v>0</v>
      </c>
      <c r="M19434" s="17" t="str">
        <f t="shared" si="926"/>
        <v/>
      </c>
      <c r="N19434" s="11" t="str">
        <f t="shared" si="927"/>
        <v/>
      </c>
    </row>
    <row r="19435" spans="9:14" x14ac:dyDescent="0.25">
      <c r="I19435" s="11" t="b">
        <f t="shared" si="928"/>
        <v>0</v>
      </c>
      <c r="M19435" s="17" t="str">
        <f t="shared" si="926"/>
        <v/>
      </c>
      <c r="N19435" s="11" t="str">
        <f t="shared" si="927"/>
        <v/>
      </c>
    </row>
    <row r="19436" spans="9:14" x14ac:dyDescent="0.25">
      <c r="I19436" s="11" t="b">
        <f t="shared" si="928"/>
        <v>0</v>
      </c>
      <c r="M19436" s="17" t="str">
        <f t="shared" si="926"/>
        <v/>
      </c>
      <c r="N19436" s="11" t="str">
        <f t="shared" si="927"/>
        <v/>
      </c>
    </row>
    <row r="19437" spans="9:14" x14ac:dyDescent="0.25">
      <c r="I19437" s="11" t="b">
        <f t="shared" si="928"/>
        <v>0</v>
      </c>
      <c r="M19437" s="17" t="str">
        <f t="shared" si="926"/>
        <v/>
      </c>
      <c r="N19437" s="11" t="str">
        <f t="shared" si="927"/>
        <v/>
      </c>
    </row>
    <row r="19438" spans="9:14" x14ac:dyDescent="0.25">
      <c r="I19438" s="11" t="b">
        <f t="shared" si="928"/>
        <v>0</v>
      </c>
      <c r="M19438" s="17" t="str">
        <f t="shared" si="926"/>
        <v/>
      </c>
      <c r="N19438" s="11" t="str">
        <f t="shared" si="927"/>
        <v/>
      </c>
    </row>
    <row r="19439" spans="9:14" x14ac:dyDescent="0.25">
      <c r="I19439" s="11" t="b">
        <f t="shared" si="928"/>
        <v>0</v>
      </c>
      <c r="M19439" s="17" t="str">
        <f t="shared" si="926"/>
        <v/>
      </c>
      <c r="N19439" s="11" t="str">
        <f t="shared" si="927"/>
        <v/>
      </c>
    </row>
    <row r="19440" spans="9:14" x14ac:dyDescent="0.25">
      <c r="I19440" s="11" t="b">
        <f t="shared" si="928"/>
        <v>0</v>
      </c>
      <c r="M19440" s="17" t="str">
        <f t="shared" si="926"/>
        <v/>
      </c>
      <c r="N19440" s="11" t="str">
        <f t="shared" si="927"/>
        <v/>
      </c>
    </row>
    <row r="19441" spans="9:14" x14ac:dyDescent="0.25">
      <c r="I19441" s="11" t="b">
        <f t="shared" si="928"/>
        <v>0</v>
      </c>
      <c r="M19441" s="17" t="str">
        <f t="shared" si="926"/>
        <v/>
      </c>
      <c r="N19441" s="11" t="str">
        <f t="shared" si="927"/>
        <v/>
      </c>
    </row>
    <row r="19442" spans="9:14" x14ac:dyDescent="0.25">
      <c r="I19442" s="11" t="b">
        <f t="shared" si="928"/>
        <v>0</v>
      </c>
      <c r="M19442" s="17" t="str">
        <f t="shared" si="926"/>
        <v/>
      </c>
      <c r="N19442" s="11" t="str">
        <f t="shared" si="927"/>
        <v/>
      </c>
    </row>
    <row r="19443" spans="9:14" x14ac:dyDescent="0.25">
      <c r="I19443" s="11" t="b">
        <f t="shared" si="928"/>
        <v>0</v>
      </c>
      <c r="M19443" s="17" t="str">
        <f t="shared" si="926"/>
        <v/>
      </c>
      <c r="N19443" s="11" t="str">
        <f t="shared" si="927"/>
        <v/>
      </c>
    </row>
    <row r="19444" spans="9:14" x14ac:dyDescent="0.25">
      <c r="I19444" s="11" t="b">
        <f t="shared" si="928"/>
        <v>0</v>
      </c>
      <c r="M19444" s="17" t="str">
        <f t="shared" si="926"/>
        <v/>
      </c>
      <c r="N19444" s="11" t="str">
        <f t="shared" si="927"/>
        <v/>
      </c>
    </row>
    <row r="19445" spans="9:14" x14ac:dyDescent="0.25">
      <c r="I19445" s="11" t="b">
        <f t="shared" si="928"/>
        <v>0</v>
      </c>
      <c r="M19445" s="17" t="str">
        <f t="shared" si="926"/>
        <v/>
      </c>
      <c r="N19445" s="11" t="str">
        <f t="shared" si="927"/>
        <v/>
      </c>
    </row>
    <row r="19446" spans="9:14" x14ac:dyDescent="0.25">
      <c r="I19446" s="11" t="b">
        <f t="shared" si="928"/>
        <v>0</v>
      </c>
      <c r="M19446" s="17" t="str">
        <f t="shared" si="926"/>
        <v/>
      </c>
      <c r="N19446" s="11" t="str">
        <f t="shared" si="927"/>
        <v/>
      </c>
    </row>
    <row r="19447" spans="9:14" x14ac:dyDescent="0.25">
      <c r="I19447" s="11" t="b">
        <f t="shared" si="928"/>
        <v>0</v>
      </c>
      <c r="M19447" s="17" t="str">
        <f t="shared" si="926"/>
        <v/>
      </c>
      <c r="N19447" s="11" t="str">
        <f t="shared" si="927"/>
        <v/>
      </c>
    </row>
    <row r="19448" spans="9:14" x14ac:dyDescent="0.25">
      <c r="I19448" s="11" t="b">
        <f t="shared" si="928"/>
        <v>0</v>
      </c>
      <c r="M19448" s="17" t="str">
        <f t="shared" si="926"/>
        <v/>
      </c>
      <c r="N19448" s="11" t="str">
        <f t="shared" si="927"/>
        <v/>
      </c>
    </row>
    <row r="19449" spans="9:14" x14ac:dyDescent="0.25">
      <c r="I19449" s="11" t="b">
        <f t="shared" si="928"/>
        <v>0</v>
      </c>
      <c r="M19449" s="17" t="str">
        <f t="shared" si="926"/>
        <v/>
      </c>
      <c r="N19449" s="11" t="str">
        <f t="shared" si="927"/>
        <v/>
      </c>
    </row>
    <row r="19450" spans="9:14" x14ac:dyDescent="0.25">
      <c r="I19450" s="11" t="b">
        <f t="shared" si="928"/>
        <v>0</v>
      </c>
      <c r="M19450" s="17" t="str">
        <f t="shared" si="926"/>
        <v/>
      </c>
      <c r="N19450" s="11" t="str">
        <f t="shared" si="927"/>
        <v/>
      </c>
    </row>
    <row r="19451" spans="9:14" x14ac:dyDescent="0.25">
      <c r="I19451" s="11" t="b">
        <f t="shared" si="928"/>
        <v>0</v>
      </c>
      <c r="M19451" s="17" t="str">
        <f t="shared" si="926"/>
        <v/>
      </c>
      <c r="N19451" s="11" t="str">
        <f t="shared" si="927"/>
        <v/>
      </c>
    </row>
    <row r="19452" spans="9:14" x14ac:dyDescent="0.25">
      <c r="I19452" s="11" t="b">
        <f t="shared" si="928"/>
        <v>0</v>
      </c>
      <c r="M19452" s="17" t="str">
        <f t="shared" si="926"/>
        <v/>
      </c>
      <c r="N19452" s="11" t="str">
        <f t="shared" si="927"/>
        <v/>
      </c>
    </row>
    <row r="19453" spans="9:14" x14ac:dyDescent="0.25">
      <c r="I19453" s="11" t="b">
        <f t="shared" si="928"/>
        <v>0</v>
      </c>
      <c r="M19453" s="17" t="str">
        <f t="shared" si="926"/>
        <v/>
      </c>
      <c r="N19453" s="11" t="str">
        <f t="shared" si="927"/>
        <v/>
      </c>
    </row>
    <row r="19454" spans="9:14" x14ac:dyDescent="0.25">
      <c r="I19454" s="11" t="b">
        <f t="shared" si="928"/>
        <v>0</v>
      </c>
      <c r="M19454" s="17" t="str">
        <f t="shared" si="926"/>
        <v/>
      </c>
      <c r="N19454" s="11" t="str">
        <f t="shared" si="927"/>
        <v/>
      </c>
    </row>
    <row r="19455" spans="9:14" x14ac:dyDescent="0.25">
      <c r="I19455" s="11" t="b">
        <f t="shared" si="928"/>
        <v>0</v>
      </c>
      <c r="M19455" s="17" t="str">
        <f t="shared" si="926"/>
        <v/>
      </c>
      <c r="N19455" s="11" t="str">
        <f t="shared" si="927"/>
        <v/>
      </c>
    </row>
    <row r="19456" spans="9:14" x14ac:dyDescent="0.25">
      <c r="I19456" s="11" t="b">
        <f t="shared" si="928"/>
        <v>0</v>
      </c>
      <c r="M19456" s="17" t="str">
        <f t="shared" si="926"/>
        <v/>
      </c>
      <c r="N19456" s="11" t="str">
        <f t="shared" si="927"/>
        <v/>
      </c>
    </row>
    <row r="19457" spans="9:14" x14ac:dyDescent="0.25">
      <c r="I19457" s="11" t="b">
        <f t="shared" si="928"/>
        <v>0</v>
      </c>
      <c r="M19457" s="17" t="str">
        <f t="shared" ref="M19457:M19520" si="929">IF(B19457=0, "",M19456+ J19457-K19457)</f>
        <v/>
      </c>
      <c r="N19457" s="11" t="str">
        <f t="shared" ref="N19457:N19520" si="930">IF(B19457=0, "", MONTH(B19457))</f>
        <v/>
      </c>
    </row>
    <row r="19458" spans="9:14" x14ac:dyDescent="0.25">
      <c r="I19458" s="11" t="b">
        <f t="shared" si="928"/>
        <v>0</v>
      </c>
      <c r="M19458" s="17" t="str">
        <f t="shared" si="929"/>
        <v/>
      </c>
      <c r="N19458" s="11" t="str">
        <f t="shared" si="930"/>
        <v/>
      </c>
    </row>
    <row r="19459" spans="9:14" x14ac:dyDescent="0.25">
      <c r="I19459" s="11" t="b">
        <f t="shared" si="928"/>
        <v>0</v>
      </c>
      <c r="M19459" s="17" t="str">
        <f t="shared" si="929"/>
        <v/>
      </c>
      <c r="N19459" s="11" t="str">
        <f t="shared" si="930"/>
        <v/>
      </c>
    </row>
    <row r="19460" spans="9:14" x14ac:dyDescent="0.25">
      <c r="I19460" s="11" t="b">
        <f t="shared" si="928"/>
        <v>0</v>
      </c>
      <c r="M19460" s="17" t="str">
        <f t="shared" si="929"/>
        <v/>
      </c>
      <c r="N19460" s="11" t="str">
        <f t="shared" si="930"/>
        <v/>
      </c>
    </row>
    <row r="19461" spans="9:14" x14ac:dyDescent="0.25">
      <c r="I19461" s="11" t="b">
        <f t="shared" si="928"/>
        <v>0</v>
      </c>
      <c r="M19461" s="17" t="str">
        <f t="shared" si="929"/>
        <v/>
      </c>
      <c r="N19461" s="11" t="str">
        <f t="shared" si="930"/>
        <v/>
      </c>
    </row>
    <row r="19462" spans="9:14" x14ac:dyDescent="0.25">
      <c r="I19462" s="11" t="b">
        <f t="shared" si="928"/>
        <v>0</v>
      </c>
      <c r="M19462" s="17" t="str">
        <f t="shared" si="929"/>
        <v/>
      </c>
      <c r="N19462" s="11" t="str">
        <f t="shared" si="930"/>
        <v/>
      </c>
    </row>
    <row r="19463" spans="9:14" x14ac:dyDescent="0.25">
      <c r="I19463" s="11" t="b">
        <f t="shared" si="928"/>
        <v>0</v>
      </c>
      <c r="M19463" s="17" t="str">
        <f t="shared" si="929"/>
        <v/>
      </c>
      <c r="N19463" s="11" t="str">
        <f t="shared" si="930"/>
        <v/>
      </c>
    </row>
    <row r="19464" spans="9:14" x14ac:dyDescent="0.25">
      <c r="I19464" s="11" t="b">
        <f t="shared" si="928"/>
        <v>0</v>
      </c>
      <c r="M19464" s="17" t="str">
        <f t="shared" si="929"/>
        <v/>
      </c>
      <c r="N19464" s="11" t="str">
        <f t="shared" si="930"/>
        <v/>
      </c>
    </row>
    <row r="19465" spans="9:14" x14ac:dyDescent="0.25">
      <c r="I19465" s="11" t="b">
        <f t="shared" si="928"/>
        <v>0</v>
      </c>
      <c r="M19465" s="17" t="str">
        <f t="shared" si="929"/>
        <v/>
      </c>
      <c r="N19465" s="11" t="str">
        <f t="shared" si="930"/>
        <v/>
      </c>
    </row>
    <row r="19466" spans="9:14" x14ac:dyDescent="0.25">
      <c r="I19466" s="11" t="b">
        <f t="shared" si="928"/>
        <v>0</v>
      </c>
      <c r="M19466" s="17" t="str">
        <f t="shared" si="929"/>
        <v/>
      </c>
      <c r="N19466" s="11" t="str">
        <f t="shared" si="930"/>
        <v/>
      </c>
    </row>
    <row r="19467" spans="9:14" x14ac:dyDescent="0.25">
      <c r="I19467" s="11" t="b">
        <f t="shared" si="928"/>
        <v>0</v>
      </c>
      <c r="M19467" s="17" t="str">
        <f t="shared" si="929"/>
        <v/>
      </c>
      <c r="N19467" s="11" t="str">
        <f t="shared" si="930"/>
        <v/>
      </c>
    </row>
    <row r="19468" spans="9:14" x14ac:dyDescent="0.25">
      <c r="I19468" s="11" t="b">
        <f t="shared" si="928"/>
        <v>0</v>
      </c>
      <c r="M19468" s="17" t="str">
        <f t="shared" si="929"/>
        <v/>
      </c>
      <c r="N19468" s="11" t="str">
        <f t="shared" si="930"/>
        <v/>
      </c>
    </row>
    <row r="19469" spans="9:14" x14ac:dyDescent="0.25">
      <c r="I19469" s="11" t="b">
        <f t="shared" si="928"/>
        <v>0</v>
      </c>
      <c r="M19469" s="17" t="str">
        <f t="shared" si="929"/>
        <v/>
      </c>
      <c r="N19469" s="11" t="str">
        <f t="shared" si="930"/>
        <v/>
      </c>
    </row>
    <row r="19470" spans="9:14" x14ac:dyDescent="0.25">
      <c r="I19470" s="11" t="b">
        <f t="shared" si="928"/>
        <v>0</v>
      </c>
      <c r="M19470" s="17" t="str">
        <f t="shared" si="929"/>
        <v/>
      </c>
      <c r="N19470" s="11" t="str">
        <f t="shared" si="930"/>
        <v/>
      </c>
    </row>
    <row r="19471" spans="9:14" x14ac:dyDescent="0.25">
      <c r="I19471" s="11" t="b">
        <f t="shared" si="928"/>
        <v>0</v>
      </c>
      <c r="M19471" s="17" t="str">
        <f t="shared" si="929"/>
        <v/>
      </c>
      <c r="N19471" s="11" t="str">
        <f t="shared" si="930"/>
        <v/>
      </c>
    </row>
    <row r="19472" spans="9:14" x14ac:dyDescent="0.25">
      <c r="I19472" s="11" t="b">
        <f t="shared" si="928"/>
        <v>0</v>
      </c>
      <c r="M19472" s="17" t="str">
        <f t="shared" si="929"/>
        <v/>
      </c>
      <c r="N19472" s="11" t="str">
        <f t="shared" si="930"/>
        <v/>
      </c>
    </row>
    <row r="19473" spans="9:14" x14ac:dyDescent="0.25">
      <c r="I19473" s="11" t="b">
        <f t="shared" si="928"/>
        <v>0</v>
      </c>
      <c r="M19473" s="17" t="str">
        <f t="shared" si="929"/>
        <v/>
      </c>
      <c r="N19473" s="11" t="str">
        <f t="shared" si="930"/>
        <v/>
      </c>
    </row>
    <row r="19474" spans="9:14" x14ac:dyDescent="0.25">
      <c r="I19474" s="11" t="b">
        <f t="shared" si="928"/>
        <v>0</v>
      </c>
      <c r="M19474" s="17" t="str">
        <f t="shared" si="929"/>
        <v/>
      </c>
      <c r="N19474" s="11" t="str">
        <f t="shared" si="930"/>
        <v/>
      </c>
    </row>
    <row r="19475" spans="9:14" x14ac:dyDescent="0.25">
      <c r="I19475" s="11" t="b">
        <f t="shared" si="928"/>
        <v>0</v>
      </c>
      <c r="M19475" s="17" t="str">
        <f t="shared" si="929"/>
        <v/>
      </c>
      <c r="N19475" s="11" t="str">
        <f t="shared" si="930"/>
        <v/>
      </c>
    </row>
    <row r="19476" spans="9:14" x14ac:dyDescent="0.25">
      <c r="I19476" s="11" t="b">
        <f t="shared" si="928"/>
        <v>0</v>
      </c>
      <c r="M19476" s="17" t="str">
        <f t="shared" si="929"/>
        <v/>
      </c>
      <c r="N19476" s="11" t="str">
        <f t="shared" si="930"/>
        <v/>
      </c>
    </row>
    <row r="19477" spans="9:14" x14ac:dyDescent="0.25">
      <c r="I19477" s="11" t="b">
        <f t="shared" si="928"/>
        <v>0</v>
      </c>
      <c r="M19477" s="17" t="str">
        <f t="shared" si="929"/>
        <v/>
      </c>
      <c r="N19477" s="11" t="str">
        <f t="shared" si="930"/>
        <v/>
      </c>
    </row>
    <row r="19478" spans="9:14" x14ac:dyDescent="0.25">
      <c r="I19478" s="11" t="b">
        <f t="shared" si="928"/>
        <v>0</v>
      </c>
      <c r="M19478" s="17" t="str">
        <f t="shared" si="929"/>
        <v/>
      </c>
      <c r="N19478" s="11" t="str">
        <f t="shared" si="930"/>
        <v/>
      </c>
    </row>
    <row r="19479" spans="9:14" x14ac:dyDescent="0.25">
      <c r="I19479" s="11" t="b">
        <f t="shared" si="928"/>
        <v>0</v>
      </c>
      <c r="M19479" s="17" t="str">
        <f t="shared" si="929"/>
        <v/>
      </c>
      <c r="N19479" s="11" t="str">
        <f t="shared" si="930"/>
        <v/>
      </c>
    </row>
    <row r="19480" spans="9:14" x14ac:dyDescent="0.25">
      <c r="I19480" s="11" t="b">
        <f t="shared" si="928"/>
        <v>0</v>
      </c>
      <c r="M19480" s="17" t="str">
        <f t="shared" si="929"/>
        <v/>
      </c>
      <c r="N19480" s="11" t="str">
        <f t="shared" si="930"/>
        <v/>
      </c>
    </row>
    <row r="19481" spans="9:14" x14ac:dyDescent="0.25">
      <c r="I19481" s="11" t="b">
        <f t="shared" si="928"/>
        <v>0</v>
      </c>
      <c r="M19481" s="17" t="str">
        <f t="shared" si="929"/>
        <v/>
      </c>
      <c r="N19481" s="11" t="str">
        <f t="shared" si="930"/>
        <v/>
      </c>
    </row>
    <row r="19482" spans="9:14" x14ac:dyDescent="0.25">
      <c r="I19482" s="11" t="b">
        <f t="shared" si="928"/>
        <v>0</v>
      </c>
      <c r="M19482" s="17" t="str">
        <f t="shared" si="929"/>
        <v/>
      </c>
      <c r="N19482" s="11" t="str">
        <f t="shared" si="930"/>
        <v/>
      </c>
    </row>
    <row r="19483" spans="9:14" x14ac:dyDescent="0.25">
      <c r="I19483" s="11" t="b">
        <f t="shared" si="928"/>
        <v>0</v>
      </c>
      <c r="M19483" s="17" t="str">
        <f t="shared" si="929"/>
        <v/>
      </c>
      <c r="N19483" s="11" t="str">
        <f t="shared" si="930"/>
        <v/>
      </c>
    </row>
    <row r="19484" spans="9:14" x14ac:dyDescent="0.25">
      <c r="I19484" s="11" t="b">
        <f t="shared" si="928"/>
        <v>0</v>
      </c>
      <c r="M19484" s="17" t="str">
        <f t="shared" si="929"/>
        <v/>
      </c>
      <c r="N19484" s="11" t="str">
        <f t="shared" si="930"/>
        <v/>
      </c>
    </row>
    <row r="19485" spans="9:14" x14ac:dyDescent="0.25">
      <c r="I19485" s="11" t="b">
        <f t="shared" ref="I19485:I19548" si="931">IF(AND(G19485="MERCADO PAGO",A19485="FATURAMENTO"),1,IF(AND(OR(G19485="MERCADO PAGO",G19485="pix mercado pago",G19485= "débito automático mercado pago", G19485= "boleto mercado pago"),A19485="DESPESAS"),4,IF(AND(G19485="SAFRA",A19485="FATURAMENTO"),2,IF(AND(OR(G19485="SAFRA",G19485="PIX SAFRA", G19485="DÉBITO AUTOMÁTICO SAFRA", G19485= "BOLETO SAFRA", G19485= "transferência safra"), A19485="DESPESAS"),5,IF(AND(G19485="espécie",A19485="FATURAMENTO"),3,IF(AND(G19485="espécie",A19485="DESPESAS"),6))))))</f>
        <v>0</v>
      </c>
      <c r="M19485" s="17" t="str">
        <f t="shared" si="929"/>
        <v/>
      </c>
      <c r="N19485" s="11" t="str">
        <f t="shared" si="930"/>
        <v/>
      </c>
    </row>
    <row r="19486" spans="9:14" x14ac:dyDescent="0.25">
      <c r="I19486" s="11" t="b">
        <f t="shared" si="931"/>
        <v>0</v>
      </c>
      <c r="M19486" s="17" t="str">
        <f t="shared" si="929"/>
        <v/>
      </c>
      <c r="N19486" s="11" t="str">
        <f t="shared" si="930"/>
        <v/>
      </c>
    </row>
    <row r="19487" spans="9:14" x14ac:dyDescent="0.25">
      <c r="I19487" s="11" t="b">
        <f t="shared" si="931"/>
        <v>0</v>
      </c>
      <c r="M19487" s="17" t="str">
        <f t="shared" si="929"/>
        <v/>
      </c>
      <c r="N19487" s="11" t="str">
        <f t="shared" si="930"/>
        <v/>
      </c>
    </row>
    <row r="19488" spans="9:14" x14ac:dyDescent="0.25">
      <c r="I19488" s="11" t="b">
        <f t="shared" si="931"/>
        <v>0</v>
      </c>
      <c r="M19488" s="17" t="str">
        <f t="shared" si="929"/>
        <v/>
      </c>
      <c r="N19488" s="11" t="str">
        <f t="shared" si="930"/>
        <v/>
      </c>
    </row>
    <row r="19489" spans="9:14" x14ac:dyDescent="0.25">
      <c r="I19489" s="11" t="b">
        <f t="shared" si="931"/>
        <v>0</v>
      </c>
      <c r="M19489" s="17" t="str">
        <f t="shared" si="929"/>
        <v/>
      </c>
      <c r="N19489" s="11" t="str">
        <f t="shared" si="930"/>
        <v/>
      </c>
    </row>
    <row r="19490" spans="9:14" x14ac:dyDescent="0.25">
      <c r="I19490" s="11" t="b">
        <f t="shared" si="931"/>
        <v>0</v>
      </c>
      <c r="M19490" s="17" t="str">
        <f t="shared" si="929"/>
        <v/>
      </c>
      <c r="N19490" s="11" t="str">
        <f t="shared" si="930"/>
        <v/>
      </c>
    </row>
    <row r="19491" spans="9:14" x14ac:dyDescent="0.25">
      <c r="I19491" s="11" t="b">
        <f t="shared" si="931"/>
        <v>0</v>
      </c>
      <c r="M19491" s="17" t="str">
        <f t="shared" si="929"/>
        <v/>
      </c>
      <c r="N19491" s="11" t="str">
        <f t="shared" si="930"/>
        <v/>
      </c>
    </row>
    <row r="19492" spans="9:14" x14ac:dyDescent="0.25">
      <c r="I19492" s="11" t="b">
        <f t="shared" si="931"/>
        <v>0</v>
      </c>
      <c r="M19492" s="17" t="str">
        <f t="shared" si="929"/>
        <v/>
      </c>
      <c r="N19492" s="11" t="str">
        <f t="shared" si="930"/>
        <v/>
      </c>
    </row>
    <row r="19493" spans="9:14" x14ac:dyDescent="0.25">
      <c r="I19493" s="11" t="b">
        <f t="shared" si="931"/>
        <v>0</v>
      </c>
      <c r="M19493" s="17" t="str">
        <f t="shared" si="929"/>
        <v/>
      </c>
      <c r="N19493" s="11" t="str">
        <f t="shared" si="930"/>
        <v/>
      </c>
    </row>
    <row r="19494" spans="9:14" x14ac:dyDescent="0.25">
      <c r="I19494" s="11" t="b">
        <f t="shared" si="931"/>
        <v>0</v>
      </c>
      <c r="M19494" s="17" t="str">
        <f t="shared" si="929"/>
        <v/>
      </c>
      <c r="N19494" s="11" t="str">
        <f t="shared" si="930"/>
        <v/>
      </c>
    </row>
    <row r="19495" spans="9:14" x14ac:dyDescent="0.25">
      <c r="I19495" s="11" t="b">
        <f t="shared" si="931"/>
        <v>0</v>
      </c>
      <c r="M19495" s="17" t="str">
        <f t="shared" si="929"/>
        <v/>
      </c>
      <c r="N19495" s="11" t="str">
        <f t="shared" si="930"/>
        <v/>
      </c>
    </row>
    <row r="19496" spans="9:14" x14ac:dyDescent="0.25">
      <c r="I19496" s="11" t="b">
        <f t="shared" si="931"/>
        <v>0</v>
      </c>
      <c r="M19496" s="17" t="str">
        <f t="shared" si="929"/>
        <v/>
      </c>
      <c r="N19496" s="11" t="str">
        <f t="shared" si="930"/>
        <v/>
      </c>
    </row>
    <row r="19497" spans="9:14" x14ac:dyDescent="0.25">
      <c r="I19497" s="11" t="b">
        <f t="shared" si="931"/>
        <v>0</v>
      </c>
      <c r="M19497" s="17" t="str">
        <f t="shared" si="929"/>
        <v/>
      </c>
      <c r="N19497" s="11" t="str">
        <f t="shared" si="930"/>
        <v/>
      </c>
    </row>
    <row r="19498" spans="9:14" x14ac:dyDescent="0.25">
      <c r="I19498" s="11" t="b">
        <f t="shared" si="931"/>
        <v>0</v>
      </c>
      <c r="M19498" s="17" t="str">
        <f t="shared" si="929"/>
        <v/>
      </c>
      <c r="N19498" s="11" t="str">
        <f t="shared" si="930"/>
        <v/>
      </c>
    </row>
    <row r="19499" spans="9:14" x14ac:dyDescent="0.25">
      <c r="I19499" s="11" t="b">
        <f t="shared" si="931"/>
        <v>0</v>
      </c>
      <c r="M19499" s="17" t="str">
        <f t="shared" si="929"/>
        <v/>
      </c>
      <c r="N19499" s="11" t="str">
        <f t="shared" si="930"/>
        <v/>
      </c>
    </row>
    <row r="19500" spans="9:14" x14ac:dyDescent="0.25">
      <c r="I19500" s="11" t="b">
        <f t="shared" si="931"/>
        <v>0</v>
      </c>
      <c r="M19500" s="17" t="str">
        <f t="shared" si="929"/>
        <v/>
      </c>
      <c r="N19500" s="11" t="str">
        <f t="shared" si="930"/>
        <v/>
      </c>
    </row>
    <row r="19501" spans="9:14" x14ac:dyDescent="0.25">
      <c r="I19501" s="11" t="b">
        <f t="shared" si="931"/>
        <v>0</v>
      </c>
      <c r="M19501" s="17" t="str">
        <f t="shared" si="929"/>
        <v/>
      </c>
      <c r="N19501" s="11" t="str">
        <f t="shared" si="930"/>
        <v/>
      </c>
    </row>
    <row r="19502" spans="9:14" x14ac:dyDescent="0.25">
      <c r="I19502" s="11" t="b">
        <f t="shared" si="931"/>
        <v>0</v>
      </c>
      <c r="M19502" s="17" t="str">
        <f t="shared" si="929"/>
        <v/>
      </c>
      <c r="N19502" s="11" t="str">
        <f t="shared" si="930"/>
        <v/>
      </c>
    </row>
    <row r="19503" spans="9:14" x14ac:dyDescent="0.25">
      <c r="I19503" s="11" t="b">
        <f t="shared" si="931"/>
        <v>0</v>
      </c>
      <c r="M19503" s="17" t="str">
        <f t="shared" si="929"/>
        <v/>
      </c>
      <c r="N19503" s="11" t="str">
        <f t="shared" si="930"/>
        <v/>
      </c>
    </row>
    <row r="19504" spans="9:14" x14ac:dyDescent="0.25">
      <c r="I19504" s="11" t="b">
        <f t="shared" si="931"/>
        <v>0</v>
      </c>
      <c r="M19504" s="17" t="str">
        <f t="shared" si="929"/>
        <v/>
      </c>
      <c r="N19504" s="11" t="str">
        <f t="shared" si="930"/>
        <v/>
      </c>
    </row>
    <row r="19505" spans="9:14" x14ac:dyDescent="0.25">
      <c r="I19505" s="11" t="b">
        <f t="shared" si="931"/>
        <v>0</v>
      </c>
      <c r="M19505" s="17" t="str">
        <f t="shared" si="929"/>
        <v/>
      </c>
      <c r="N19505" s="11" t="str">
        <f t="shared" si="930"/>
        <v/>
      </c>
    </row>
    <row r="19506" spans="9:14" x14ac:dyDescent="0.25">
      <c r="I19506" s="11" t="b">
        <f t="shared" si="931"/>
        <v>0</v>
      </c>
      <c r="M19506" s="17" t="str">
        <f t="shared" si="929"/>
        <v/>
      </c>
      <c r="N19506" s="11" t="str">
        <f t="shared" si="930"/>
        <v/>
      </c>
    </row>
    <row r="19507" spans="9:14" x14ac:dyDescent="0.25">
      <c r="I19507" s="11" t="b">
        <f t="shared" si="931"/>
        <v>0</v>
      </c>
      <c r="M19507" s="17" t="str">
        <f t="shared" si="929"/>
        <v/>
      </c>
      <c r="N19507" s="11" t="str">
        <f t="shared" si="930"/>
        <v/>
      </c>
    </row>
    <row r="19508" spans="9:14" x14ac:dyDescent="0.25">
      <c r="I19508" s="11" t="b">
        <f t="shared" si="931"/>
        <v>0</v>
      </c>
      <c r="M19508" s="17" t="str">
        <f t="shared" si="929"/>
        <v/>
      </c>
      <c r="N19508" s="11" t="str">
        <f t="shared" si="930"/>
        <v/>
      </c>
    </row>
    <row r="19509" spans="9:14" x14ac:dyDescent="0.25">
      <c r="I19509" s="11" t="b">
        <f t="shared" si="931"/>
        <v>0</v>
      </c>
      <c r="M19509" s="17" t="str">
        <f t="shared" si="929"/>
        <v/>
      </c>
      <c r="N19509" s="11" t="str">
        <f t="shared" si="930"/>
        <v/>
      </c>
    </row>
    <row r="19510" spans="9:14" x14ac:dyDescent="0.25">
      <c r="I19510" s="11" t="b">
        <f t="shared" si="931"/>
        <v>0</v>
      </c>
      <c r="M19510" s="17" t="str">
        <f t="shared" si="929"/>
        <v/>
      </c>
      <c r="N19510" s="11" t="str">
        <f t="shared" si="930"/>
        <v/>
      </c>
    </row>
    <row r="19511" spans="9:14" x14ac:dyDescent="0.25">
      <c r="I19511" s="11" t="b">
        <f t="shared" si="931"/>
        <v>0</v>
      </c>
      <c r="M19511" s="17" t="str">
        <f t="shared" si="929"/>
        <v/>
      </c>
      <c r="N19511" s="11" t="str">
        <f t="shared" si="930"/>
        <v/>
      </c>
    </row>
    <row r="19512" spans="9:14" x14ac:dyDescent="0.25">
      <c r="I19512" s="11" t="b">
        <f t="shared" si="931"/>
        <v>0</v>
      </c>
      <c r="M19512" s="17" t="str">
        <f t="shared" si="929"/>
        <v/>
      </c>
      <c r="N19512" s="11" t="str">
        <f t="shared" si="930"/>
        <v/>
      </c>
    </row>
    <row r="19513" spans="9:14" x14ac:dyDescent="0.25">
      <c r="I19513" s="11" t="b">
        <f t="shared" si="931"/>
        <v>0</v>
      </c>
      <c r="M19513" s="17" t="str">
        <f t="shared" si="929"/>
        <v/>
      </c>
      <c r="N19513" s="11" t="str">
        <f t="shared" si="930"/>
        <v/>
      </c>
    </row>
    <row r="19514" spans="9:14" x14ac:dyDescent="0.25">
      <c r="I19514" s="11" t="b">
        <f t="shared" si="931"/>
        <v>0</v>
      </c>
      <c r="M19514" s="17" t="str">
        <f t="shared" si="929"/>
        <v/>
      </c>
      <c r="N19514" s="11" t="str">
        <f t="shared" si="930"/>
        <v/>
      </c>
    </row>
    <row r="19515" spans="9:14" x14ac:dyDescent="0.25">
      <c r="I19515" s="11" t="b">
        <f t="shared" si="931"/>
        <v>0</v>
      </c>
      <c r="M19515" s="17" t="str">
        <f t="shared" si="929"/>
        <v/>
      </c>
      <c r="N19515" s="11" t="str">
        <f t="shared" si="930"/>
        <v/>
      </c>
    </row>
    <row r="19516" spans="9:14" x14ac:dyDescent="0.25">
      <c r="I19516" s="11" t="b">
        <f t="shared" si="931"/>
        <v>0</v>
      </c>
      <c r="M19516" s="17" t="str">
        <f t="shared" si="929"/>
        <v/>
      </c>
      <c r="N19516" s="11" t="str">
        <f t="shared" si="930"/>
        <v/>
      </c>
    </row>
    <row r="19517" spans="9:14" x14ac:dyDescent="0.25">
      <c r="I19517" s="11" t="b">
        <f t="shared" si="931"/>
        <v>0</v>
      </c>
      <c r="M19517" s="17" t="str">
        <f t="shared" si="929"/>
        <v/>
      </c>
      <c r="N19517" s="11" t="str">
        <f t="shared" si="930"/>
        <v/>
      </c>
    </row>
    <row r="19518" spans="9:14" x14ac:dyDescent="0.25">
      <c r="I19518" s="11" t="b">
        <f t="shared" si="931"/>
        <v>0</v>
      </c>
      <c r="M19518" s="17" t="str">
        <f t="shared" si="929"/>
        <v/>
      </c>
      <c r="N19518" s="11" t="str">
        <f t="shared" si="930"/>
        <v/>
      </c>
    </row>
    <row r="19519" spans="9:14" x14ac:dyDescent="0.25">
      <c r="I19519" s="11" t="b">
        <f t="shared" si="931"/>
        <v>0</v>
      </c>
      <c r="M19519" s="17" t="str">
        <f t="shared" si="929"/>
        <v/>
      </c>
      <c r="N19519" s="11" t="str">
        <f t="shared" si="930"/>
        <v/>
      </c>
    </row>
    <row r="19520" spans="9:14" x14ac:dyDescent="0.25">
      <c r="I19520" s="11" t="b">
        <f t="shared" si="931"/>
        <v>0</v>
      </c>
      <c r="M19520" s="17" t="str">
        <f t="shared" si="929"/>
        <v/>
      </c>
      <c r="N19520" s="11" t="str">
        <f t="shared" si="930"/>
        <v/>
      </c>
    </row>
    <row r="19521" spans="9:14" x14ac:dyDescent="0.25">
      <c r="I19521" s="11" t="b">
        <f t="shared" si="931"/>
        <v>0</v>
      </c>
      <c r="M19521" s="17" t="str">
        <f t="shared" ref="M19521:M19584" si="932">IF(B19521=0, "",M19520+ J19521-K19521)</f>
        <v/>
      </c>
      <c r="N19521" s="11" t="str">
        <f t="shared" ref="N19521:N19584" si="933">IF(B19521=0, "", MONTH(B19521))</f>
        <v/>
      </c>
    </row>
    <row r="19522" spans="9:14" x14ac:dyDescent="0.25">
      <c r="I19522" s="11" t="b">
        <f t="shared" si="931"/>
        <v>0</v>
      </c>
      <c r="M19522" s="17" t="str">
        <f t="shared" si="932"/>
        <v/>
      </c>
      <c r="N19522" s="11" t="str">
        <f t="shared" si="933"/>
        <v/>
      </c>
    </row>
    <row r="19523" spans="9:14" x14ac:dyDescent="0.25">
      <c r="I19523" s="11" t="b">
        <f t="shared" si="931"/>
        <v>0</v>
      </c>
      <c r="M19523" s="17" t="str">
        <f t="shared" si="932"/>
        <v/>
      </c>
      <c r="N19523" s="11" t="str">
        <f t="shared" si="933"/>
        <v/>
      </c>
    </row>
    <row r="19524" spans="9:14" x14ac:dyDescent="0.25">
      <c r="I19524" s="11" t="b">
        <f t="shared" si="931"/>
        <v>0</v>
      </c>
      <c r="M19524" s="17" t="str">
        <f t="shared" si="932"/>
        <v/>
      </c>
      <c r="N19524" s="11" t="str">
        <f t="shared" si="933"/>
        <v/>
      </c>
    </row>
    <row r="19525" spans="9:14" x14ac:dyDescent="0.25">
      <c r="I19525" s="11" t="b">
        <f t="shared" si="931"/>
        <v>0</v>
      </c>
      <c r="M19525" s="17" t="str">
        <f t="shared" si="932"/>
        <v/>
      </c>
      <c r="N19525" s="11" t="str">
        <f t="shared" si="933"/>
        <v/>
      </c>
    </row>
    <row r="19526" spans="9:14" x14ac:dyDescent="0.25">
      <c r="I19526" s="11" t="b">
        <f t="shared" si="931"/>
        <v>0</v>
      </c>
      <c r="M19526" s="17" t="str">
        <f t="shared" si="932"/>
        <v/>
      </c>
      <c r="N19526" s="11" t="str">
        <f t="shared" si="933"/>
        <v/>
      </c>
    </row>
    <row r="19527" spans="9:14" x14ac:dyDescent="0.25">
      <c r="I19527" s="11" t="b">
        <f t="shared" si="931"/>
        <v>0</v>
      </c>
      <c r="M19527" s="17" t="str">
        <f t="shared" si="932"/>
        <v/>
      </c>
      <c r="N19527" s="11" t="str">
        <f t="shared" si="933"/>
        <v/>
      </c>
    </row>
    <row r="19528" spans="9:14" x14ac:dyDescent="0.25">
      <c r="I19528" s="11" t="b">
        <f t="shared" si="931"/>
        <v>0</v>
      </c>
      <c r="M19528" s="17" t="str">
        <f t="shared" si="932"/>
        <v/>
      </c>
      <c r="N19528" s="11" t="str">
        <f t="shared" si="933"/>
        <v/>
      </c>
    </row>
    <row r="19529" spans="9:14" x14ac:dyDescent="0.25">
      <c r="I19529" s="11" t="b">
        <f t="shared" si="931"/>
        <v>0</v>
      </c>
      <c r="M19529" s="17" t="str">
        <f t="shared" si="932"/>
        <v/>
      </c>
      <c r="N19529" s="11" t="str">
        <f t="shared" si="933"/>
        <v/>
      </c>
    </row>
    <row r="19530" spans="9:14" x14ac:dyDescent="0.25">
      <c r="I19530" s="11" t="b">
        <f t="shared" si="931"/>
        <v>0</v>
      </c>
      <c r="M19530" s="17" t="str">
        <f t="shared" si="932"/>
        <v/>
      </c>
      <c r="N19530" s="11" t="str">
        <f t="shared" si="933"/>
        <v/>
      </c>
    </row>
    <row r="19531" spans="9:14" x14ac:dyDescent="0.25">
      <c r="I19531" s="11" t="b">
        <f t="shared" si="931"/>
        <v>0</v>
      </c>
      <c r="M19531" s="17" t="str">
        <f t="shared" si="932"/>
        <v/>
      </c>
      <c r="N19531" s="11" t="str">
        <f t="shared" si="933"/>
        <v/>
      </c>
    </row>
    <row r="19532" spans="9:14" x14ac:dyDescent="0.25">
      <c r="I19532" s="11" t="b">
        <f t="shared" si="931"/>
        <v>0</v>
      </c>
      <c r="M19532" s="17" t="str">
        <f t="shared" si="932"/>
        <v/>
      </c>
      <c r="N19532" s="11" t="str">
        <f t="shared" si="933"/>
        <v/>
      </c>
    </row>
    <row r="19533" spans="9:14" x14ac:dyDescent="0.25">
      <c r="I19533" s="11" t="b">
        <f t="shared" si="931"/>
        <v>0</v>
      </c>
      <c r="M19533" s="17" t="str">
        <f t="shared" si="932"/>
        <v/>
      </c>
      <c r="N19533" s="11" t="str">
        <f t="shared" si="933"/>
        <v/>
      </c>
    </row>
    <row r="19534" spans="9:14" x14ac:dyDescent="0.25">
      <c r="I19534" s="11" t="b">
        <f t="shared" si="931"/>
        <v>0</v>
      </c>
      <c r="M19534" s="17" t="str">
        <f t="shared" si="932"/>
        <v/>
      </c>
      <c r="N19534" s="11" t="str">
        <f t="shared" si="933"/>
        <v/>
      </c>
    </row>
    <row r="19535" spans="9:14" x14ac:dyDescent="0.25">
      <c r="I19535" s="11" t="b">
        <f t="shared" si="931"/>
        <v>0</v>
      </c>
      <c r="M19535" s="17" t="str">
        <f t="shared" si="932"/>
        <v/>
      </c>
      <c r="N19535" s="11" t="str">
        <f t="shared" si="933"/>
        <v/>
      </c>
    </row>
    <row r="19536" spans="9:14" x14ac:dyDescent="0.25">
      <c r="I19536" s="11" t="b">
        <f t="shared" si="931"/>
        <v>0</v>
      </c>
      <c r="M19536" s="17" t="str">
        <f t="shared" si="932"/>
        <v/>
      </c>
      <c r="N19536" s="11" t="str">
        <f t="shared" si="933"/>
        <v/>
      </c>
    </row>
    <row r="19537" spans="9:14" x14ac:dyDescent="0.25">
      <c r="I19537" s="11" t="b">
        <f t="shared" si="931"/>
        <v>0</v>
      </c>
      <c r="M19537" s="17" t="str">
        <f t="shared" si="932"/>
        <v/>
      </c>
      <c r="N19537" s="11" t="str">
        <f t="shared" si="933"/>
        <v/>
      </c>
    </row>
    <row r="19538" spans="9:14" x14ac:dyDescent="0.25">
      <c r="I19538" s="11" t="b">
        <f t="shared" si="931"/>
        <v>0</v>
      </c>
      <c r="M19538" s="17" t="str">
        <f t="shared" si="932"/>
        <v/>
      </c>
      <c r="N19538" s="11" t="str">
        <f t="shared" si="933"/>
        <v/>
      </c>
    </row>
    <row r="19539" spans="9:14" x14ac:dyDescent="0.25">
      <c r="I19539" s="11" t="b">
        <f t="shared" si="931"/>
        <v>0</v>
      </c>
      <c r="M19539" s="17" t="str">
        <f t="shared" si="932"/>
        <v/>
      </c>
      <c r="N19539" s="11" t="str">
        <f t="shared" si="933"/>
        <v/>
      </c>
    </row>
    <row r="19540" spans="9:14" x14ac:dyDescent="0.25">
      <c r="I19540" s="11" t="b">
        <f t="shared" si="931"/>
        <v>0</v>
      </c>
      <c r="M19540" s="17" t="str">
        <f t="shared" si="932"/>
        <v/>
      </c>
      <c r="N19540" s="11" t="str">
        <f t="shared" si="933"/>
        <v/>
      </c>
    </row>
    <row r="19541" spans="9:14" x14ac:dyDescent="0.25">
      <c r="I19541" s="11" t="b">
        <f t="shared" si="931"/>
        <v>0</v>
      </c>
      <c r="M19541" s="17" t="str">
        <f t="shared" si="932"/>
        <v/>
      </c>
      <c r="N19541" s="11" t="str">
        <f t="shared" si="933"/>
        <v/>
      </c>
    </row>
    <row r="19542" spans="9:14" x14ac:dyDescent="0.25">
      <c r="I19542" s="11" t="b">
        <f t="shared" si="931"/>
        <v>0</v>
      </c>
      <c r="M19542" s="17" t="str">
        <f t="shared" si="932"/>
        <v/>
      </c>
      <c r="N19542" s="11" t="str">
        <f t="shared" si="933"/>
        <v/>
      </c>
    </row>
    <row r="19543" spans="9:14" x14ac:dyDescent="0.25">
      <c r="I19543" s="11" t="b">
        <f t="shared" si="931"/>
        <v>0</v>
      </c>
      <c r="M19543" s="17" t="str">
        <f t="shared" si="932"/>
        <v/>
      </c>
      <c r="N19543" s="11" t="str">
        <f t="shared" si="933"/>
        <v/>
      </c>
    </row>
    <row r="19544" spans="9:14" x14ac:dyDescent="0.25">
      <c r="I19544" s="11" t="b">
        <f t="shared" si="931"/>
        <v>0</v>
      </c>
      <c r="M19544" s="17" t="str">
        <f t="shared" si="932"/>
        <v/>
      </c>
      <c r="N19544" s="11" t="str">
        <f t="shared" si="933"/>
        <v/>
      </c>
    </row>
    <row r="19545" spans="9:14" x14ac:dyDescent="0.25">
      <c r="I19545" s="11" t="b">
        <f t="shared" si="931"/>
        <v>0</v>
      </c>
      <c r="M19545" s="17" t="str">
        <f t="shared" si="932"/>
        <v/>
      </c>
      <c r="N19545" s="11" t="str">
        <f t="shared" si="933"/>
        <v/>
      </c>
    </row>
    <row r="19546" spans="9:14" x14ac:dyDescent="0.25">
      <c r="I19546" s="11" t="b">
        <f t="shared" si="931"/>
        <v>0</v>
      </c>
      <c r="M19546" s="17" t="str">
        <f t="shared" si="932"/>
        <v/>
      </c>
      <c r="N19546" s="11" t="str">
        <f t="shared" si="933"/>
        <v/>
      </c>
    </row>
    <row r="19547" spans="9:14" x14ac:dyDescent="0.25">
      <c r="I19547" s="11" t="b">
        <f t="shared" si="931"/>
        <v>0</v>
      </c>
      <c r="M19547" s="17" t="str">
        <f t="shared" si="932"/>
        <v/>
      </c>
      <c r="N19547" s="11" t="str">
        <f t="shared" si="933"/>
        <v/>
      </c>
    </row>
    <row r="19548" spans="9:14" x14ac:dyDescent="0.25">
      <c r="I19548" s="11" t="b">
        <f t="shared" si="931"/>
        <v>0</v>
      </c>
      <c r="M19548" s="17" t="str">
        <f t="shared" si="932"/>
        <v/>
      </c>
      <c r="N19548" s="11" t="str">
        <f t="shared" si="933"/>
        <v/>
      </c>
    </row>
    <row r="19549" spans="9:14" x14ac:dyDescent="0.25">
      <c r="I19549" s="11" t="b">
        <f t="shared" ref="I19549:I19612" si="934">IF(AND(G19549="MERCADO PAGO",A19549="FATURAMENTO"),1,IF(AND(OR(G19549="MERCADO PAGO",G19549="pix mercado pago",G19549= "débito automático mercado pago", G19549= "boleto mercado pago"),A19549="DESPESAS"),4,IF(AND(G19549="SAFRA",A19549="FATURAMENTO"),2,IF(AND(OR(G19549="SAFRA",G19549="PIX SAFRA", G19549="DÉBITO AUTOMÁTICO SAFRA", G19549= "BOLETO SAFRA", G19549= "transferência safra"), A19549="DESPESAS"),5,IF(AND(G19549="espécie",A19549="FATURAMENTO"),3,IF(AND(G19549="espécie",A19549="DESPESAS"),6))))))</f>
        <v>0</v>
      </c>
      <c r="M19549" s="17" t="str">
        <f t="shared" si="932"/>
        <v/>
      </c>
      <c r="N19549" s="11" t="str">
        <f t="shared" si="933"/>
        <v/>
      </c>
    </row>
    <row r="19550" spans="9:14" x14ac:dyDescent="0.25">
      <c r="I19550" s="11" t="b">
        <f t="shared" si="934"/>
        <v>0</v>
      </c>
      <c r="M19550" s="17" t="str">
        <f t="shared" si="932"/>
        <v/>
      </c>
      <c r="N19550" s="11" t="str">
        <f t="shared" si="933"/>
        <v/>
      </c>
    </row>
    <row r="19551" spans="9:14" x14ac:dyDescent="0.25">
      <c r="I19551" s="11" t="b">
        <f t="shared" si="934"/>
        <v>0</v>
      </c>
      <c r="M19551" s="17" t="str">
        <f t="shared" si="932"/>
        <v/>
      </c>
      <c r="N19551" s="11" t="str">
        <f t="shared" si="933"/>
        <v/>
      </c>
    </row>
    <row r="19552" spans="9:14" x14ac:dyDescent="0.25">
      <c r="I19552" s="11" t="b">
        <f t="shared" si="934"/>
        <v>0</v>
      </c>
      <c r="M19552" s="17" t="str">
        <f t="shared" si="932"/>
        <v/>
      </c>
      <c r="N19552" s="11" t="str">
        <f t="shared" si="933"/>
        <v/>
      </c>
    </row>
    <row r="19553" spans="9:14" x14ac:dyDescent="0.25">
      <c r="I19553" s="11" t="b">
        <f t="shared" si="934"/>
        <v>0</v>
      </c>
      <c r="M19553" s="17" t="str">
        <f t="shared" si="932"/>
        <v/>
      </c>
      <c r="N19553" s="11" t="str">
        <f t="shared" si="933"/>
        <v/>
      </c>
    </row>
    <row r="19554" spans="9:14" x14ac:dyDescent="0.25">
      <c r="I19554" s="11" t="b">
        <f t="shared" si="934"/>
        <v>0</v>
      </c>
      <c r="M19554" s="17" t="str">
        <f t="shared" si="932"/>
        <v/>
      </c>
      <c r="N19554" s="11" t="str">
        <f t="shared" si="933"/>
        <v/>
      </c>
    </row>
    <row r="19555" spans="9:14" x14ac:dyDescent="0.25">
      <c r="I19555" s="11" t="b">
        <f t="shared" si="934"/>
        <v>0</v>
      </c>
      <c r="M19555" s="17" t="str">
        <f t="shared" si="932"/>
        <v/>
      </c>
      <c r="N19555" s="11" t="str">
        <f t="shared" si="933"/>
        <v/>
      </c>
    </row>
    <row r="19556" spans="9:14" x14ac:dyDescent="0.25">
      <c r="I19556" s="11" t="b">
        <f t="shared" si="934"/>
        <v>0</v>
      </c>
      <c r="M19556" s="17" t="str">
        <f t="shared" si="932"/>
        <v/>
      </c>
      <c r="N19556" s="11" t="str">
        <f t="shared" si="933"/>
        <v/>
      </c>
    </row>
    <row r="19557" spans="9:14" x14ac:dyDescent="0.25">
      <c r="I19557" s="11" t="b">
        <f t="shared" si="934"/>
        <v>0</v>
      </c>
      <c r="M19557" s="17" t="str">
        <f t="shared" si="932"/>
        <v/>
      </c>
      <c r="N19557" s="11" t="str">
        <f t="shared" si="933"/>
        <v/>
      </c>
    </row>
    <row r="19558" spans="9:14" x14ac:dyDescent="0.25">
      <c r="I19558" s="11" t="b">
        <f t="shared" si="934"/>
        <v>0</v>
      </c>
      <c r="M19558" s="17" t="str">
        <f t="shared" si="932"/>
        <v/>
      </c>
      <c r="N19558" s="11" t="str">
        <f t="shared" si="933"/>
        <v/>
      </c>
    </row>
    <row r="19559" spans="9:14" x14ac:dyDescent="0.25">
      <c r="I19559" s="11" t="b">
        <f t="shared" si="934"/>
        <v>0</v>
      </c>
      <c r="M19559" s="17" t="str">
        <f t="shared" si="932"/>
        <v/>
      </c>
      <c r="N19559" s="11" t="str">
        <f t="shared" si="933"/>
        <v/>
      </c>
    </row>
    <row r="19560" spans="9:14" x14ac:dyDescent="0.25">
      <c r="I19560" s="11" t="b">
        <f t="shared" si="934"/>
        <v>0</v>
      </c>
      <c r="M19560" s="17" t="str">
        <f t="shared" si="932"/>
        <v/>
      </c>
      <c r="N19560" s="11" t="str">
        <f t="shared" si="933"/>
        <v/>
      </c>
    </row>
    <row r="19561" spans="9:14" x14ac:dyDescent="0.25">
      <c r="I19561" s="11" t="b">
        <f t="shared" si="934"/>
        <v>0</v>
      </c>
      <c r="M19561" s="17" t="str">
        <f t="shared" si="932"/>
        <v/>
      </c>
      <c r="N19561" s="11" t="str">
        <f t="shared" si="933"/>
        <v/>
      </c>
    </row>
    <row r="19562" spans="9:14" x14ac:dyDescent="0.25">
      <c r="I19562" s="11" t="b">
        <f t="shared" si="934"/>
        <v>0</v>
      </c>
      <c r="M19562" s="17" t="str">
        <f t="shared" si="932"/>
        <v/>
      </c>
      <c r="N19562" s="11" t="str">
        <f t="shared" si="933"/>
        <v/>
      </c>
    </row>
    <row r="19563" spans="9:14" x14ac:dyDescent="0.25">
      <c r="I19563" s="11" t="b">
        <f t="shared" si="934"/>
        <v>0</v>
      </c>
      <c r="M19563" s="17" t="str">
        <f t="shared" si="932"/>
        <v/>
      </c>
      <c r="N19563" s="11" t="str">
        <f t="shared" si="933"/>
        <v/>
      </c>
    </row>
    <row r="19564" spans="9:14" x14ac:dyDescent="0.25">
      <c r="I19564" s="11" t="b">
        <f t="shared" si="934"/>
        <v>0</v>
      </c>
      <c r="M19564" s="17" t="str">
        <f t="shared" si="932"/>
        <v/>
      </c>
      <c r="N19564" s="11" t="str">
        <f t="shared" si="933"/>
        <v/>
      </c>
    </row>
    <row r="19565" spans="9:14" x14ac:dyDescent="0.25">
      <c r="I19565" s="11" t="b">
        <f t="shared" si="934"/>
        <v>0</v>
      </c>
      <c r="M19565" s="17" t="str">
        <f t="shared" si="932"/>
        <v/>
      </c>
      <c r="N19565" s="11" t="str">
        <f t="shared" si="933"/>
        <v/>
      </c>
    </row>
    <row r="19566" spans="9:14" x14ac:dyDescent="0.25">
      <c r="I19566" s="11" t="b">
        <f t="shared" si="934"/>
        <v>0</v>
      </c>
      <c r="M19566" s="17" t="str">
        <f t="shared" si="932"/>
        <v/>
      </c>
      <c r="N19566" s="11" t="str">
        <f t="shared" si="933"/>
        <v/>
      </c>
    </row>
    <row r="19567" spans="9:14" x14ac:dyDescent="0.25">
      <c r="I19567" s="11" t="b">
        <f t="shared" si="934"/>
        <v>0</v>
      </c>
      <c r="M19567" s="17" t="str">
        <f t="shared" si="932"/>
        <v/>
      </c>
      <c r="N19567" s="11" t="str">
        <f t="shared" si="933"/>
        <v/>
      </c>
    </row>
    <row r="19568" spans="9:14" x14ac:dyDescent="0.25">
      <c r="I19568" s="11" t="b">
        <f t="shared" si="934"/>
        <v>0</v>
      </c>
      <c r="M19568" s="17" t="str">
        <f t="shared" si="932"/>
        <v/>
      </c>
      <c r="N19568" s="11" t="str">
        <f t="shared" si="933"/>
        <v/>
      </c>
    </row>
    <row r="19569" spans="9:14" x14ac:dyDescent="0.25">
      <c r="I19569" s="11" t="b">
        <f t="shared" si="934"/>
        <v>0</v>
      </c>
      <c r="M19569" s="17" t="str">
        <f t="shared" si="932"/>
        <v/>
      </c>
      <c r="N19569" s="11" t="str">
        <f t="shared" si="933"/>
        <v/>
      </c>
    </row>
    <row r="19570" spans="9:14" x14ac:dyDescent="0.25">
      <c r="I19570" s="11" t="b">
        <f t="shared" si="934"/>
        <v>0</v>
      </c>
      <c r="M19570" s="17" t="str">
        <f t="shared" si="932"/>
        <v/>
      </c>
      <c r="N19570" s="11" t="str">
        <f t="shared" si="933"/>
        <v/>
      </c>
    </row>
    <row r="19571" spans="9:14" x14ac:dyDescent="0.25">
      <c r="I19571" s="11" t="b">
        <f t="shared" si="934"/>
        <v>0</v>
      </c>
      <c r="M19571" s="17" t="str">
        <f t="shared" si="932"/>
        <v/>
      </c>
      <c r="N19571" s="11" t="str">
        <f t="shared" si="933"/>
        <v/>
      </c>
    </row>
    <row r="19572" spans="9:14" x14ac:dyDescent="0.25">
      <c r="I19572" s="11" t="b">
        <f t="shared" si="934"/>
        <v>0</v>
      </c>
      <c r="M19572" s="17" t="str">
        <f t="shared" si="932"/>
        <v/>
      </c>
      <c r="N19572" s="11" t="str">
        <f t="shared" si="933"/>
        <v/>
      </c>
    </row>
    <row r="19573" spans="9:14" x14ac:dyDescent="0.25">
      <c r="I19573" s="11" t="b">
        <f t="shared" si="934"/>
        <v>0</v>
      </c>
      <c r="M19573" s="17" t="str">
        <f t="shared" si="932"/>
        <v/>
      </c>
      <c r="N19573" s="11" t="str">
        <f t="shared" si="933"/>
        <v/>
      </c>
    </row>
    <row r="19574" spans="9:14" x14ac:dyDescent="0.25">
      <c r="I19574" s="11" t="b">
        <f t="shared" si="934"/>
        <v>0</v>
      </c>
      <c r="M19574" s="17" t="str">
        <f t="shared" si="932"/>
        <v/>
      </c>
      <c r="N19574" s="11" t="str">
        <f t="shared" si="933"/>
        <v/>
      </c>
    </row>
    <row r="19575" spans="9:14" x14ac:dyDescent="0.25">
      <c r="I19575" s="11" t="b">
        <f t="shared" si="934"/>
        <v>0</v>
      </c>
      <c r="M19575" s="17" t="str">
        <f t="shared" si="932"/>
        <v/>
      </c>
      <c r="N19575" s="11" t="str">
        <f t="shared" si="933"/>
        <v/>
      </c>
    </row>
    <row r="19576" spans="9:14" x14ac:dyDescent="0.25">
      <c r="I19576" s="11" t="b">
        <f t="shared" si="934"/>
        <v>0</v>
      </c>
      <c r="M19576" s="17" t="str">
        <f t="shared" si="932"/>
        <v/>
      </c>
      <c r="N19576" s="11" t="str">
        <f t="shared" si="933"/>
        <v/>
      </c>
    </row>
    <row r="19577" spans="9:14" x14ac:dyDescent="0.25">
      <c r="I19577" s="11" t="b">
        <f t="shared" si="934"/>
        <v>0</v>
      </c>
      <c r="M19577" s="17" t="str">
        <f t="shared" si="932"/>
        <v/>
      </c>
      <c r="N19577" s="11" t="str">
        <f t="shared" si="933"/>
        <v/>
      </c>
    </row>
    <row r="19578" spans="9:14" x14ac:dyDescent="0.25">
      <c r="I19578" s="11" t="b">
        <f t="shared" si="934"/>
        <v>0</v>
      </c>
      <c r="M19578" s="17" t="str">
        <f t="shared" si="932"/>
        <v/>
      </c>
      <c r="N19578" s="11" t="str">
        <f t="shared" si="933"/>
        <v/>
      </c>
    </row>
    <row r="19579" spans="9:14" x14ac:dyDescent="0.25">
      <c r="I19579" s="11" t="b">
        <f t="shared" si="934"/>
        <v>0</v>
      </c>
      <c r="M19579" s="17" t="str">
        <f t="shared" si="932"/>
        <v/>
      </c>
      <c r="N19579" s="11" t="str">
        <f t="shared" si="933"/>
        <v/>
      </c>
    </row>
    <row r="19580" spans="9:14" x14ac:dyDescent="0.25">
      <c r="I19580" s="11" t="b">
        <f t="shared" si="934"/>
        <v>0</v>
      </c>
      <c r="M19580" s="17" t="str">
        <f t="shared" si="932"/>
        <v/>
      </c>
      <c r="N19580" s="11" t="str">
        <f t="shared" si="933"/>
        <v/>
      </c>
    </row>
    <row r="19581" spans="9:14" x14ac:dyDescent="0.25">
      <c r="I19581" s="11" t="b">
        <f t="shared" si="934"/>
        <v>0</v>
      </c>
      <c r="M19581" s="17" t="str">
        <f t="shared" si="932"/>
        <v/>
      </c>
      <c r="N19581" s="11" t="str">
        <f t="shared" si="933"/>
        <v/>
      </c>
    </row>
    <row r="19582" spans="9:14" x14ac:dyDescent="0.25">
      <c r="I19582" s="11" t="b">
        <f t="shared" si="934"/>
        <v>0</v>
      </c>
      <c r="M19582" s="17" t="str">
        <f t="shared" si="932"/>
        <v/>
      </c>
      <c r="N19582" s="11" t="str">
        <f t="shared" si="933"/>
        <v/>
      </c>
    </row>
    <row r="19583" spans="9:14" x14ac:dyDescent="0.25">
      <c r="I19583" s="11" t="b">
        <f t="shared" si="934"/>
        <v>0</v>
      </c>
      <c r="M19583" s="17" t="str">
        <f t="shared" si="932"/>
        <v/>
      </c>
      <c r="N19583" s="11" t="str">
        <f t="shared" si="933"/>
        <v/>
      </c>
    </row>
    <row r="19584" spans="9:14" x14ac:dyDescent="0.25">
      <c r="I19584" s="11" t="b">
        <f t="shared" si="934"/>
        <v>0</v>
      </c>
      <c r="M19584" s="17" t="str">
        <f t="shared" si="932"/>
        <v/>
      </c>
      <c r="N19584" s="11" t="str">
        <f t="shared" si="933"/>
        <v/>
      </c>
    </row>
    <row r="19585" spans="9:14" x14ac:dyDescent="0.25">
      <c r="I19585" s="11" t="b">
        <f t="shared" si="934"/>
        <v>0</v>
      </c>
      <c r="M19585" s="17" t="str">
        <f t="shared" ref="M19585:M19648" si="935">IF(B19585=0, "",M19584+ J19585-K19585)</f>
        <v/>
      </c>
      <c r="N19585" s="11" t="str">
        <f t="shared" ref="N19585:N19648" si="936">IF(B19585=0, "", MONTH(B19585))</f>
        <v/>
      </c>
    </row>
    <row r="19586" spans="9:14" x14ac:dyDescent="0.25">
      <c r="I19586" s="11" t="b">
        <f t="shared" si="934"/>
        <v>0</v>
      </c>
      <c r="M19586" s="17" t="str">
        <f t="shared" si="935"/>
        <v/>
      </c>
      <c r="N19586" s="11" t="str">
        <f t="shared" si="936"/>
        <v/>
      </c>
    </row>
    <row r="19587" spans="9:14" x14ac:dyDescent="0.25">
      <c r="I19587" s="11" t="b">
        <f t="shared" si="934"/>
        <v>0</v>
      </c>
      <c r="M19587" s="17" t="str">
        <f t="shared" si="935"/>
        <v/>
      </c>
      <c r="N19587" s="11" t="str">
        <f t="shared" si="936"/>
        <v/>
      </c>
    </row>
    <row r="19588" spans="9:14" x14ac:dyDescent="0.25">
      <c r="I19588" s="11" t="b">
        <f t="shared" si="934"/>
        <v>0</v>
      </c>
      <c r="M19588" s="17" t="str">
        <f t="shared" si="935"/>
        <v/>
      </c>
      <c r="N19588" s="11" t="str">
        <f t="shared" si="936"/>
        <v/>
      </c>
    </row>
    <row r="19589" spans="9:14" x14ac:dyDescent="0.25">
      <c r="I19589" s="11" t="b">
        <f t="shared" si="934"/>
        <v>0</v>
      </c>
      <c r="M19589" s="17" t="str">
        <f t="shared" si="935"/>
        <v/>
      </c>
      <c r="N19589" s="11" t="str">
        <f t="shared" si="936"/>
        <v/>
      </c>
    </row>
    <row r="19590" spans="9:14" x14ac:dyDescent="0.25">
      <c r="I19590" s="11" t="b">
        <f t="shared" si="934"/>
        <v>0</v>
      </c>
      <c r="M19590" s="17" t="str">
        <f t="shared" si="935"/>
        <v/>
      </c>
      <c r="N19590" s="11" t="str">
        <f t="shared" si="936"/>
        <v/>
      </c>
    </row>
    <row r="19591" spans="9:14" x14ac:dyDescent="0.25">
      <c r="I19591" s="11" t="b">
        <f t="shared" si="934"/>
        <v>0</v>
      </c>
      <c r="M19591" s="17" t="str">
        <f t="shared" si="935"/>
        <v/>
      </c>
      <c r="N19591" s="11" t="str">
        <f t="shared" si="936"/>
        <v/>
      </c>
    </row>
    <row r="19592" spans="9:14" x14ac:dyDescent="0.25">
      <c r="I19592" s="11" t="b">
        <f t="shared" si="934"/>
        <v>0</v>
      </c>
      <c r="M19592" s="17" t="str">
        <f t="shared" si="935"/>
        <v/>
      </c>
      <c r="N19592" s="11" t="str">
        <f t="shared" si="936"/>
        <v/>
      </c>
    </row>
    <row r="19593" spans="9:14" x14ac:dyDescent="0.25">
      <c r="I19593" s="11" t="b">
        <f t="shared" si="934"/>
        <v>0</v>
      </c>
      <c r="M19593" s="17" t="str">
        <f t="shared" si="935"/>
        <v/>
      </c>
      <c r="N19593" s="11" t="str">
        <f t="shared" si="936"/>
        <v/>
      </c>
    </row>
    <row r="19594" spans="9:14" x14ac:dyDescent="0.25">
      <c r="I19594" s="11" t="b">
        <f t="shared" si="934"/>
        <v>0</v>
      </c>
      <c r="M19594" s="17" t="str">
        <f t="shared" si="935"/>
        <v/>
      </c>
      <c r="N19594" s="11" t="str">
        <f t="shared" si="936"/>
        <v/>
      </c>
    </row>
    <row r="19595" spans="9:14" x14ac:dyDescent="0.25">
      <c r="I19595" s="11" t="b">
        <f t="shared" si="934"/>
        <v>0</v>
      </c>
      <c r="M19595" s="17" t="str">
        <f t="shared" si="935"/>
        <v/>
      </c>
      <c r="N19595" s="11" t="str">
        <f t="shared" si="936"/>
        <v/>
      </c>
    </row>
    <row r="19596" spans="9:14" x14ac:dyDescent="0.25">
      <c r="I19596" s="11" t="b">
        <f t="shared" si="934"/>
        <v>0</v>
      </c>
      <c r="M19596" s="17" t="str">
        <f t="shared" si="935"/>
        <v/>
      </c>
      <c r="N19596" s="11" t="str">
        <f t="shared" si="936"/>
        <v/>
      </c>
    </row>
    <row r="19597" spans="9:14" x14ac:dyDescent="0.25">
      <c r="I19597" s="11" t="b">
        <f t="shared" si="934"/>
        <v>0</v>
      </c>
      <c r="M19597" s="17" t="str">
        <f t="shared" si="935"/>
        <v/>
      </c>
      <c r="N19597" s="11" t="str">
        <f t="shared" si="936"/>
        <v/>
      </c>
    </row>
    <row r="19598" spans="9:14" x14ac:dyDescent="0.25">
      <c r="I19598" s="11" t="b">
        <f t="shared" si="934"/>
        <v>0</v>
      </c>
      <c r="M19598" s="17" t="str">
        <f t="shared" si="935"/>
        <v/>
      </c>
      <c r="N19598" s="11" t="str">
        <f t="shared" si="936"/>
        <v/>
      </c>
    </row>
    <row r="19599" spans="9:14" x14ac:dyDescent="0.25">
      <c r="I19599" s="11" t="b">
        <f t="shared" si="934"/>
        <v>0</v>
      </c>
      <c r="M19599" s="17" t="str">
        <f t="shared" si="935"/>
        <v/>
      </c>
      <c r="N19599" s="11" t="str">
        <f t="shared" si="936"/>
        <v/>
      </c>
    </row>
    <row r="19600" spans="9:14" x14ac:dyDescent="0.25">
      <c r="I19600" s="11" t="b">
        <f t="shared" si="934"/>
        <v>0</v>
      </c>
      <c r="M19600" s="17" t="str">
        <f t="shared" si="935"/>
        <v/>
      </c>
      <c r="N19600" s="11" t="str">
        <f t="shared" si="936"/>
        <v/>
      </c>
    </row>
    <row r="19601" spans="9:14" x14ac:dyDescent="0.25">
      <c r="I19601" s="11" t="b">
        <f t="shared" si="934"/>
        <v>0</v>
      </c>
      <c r="M19601" s="17" t="str">
        <f t="shared" si="935"/>
        <v/>
      </c>
      <c r="N19601" s="11" t="str">
        <f t="shared" si="936"/>
        <v/>
      </c>
    </row>
    <row r="19602" spans="9:14" x14ac:dyDescent="0.25">
      <c r="I19602" s="11" t="b">
        <f t="shared" si="934"/>
        <v>0</v>
      </c>
      <c r="M19602" s="17" t="str">
        <f t="shared" si="935"/>
        <v/>
      </c>
      <c r="N19602" s="11" t="str">
        <f t="shared" si="936"/>
        <v/>
      </c>
    </row>
    <row r="19603" spans="9:14" x14ac:dyDescent="0.25">
      <c r="I19603" s="11" t="b">
        <f t="shared" si="934"/>
        <v>0</v>
      </c>
      <c r="M19603" s="17" t="str">
        <f t="shared" si="935"/>
        <v/>
      </c>
      <c r="N19603" s="11" t="str">
        <f t="shared" si="936"/>
        <v/>
      </c>
    </row>
    <row r="19604" spans="9:14" x14ac:dyDescent="0.25">
      <c r="I19604" s="11" t="b">
        <f t="shared" si="934"/>
        <v>0</v>
      </c>
      <c r="M19604" s="17" t="str">
        <f t="shared" si="935"/>
        <v/>
      </c>
      <c r="N19604" s="11" t="str">
        <f t="shared" si="936"/>
        <v/>
      </c>
    </row>
    <row r="19605" spans="9:14" x14ac:dyDescent="0.25">
      <c r="I19605" s="11" t="b">
        <f t="shared" si="934"/>
        <v>0</v>
      </c>
      <c r="M19605" s="17" t="str">
        <f t="shared" si="935"/>
        <v/>
      </c>
      <c r="N19605" s="11" t="str">
        <f t="shared" si="936"/>
        <v/>
      </c>
    </row>
    <row r="19606" spans="9:14" x14ac:dyDescent="0.25">
      <c r="I19606" s="11" t="b">
        <f t="shared" si="934"/>
        <v>0</v>
      </c>
      <c r="M19606" s="17" t="str">
        <f t="shared" si="935"/>
        <v/>
      </c>
      <c r="N19606" s="11" t="str">
        <f t="shared" si="936"/>
        <v/>
      </c>
    </row>
    <row r="19607" spans="9:14" x14ac:dyDescent="0.25">
      <c r="I19607" s="11" t="b">
        <f t="shared" si="934"/>
        <v>0</v>
      </c>
      <c r="M19607" s="17" t="str">
        <f t="shared" si="935"/>
        <v/>
      </c>
      <c r="N19607" s="11" t="str">
        <f t="shared" si="936"/>
        <v/>
      </c>
    </row>
    <row r="19608" spans="9:14" x14ac:dyDescent="0.25">
      <c r="I19608" s="11" t="b">
        <f t="shared" si="934"/>
        <v>0</v>
      </c>
      <c r="M19608" s="17" t="str">
        <f t="shared" si="935"/>
        <v/>
      </c>
      <c r="N19608" s="11" t="str">
        <f t="shared" si="936"/>
        <v/>
      </c>
    </row>
    <row r="19609" spans="9:14" x14ac:dyDescent="0.25">
      <c r="I19609" s="11" t="b">
        <f t="shared" si="934"/>
        <v>0</v>
      </c>
      <c r="M19609" s="17" t="str">
        <f t="shared" si="935"/>
        <v/>
      </c>
      <c r="N19609" s="11" t="str">
        <f t="shared" si="936"/>
        <v/>
      </c>
    </row>
    <row r="19610" spans="9:14" x14ac:dyDescent="0.25">
      <c r="I19610" s="11" t="b">
        <f t="shared" si="934"/>
        <v>0</v>
      </c>
      <c r="M19610" s="17" t="str">
        <f t="shared" si="935"/>
        <v/>
      </c>
      <c r="N19610" s="11" t="str">
        <f t="shared" si="936"/>
        <v/>
      </c>
    </row>
    <row r="19611" spans="9:14" x14ac:dyDescent="0.25">
      <c r="I19611" s="11" t="b">
        <f t="shared" si="934"/>
        <v>0</v>
      </c>
      <c r="M19611" s="17" t="str">
        <f t="shared" si="935"/>
        <v/>
      </c>
      <c r="N19611" s="11" t="str">
        <f t="shared" si="936"/>
        <v/>
      </c>
    </row>
    <row r="19612" spans="9:14" x14ac:dyDescent="0.25">
      <c r="I19612" s="11" t="b">
        <f t="shared" si="934"/>
        <v>0</v>
      </c>
      <c r="M19612" s="17" t="str">
        <f t="shared" si="935"/>
        <v/>
      </c>
      <c r="N19612" s="11" t="str">
        <f t="shared" si="936"/>
        <v/>
      </c>
    </row>
    <row r="19613" spans="9:14" x14ac:dyDescent="0.25">
      <c r="I19613" s="11" t="b">
        <f t="shared" ref="I19613:I19676" si="937">IF(AND(G19613="MERCADO PAGO",A19613="FATURAMENTO"),1,IF(AND(OR(G19613="MERCADO PAGO",G19613="pix mercado pago",G19613= "débito automático mercado pago", G19613= "boleto mercado pago"),A19613="DESPESAS"),4,IF(AND(G19613="SAFRA",A19613="FATURAMENTO"),2,IF(AND(OR(G19613="SAFRA",G19613="PIX SAFRA", G19613="DÉBITO AUTOMÁTICO SAFRA", G19613= "BOLETO SAFRA", G19613= "transferência safra"), A19613="DESPESAS"),5,IF(AND(G19613="espécie",A19613="FATURAMENTO"),3,IF(AND(G19613="espécie",A19613="DESPESAS"),6))))))</f>
        <v>0</v>
      </c>
      <c r="M19613" s="17" t="str">
        <f t="shared" si="935"/>
        <v/>
      </c>
      <c r="N19613" s="11" t="str">
        <f t="shared" si="936"/>
        <v/>
      </c>
    </row>
    <row r="19614" spans="9:14" x14ac:dyDescent="0.25">
      <c r="I19614" s="11" t="b">
        <f t="shared" si="937"/>
        <v>0</v>
      </c>
      <c r="M19614" s="17" t="str">
        <f t="shared" si="935"/>
        <v/>
      </c>
      <c r="N19614" s="11" t="str">
        <f t="shared" si="936"/>
        <v/>
      </c>
    </row>
    <row r="19615" spans="9:14" x14ac:dyDescent="0.25">
      <c r="I19615" s="11" t="b">
        <f t="shared" si="937"/>
        <v>0</v>
      </c>
      <c r="M19615" s="17" t="str">
        <f t="shared" si="935"/>
        <v/>
      </c>
      <c r="N19615" s="11" t="str">
        <f t="shared" si="936"/>
        <v/>
      </c>
    </row>
    <row r="19616" spans="9:14" x14ac:dyDescent="0.25">
      <c r="I19616" s="11" t="b">
        <f t="shared" si="937"/>
        <v>0</v>
      </c>
      <c r="M19616" s="17" t="str">
        <f t="shared" si="935"/>
        <v/>
      </c>
      <c r="N19616" s="11" t="str">
        <f t="shared" si="936"/>
        <v/>
      </c>
    </row>
    <row r="19617" spans="9:14" x14ac:dyDescent="0.25">
      <c r="I19617" s="11" t="b">
        <f t="shared" si="937"/>
        <v>0</v>
      </c>
      <c r="M19617" s="17" t="str">
        <f t="shared" si="935"/>
        <v/>
      </c>
      <c r="N19617" s="11" t="str">
        <f t="shared" si="936"/>
        <v/>
      </c>
    </row>
    <row r="19618" spans="9:14" x14ac:dyDescent="0.25">
      <c r="I19618" s="11" t="b">
        <f t="shared" si="937"/>
        <v>0</v>
      </c>
      <c r="M19618" s="17" t="str">
        <f t="shared" si="935"/>
        <v/>
      </c>
      <c r="N19618" s="11" t="str">
        <f t="shared" si="936"/>
        <v/>
      </c>
    </row>
    <row r="19619" spans="9:14" x14ac:dyDescent="0.25">
      <c r="I19619" s="11" t="b">
        <f t="shared" si="937"/>
        <v>0</v>
      </c>
      <c r="M19619" s="17" t="str">
        <f t="shared" si="935"/>
        <v/>
      </c>
      <c r="N19619" s="11" t="str">
        <f t="shared" si="936"/>
        <v/>
      </c>
    </row>
    <row r="19620" spans="9:14" x14ac:dyDescent="0.25">
      <c r="I19620" s="11" t="b">
        <f t="shared" si="937"/>
        <v>0</v>
      </c>
      <c r="M19620" s="17" t="str">
        <f t="shared" si="935"/>
        <v/>
      </c>
      <c r="N19620" s="11" t="str">
        <f t="shared" si="936"/>
        <v/>
      </c>
    </row>
    <row r="19621" spans="9:14" x14ac:dyDescent="0.25">
      <c r="I19621" s="11" t="b">
        <f t="shared" si="937"/>
        <v>0</v>
      </c>
      <c r="M19621" s="17" t="str">
        <f t="shared" si="935"/>
        <v/>
      </c>
      <c r="N19621" s="11" t="str">
        <f t="shared" si="936"/>
        <v/>
      </c>
    </row>
    <row r="19622" spans="9:14" x14ac:dyDescent="0.25">
      <c r="I19622" s="11" t="b">
        <f t="shared" si="937"/>
        <v>0</v>
      </c>
      <c r="M19622" s="17" t="str">
        <f t="shared" si="935"/>
        <v/>
      </c>
      <c r="N19622" s="11" t="str">
        <f t="shared" si="936"/>
        <v/>
      </c>
    </row>
    <row r="19623" spans="9:14" x14ac:dyDescent="0.25">
      <c r="I19623" s="11" t="b">
        <f t="shared" si="937"/>
        <v>0</v>
      </c>
      <c r="M19623" s="17" t="str">
        <f t="shared" si="935"/>
        <v/>
      </c>
      <c r="N19623" s="11" t="str">
        <f t="shared" si="936"/>
        <v/>
      </c>
    </row>
    <row r="19624" spans="9:14" x14ac:dyDescent="0.25">
      <c r="I19624" s="11" t="b">
        <f t="shared" si="937"/>
        <v>0</v>
      </c>
      <c r="M19624" s="17" t="str">
        <f t="shared" si="935"/>
        <v/>
      </c>
      <c r="N19624" s="11" t="str">
        <f t="shared" si="936"/>
        <v/>
      </c>
    </row>
    <row r="19625" spans="9:14" x14ac:dyDescent="0.25">
      <c r="I19625" s="11" t="b">
        <f t="shared" si="937"/>
        <v>0</v>
      </c>
      <c r="M19625" s="17" t="str">
        <f t="shared" si="935"/>
        <v/>
      </c>
      <c r="N19625" s="11" t="str">
        <f t="shared" si="936"/>
        <v/>
      </c>
    </row>
    <row r="19626" spans="9:14" x14ac:dyDescent="0.25">
      <c r="I19626" s="11" t="b">
        <f t="shared" si="937"/>
        <v>0</v>
      </c>
      <c r="M19626" s="17" t="str">
        <f t="shared" si="935"/>
        <v/>
      </c>
      <c r="N19626" s="11" t="str">
        <f t="shared" si="936"/>
        <v/>
      </c>
    </row>
    <row r="19627" spans="9:14" x14ac:dyDescent="0.25">
      <c r="I19627" s="11" t="b">
        <f t="shared" si="937"/>
        <v>0</v>
      </c>
      <c r="M19627" s="17" t="str">
        <f t="shared" si="935"/>
        <v/>
      </c>
      <c r="N19627" s="11" t="str">
        <f t="shared" si="936"/>
        <v/>
      </c>
    </row>
    <row r="19628" spans="9:14" x14ac:dyDescent="0.25">
      <c r="I19628" s="11" t="b">
        <f t="shared" si="937"/>
        <v>0</v>
      </c>
      <c r="M19628" s="17" t="str">
        <f t="shared" si="935"/>
        <v/>
      </c>
      <c r="N19628" s="11" t="str">
        <f t="shared" si="936"/>
        <v/>
      </c>
    </row>
    <row r="19629" spans="9:14" x14ac:dyDescent="0.25">
      <c r="I19629" s="11" t="b">
        <f t="shared" si="937"/>
        <v>0</v>
      </c>
      <c r="M19629" s="17" t="str">
        <f t="shared" si="935"/>
        <v/>
      </c>
      <c r="N19629" s="11" t="str">
        <f t="shared" si="936"/>
        <v/>
      </c>
    </row>
    <row r="19630" spans="9:14" x14ac:dyDescent="0.25">
      <c r="I19630" s="11" t="b">
        <f t="shared" si="937"/>
        <v>0</v>
      </c>
      <c r="M19630" s="17" t="str">
        <f t="shared" si="935"/>
        <v/>
      </c>
      <c r="N19630" s="11" t="str">
        <f t="shared" si="936"/>
        <v/>
      </c>
    </row>
    <row r="19631" spans="9:14" x14ac:dyDescent="0.25">
      <c r="I19631" s="11" t="b">
        <f t="shared" si="937"/>
        <v>0</v>
      </c>
      <c r="M19631" s="17" t="str">
        <f t="shared" si="935"/>
        <v/>
      </c>
      <c r="N19631" s="11" t="str">
        <f t="shared" si="936"/>
        <v/>
      </c>
    </row>
    <row r="19632" spans="9:14" x14ac:dyDescent="0.25">
      <c r="I19632" s="11" t="b">
        <f t="shared" si="937"/>
        <v>0</v>
      </c>
      <c r="M19632" s="17" t="str">
        <f t="shared" si="935"/>
        <v/>
      </c>
      <c r="N19632" s="11" t="str">
        <f t="shared" si="936"/>
        <v/>
      </c>
    </row>
    <row r="19633" spans="9:14" x14ac:dyDescent="0.25">
      <c r="I19633" s="11" t="b">
        <f t="shared" si="937"/>
        <v>0</v>
      </c>
      <c r="M19633" s="17" t="str">
        <f t="shared" si="935"/>
        <v/>
      </c>
      <c r="N19633" s="11" t="str">
        <f t="shared" si="936"/>
        <v/>
      </c>
    </row>
    <row r="19634" spans="9:14" x14ac:dyDescent="0.25">
      <c r="I19634" s="11" t="b">
        <f t="shared" si="937"/>
        <v>0</v>
      </c>
      <c r="M19634" s="17" t="str">
        <f t="shared" si="935"/>
        <v/>
      </c>
      <c r="N19634" s="11" t="str">
        <f t="shared" si="936"/>
        <v/>
      </c>
    </row>
    <row r="19635" spans="9:14" x14ac:dyDescent="0.25">
      <c r="I19635" s="11" t="b">
        <f t="shared" si="937"/>
        <v>0</v>
      </c>
      <c r="M19635" s="17" t="str">
        <f t="shared" si="935"/>
        <v/>
      </c>
      <c r="N19635" s="11" t="str">
        <f t="shared" si="936"/>
        <v/>
      </c>
    </row>
    <row r="19636" spans="9:14" x14ac:dyDescent="0.25">
      <c r="I19636" s="11" t="b">
        <f t="shared" si="937"/>
        <v>0</v>
      </c>
      <c r="M19636" s="17" t="str">
        <f t="shared" si="935"/>
        <v/>
      </c>
      <c r="N19636" s="11" t="str">
        <f t="shared" si="936"/>
        <v/>
      </c>
    </row>
    <row r="19637" spans="9:14" x14ac:dyDescent="0.25">
      <c r="I19637" s="11" t="b">
        <f t="shared" si="937"/>
        <v>0</v>
      </c>
      <c r="M19637" s="17" t="str">
        <f t="shared" si="935"/>
        <v/>
      </c>
      <c r="N19637" s="11" t="str">
        <f t="shared" si="936"/>
        <v/>
      </c>
    </row>
    <row r="19638" spans="9:14" x14ac:dyDescent="0.25">
      <c r="I19638" s="11" t="b">
        <f t="shared" si="937"/>
        <v>0</v>
      </c>
      <c r="M19638" s="17" t="str">
        <f t="shared" si="935"/>
        <v/>
      </c>
      <c r="N19638" s="11" t="str">
        <f t="shared" si="936"/>
        <v/>
      </c>
    </row>
    <row r="19639" spans="9:14" x14ac:dyDescent="0.25">
      <c r="I19639" s="11" t="b">
        <f t="shared" si="937"/>
        <v>0</v>
      </c>
      <c r="M19639" s="17" t="str">
        <f t="shared" si="935"/>
        <v/>
      </c>
      <c r="N19639" s="11" t="str">
        <f t="shared" si="936"/>
        <v/>
      </c>
    </row>
    <row r="19640" spans="9:14" x14ac:dyDescent="0.25">
      <c r="I19640" s="11" t="b">
        <f t="shared" si="937"/>
        <v>0</v>
      </c>
      <c r="M19640" s="17" t="str">
        <f t="shared" si="935"/>
        <v/>
      </c>
      <c r="N19640" s="11" t="str">
        <f t="shared" si="936"/>
        <v/>
      </c>
    </row>
    <row r="19641" spans="9:14" x14ac:dyDescent="0.25">
      <c r="I19641" s="11" t="b">
        <f t="shared" si="937"/>
        <v>0</v>
      </c>
      <c r="M19641" s="17" t="str">
        <f t="shared" si="935"/>
        <v/>
      </c>
      <c r="N19641" s="11" t="str">
        <f t="shared" si="936"/>
        <v/>
      </c>
    </row>
    <row r="19642" spans="9:14" x14ac:dyDescent="0.25">
      <c r="I19642" s="11" t="b">
        <f t="shared" si="937"/>
        <v>0</v>
      </c>
      <c r="M19642" s="17" t="str">
        <f t="shared" si="935"/>
        <v/>
      </c>
      <c r="N19642" s="11" t="str">
        <f t="shared" si="936"/>
        <v/>
      </c>
    </row>
    <row r="19643" spans="9:14" x14ac:dyDescent="0.25">
      <c r="I19643" s="11" t="b">
        <f t="shared" si="937"/>
        <v>0</v>
      </c>
      <c r="M19643" s="17" t="str">
        <f t="shared" si="935"/>
        <v/>
      </c>
      <c r="N19643" s="11" t="str">
        <f t="shared" si="936"/>
        <v/>
      </c>
    </row>
    <row r="19644" spans="9:14" x14ac:dyDescent="0.25">
      <c r="I19644" s="11" t="b">
        <f t="shared" si="937"/>
        <v>0</v>
      </c>
      <c r="M19644" s="17" t="str">
        <f t="shared" si="935"/>
        <v/>
      </c>
      <c r="N19644" s="11" t="str">
        <f t="shared" si="936"/>
        <v/>
      </c>
    </row>
    <row r="19645" spans="9:14" x14ac:dyDescent="0.25">
      <c r="I19645" s="11" t="b">
        <f t="shared" si="937"/>
        <v>0</v>
      </c>
      <c r="M19645" s="17" t="str">
        <f t="shared" si="935"/>
        <v/>
      </c>
      <c r="N19645" s="11" t="str">
        <f t="shared" si="936"/>
        <v/>
      </c>
    </row>
    <row r="19646" spans="9:14" x14ac:dyDescent="0.25">
      <c r="I19646" s="11" t="b">
        <f t="shared" si="937"/>
        <v>0</v>
      </c>
      <c r="M19646" s="17" t="str">
        <f t="shared" si="935"/>
        <v/>
      </c>
      <c r="N19646" s="11" t="str">
        <f t="shared" si="936"/>
        <v/>
      </c>
    </row>
    <row r="19647" spans="9:14" x14ac:dyDescent="0.25">
      <c r="I19647" s="11" t="b">
        <f t="shared" si="937"/>
        <v>0</v>
      </c>
      <c r="M19647" s="17" t="str">
        <f t="shared" si="935"/>
        <v/>
      </c>
      <c r="N19647" s="11" t="str">
        <f t="shared" si="936"/>
        <v/>
      </c>
    </row>
    <row r="19648" spans="9:14" x14ac:dyDescent="0.25">
      <c r="I19648" s="11" t="b">
        <f t="shared" si="937"/>
        <v>0</v>
      </c>
      <c r="M19648" s="17" t="str">
        <f t="shared" si="935"/>
        <v/>
      </c>
      <c r="N19648" s="11" t="str">
        <f t="shared" si="936"/>
        <v/>
      </c>
    </row>
    <row r="19649" spans="9:14" x14ac:dyDescent="0.25">
      <c r="I19649" s="11" t="b">
        <f t="shared" si="937"/>
        <v>0</v>
      </c>
      <c r="M19649" s="17" t="str">
        <f t="shared" ref="M19649:M19712" si="938">IF(B19649=0, "",M19648+ J19649-K19649)</f>
        <v/>
      </c>
      <c r="N19649" s="11" t="str">
        <f t="shared" ref="N19649:N19712" si="939">IF(B19649=0, "", MONTH(B19649))</f>
        <v/>
      </c>
    </row>
    <row r="19650" spans="9:14" x14ac:dyDescent="0.25">
      <c r="I19650" s="11" t="b">
        <f t="shared" si="937"/>
        <v>0</v>
      </c>
      <c r="M19650" s="17" t="str">
        <f t="shared" si="938"/>
        <v/>
      </c>
      <c r="N19650" s="11" t="str">
        <f t="shared" si="939"/>
        <v/>
      </c>
    </row>
    <row r="19651" spans="9:14" x14ac:dyDescent="0.25">
      <c r="I19651" s="11" t="b">
        <f t="shared" si="937"/>
        <v>0</v>
      </c>
      <c r="M19651" s="17" t="str">
        <f t="shared" si="938"/>
        <v/>
      </c>
      <c r="N19651" s="11" t="str">
        <f t="shared" si="939"/>
        <v/>
      </c>
    </row>
    <row r="19652" spans="9:14" x14ac:dyDescent="0.25">
      <c r="I19652" s="11" t="b">
        <f t="shared" si="937"/>
        <v>0</v>
      </c>
      <c r="M19652" s="17" t="str">
        <f t="shared" si="938"/>
        <v/>
      </c>
      <c r="N19652" s="11" t="str">
        <f t="shared" si="939"/>
        <v/>
      </c>
    </row>
    <row r="19653" spans="9:14" x14ac:dyDescent="0.25">
      <c r="I19653" s="11" t="b">
        <f t="shared" si="937"/>
        <v>0</v>
      </c>
      <c r="M19653" s="17" t="str">
        <f t="shared" si="938"/>
        <v/>
      </c>
      <c r="N19653" s="11" t="str">
        <f t="shared" si="939"/>
        <v/>
      </c>
    </row>
    <row r="19654" spans="9:14" x14ac:dyDescent="0.25">
      <c r="I19654" s="11" t="b">
        <f t="shared" si="937"/>
        <v>0</v>
      </c>
      <c r="M19654" s="17" t="str">
        <f t="shared" si="938"/>
        <v/>
      </c>
      <c r="N19654" s="11" t="str">
        <f t="shared" si="939"/>
        <v/>
      </c>
    </row>
    <row r="19655" spans="9:14" x14ac:dyDescent="0.25">
      <c r="I19655" s="11" t="b">
        <f t="shared" si="937"/>
        <v>0</v>
      </c>
      <c r="M19655" s="17" t="str">
        <f t="shared" si="938"/>
        <v/>
      </c>
      <c r="N19655" s="11" t="str">
        <f t="shared" si="939"/>
        <v/>
      </c>
    </row>
    <row r="19656" spans="9:14" x14ac:dyDescent="0.25">
      <c r="I19656" s="11" t="b">
        <f t="shared" si="937"/>
        <v>0</v>
      </c>
      <c r="M19656" s="17" t="str">
        <f t="shared" si="938"/>
        <v/>
      </c>
      <c r="N19656" s="11" t="str">
        <f t="shared" si="939"/>
        <v/>
      </c>
    </row>
    <row r="19657" spans="9:14" x14ac:dyDescent="0.25">
      <c r="I19657" s="11" t="b">
        <f t="shared" si="937"/>
        <v>0</v>
      </c>
      <c r="M19657" s="17" t="str">
        <f t="shared" si="938"/>
        <v/>
      </c>
      <c r="N19657" s="11" t="str">
        <f t="shared" si="939"/>
        <v/>
      </c>
    </row>
    <row r="19658" spans="9:14" x14ac:dyDescent="0.25">
      <c r="I19658" s="11" t="b">
        <f t="shared" si="937"/>
        <v>0</v>
      </c>
      <c r="M19658" s="17" t="str">
        <f t="shared" si="938"/>
        <v/>
      </c>
      <c r="N19658" s="11" t="str">
        <f t="shared" si="939"/>
        <v/>
      </c>
    </row>
    <row r="19659" spans="9:14" x14ac:dyDescent="0.25">
      <c r="I19659" s="11" t="b">
        <f t="shared" si="937"/>
        <v>0</v>
      </c>
      <c r="M19659" s="17" t="str">
        <f t="shared" si="938"/>
        <v/>
      </c>
      <c r="N19659" s="11" t="str">
        <f t="shared" si="939"/>
        <v/>
      </c>
    </row>
    <row r="19660" spans="9:14" x14ac:dyDescent="0.25">
      <c r="I19660" s="11" t="b">
        <f t="shared" si="937"/>
        <v>0</v>
      </c>
      <c r="M19660" s="17" t="str">
        <f t="shared" si="938"/>
        <v/>
      </c>
      <c r="N19660" s="11" t="str">
        <f t="shared" si="939"/>
        <v/>
      </c>
    </row>
    <row r="19661" spans="9:14" x14ac:dyDescent="0.25">
      <c r="I19661" s="11" t="b">
        <f t="shared" si="937"/>
        <v>0</v>
      </c>
      <c r="M19661" s="17" t="str">
        <f t="shared" si="938"/>
        <v/>
      </c>
      <c r="N19661" s="11" t="str">
        <f t="shared" si="939"/>
        <v/>
      </c>
    </row>
    <row r="19662" spans="9:14" x14ac:dyDescent="0.25">
      <c r="I19662" s="11" t="b">
        <f t="shared" si="937"/>
        <v>0</v>
      </c>
      <c r="M19662" s="17" t="str">
        <f t="shared" si="938"/>
        <v/>
      </c>
      <c r="N19662" s="11" t="str">
        <f t="shared" si="939"/>
        <v/>
      </c>
    </row>
    <row r="19663" spans="9:14" x14ac:dyDescent="0.25">
      <c r="I19663" s="11" t="b">
        <f t="shared" si="937"/>
        <v>0</v>
      </c>
      <c r="M19663" s="17" t="str">
        <f t="shared" si="938"/>
        <v/>
      </c>
      <c r="N19663" s="11" t="str">
        <f t="shared" si="939"/>
        <v/>
      </c>
    </row>
    <row r="19664" spans="9:14" x14ac:dyDescent="0.25">
      <c r="I19664" s="11" t="b">
        <f t="shared" si="937"/>
        <v>0</v>
      </c>
      <c r="M19664" s="17" t="str">
        <f t="shared" si="938"/>
        <v/>
      </c>
      <c r="N19664" s="11" t="str">
        <f t="shared" si="939"/>
        <v/>
      </c>
    </row>
    <row r="19665" spans="9:14" x14ac:dyDescent="0.25">
      <c r="I19665" s="11" t="b">
        <f t="shared" si="937"/>
        <v>0</v>
      </c>
      <c r="M19665" s="17" t="str">
        <f t="shared" si="938"/>
        <v/>
      </c>
      <c r="N19665" s="11" t="str">
        <f t="shared" si="939"/>
        <v/>
      </c>
    </row>
    <row r="19666" spans="9:14" x14ac:dyDescent="0.25">
      <c r="I19666" s="11" t="b">
        <f t="shared" si="937"/>
        <v>0</v>
      </c>
      <c r="M19666" s="17" t="str">
        <f t="shared" si="938"/>
        <v/>
      </c>
      <c r="N19666" s="11" t="str">
        <f t="shared" si="939"/>
        <v/>
      </c>
    </row>
    <row r="19667" spans="9:14" x14ac:dyDescent="0.25">
      <c r="I19667" s="11" t="b">
        <f t="shared" si="937"/>
        <v>0</v>
      </c>
      <c r="M19667" s="17" t="str">
        <f t="shared" si="938"/>
        <v/>
      </c>
      <c r="N19667" s="11" t="str">
        <f t="shared" si="939"/>
        <v/>
      </c>
    </row>
    <row r="19668" spans="9:14" x14ac:dyDescent="0.25">
      <c r="I19668" s="11" t="b">
        <f t="shared" si="937"/>
        <v>0</v>
      </c>
      <c r="M19668" s="17" t="str">
        <f t="shared" si="938"/>
        <v/>
      </c>
      <c r="N19668" s="11" t="str">
        <f t="shared" si="939"/>
        <v/>
      </c>
    </row>
    <row r="19669" spans="9:14" x14ac:dyDescent="0.25">
      <c r="I19669" s="11" t="b">
        <f t="shared" si="937"/>
        <v>0</v>
      </c>
      <c r="M19669" s="17" t="str">
        <f t="shared" si="938"/>
        <v/>
      </c>
      <c r="N19669" s="11" t="str">
        <f t="shared" si="939"/>
        <v/>
      </c>
    </row>
    <row r="19670" spans="9:14" x14ac:dyDescent="0.25">
      <c r="I19670" s="11" t="b">
        <f t="shared" si="937"/>
        <v>0</v>
      </c>
      <c r="M19670" s="17" t="str">
        <f t="shared" si="938"/>
        <v/>
      </c>
      <c r="N19670" s="11" t="str">
        <f t="shared" si="939"/>
        <v/>
      </c>
    </row>
    <row r="19671" spans="9:14" x14ac:dyDescent="0.25">
      <c r="I19671" s="11" t="b">
        <f t="shared" si="937"/>
        <v>0</v>
      </c>
      <c r="M19671" s="17" t="str">
        <f t="shared" si="938"/>
        <v/>
      </c>
      <c r="N19671" s="11" t="str">
        <f t="shared" si="939"/>
        <v/>
      </c>
    </row>
    <row r="19672" spans="9:14" x14ac:dyDescent="0.25">
      <c r="I19672" s="11" t="b">
        <f t="shared" si="937"/>
        <v>0</v>
      </c>
      <c r="M19672" s="17" t="str">
        <f t="shared" si="938"/>
        <v/>
      </c>
      <c r="N19672" s="11" t="str">
        <f t="shared" si="939"/>
        <v/>
      </c>
    </row>
    <row r="19673" spans="9:14" x14ac:dyDescent="0.25">
      <c r="I19673" s="11" t="b">
        <f t="shared" si="937"/>
        <v>0</v>
      </c>
      <c r="M19673" s="17" t="str">
        <f t="shared" si="938"/>
        <v/>
      </c>
      <c r="N19673" s="11" t="str">
        <f t="shared" si="939"/>
        <v/>
      </c>
    </row>
    <row r="19674" spans="9:14" x14ac:dyDescent="0.25">
      <c r="I19674" s="11" t="b">
        <f t="shared" si="937"/>
        <v>0</v>
      </c>
      <c r="M19674" s="17" t="str">
        <f t="shared" si="938"/>
        <v/>
      </c>
      <c r="N19674" s="11" t="str">
        <f t="shared" si="939"/>
        <v/>
      </c>
    </row>
    <row r="19675" spans="9:14" x14ac:dyDescent="0.25">
      <c r="I19675" s="11" t="b">
        <f t="shared" si="937"/>
        <v>0</v>
      </c>
      <c r="M19675" s="17" t="str">
        <f t="shared" si="938"/>
        <v/>
      </c>
      <c r="N19675" s="11" t="str">
        <f t="shared" si="939"/>
        <v/>
      </c>
    </row>
    <row r="19676" spans="9:14" x14ac:dyDescent="0.25">
      <c r="I19676" s="11" t="b">
        <f t="shared" si="937"/>
        <v>0</v>
      </c>
      <c r="M19676" s="17" t="str">
        <f t="shared" si="938"/>
        <v/>
      </c>
      <c r="N19676" s="11" t="str">
        <f t="shared" si="939"/>
        <v/>
      </c>
    </row>
    <row r="19677" spans="9:14" x14ac:dyDescent="0.25">
      <c r="I19677" s="11" t="b">
        <f t="shared" ref="I19677:I19740" si="940">IF(AND(G19677="MERCADO PAGO",A19677="FATURAMENTO"),1,IF(AND(OR(G19677="MERCADO PAGO",G19677="pix mercado pago",G19677= "débito automático mercado pago", G19677= "boleto mercado pago"),A19677="DESPESAS"),4,IF(AND(G19677="SAFRA",A19677="FATURAMENTO"),2,IF(AND(OR(G19677="SAFRA",G19677="PIX SAFRA", G19677="DÉBITO AUTOMÁTICO SAFRA", G19677= "BOLETO SAFRA", G19677= "transferência safra"), A19677="DESPESAS"),5,IF(AND(G19677="espécie",A19677="FATURAMENTO"),3,IF(AND(G19677="espécie",A19677="DESPESAS"),6))))))</f>
        <v>0</v>
      </c>
      <c r="M19677" s="17" t="str">
        <f t="shared" si="938"/>
        <v/>
      </c>
      <c r="N19677" s="11" t="str">
        <f t="shared" si="939"/>
        <v/>
      </c>
    </row>
    <row r="19678" spans="9:14" x14ac:dyDescent="0.25">
      <c r="I19678" s="11" t="b">
        <f t="shared" si="940"/>
        <v>0</v>
      </c>
      <c r="M19678" s="17" t="str">
        <f t="shared" si="938"/>
        <v/>
      </c>
      <c r="N19678" s="11" t="str">
        <f t="shared" si="939"/>
        <v/>
      </c>
    </row>
    <row r="19679" spans="9:14" x14ac:dyDescent="0.25">
      <c r="I19679" s="11" t="b">
        <f t="shared" si="940"/>
        <v>0</v>
      </c>
      <c r="M19679" s="17" t="str">
        <f t="shared" si="938"/>
        <v/>
      </c>
      <c r="N19679" s="11" t="str">
        <f t="shared" si="939"/>
        <v/>
      </c>
    </row>
    <row r="19680" spans="9:14" x14ac:dyDescent="0.25">
      <c r="I19680" s="11" t="b">
        <f t="shared" si="940"/>
        <v>0</v>
      </c>
      <c r="M19680" s="17" t="str">
        <f t="shared" si="938"/>
        <v/>
      </c>
      <c r="N19680" s="11" t="str">
        <f t="shared" si="939"/>
        <v/>
      </c>
    </row>
    <row r="19681" spans="9:14" x14ac:dyDescent="0.25">
      <c r="I19681" s="11" t="b">
        <f t="shared" si="940"/>
        <v>0</v>
      </c>
      <c r="M19681" s="17" t="str">
        <f t="shared" si="938"/>
        <v/>
      </c>
      <c r="N19681" s="11" t="str">
        <f t="shared" si="939"/>
        <v/>
      </c>
    </row>
    <row r="19682" spans="9:14" x14ac:dyDescent="0.25">
      <c r="I19682" s="11" t="b">
        <f t="shared" si="940"/>
        <v>0</v>
      </c>
      <c r="M19682" s="17" t="str">
        <f t="shared" si="938"/>
        <v/>
      </c>
      <c r="N19682" s="11" t="str">
        <f t="shared" si="939"/>
        <v/>
      </c>
    </row>
    <row r="19683" spans="9:14" x14ac:dyDescent="0.25">
      <c r="I19683" s="11" t="b">
        <f t="shared" si="940"/>
        <v>0</v>
      </c>
      <c r="M19683" s="17" t="str">
        <f t="shared" si="938"/>
        <v/>
      </c>
      <c r="N19683" s="11" t="str">
        <f t="shared" si="939"/>
        <v/>
      </c>
    </row>
    <row r="19684" spans="9:14" x14ac:dyDescent="0.25">
      <c r="I19684" s="11" t="b">
        <f t="shared" si="940"/>
        <v>0</v>
      </c>
      <c r="M19684" s="17" t="str">
        <f t="shared" si="938"/>
        <v/>
      </c>
      <c r="N19684" s="11" t="str">
        <f t="shared" si="939"/>
        <v/>
      </c>
    </row>
    <row r="19685" spans="9:14" x14ac:dyDescent="0.25">
      <c r="I19685" s="11" t="b">
        <f t="shared" si="940"/>
        <v>0</v>
      </c>
      <c r="M19685" s="17" t="str">
        <f t="shared" si="938"/>
        <v/>
      </c>
      <c r="N19685" s="11" t="str">
        <f t="shared" si="939"/>
        <v/>
      </c>
    </row>
    <row r="19686" spans="9:14" x14ac:dyDescent="0.25">
      <c r="I19686" s="11" t="b">
        <f t="shared" si="940"/>
        <v>0</v>
      </c>
      <c r="M19686" s="17" t="str">
        <f t="shared" si="938"/>
        <v/>
      </c>
      <c r="N19686" s="11" t="str">
        <f t="shared" si="939"/>
        <v/>
      </c>
    </row>
    <row r="19687" spans="9:14" x14ac:dyDescent="0.25">
      <c r="I19687" s="11" t="b">
        <f t="shared" si="940"/>
        <v>0</v>
      </c>
      <c r="M19687" s="17" t="str">
        <f t="shared" si="938"/>
        <v/>
      </c>
      <c r="N19687" s="11" t="str">
        <f t="shared" si="939"/>
        <v/>
      </c>
    </row>
    <row r="19688" spans="9:14" x14ac:dyDescent="0.25">
      <c r="I19688" s="11" t="b">
        <f t="shared" si="940"/>
        <v>0</v>
      </c>
      <c r="M19688" s="17" t="str">
        <f t="shared" si="938"/>
        <v/>
      </c>
      <c r="N19688" s="11" t="str">
        <f t="shared" si="939"/>
        <v/>
      </c>
    </row>
    <row r="19689" spans="9:14" x14ac:dyDescent="0.25">
      <c r="I19689" s="11" t="b">
        <f t="shared" si="940"/>
        <v>0</v>
      </c>
      <c r="M19689" s="17" t="str">
        <f t="shared" si="938"/>
        <v/>
      </c>
      <c r="N19689" s="11" t="str">
        <f t="shared" si="939"/>
        <v/>
      </c>
    </row>
    <row r="19690" spans="9:14" x14ac:dyDescent="0.25">
      <c r="I19690" s="11" t="b">
        <f t="shared" si="940"/>
        <v>0</v>
      </c>
      <c r="M19690" s="17" t="str">
        <f t="shared" si="938"/>
        <v/>
      </c>
      <c r="N19690" s="11" t="str">
        <f t="shared" si="939"/>
        <v/>
      </c>
    </row>
    <row r="19691" spans="9:14" x14ac:dyDescent="0.25">
      <c r="I19691" s="11" t="b">
        <f t="shared" si="940"/>
        <v>0</v>
      </c>
      <c r="M19691" s="17" t="str">
        <f t="shared" si="938"/>
        <v/>
      </c>
      <c r="N19691" s="11" t="str">
        <f t="shared" si="939"/>
        <v/>
      </c>
    </row>
    <row r="19692" spans="9:14" x14ac:dyDescent="0.25">
      <c r="I19692" s="11" t="b">
        <f t="shared" si="940"/>
        <v>0</v>
      </c>
      <c r="M19692" s="17" t="str">
        <f t="shared" si="938"/>
        <v/>
      </c>
      <c r="N19692" s="11" t="str">
        <f t="shared" si="939"/>
        <v/>
      </c>
    </row>
    <row r="19693" spans="9:14" x14ac:dyDescent="0.25">
      <c r="I19693" s="11" t="b">
        <f t="shared" si="940"/>
        <v>0</v>
      </c>
      <c r="M19693" s="17" t="str">
        <f t="shared" si="938"/>
        <v/>
      </c>
      <c r="N19693" s="11" t="str">
        <f t="shared" si="939"/>
        <v/>
      </c>
    </row>
    <row r="19694" spans="9:14" x14ac:dyDescent="0.25">
      <c r="I19694" s="11" t="b">
        <f t="shared" si="940"/>
        <v>0</v>
      </c>
      <c r="M19694" s="17" t="str">
        <f t="shared" si="938"/>
        <v/>
      </c>
      <c r="N19694" s="11" t="str">
        <f t="shared" si="939"/>
        <v/>
      </c>
    </row>
    <row r="19695" spans="9:14" x14ac:dyDescent="0.25">
      <c r="I19695" s="11" t="b">
        <f t="shared" si="940"/>
        <v>0</v>
      </c>
      <c r="M19695" s="17" t="str">
        <f t="shared" si="938"/>
        <v/>
      </c>
      <c r="N19695" s="11" t="str">
        <f t="shared" si="939"/>
        <v/>
      </c>
    </row>
    <row r="19696" spans="9:14" x14ac:dyDescent="0.25">
      <c r="I19696" s="11" t="b">
        <f t="shared" si="940"/>
        <v>0</v>
      </c>
      <c r="M19696" s="17" t="str">
        <f t="shared" si="938"/>
        <v/>
      </c>
      <c r="N19696" s="11" t="str">
        <f t="shared" si="939"/>
        <v/>
      </c>
    </row>
    <row r="19697" spans="9:14" x14ac:dyDescent="0.25">
      <c r="I19697" s="11" t="b">
        <f t="shared" si="940"/>
        <v>0</v>
      </c>
      <c r="M19697" s="17" t="str">
        <f t="shared" si="938"/>
        <v/>
      </c>
      <c r="N19697" s="11" t="str">
        <f t="shared" si="939"/>
        <v/>
      </c>
    </row>
    <row r="19698" spans="9:14" x14ac:dyDescent="0.25">
      <c r="I19698" s="11" t="b">
        <f t="shared" si="940"/>
        <v>0</v>
      </c>
      <c r="M19698" s="17" t="str">
        <f t="shared" si="938"/>
        <v/>
      </c>
      <c r="N19698" s="11" t="str">
        <f t="shared" si="939"/>
        <v/>
      </c>
    </row>
    <row r="19699" spans="9:14" x14ac:dyDescent="0.25">
      <c r="I19699" s="11" t="b">
        <f t="shared" si="940"/>
        <v>0</v>
      </c>
      <c r="M19699" s="17" t="str">
        <f t="shared" si="938"/>
        <v/>
      </c>
      <c r="N19699" s="11" t="str">
        <f t="shared" si="939"/>
        <v/>
      </c>
    </row>
    <row r="19700" spans="9:14" x14ac:dyDescent="0.25">
      <c r="I19700" s="11" t="b">
        <f t="shared" si="940"/>
        <v>0</v>
      </c>
      <c r="M19700" s="17" t="str">
        <f t="shared" si="938"/>
        <v/>
      </c>
      <c r="N19700" s="11" t="str">
        <f t="shared" si="939"/>
        <v/>
      </c>
    </row>
    <row r="19701" spans="9:14" x14ac:dyDescent="0.25">
      <c r="I19701" s="11" t="b">
        <f t="shared" si="940"/>
        <v>0</v>
      </c>
      <c r="M19701" s="17" t="str">
        <f t="shared" si="938"/>
        <v/>
      </c>
      <c r="N19701" s="11" t="str">
        <f t="shared" si="939"/>
        <v/>
      </c>
    </row>
    <row r="19702" spans="9:14" x14ac:dyDescent="0.25">
      <c r="I19702" s="11" t="b">
        <f t="shared" si="940"/>
        <v>0</v>
      </c>
      <c r="M19702" s="17" t="str">
        <f t="shared" si="938"/>
        <v/>
      </c>
      <c r="N19702" s="11" t="str">
        <f t="shared" si="939"/>
        <v/>
      </c>
    </row>
    <row r="19703" spans="9:14" x14ac:dyDescent="0.25">
      <c r="I19703" s="11" t="b">
        <f t="shared" si="940"/>
        <v>0</v>
      </c>
      <c r="M19703" s="17" t="str">
        <f t="shared" si="938"/>
        <v/>
      </c>
      <c r="N19703" s="11" t="str">
        <f t="shared" si="939"/>
        <v/>
      </c>
    </row>
    <row r="19704" spans="9:14" x14ac:dyDescent="0.25">
      <c r="I19704" s="11" t="b">
        <f t="shared" si="940"/>
        <v>0</v>
      </c>
      <c r="M19704" s="17" t="str">
        <f t="shared" si="938"/>
        <v/>
      </c>
      <c r="N19704" s="11" t="str">
        <f t="shared" si="939"/>
        <v/>
      </c>
    </row>
    <row r="19705" spans="9:14" x14ac:dyDescent="0.25">
      <c r="I19705" s="11" t="b">
        <f t="shared" si="940"/>
        <v>0</v>
      </c>
      <c r="M19705" s="17" t="str">
        <f t="shared" si="938"/>
        <v/>
      </c>
      <c r="N19705" s="11" t="str">
        <f t="shared" si="939"/>
        <v/>
      </c>
    </row>
    <row r="19706" spans="9:14" x14ac:dyDescent="0.25">
      <c r="I19706" s="11" t="b">
        <f t="shared" si="940"/>
        <v>0</v>
      </c>
      <c r="M19706" s="17" t="str">
        <f t="shared" si="938"/>
        <v/>
      </c>
      <c r="N19706" s="11" t="str">
        <f t="shared" si="939"/>
        <v/>
      </c>
    </row>
    <row r="19707" spans="9:14" x14ac:dyDescent="0.25">
      <c r="I19707" s="11" t="b">
        <f t="shared" si="940"/>
        <v>0</v>
      </c>
      <c r="M19707" s="17" t="str">
        <f t="shared" si="938"/>
        <v/>
      </c>
      <c r="N19707" s="11" t="str">
        <f t="shared" si="939"/>
        <v/>
      </c>
    </row>
    <row r="19708" spans="9:14" x14ac:dyDescent="0.25">
      <c r="I19708" s="11" t="b">
        <f t="shared" si="940"/>
        <v>0</v>
      </c>
      <c r="M19708" s="17" t="str">
        <f t="shared" si="938"/>
        <v/>
      </c>
      <c r="N19708" s="11" t="str">
        <f t="shared" si="939"/>
        <v/>
      </c>
    </row>
    <row r="19709" spans="9:14" x14ac:dyDescent="0.25">
      <c r="I19709" s="11" t="b">
        <f t="shared" si="940"/>
        <v>0</v>
      </c>
      <c r="M19709" s="17" t="str">
        <f t="shared" si="938"/>
        <v/>
      </c>
      <c r="N19709" s="11" t="str">
        <f t="shared" si="939"/>
        <v/>
      </c>
    </row>
    <row r="19710" spans="9:14" x14ac:dyDescent="0.25">
      <c r="I19710" s="11" t="b">
        <f t="shared" si="940"/>
        <v>0</v>
      </c>
      <c r="M19710" s="17" t="str">
        <f t="shared" si="938"/>
        <v/>
      </c>
      <c r="N19710" s="11" t="str">
        <f t="shared" si="939"/>
        <v/>
      </c>
    </row>
    <row r="19711" spans="9:14" x14ac:dyDescent="0.25">
      <c r="I19711" s="11" t="b">
        <f t="shared" si="940"/>
        <v>0</v>
      </c>
      <c r="M19711" s="17" t="str">
        <f t="shared" si="938"/>
        <v/>
      </c>
      <c r="N19711" s="11" t="str">
        <f t="shared" si="939"/>
        <v/>
      </c>
    </row>
    <row r="19712" spans="9:14" x14ac:dyDescent="0.25">
      <c r="I19712" s="11" t="b">
        <f t="shared" si="940"/>
        <v>0</v>
      </c>
      <c r="M19712" s="17" t="str">
        <f t="shared" si="938"/>
        <v/>
      </c>
      <c r="N19712" s="11" t="str">
        <f t="shared" si="939"/>
        <v/>
      </c>
    </row>
    <row r="19713" spans="9:14" x14ac:dyDescent="0.25">
      <c r="I19713" s="11" t="b">
        <f t="shared" si="940"/>
        <v>0</v>
      </c>
      <c r="M19713" s="17" t="str">
        <f t="shared" ref="M19713:M19776" si="941">IF(B19713=0, "",M19712+ J19713-K19713)</f>
        <v/>
      </c>
      <c r="N19713" s="11" t="str">
        <f t="shared" ref="N19713:N19776" si="942">IF(B19713=0, "", MONTH(B19713))</f>
        <v/>
      </c>
    </row>
    <row r="19714" spans="9:14" x14ac:dyDescent="0.25">
      <c r="I19714" s="11" t="b">
        <f t="shared" si="940"/>
        <v>0</v>
      </c>
      <c r="M19714" s="17" t="str">
        <f t="shared" si="941"/>
        <v/>
      </c>
      <c r="N19714" s="11" t="str">
        <f t="shared" si="942"/>
        <v/>
      </c>
    </row>
    <row r="19715" spans="9:14" x14ac:dyDescent="0.25">
      <c r="I19715" s="11" t="b">
        <f t="shared" si="940"/>
        <v>0</v>
      </c>
      <c r="M19715" s="17" t="str">
        <f t="shared" si="941"/>
        <v/>
      </c>
      <c r="N19715" s="11" t="str">
        <f t="shared" si="942"/>
        <v/>
      </c>
    </row>
    <row r="19716" spans="9:14" x14ac:dyDescent="0.25">
      <c r="I19716" s="11" t="b">
        <f t="shared" si="940"/>
        <v>0</v>
      </c>
      <c r="M19716" s="17" t="str">
        <f t="shared" si="941"/>
        <v/>
      </c>
      <c r="N19716" s="11" t="str">
        <f t="shared" si="942"/>
        <v/>
      </c>
    </row>
    <row r="19717" spans="9:14" x14ac:dyDescent="0.25">
      <c r="I19717" s="11" t="b">
        <f t="shared" si="940"/>
        <v>0</v>
      </c>
      <c r="M19717" s="17" t="str">
        <f t="shared" si="941"/>
        <v/>
      </c>
      <c r="N19717" s="11" t="str">
        <f t="shared" si="942"/>
        <v/>
      </c>
    </row>
    <row r="19718" spans="9:14" x14ac:dyDescent="0.25">
      <c r="I19718" s="11" t="b">
        <f t="shared" si="940"/>
        <v>0</v>
      </c>
      <c r="M19718" s="17" t="str">
        <f t="shared" si="941"/>
        <v/>
      </c>
      <c r="N19718" s="11" t="str">
        <f t="shared" si="942"/>
        <v/>
      </c>
    </row>
    <row r="19719" spans="9:14" x14ac:dyDescent="0.25">
      <c r="I19719" s="11" t="b">
        <f t="shared" si="940"/>
        <v>0</v>
      </c>
      <c r="M19719" s="17" t="str">
        <f t="shared" si="941"/>
        <v/>
      </c>
      <c r="N19719" s="11" t="str">
        <f t="shared" si="942"/>
        <v/>
      </c>
    </row>
    <row r="19720" spans="9:14" x14ac:dyDescent="0.25">
      <c r="I19720" s="11" t="b">
        <f t="shared" si="940"/>
        <v>0</v>
      </c>
      <c r="M19720" s="17" t="str">
        <f t="shared" si="941"/>
        <v/>
      </c>
      <c r="N19720" s="11" t="str">
        <f t="shared" si="942"/>
        <v/>
      </c>
    </row>
    <row r="19721" spans="9:14" x14ac:dyDescent="0.25">
      <c r="I19721" s="11" t="b">
        <f t="shared" si="940"/>
        <v>0</v>
      </c>
      <c r="M19721" s="17" t="str">
        <f t="shared" si="941"/>
        <v/>
      </c>
      <c r="N19721" s="11" t="str">
        <f t="shared" si="942"/>
        <v/>
      </c>
    </row>
    <row r="19722" spans="9:14" x14ac:dyDescent="0.25">
      <c r="I19722" s="11" t="b">
        <f t="shared" si="940"/>
        <v>0</v>
      </c>
      <c r="M19722" s="17" t="str">
        <f t="shared" si="941"/>
        <v/>
      </c>
      <c r="N19722" s="11" t="str">
        <f t="shared" si="942"/>
        <v/>
      </c>
    </row>
    <row r="19723" spans="9:14" x14ac:dyDescent="0.25">
      <c r="I19723" s="11" t="b">
        <f t="shared" si="940"/>
        <v>0</v>
      </c>
      <c r="M19723" s="17" t="str">
        <f t="shared" si="941"/>
        <v/>
      </c>
      <c r="N19723" s="11" t="str">
        <f t="shared" si="942"/>
        <v/>
      </c>
    </row>
    <row r="19724" spans="9:14" x14ac:dyDescent="0.25">
      <c r="I19724" s="11" t="b">
        <f t="shared" si="940"/>
        <v>0</v>
      </c>
      <c r="M19724" s="17" t="str">
        <f t="shared" si="941"/>
        <v/>
      </c>
      <c r="N19724" s="11" t="str">
        <f t="shared" si="942"/>
        <v/>
      </c>
    </row>
    <row r="19725" spans="9:14" x14ac:dyDescent="0.25">
      <c r="I19725" s="11" t="b">
        <f t="shared" si="940"/>
        <v>0</v>
      </c>
      <c r="M19725" s="17" t="str">
        <f t="shared" si="941"/>
        <v/>
      </c>
      <c r="N19725" s="11" t="str">
        <f t="shared" si="942"/>
        <v/>
      </c>
    </row>
    <row r="19726" spans="9:14" x14ac:dyDescent="0.25">
      <c r="I19726" s="11" t="b">
        <f t="shared" si="940"/>
        <v>0</v>
      </c>
      <c r="M19726" s="17" t="str">
        <f t="shared" si="941"/>
        <v/>
      </c>
      <c r="N19726" s="11" t="str">
        <f t="shared" si="942"/>
        <v/>
      </c>
    </row>
    <row r="19727" spans="9:14" x14ac:dyDescent="0.25">
      <c r="I19727" s="11" t="b">
        <f t="shared" si="940"/>
        <v>0</v>
      </c>
      <c r="M19727" s="17" t="str">
        <f t="shared" si="941"/>
        <v/>
      </c>
      <c r="N19727" s="11" t="str">
        <f t="shared" si="942"/>
        <v/>
      </c>
    </row>
    <row r="19728" spans="9:14" x14ac:dyDescent="0.25">
      <c r="I19728" s="11" t="b">
        <f t="shared" si="940"/>
        <v>0</v>
      </c>
      <c r="M19728" s="17" t="str">
        <f t="shared" si="941"/>
        <v/>
      </c>
      <c r="N19728" s="11" t="str">
        <f t="shared" si="942"/>
        <v/>
      </c>
    </row>
    <row r="19729" spans="9:14" x14ac:dyDescent="0.25">
      <c r="I19729" s="11" t="b">
        <f t="shared" si="940"/>
        <v>0</v>
      </c>
      <c r="M19729" s="17" t="str">
        <f t="shared" si="941"/>
        <v/>
      </c>
      <c r="N19729" s="11" t="str">
        <f t="shared" si="942"/>
        <v/>
      </c>
    </row>
    <row r="19730" spans="9:14" x14ac:dyDescent="0.25">
      <c r="I19730" s="11" t="b">
        <f t="shared" si="940"/>
        <v>0</v>
      </c>
      <c r="M19730" s="17" t="str">
        <f t="shared" si="941"/>
        <v/>
      </c>
      <c r="N19730" s="11" t="str">
        <f t="shared" si="942"/>
        <v/>
      </c>
    </row>
    <row r="19731" spans="9:14" x14ac:dyDescent="0.25">
      <c r="I19731" s="11" t="b">
        <f t="shared" si="940"/>
        <v>0</v>
      </c>
      <c r="M19731" s="17" t="str">
        <f t="shared" si="941"/>
        <v/>
      </c>
      <c r="N19731" s="11" t="str">
        <f t="shared" si="942"/>
        <v/>
      </c>
    </row>
    <row r="19732" spans="9:14" x14ac:dyDescent="0.25">
      <c r="I19732" s="11" t="b">
        <f t="shared" si="940"/>
        <v>0</v>
      </c>
      <c r="M19732" s="17" t="str">
        <f t="shared" si="941"/>
        <v/>
      </c>
      <c r="N19732" s="11" t="str">
        <f t="shared" si="942"/>
        <v/>
      </c>
    </row>
    <row r="19733" spans="9:14" x14ac:dyDescent="0.25">
      <c r="I19733" s="11" t="b">
        <f t="shared" si="940"/>
        <v>0</v>
      </c>
      <c r="M19733" s="17" t="str">
        <f t="shared" si="941"/>
        <v/>
      </c>
      <c r="N19733" s="11" t="str">
        <f t="shared" si="942"/>
        <v/>
      </c>
    </row>
    <row r="19734" spans="9:14" x14ac:dyDescent="0.25">
      <c r="I19734" s="11" t="b">
        <f t="shared" si="940"/>
        <v>0</v>
      </c>
      <c r="M19734" s="17" t="str">
        <f t="shared" si="941"/>
        <v/>
      </c>
      <c r="N19734" s="11" t="str">
        <f t="shared" si="942"/>
        <v/>
      </c>
    </row>
    <row r="19735" spans="9:14" x14ac:dyDescent="0.25">
      <c r="I19735" s="11" t="b">
        <f t="shared" si="940"/>
        <v>0</v>
      </c>
      <c r="M19735" s="17" t="str">
        <f t="shared" si="941"/>
        <v/>
      </c>
      <c r="N19735" s="11" t="str">
        <f t="shared" si="942"/>
        <v/>
      </c>
    </row>
    <row r="19736" spans="9:14" x14ac:dyDescent="0.25">
      <c r="I19736" s="11" t="b">
        <f t="shared" si="940"/>
        <v>0</v>
      </c>
      <c r="M19736" s="17" t="str">
        <f t="shared" si="941"/>
        <v/>
      </c>
      <c r="N19736" s="11" t="str">
        <f t="shared" si="942"/>
        <v/>
      </c>
    </row>
    <row r="19737" spans="9:14" x14ac:dyDescent="0.25">
      <c r="I19737" s="11" t="b">
        <f t="shared" si="940"/>
        <v>0</v>
      </c>
      <c r="M19737" s="17" t="str">
        <f t="shared" si="941"/>
        <v/>
      </c>
      <c r="N19737" s="11" t="str">
        <f t="shared" si="942"/>
        <v/>
      </c>
    </row>
    <row r="19738" spans="9:14" x14ac:dyDescent="0.25">
      <c r="I19738" s="11" t="b">
        <f t="shared" si="940"/>
        <v>0</v>
      </c>
      <c r="M19738" s="17" t="str">
        <f t="shared" si="941"/>
        <v/>
      </c>
      <c r="N19738" s="11" t="str">
        <f t="shared" si="942"/>
        <v/>
      </c>
    </row>
    <row r="19739" spans="9:14" x14ac:dyDescent="0.25">
      <c r="I19739" s="11" t="b">
        <f t="shared" si="940"/>
        <v>0</v>
      </c>
      <c r="M19739" s="17" t="str">
        <f t="shared" si="941"/>
        <v/>
      </c>
      <c r="N19739" s="11" t="str">
        <f t="shared" si="942"/>
        <v/>
      </c>
    </row>
    <row r="19740" spans="9:14" x14ac:dyDescent="0.25">
      <c r="I19740" s="11" t="b">
        <f t="shared" si="940"/>
        <v>0</v>
      </c>
      <c r="M19740" s="17" t="str">
        <f t="shared" si="941"/>
        <v/>
      </c>
      <c r="N19740" s="11" t="str">
        <f t="shared" si="942"/>
        <v/>
      </c>
    </row>
    <row r="19741" spans="9:14" x14ac:dyDescent="0.25">
      <c r="I19741" s="11" t="b">
        <f t="shared" ref="I19741:I19804" si="943">IF(AND(G19741="MERCADO PAGO",A19741="FATURAMENTO"),1,IF(AND(OR(G19741="MERCADO PAGO",G19741="pix mercado pago",G19741= "débito automático mercado pago", G19741= "boleto mercado pago"),A19741="DESPESAS"),4,IF(AND(G19741="SAFRA",A19741="FATURAMENTO"),2,IF(AND(OR(G19741="SAFRA",G19741="PIX SAFRA", G19741="DÉBITO AUTOMÁTICO SAFRA", G19741= "BOLETO SAFRA", G19741= "transferência safra"), A19741="DESPESAS"),5,IF(AND(G19741="espécie",A19741="FATURAMENTO"),3,IF(AND(G19741="espécie",A19741="DESPESAS"),6))))))</f>
        <v>0</v>
      </c>
      <c r="M19741" s="17" t="str">
        <f t="shared" si="941"/>
        <v/>
      </c>
      <c r="N19741" s="11" t="str">
        <f t="shared" si="942"/>
        <v/>
      </c>
    </row>
    <row r="19742" spans="9:14" x14ac:dyDescent="0.25">
      <c r="I19742" s="11" t="b">
        <f t="shared" si="943"/>
        <v>0</v>
      </c>
      <c r="M19742" s="17" t="str">
        <f t="shared" si="941"/>
        <v/>
      </c>
      <c r="N19742" s="11" t="str">
        <f t="shared" si="942"/>
        <v/>
      </c>
    </row>
    <row r="19743" spans="9:14" x14ac:dyDescent="0.25">
      <c r="I19743" s="11" t="b">
        <f t="shared" si="943"/>
        <v>0</v>
      </c>
      <c r="M19743" s="17" t="str">
        <f t="shared" si="941"/>
        <v/>
      </c>
      <c r="N19743" s="11" t="str">
        <f t="shared" si="942"/>
        <v/>
      </c>
    </row>
    <row r="19744" spans="9:14" x14ac:dyDescent="0.25">
      <c r="I19744" s="11" t="b">
        <f t="shared" si="943"/>
        <v>0</v>
      </c>
      <c r="M19744" s="17" t="str">
        <f t="shared" si="941"/>
        <v/>
      </c>
      <c r="N19744" s="11" t="str">
        <f t="shared" si="942"/>
        <v/>
      </c>
    </row>
    <row r="19745" spans="9:14" x14ac:dyDescent="0.25">
      <c r="I19745" s="11" t="b">
        <f t="shared" si="943"/>
        <v>0</v>
      </c>
      <c r="M19745" s="17" t="str">
        <f t="shared" si="941"/>
        <v/>
      </c>
      <c r="N19745" s="11" t="str">
        <f t="shared" si="942"/>
        <v/>
      </c>
    </row>
    <row r="19746" spans="9:14" x14ac:dyDescent="0.25">
      <c r="I19746" s="11" t="b">
        <f t="shared" si="943"/>
        <v>0</v>
      </c>
      <c r="M19746" s="17" t="str">
        <f t="shared" si="941"/>
        <v/>
      </c>
      <c r="N19746" s="11" t="str">
        <f t="shared" si="942"/>
        <v/>
      </c>
    </row>
    <row r="19747" spans="9:14" x14ac:dyDescent="0.25">
      <c r="I19747" s="11" t="b">
        <f t="shared" si="943"/>
        <v>0</v>
      </c>
      <c r="M19747" s="17" t="str">
        <f t="shared" si="941"/>
        <v/>
      </c>
      <c r="N19747" s="11" t="str">
        <f t="shared" si="942"/>
        <v/>
      </c>
    </row>
    <row r="19748" spans="9:14" x14ac:dyDescent="0.25">
      <c r="I19748" s="11" t="b">
        <f t="shared" si="943"/>
        <v>0</v>
      </c>
      <c r="M19748" s="17" t="str">
        <f t="shared" si="941"/>
        <v/>
      </c>
      <c r="N19748" s="11" t="str">
        <f t="shared" si="942"/>
        <v/>
      </c>
    </row>
    <row r="19749" spans="9:14" x14ac:dyDescent="0.25">
      <c r="I19749" s="11" t="b">
        <f t="shared" si="943"/>
        <v>0</v>
      </c>
      <c r="M19749" s="17" t="str">
        <f t="shared" si="941"/>
        <v/>
      </c>
      <c r="N19749" s="11" t="str">
        <f t="shared" si="942"/>
        <v/>
      </c>
    </row>
    <row r="19750" spans="9:14" x14ac:dyDescent="0.25">
      <c r="I19750" s="11" t="b">
        <f t="shared" si="943"/>
        <v>0</v>
      </c>
      <c r="M19750" s="17" t="str">
        <f t="shared" si="941"/>
        <v/>
      </c>
      <c r="N19750" s="11" t="str">
        <f t="shared" si="942"/>
        <v/>
      </c>
    </row>
    <row r="19751" spans="9:14" x14ac:dyDescent="0.25">
      <c r="I19751" s="11" t="b">
        <f t="shared" si="943"/>
        <v>0</v>
      </c>
      <c r="M19751" s="17" t="str">
        <f t="shared" si="941"/>
        <v/>
      </c>
      <c r="N19751" s="11" t="str">
        <f t="shared" si="942"/>
        <v/>
      </c>
    </row>
    <row r="19752" spans="9:14" x14ac:dyDescent="0.25">
      <c r="I19752" s="11" t="b">
        <f t="shared" si="943"/>
        <v>0</v>
      </c>
      <c r="M19752" s="17" t="str">
        <f t="shared" si="941"/>
        <v/>
      </c>
      <c r="N19752" s="11" t="str">
        <f t="shared" si="942"/>
        <v/>
      </c>
    </row>
    <row r="19753" spans="9:14" x14ac:dyDescent="0.25">
      <c r="I19753" s="11" t="b">
        <f t="shared" si="943"/>
        <v>0</v>
      </c>
      <c r="M19753" s="17" t="str">
        <f t="shared" si="941"/>
        <v/>
      </c>
      <c r="N19753" s="11" t="str">
        <f t="shared" si="942"/>
        <v/>
      </c>
    </row>
    <row r="19754" spans="9:14" x14ac:dyDescent="0.25">
      <c r="I19754" s="11" t="b">
        <f t="shared" si="943"/>
        <v>0</v>
      </c>
      <c r="M19754" s="17" t="str">
        <f t="shared" si="941"/>
        <v/>
      </c>
      <c r="N19754" s="11" t="str">
        <f t="shared" si="942"/>
        <v/>
      </c>
    </row>
    <row r="19755" spans="9:14" x14ac:dyDescent="0.25">
      <c r="I19755" s="11" t="b">
        <f t="shared" si="943"/>
        <v>0</v>
      </c>
      <c r="M19755" s="17" t="str">
        <f t="shared" si="941"/>
        <v/>
      </c>
      <c r="N19755" s="11" t="str">
        <f t="shared" si="942"/>
        <v/>
      </c>
    </row>
    <row r="19756" spans="9:14" x14ac:dyDescent="0.25">
      <c r="I19756" s="11" t="b">
        <f t="shared" si="943"/>
        <v>0</v>
      </c>
      <c r="M19756" s="17" t="str">
        <f t="shared" si="941"/>
        <v/>
      </c>
      <c r="N19756" s="11" t="str">
        <f t="shared" si="942"/>
        <v/>
      </c>
    </row>
    <row r="19757" spans="9:14" x14ac:dyDescent="0.25">
      <c r="I19757" s="11" t="b">
        <f t="shared" si="943"/>
        <v>0</v>
      </c>
      <c r="M19757" s="17" t="str">
        <f t="shared" si="941"/>
        <v/>
      </c>
      <c r="N19757" s="11" t="str">
        <f t="shared" si="942"/>
        <v/>
      </c>
    </row>
    <row r="19758" spans="9:14" x14ac:dyDescent="0.25">
      <c r="I19758" s="11" t="b">
        <f t="shared" si="943"/>
        <v>0</v>
      </c>
      <c r="M19758" s="17" t="str">
        <f t="shared" si="941"/>
        <v/>
      </c>
      <c r="N19758" s="11" t="str">
        <f t="shared" si="942"/>
        <v/>
      </c>
    </row>
    <row r="19759" spans="9:14" x14ac:dyDescent="0.25">
      <c r="I19759" s="11" t="b">
        <f t="shared" si="943"/>
        <v>0</v>
      </c>
      <c r="M19759" s="17" t="str">
        <f t="shared" si="941"/>
        <v/>
      </c>
      <c r="N19759" s="11" t="str">
        <f t="shared" si="942"/>
        <v/>
      </c>
    </row>
    <row r="19760" spans="9:14" x14ac:dyDescent="0.25">
      <c r="I19760" s="11" t="b">
        <f t="shared" si="943"/>
        <v>0</v>
      </c>
      <c r="M19760" s="17" t="str">
        <f t="shared" si="941"/>
        <v/>
      </c>
      <c r="N19760" s="11" t="str">
        <f t="shared" si="942"/>
        <v/>
      </c>
    </row>
    <row r="19761" spans="9:14" x14ac:dyDescent="0.25">
      <c r="I19761" s="11" t="b">
        <f t="shared" si="943"/>
        <v>0</v>
      </c>
      <c r="M19761" s="17" t="str">
        <f t="shared" si="941"/>
        <v/>
      </c>
      <c r="N19761" s="11" t="str">
        <f t="shared" si="942"/>
        <v/>
      </c>
    </row>
    <row r="19762" spans="9:14" x14ac:dyDescent="0.25">
      <c r="I19762" s="11" t="b">
        <f t="shared" si="943"/>
        <v>0</v>
      </c>
      <c r="M19762" s="17" t="str">
        <f t="shared" si="941"/>
        <v/>
      </c>
      <c r="N19762" s="11" t="str">
        <f t="shared" si="942"/>
        <v/>
      </c>
    </row>
    <row r="19763" spans="9:14" x14ac:dyDescent="0.25">
      <c r="I19763" s="11" t="b">
        <f t="shared" si="943"/>
        <v>0</v>
      </c>
      <c r="M19763" s="17" t="str">
        <f t="shared" si="941"/>
        <v/>
      </c>
      <c r="N19763" s="11" t="str">
        <f t="shared" si="942"/>
        <v/>
      </c>
    </row>
    <row r="19764" spans="9:14" x14ac:dyDescent="0.25">
      <c r="I19764" s="11" t="b">
        <f t="shared" si="943"/>
        <v>0</v>
      </c>
      <c r="M19764" s="17" t="str">
        <f t="shared" si="941"/>
        <v/>
      </c>
      <c r="N19764" s="11" t="str">
        <f t="shared" si="942"/>
        <v/>
      </c>
    </row>
    <row r="19765" spans="9:14" x14ac:dyDescent="0.25">
      <c r="I19765" s="11" t="b">
        <f t="shared" si="943"/>
        <v>0</v>
      </c>
      <c r="M19765" s="17" t="str">
        <f t="shared" si="941"/>
        <v/>
      </c>
      <c r="N19765" s="11" t="str">
        <f t="shared" si="942"/>
        <v/>
      </c>
    </row>
    <row r="19766" spans="9:14" x14ac:dyDescent="0.25">
      <c r="I19766" s="11" t="b">
        <f t="shared" si="943"/>
        <v>0</v>
      </c>
      <c r="M19766" s="17" t="str">
        <f t="shared" si="941"/>
        <v/>
      </c>
      <c r="N19766" s="11" t="str">
        <f t="shared" si="942"/>
        <v/>
      </c>
    </row>
    <row r="19767" spans="9:14" x14ac:dyDescent="0.25">
      <c r="I19767" s="11" t="b">
        <f t="shared" si="943"/>
        <v>0</v>
      </c>
      <c r="M19767" s="17" t="str">
        <f t="shared" si="941"/>
        <v/>
      </c>
      <c r="N19767" s="11" t="str">
        <f t="shared" si="942"/>
        <v/>
      </c>
    </row>
    <row r="19768" spans="9:14" x14ac:dyDescent="0.25">
      <c r="I19768" s="11" t="b">
        <f t="shared" si="943"/>
        <v>0</v>
      </c>
      <c r="M19768" s="17" t="str">
        <f t="shared" si="941"/>
        <v/>
      </c>
      <c r="N19768" s="11" t="str">
        <f t="shared" si="942"/>
        <v/>
      </c>
    </row>
    <row r="19769" spans="9:14" x14ac:dyDescent="0.25">
      <c r="I19769" s="11" t="b">
        <f t="shared" si="943"/>
        <v>0</v>
      </c>
      <c r="M19769" s="17" t="str">
        <f t="shared" si="941"/>
        <v/>
      </c>
      <c r="N19769" s="11" t="str">
        <f t="shared" si="942"/>
        <v/>
      </c>
    </row>
    <row r="19770" spans="9:14" x14ac:dyDescent="0.25">
      <c r="I19770" s="11" t="b">
        <f t="shared" si="943"/>
        <v>0</v>
      </c>
      <c r="M19770" s="17" t="str">
        <f t="shared" si="941"/>
        <v/>
      </c>
      <c r="N19770" s="11" t="str">
        <f t="shared" si="942"/>
        <v/>
      </c>
    </row>
    <row r="19771" spans="9:14" x14ac:dyDescent="0.25">
      <c r="I19771" s="11" t="b">
        <f t="shared" si="943"/>
        <v>0</v>
      </c>
      <c r="M19771" s="17" t="str">
        <f t="shared" si="941"/>
        <v/>
      </c>
      <c r="N19771" s="11" t="str">
        <f t="shared" si="942"/>
        <v/>
      </c>
    </row>
    <row r="19772" spans="9:14" x14ac:dyDescent="0.25">
      <c r="I19772" s="11" t="b">
        <f t="shared" si="943"/>
        <v>0</v>
      </c>
      <c r="M19772" s="17" t="str">
        <f t="shared" si="941"/>
        <v/>
      </c>
      <c r="N19772" s="11" t="str">
        <f t="shared" si="942"/>
        <v/>
      </c>
    </row>
    <row r="19773" spans="9:14" x14ac:dyDescent="0.25">
      <c r="I19773" s="11" t="b">
        <f t="shared" si="943"/>
        <v>0</v>
      </c>
      <c r="M19773" s="17" t="str">
        <f t="shared" si="941"/>
        <v/>
      </c>
      <c r="N19773" s="11" t="str">
        <f t="shared" si="942"/>
        <v/>
      </c>
    </row>
    <row r="19774" spans="9:14" x14ac:dyDescent="0.25">
      <c r="I19774" s="11" t="b">
        <f t="shared" si="943"/>
        <v>0</v>
      </c>
      <c r="M19774" s="17" t="str">
        <f t="shared" si="941"/>
        <v/>
      </c>
      <c r="N19774" s="11" t="str">
        <f t="shared" si="942"/>
        <v/>
      </c>
    </row>
    <row r="19775" spans="9:14" x14ac:dyDescent="0.25">
      <c r="I19775" s="11" t="b">
        <f t="shared" si="943"/>
        <v>0</v>
      </c>
      <c r="M19775" s="17" t="str">
        <f t="shared" si="941"/>
        <v/>
      </c>
      <c r="N19775" s="11" t="str">
        <f t="shared" si="942"/>
        <v/>
      </c>
    </row>
    <row r="19776" spans="9:14" x14ac:dyDescent="0.25">
      <c r="I19776" s="11" t="b">
        <f t="shared" si="943"/>
        <v>0</v>
      </c>
      <c r="M19776" s="17" t="str">
        <f t="shared" si="941"/>
        <v/>
      </c>
      <c r="N19776" s="11" t="str">
        <f t="shared" si="942"/>
        <v/>
      </c>
    </row>
    <row r="19777" spans="9:14" x14ac:dyDescent="0.25">
      <c r="I19777" s="11" t="b">
        <f t="shared" si="943"/>
        <v>0</v>
      </c>
      <c r="M19777" s="17" t="str">
        <f t="shared" ref="M19777:M19840" si="944">IF(B19777=0, "",M19776+ J19777-K19777)</f>
        <v/>
      </c>
      <c r="N19777" s="11" t="str">
        <f t="shared" ref="N19777:N19840" si="945">IF(B19777=0, "", MONTH(B19777))</f>
        <v/>
      </c>
    </row>
    <row r="19778" spans="9:14" x14ac:dyDescent="0.25">
      <c r="I19778" s="11" t="b">
        <f t="shared" si="943"/>
        <v>0</v>
      </c>
      <c r="M19778" s="17" t="str">
        <f t="shared" si="944"/>
        <v/>
      </c>
      <c r="N19778" s="11" t="str">
        <f t="shared" si="945"/>
        <v/>
      </c>
    </row>
    <row r="19779" spans="9:14" x14ac:dyDescent="0.25">
      <c r="I19779" s="11" t="b">
        <f t="shared" si="943"/>
        <v>0</v>
      </c>
      <c r="M19779" s="17" t="str">
        <f t="shared" si="944"/>
        <v/>
      </c>
      <c r="N19779" s="11" t="str">
        <f t="shared" si="945"/>
        <v/>
      </c>
    </row>
    <row r="19780" spans="9:14" x14ac:dyDescent="0.25">
      <c r="I19780" s="11" t="b">
        <f t="shared" si="943"/>
        <v>0</v>
      </c>
      <c r="M19780" s="17" t="str">
        <f t="shared" si="944"/>
        <v/>
      </c>
      <c r="N19780" s="11" t="str">
        <f t="shared" si="945"/>
        <v/>
      </c>
    </row>
    <row r="19781" spans="9:14" x14ac:dyDescent="0.25">
      <c r="I19781" s="11" t="b">
        <f t="shared" si="943"/>
        <v>0</v>
      </c>
      <c r="M19781" s="17" t="str">
        <f t="shared" si="944"/>
        <v/>
      </c>
      <c r="N19781" s="11" t="str">
        <f t="shared" si="945"/>
        <v/>
      </c>
    </row>
    <row r="19782" spans="9:14" x14ac:dyDescent="0.25">
      <c r="I19782" s="11" t="b">
        <f t="shared" si="943"/>
        <v>0</v>
      </c>
      <c r="M19782" s="17" t="str">
        <f t="shared" si="944"/>
        <v/>
      </c>
      <c r="N19782" s="11" t="str">
        <f t="shared" si="945"/>
        <v/>
      </c>
    </row>
    <row r="19783" spans="9:14" x14ac:dyDescent="0.25">
      <c r="I19783" s="11" t="b">
        <f t="shared" si="943"/>
        <v>0</v>
      </c>
      <c r="M19783" s="17" t="str">
        <f t="shared" si="944"/>
        <v/>
      </c>
      <c r="N19783" s="11" t="str">
        <f t="shared" si="945"/>
        <v/>
      </c>
    </row>
    <row r="19784" spans="9:14" x14ac:dyDescent="0.25">
      <c r="I19784" s="11" t="b">
        <f t="shared" si="943"/>
        <v>0</v>
      </c>
      <c r="M19784" s="17" t="str">
        <f t="shared" si="944"/>
        <v/>
      </c>
      <c r="N19784" s="11" t="str">
        <f t="shared" si="945"/>
        <v/>
      </c>
    </row>
    <row r="19785" spans="9:14" x14ac:dyDescent="0.25">
      <c r="I19785" s="11" t="b">
        <f t="shared" si="943"/>
        <v>0</v>
      </c>
      <c r="M19785" s="17" t="str">
        <f t="shared" si="944"/>
        <v/>
      </c>
      <c r="N19785" s="11" t="str">
        <f t="shared" si="945"/>
        <v/>
      </c>
    </row>
    <row r="19786" spans="9:14" x14ac:dyDescent="0.25">
      <c r="I19786" s="11" t="b">
        <f t="shared" si="943"/>
        <v>0</v>
      </c>
      <c r="M19786" s="17" t="str">
        <f t="shared" si="944"/>
        <v/>
      </c>
      <c r="N19786" s="11" t="str">
        <f t="shared" si="945"/>
        <v/>
      </c>
    </row>
    <row r="19787" spans="9:14" x14ac:dyDescent="0.25">
      <c r="I19787" s="11" t="b">
        <f t="shared" si="943"/>
        <v>0</v>
      </c>
      <c r="M19787" s="17" t="str">
        <f t="shared" si="944"/>
        <v/>
      </c>
      <c r="N19787" s="11" t="str">
        <f t="shared" si="945"/>
        <v/>
      </c>
    </row>
    <row r="19788" spans="9:14" x14ac:dyDescent="0.25">
      <c r="I19788" s="11" t="b">
        <f t="shared" si="943"/>
        <v>0</v>
      </c>
      <c r="M19788" s="17" t="str">
        <f t="shared" si="944"/>
        <v/>
      </c>
      <c r="N19788" s="11" t="str">
        <f t="shared" si="945"/>
        <v/>
      </c>
    </row>
    <row r="19789" spans="9:14" x14ac:dyDescent="0.25">
      <c r="I19789" s="11" t="b">
        <f t="shared" si="943"/>
        <v>0</v>
      </c>
      <c r="M19789" s="17" t="str">
        <f t="shared" si="944"/>
        <v/>
      </c>
      <c r="N19789" s="11" t="str">
        <f t="shared" si="945"/>
        <v/>
      </c>
    </row>
    <row r="19790" spans="9:14" x14ac:dyDescent="0.25">
      <c r="I19790" s="11" t="b">
        <f t="shared" si="943"/>
        <v>0</v>
      </c>
      <c r="M19790" s="17" t="str">
        <f t="shared" si="944"/>
        <v/>
      </c>
      <c r="N19790" s="11" t="str">
        <f t="shared" si="945"/>
        <v/>
      </c>
    </row>
    <row r="19791" spans="9:14" x14ac:dyDescent="0.25">
      <c r="I19791" s="11" t="b">
        <f t="shared" si="943"/>
        <v>0</v>
      </c>
      <c r="M19791" s="17" t="str">
        <f t="shared" si="944"/>
        <v/>
      </c>
      <c r="N19791" s="11" t="str">
        <f t="shared" si="945"/>
        <v/>
      </c>
    </row>
    <row r="19792" spans="9:14" x14ac:dyDescent="0.25">
      <c r="I19792" s="11" t="b">
        <f t="shared" si="943"/>
        <v>0</v>
      </c>
      <c r="M19792" s="17" t="str">
        <f t="shared" si="944"/>
        <v/>
      </c>
      <c r="N19792" s="11" t="str">
        <f t="shared" si="945"/>
        <v/>
      </c>
    </row>
    <row r="19793" spans="9:14" x14ac:dyDescent="0.25">
      <c r="I19793" s="11" t="b">
        <f t="shared" si="943"/>
        <v>0</v>
      </c>
      <c r="M19793" s="17" t="str">
        <f t="shared" si="944"/>
        <v/>
      </c>
      <c r="N19793" s="11" t="str">
        <f t="shared" si="945"/>
        <v/>
      </c>
    </row>
    <row r="19794" spans="9:14" x14ac:dyDescent="0.25">
      <c r="I19794" s="11" t="b">
        <f t="shared" si="943"/>
        <v>0</v>
      </c>
      <c r="M19794" s="17" t="str">
        <f t="shared" si="944"/>
        <v/>
      </c>
      <c r="N19794" s="11" t="str">
        <f t="shared" si="945"/>
        <v/>
      </c>
    </row>
    <row r="19795" spans="9:14" x14ac:dyDescent="0.25">
      <c r="I19795" s="11" t="b">
        <f t="shared" si="943"/>
        <v>0</v>
      </c>
      <c r="M19795" s="17" t="str">
        <f t="shared" si="944"/>
        <v/>
      </c>
      <c r="N19795" s="11" t="str">
        <f t="shared" si="945"/>
        <v/>
      </c>
    </row>
    <row r="19796" spans="9:14" x14ac:dyDescent="0.25">
      <c r="I19796" s="11" t="b">
        <f t="shared" si="943"/>
        <v>0</v>
      </c>
      <c r="M19796" s="17" t="str">
        <f t="shared" si="944"/>
        <v/>
      </c>
      <c r="N19796" s="11" t="str">
        <f t="shared" si="945"/>
        <v/>
      </c>
    </row>
    <row r="19797" spans="9:14" x14ac:dyDescent="0.25">
      <c r="I19797" s="11" t="b">
        <f t="shared" si="943"/>
        <v>0</v>
      </c>
      <c r="M19797" s="17" t="str">
        <f t="shared" si="944"/>
        <v/>
      </c>
      <c r="N19797" s="11" t="str">
        <f t="shared" si="945"/>
        <v/>
      </c>
    </row>
    <row r="19798" spans="9:14" x14ac:dyDescent="0.25">
      <c r="I19798" s="11" t="b">
        <f t="shared" si="943"/>
        <v>0</v>
      </c>
      <c r="M19798" s="17" t="str">
        <f t="shared" si="944"/>
        <v/>
      </c>
      <c r="N19798" s="11" t="str">
        <f t="shared" si="945"/>
        <v/>
      </c>
    </row>
    <row r="19799" spans="9:14" x14ac:dyDescent="0.25">
      <c r="I19799" s="11" t="b">
        <f t="shared" si="943"/>
        <v>0</v>
      </c>
      <c r="M19799" s="17" t="str">
        <f t="shared" si="944"/>
        <v/>
      </c>
      <c r="N19799" s="11" t="str">
        <f t="shared" si="945"/>
        <v/>
      </c>
    </row>
    <row r="19800" spans="9:14" x14ac:dyDescent="0.25">
      <c r="I19800" s="11" t="b">
        <f t="shared" si="943"/>
        <v>0</v>
      </c>
      <c r="M19800" s="17" t="str">
        <f t="shared" si="944"/>
        <v/>
      </c>
      <c r="N19800" s="11" t="str">
        <f t="shared" si="945"/>
        <v/>
      </c>
    </row>
    <row r="19801" spans="9:14" x14ac:dyDescent="0.25">
      <c r="I19801" s="11" t="b">
        <f t="shared" si="943"/>
        <v>0</v>
      </c>
      <c r="M19801" s="17" t="str">
        <f t="shared" si="944"/>
        <v/>
      </c>
      <c r="N19801" s="11" t="str">
        <f t="shared" si="945"/>
        <v/>
      </c>
    </row>
    <row r="19802" spans="9:14" x14ac:dyDescent="0.25">
      <c r="I19802" s="11" t="b">
        <f t="shared" si="943"/>
        <v>0</v>
      </c>
      <c r="M19802" s="17" t="str">
        <f t="shared" si="944"/>
        <v/>
      </c>
      <c r="N19802" s="11" t="str">
        <f t="shared" si="945"/>
        <v/>
      </c>
    </row>
    <row r="19803" spans="9:14" x14ac:dyDescent="0.25">
      <c r="I19803" s="11" t="b">
        <f t="shared" si="943"/>
        <v>0</v>
      </c>
      <c r="M19803" s="17" t="str">
        <f t="shared" si="944"/>
        <v/>
      </c>
      <c r="N19803" s="11" t="str">
        <f t="shared" si="945"/>
        <v/>
      </c>
    </row>
    <row r="19804" spans="9:14" x14ac:dyDescent="0.25">
      <c r="I19804" s="11" t="b">
        <f t="shared" si="943"/>
        <v>0</v>
      </c>
      <c r="M19804" s="17" t="str">
        <f t="shared" si="944"/>
        <v/>
      </c>
      <c r="N19804" s="11" t="str">
        <f t="shared" si="945"/>
        <v/>
      </c>
    </row>
    <row r="19805" spans="9:14" x14ac:dyDescent="0.25">
      <c r="I19805" s="11" t="b">
        <f t="shared" ref="I19805:I19868" si="946">IF(AND(G19805="MERCADO PAGO",A19805="FATURAMENTO"),1,IF(AND(OR(G19805="MERCADO PAGO",G19805="pix mercado pago",G19805= "débito automático mercado pago", G19805= "boleto mercado pago"),A19805="DESPESAS"),4,IF(AND(G19805="SAFRA",A19805="FATURAMENTO"),2,IF(AND(OR(G19805="SAFRA",G19805="PIX SAFRA", G19805="DÉBITO AUTOMÁTICO SAFRA", G19805= "BOLETO SAFRA", G19805= "transferência safra"), A19805="DESPESAS"),5,IF(AND(G19805="espécie",A19805="FATURAMENTO"),3,IF(AND(G19805="espécie",A19805="DESPESAS"),6))))))</f>
        <v>0</v>
      </c>
      <c r="M19805" s="17" t="str">
        <f t="shared" si="944"/>
        <v/>
      </c>
      <c r="N19805" s="11" t="str">
        <f t="shared" si="945"/>
        <v/>
      </c>
    </row>
    <row r="19806" spans="9:14" x14ac:dyDescent="0.25">
      <c r="I19806" s="11" t="b">
        <f t="shared" si="946"/>
        <v>0</v>
      </c>
      <c r="M19806" s="17" t="str">
        <f t="shared" si="944"/>
        <v/>
      </c>
      <c r="N19806" s="11" t="str">
        <f t="shared" si="945"/>
        <v/>
      </c>
    </row>
    <row r="19807" spans="9:14" x14ac:dyDescent="0.25">
      <c r="I19807" s="11" t="b">
        <f t="shared" si="946"/>
        <v>0</v>
      </c>
      <c r="M19807" s="17" t="str">
        <f t="shared" si="944"/>
        <v/>
      </c>
      <c r="N19807" s="11" t="str">
        <f t="shared" si="945"/>
        <v/>
      </c>
    </row>
    <row r="19808" spans="9:14" x14ac:dyDescent="0.25">
      <c r="I19808" s="11" t="b">
        <f t="shared" si="946"/>
        <v>0</v>
      </c>
      <c r="M19808" s="17" t="str">
        <f t="shared" si="944"/>
        <v/>
      </c>
      <c r="N19808" s="11" t="str">
        <f t="shared" si="945"/>
        <v/>
      </c>
    </row>
    <row r="19809" spans="9:14" x14ac:dyDescent="0.25">
      <c r="I19809" s="11" t="b">
        <f t="shared" si="946"/>
        <v>0</v>
      </c>
      <c r="M19809" s="17" t="str">
        <f t="shared" si="944"/>
        <v/>
      </c>
      <c r="N19809" s="11" t="str">
        <f t="shared" si="945"/>
        <v/>
      </c>
    </row>
    <row r="19810" spans="9:14" x14ac:dyDescent="0.25">
      <c r="I19810" s="11" t="b">
        <f t="shared" si="946"/>
        <v>0</v>
      </c>
      <c r="M19810" s="17" t="str">
        <f t="shared" si="944"/>
        <v/>
      </c>
      <c r="N19810" s="11" t="str">
        <f t="shared" si="945"/>
        <v/>
      </c>
    </row>
    <row r="19811" spans="9:14" x14ac:dyDescent="0.25">
      <c r="I19811" s="11" t="b">
        <f t="shared" si="946"/>
        <v>0</v>
      </c>
      <c r="M19811" s="17" t="str">
        <f t="shared" si="944"/>
        <v/>
      </c>
      <c r="N19811" s="11" t="str">
        <f t="shared" si="945"/>
        <v/>
      </c>
    </row>
    <row r="19812" spans="9:14" x14ac:dyDescent="0.25">
      <c r="I19812" s="11" t="b">
        <f t="shared" si="946"/>
        <v>0</v>
      </c>
      <c r="M19812" s="17" t="str">
        <f t="shared" si="944"/>
        <v/>
      </c>
      <c r="N19812" s="11" t="str">
        <f t="shared" si="945"/>
        <v/>
      </c>
    </row>
    <row r="19813" spans="9:14" x14ac:dyDescent="0.25">
      <c r="I19813" s="11" t="b">
        <f t="shared" si="946"/>
        <v>0</v>
      </c>
      <c r="M19813" s="17" t="str">
        <f t="shared" si="944"/>
        <v/>
      </c>
      <c r="N19813" s="11" t="str">
        <f t="shared" si="945"/>
        <v/>
      </c>
    </row>
    <row r="19814" spans="9:14" x14ac:dyDescent="0.25">
      <c r="I19814" s="11" t="b">
        <f t="shared" si="946"/>
        <v>0</v>
      </c>
      <c r="M19814" s="17" t="str">
        <f t="shared" si="944"/>
        <v/>
      </c>
      <c r="N19814" s="11" t="str">
        <f t="shared" si="945"/>
        <v/>
      </c>
    </row>
    <row r="19815" spans="9:14" x14ac:dyDescent="0.25">
      <c r="I19815" s="11" t="b">
        <f t="shared" si="946"/>
        <v>0</v>
      </c>
      <c r="M19815" s="17" t="str">
        <f t="shared" si="944"/>
        <v/>
      </c>
      <c r="N19815" s="11" t="str">
        <f t="shared" si="945"/>
        <v/>
      </c>
    </row>
    <row r="19816" spans="9:14" x14ac:dyDescent="0.25">
      <c r="I19816" s="11" t="b">
        <f t="shared" si="946"/>
        <v>0</v>
      </c>
      <c r="M19816" s="17" t="str">
        <f t="shared" si="944"/>
        <v/>
      </c>
      <c r="N19816" s="11" t="str">
        <f t="shared" si="945"/>
        <v/>
      </c>
    </row>
    <row r="19817" spans="9:14" x14ac:dyDescent="0.25">
      <c r="I19817" s="11" t="b">
        <f t="shared" si="946"/>
        <v>0</v>
      </c>
      <c r="M19817" s="17" t="str">
        <f t="shared" si="944"/>
        <v/>
      </c>
      <c r="N19817" s="11" t="str">
        <f t="shared" si="945"/>
        <v/>
      </c>
    </row>
    <row r="19818" spans="9:14" x14ac:dyDescent="0.25">
      <c r="I19818" s="11" t="b">
        <f t="shared" si="946"/>
        <v>0</v>
      </c>
      <c r="M19818" s="17" t="str">
        <f t="shared" si="944"/>
        <v/>
      </c>
      <c r="N19818" s="11" t="str">
        <f t="shared" si="945"/>
        <v/>
      </c>
    </row>
    <row r="19819" spans="9:14" x14ac:dyDescent="0.25">
      <c r="I19819" s="11" t="b">
        <f t="shared" si="946"/>
        <v>0</v>
      </c>
      <c r="M19819" s="17" t="str">
        <f t="shared" si="944"/>
        <v/>
      </c>
      <c r="N19819" s="11" t="str">
        <f t="shared" si="945"/>
        <v/>
      </c>
    </row>
    <row r="19820" spans="9:14" x14ac:dyDescent="0.25">
      <c r="I19820" s="11" t="b">
        <f t="shared" si="946"/>
        <v>0</v>
      </c>
      <c r="M19820" s="17" t="str">
        <f t="shared" si="944"/>
        <v/>
      </c>
      <c r="N19820" s="11" t="str">
        <f t="shared" si="945"/>
        <v/>
      </c>
    </row>
    <row r="19821" spans="9:14" x14ac:dyDescent="0.25">
      <c r="I19821" s="11" t="b">
        <f t="shared" si="946"/>
        <v>0</v>
      </c>
      <c r="M19821" s="17" t="str">
        <f t="shared" si="944"/>
        <v/>
      </c>
      <c r="N19821" s="11" t="str">
        <f t="shared" si="945"/>
        <v/>
      </c>
    </row>
    <row r="19822" spans="9:14" x14ac:dyDescent="0.25">
      <c r="I19822" s="11" t="b">
        <f t="shared" si="946"/>
        <v>0</v>
      </c>
      <c r="M19822" s="17" t="str">
        <f t="shared" si="944"/>
        <v/>
      </c>
      <c r="N19822" s="11" t="str">
        <f t="shared" si="945"/>
        <v/>
      </c>
    </row>
    <row r="19823" spans="9:14" x14ac:dyDescent="0.25">
      <c r="I19823" s="11" t="b">
        <f t="shared" si="946"/>
        <v>0</v>
      </c>
      <c r="M19823" s="17" t="str">
        <f t="shared" si="944"/>
        <v/>
      </c>
      <c r="N19823" s="11" t="str">
        <f t="shared" si="945"/>
        <v/>
      </c>
    </row>
    <row r="19824" spans="9:14" x14ac:dyDescent="0.25">
      <c r="I19824" s="11" t="b">
        <f t="shared" si="946"/>
        <v>0</v>
      </c>
      <c r="M19824" s="17" t="str">
        <f t="shared" si="944"/>
        <v/>
      </c>
      <c r="N19824" s="11" t="str">
        <f t="shared" si="945"/>
        <v/>
      </c>
    </row>
    <row r="19825" spans="9:14" x14ac:dyDescent="0.25">
      <c r="I19825" s="11" t="b">
        <f t="shared" si="946"/>
        <v>0</v>
      </c>
      <c r="M19825" s="17" t="str">
        <f t="shared" si="944"/>
        <v/>
      </c>
      <c r="N19825" s="11" t="str">
        <f t="shared" si="945"/>
        <v/>
      </c>
    </row>
    <row r="19826" spans="9:14" x14ac:dyDescent="0.25">
      <c r="I19826" s="11" t="b">
        <f t="shared" si="946"/>
        <v>0</v>
      </c>
      <c r="M19826" s="17" t="str">
        <f t="shared" si="944"/>
        <v/>
      </c>
      <c r="N19826" s="11" t="str">
        <f t="shared" si="945"/>
        <v/>
      </c>
    </row>
    <row r="19827" spans="9:14" x14ac:dyDescent="0.25">
      <c r="I19827" s="11" t="b">
        <f t="shared" si="946"/>
        <v>0</v>
      </c>
      <c r="M19827" s="17" t="str">
        <f t="shared" si="944"/>
        <v/>
      </c>
      <c r="N19827" s="11" t="str">
        <f t="shared" si="945"/>
        <v/>
      </c>
    </row>
    <row r="19828" spans="9:14" x14ac:dyDescent="0.25">
      <c r="I19828" s="11" t="b">
        <f t="shared" si="946"/>
        <v>0</v>
      </c>
      <c r="M19828" s="17" t="str">
        <f t="shared" si="944"/>
        <v/>
      </c>
      <c r="N19828" s="11" t="str">
        <f t="shared" si="945"/>
        <v/>
      </c>
    </row>
    <row r="19829" spans="9:14" x14ac:dyDescent="0.25">
      <c r="I19829" s="11" t="b">
        <f t="shared" si="946"/>
        <v>0</v>
      </c>
      <c r="M19829" s="17" t="str">
        <f t="shared" si="944"/>
        <v/>
      </c>
      <c r="N19829" s="11" t="str">
        <f t="shared" si="945"/>
        <v/>
      </c>
    </row>
    <row r="19830" spans="9:14" x14ac:dyDescent="0.25">
      <c r="I19830" s="11" t="b">
        <f t="shared" si="946"/>
        <v>0</v>
      </c>
      <c r="M19830" s="17" t="str">
        <f t="shared" si="944"/>
        <v/>
      </c>
      <c r="N19830" s="11" t="str">
        <f t="shared" si="945"/>
        <v/>
      </c>
    </row>
    <row r="19831" spans="9:14" x14ac:dyDescent="0.25">
      <c r="I19831" s="11" t="b">
        <f t="shared" si="946"/>
        <v>0</v>
      </c>
      <c r="M19831" s="17" t="str">
        <f t="shared" si="944"/>
        <v/>
      </c>
      <c r="N19831" s="11" t="str">
        <f t="shared" si="945"/>
        <v/>
      </c>
    </row>
    <row r="19832" spans="9:14" x14ac:dyDescent="0.25">
      <c r="I19832" s="11" t="b">
        <f t="shared" si="946"/>
        <v>0</v>
      </c>
      <c r="M19832" s="17" t="str">
        <f t="shared" si="944"/>
        <v/>
      </c>
      <c r="N19832" s="11" t="str">
        <f t="shared" si="945"/>
        <v/>
      </c>
    </row>
    <row r="19833" spans="9:14" x14ac:dyDescent="0.25">
      <c r="I19833" s="11" t="b">
        <f t="shared" si="946"/>
        <v>0</v>
      </c>
      <c r="M19833" s="17" t="str">
        <f t="shared" si="944"/>
        <v/>
      </c>
      <c r="N19833" s="11" t="str">
        <f t="shared" si="945"/>
        <v/>
      </c>
    </row>
    <row r="19834" spans="9:14" x14ac:dyDescent="0.25">
      <c r="I19834" s="11" t="b">
        <f t="shared" si="946"/>
        <v>0</v>
      </c>
      <c r="M19834" s="17" t="str">
        <f t="shared" si="944"/>
        <v/>
      </c>
      <c r="N19834" s="11" t="str">
        <f t="shared" si="945"/>
        <v/>
      </c>
    </row>
    <row r="19835" spans="9:14" x14ac:dyDescent="0.25">
      <c r="I19835" s="11" t="b">
        <f t="shared" si="946"/>
        <v>0</v>
      </c>
      <c r="M19835" s="17" t="str">
        <f t="shared" si="944"/>
        <v/>
      </c>
      <c r="N19835" s="11" t="str">
        <f t="shared" si="945"/>
        <v/>
      </c>
    </row>
    <row r="19836" spans="9:14" x14ac:dyDescent="0.25">
      <c r="I19836" s="11" t="b">
        <f t="shared" si="946"/>
        <v>0</v>
      </c>
      <c r="M19836" s="17" t="str">
        <f t="shared" si="944"/>
        <v/>
      </c>
      <c r="N19836" s="11" t="str">
        <f t="shared" si="945"/>
        <v/>
      </c>
    </row>
    <row r="19837" spans="9:14" x14ac:dyDescent="0.25">
      <c r="I19837" s="11" t="b">
        <f t="shared" si="946"/>
        <v>0</v>
      </c>
      <c r="M19837" s="17" t="str">
        <f t="shared" si="944"/>
        <v/>
      </c>
      <c r="N19837" s="11" t="str">
        <f t="shared" si="945"/>
        <v/>
      </c>
    </row>
    <row r="19838" spans="9:14" x14ac:dyDescent="0.25">
      <c r="I19838" s="11" t="b">
        <f t="shared" si="946"/>
        <v>0</v>
      </c>
      <c r="M19838" s="17" t="str">
        <f t="shared" si="944"/>
        <v/>
      </c>
      <c r="N19838" s="11" t="str">
        <f t="shared" si="945"/>
        <v/>
      </c>
    </row>
    <row r="19839" spans="9:14" x14ac:dyDescent="0.25">
      <c r="I19839" s="11" t="b">
        <f t="shared" si="946"/>
        <v>0</v>
      </c>
      <c r="M19839" s="17" t="str">
        <f t="shared" si="944"/>
        <v/>
      </c>
      <c r="N19839" s="11" t="str">
        <f t="shared" si="945"/>
        <v/>
      </c>
    </row>
    <row r="19840" spans="9:14" x14ac:dyDescent="0.25">
      <c r="I19840" s="11" t="b">
        <f t="shared" si="946"/>
        <v>0</v>
      </c>
      <c r="M19840" s="17" t="str">
        <f t="shared" si="944"/>
        <v/>
      </c>
      <c r="N19840" s="11" t="str">
        <f t="shared" si="945"/>
        <v/>
      </c>
    </row>
    <row r="19841" spans="9:14" x14ac:dyDescent="0.25">
      <c r="I19841" s="11" t="b">
        <f t="shared" si="946"/>
        <v>0</v>
      </c>
      <c r="M19841" s="17" t="str">
        <f t="shared" ref="M19841:M19904" si="947">IF(B19841=0, "",M19840+ J19841-K19841)</f>
        <v/>
      </c>
      <c r="N19841" s="11" t="str">
        <f t="shared" ref="N19841:N19904" si="948">IF(B19841=0, "", MONTH(B19841))</f>
        <v/>
      </c>
    </row>
    <row r="19842" spans="9:14" x14ac:dyDescent="0.25">
      <c r="I19842" s="11" t="b">
        <f t="shared" si="946"/>
        <v>0</v>
      </c>
      <c r="M19842" s="17" t="str">
        <f t="shared" si="947"/>
        <v/>
      </c>
      <c r="N19842" s="11" t="str">
        <f t="shared" si="948"/>
        <v/>
      </c>
    </row>
    <row r="19843" spans="9:14" x14ac:dyDescent="0.25">
      <c r="I19843" s="11" t="b">
        <f t="shared" si="946"/>
        <v>0</v>
      </c>
      <c r="M19843" s="17" t="str">
        <f t="shared" si="947"/>
        <v/>
      </c>
      <c r="N19843" s="11" t="str">
        <f t="shared" si="948"/>
        <v/>
      </c>
    </row>
    <row r="19844" spans="9:14" x14ac:dyDescent="0.25">
      <c r="I19844" s="11" t="b">
        <f t="shared" si="946"/>
        <v>0</v>
      </c>
      <c r="M19844" s="17" t="str">
        <f t="shared" si="947"/>
        <v/>
      </c>
      <c r="N19844" s="11" t="str">
        <f t="shared" si="948"/>
        <v/>
      </c>
    </row>
    <row r="19845" spans="9:14" x14ac:dyDescent="0.25">
      <c r="I19845" s="11" t="b">
        <f t="shared" si="946"/>
        <v>0</v>
      </c>
      <c r="M19845" s="17" t="str">
        <f t="shared" si="947"/>
        <v/>
      </c>
      <c r="N19845" s="11" t="str">
        <f t="shared" si="948"/>
        <v/>
      </c>
    </row>
    <row r="19846" spans="9:14" x14ac:dyDescent="0.25">
      <c r="I19846" s="11" t="b">
        <f t="shared" si="946"/>
        <v>0</v>
      </c>
      <c r="M19846" s="17" t="str">
        <f t="shared" si="947"/>
        <v/>
      </c>
      <c r="N19846" s="11" t="str">
        <f t="shared" si="948"/>
        <v/>
      </c>
    </row>
    <row r="19847" spans="9:14" x14ac:dyDescent="0.25">
      <c r="I19847" s="11" t="b">
        <f t="shared" si="946"/>
        <v>0</v>
      </c>
      <c r="M19847" s="17" t="str">
        <f t="shared" si="947"/>
        <v/>
      </c>
      <c r="N19847" s="11" t="str">
        <f t="shared" si="948"/>
        <v/>
      </c>
    </row>
    <row r="19848" spans="9:14" x14ac:dyDescent="0.25">
      <c r="I19848" s="11" t="b">
        <f t="shared" si="946"/>
        <v>0</v>
      </c>
      <c r="M19848" s="17" t="str">
        <f t="shared" si="947"/>
        <v/>
      </c>
      <c r="N19848" s="11" t="str">
        <f t="shared" si="948"/>
        <v/>
      </c>
    </row>
    <row r="19849" spans="9:14" x14ac:dyDescent="0.25">
      <c r="I19849" s="11" t="b">
        <f t="shared" si="946"/>
        <v>0</v>
      </c>
      <c r="M19849" s="17" t="str">
        <f t="shared" si="947"/>
        <v/>
      </c>
      <c r="N19849" s="11" t="str">
        <f t="shared" si="948"/>
        <v/>
      </c>
    </row>
    <row r="19850" spans="9:14" x14ac:dyDescent="0.25">
      <c r="I19850" s="11" t="b">
        <f t="shared" si="946"/>
        <v>0</v>
      </c>
      <c r="M19850" s="17" t="str">
        <f t="shared" si="947"/>
        <v/>
      </c>
      <c r="N19850" s="11" t="str">
        <f t="shared" si="948"/>
        <v/>
      </c>
    </row>
    <row r="19851" spans="9:14" x14ac:dyDescent="0.25">
      <c r="I19851" s="11" t="b">
        <f t="shared" si="946"/>
        <v>0</v>
      </c>
      <c r="M19851" s="17" t="str">
        <f t="shared" si="947"/>
        <v/>
      </c>
      <c r="N19851" s="11" t="str">
        <f t="shared" si="948"/>
        <v/>
      </c>
    </row>
    <row r="19852" spans="9:14" x14ac:dyDescent="0.25">
      <c r="I19852" s="11" t="b">
        <f t="shared" si="946"/>
        <v>0</v>
      </c>
      <c r="M19852" s="17" t="str">
        <f t="shared" si="947"/>
        <v/>
      </c>
      <c r="N19852" s="11" t="str">
        <f t="shared" si="948"/>
        <v/>
      </c>
    </row>
    <row r="19853" spans="9:14" x14ac:dyDescent="0.25">
      <c r="I19853" s="11" t="b">
        <f t="shared" si="946"/>
        <v>0</v>
      </c>
      <c r="M19853" s="17" t="str">
        <f t="shared" si="947"/>
        <v/>
      </c>
      <c r="N19853" s="11" t="str">
        <f t="shared" si="948"/>
        <v/>
      </c>
    </row>
    <row r="19854" spans="9:14" x14ac:dyDescent="0.25">
      <c r="I19854" s="11" t="b">
        <f t="shared" si="946"/>
        <v>0</v>
      </c>
      <c r="M19854" s="17" t="str">
        <f t="shared" si="947"/>
        <v/>
      </c>
      <c r="N19854" s="11" t="str">
        <f t="shared" si="948"/>
        <v/>
      </c>
    </row>
    <row r="19855" spans="9:14" x14ac:dyDescent="0.25">
      <c r="I19855" s="11" t="b">
        <f t="shared" si="946"/>
        <v>0</v>
      </c>
      <c r="M19855" s="17" t="str">
        <f t="shared" si="947"/>
        <v/>
      </c>
      <c r="N19855" s="11" t="str">
        <f t="shared" si="948"/>
        <v/>
      </c>
    </row>
    <row r="19856" spans="9:14" x14ac:dyDescent="0.25">
      <c r="I19856" s="11" t="b">
        <f t="shared" si="946"/>
        <v>0</v>
      </c>
      <c r="M19856" s="17" t="str">
        <f t="shared" si="947"/>
        <v/>
      </c>
      <c r="N19856" s="11" t="str">
        <f t="shared" si="948"/>
        <v/>
      </c>
    </row>
    <row r="19857" spans="9:14" x14ac:dyDescent="0.25">
      <c r="I19857" s="11" t="b">
        <f t="shared" si="946"/>
        <v>0</v>
      </c>
      <c r="M19857" s="17" t="str">
        <f t="shared" si="947"/>
        <v/>
      </c>
      <c r="N19857" s="11" t="str">
        <f t="shared" si="948"/>
        <v/>
      </c>
    </row>
    <row r="19858" spans="9:14" x14ac:dyDescent="0.25">
      <c r="I19858" s="11" t="b">
        <f t="shared" si="946"/>
        <v>0</v>
      </c>
      <c r="M19858" s="17" t="str">
        <f t="shared" si="947"/>
        <v/>
      </c>
      <c r="N19858" s="11" t="str">
        <f t="shared" si="948"/>
        <v/>
      </c>
    </row>
    <row r="19859" spans="9:14" x14ac:dyDescent="0.25">
      <c r="I19859" s="11" t="b">
        <f t="shared" si="946"/>
        <v>0</v>
      </c>
      <c r="M19859" s="17" t="str">
        <f t="shared" si="947"/>
        <v/>
      </c>
      <c r="N19859" s="11" t="str">
        <f t="shared" si="948"/>
        <v/>
      </c>
    </row>
    <row r="19860" spans="9:14" x14ac:dyDescent="0.25">
      <c r="I19860" s="11" t="b">
        <f t="shared" si="946"/>
        <v>0</v>
      </c>
      <c r="M19860" s="17" t="str">
        <f t="shared" si="947"/>
        <v/>
      </c>
      <c r="N19860" s="11" t="str">
        <f t="shared" si="948"/>
        <v/>
      </c>
    </row>
    <row r="19861" spans="9:14" x14ac:dyDescent="0.25">
      <c r="I19861" s="11" t="b">
        <f t="shared" si="946"/>
        <v>0</v>
      </c>
      <c r="M19861" s="17" t="str">
        <f t="shared" si="947"/>
        <v/>
      </c>
      <c r="N19861" s="11" t="str">
        <f t="shared" si="948"/>
        <v/>
      </c>
    </row>
    <row r="19862" spans="9:14" x14ac:dyDescent="0.25">
      <c r="I19862" s="11" t="b">
        <f t="shared" si="946"/>
        <v>0</v>
      </c>
      <c r="M19862" s="17" t="str">
        <f t="shared" si="947"/>
        <v/>
      </c>
      <c r="N19862" s="11" t="str">
        <f t="shared" si="948"/>
        <v/>
      </c>
    </row>
    <row r="19863" spans="9:14" x14ac:dyDescent="0.25">
      <c r="I19863" s="11" t="b">
        <f t="shared" si="946"/>
        <v>0</v>
      </c>
      <c r="M19863" s="17" t="str">
        <f t="shared" si="947"/>
        <v/>
      </c>
      <c r="N19863" s="11" t="str">
        <f t="shared" si="948"/>
        <v/>
      </c>
    </row>
    <row r="19864" spans="9:14" x14ac:dyDescent="0.25">
      <c r="I19864" s="11" t="b">
        <f t="shared" si="946"/>
        <v>0</v>
      </c>
      <c r="M19864" s="17" t="str">
        <f t="shared" si="947"/>
        <v/>
      </c>
      <c r="N19864" s="11" t="str">
        <f t="shared" si="948"/>
        <v/>
      </c>
    </row>
    <row r="19865" spans="9:14" x14ac:dyDescent="0.25">
      <c r="I19865" s="11" t="b">
        <f t="shared" si="946"/>
        <v>0</v>
      </c>
      <c r="M19865" s="17" t="str">
        <f t="shared" si="947"/>
        <v/>
      </c>
      <c r="N19865" s="11" t="str">
        <f t="shared" si="948"/>
        <v/>
      </c>
    </row>
    <row r="19866" spans="9:14" x14ac:dyDescent="0.25">
      <c r="I19866" s="11" t="b">
        <f t="shared" si="946"/>
        <v>0</v>
      </c>
      <c r="M19866" s="17" t="str">
        <f t="shared" si="947"/>
        <v/>
      </c>
      <c r="N19866" s="11" t="str">
        <f t="shared" si="948"/>
        <v/>
      </c>
    </row>
    <row r="19867" spans="9:14" x14ac:dyDescent="0.25">
      <c r="I19867" s="11" t="b">
        <f t="shared" si="946"/>
        <v>0</v>
      </c>
      <c r="M19867" s="17" t="str">
        <f t="shared" si="947"/>
        <v/>
      </c>
      <c r="N19867" s="11" t="str">
        <f t="shared" si="948"/>
        <v/>
      </c>
    </row>
    <row r="19868" spans="9:14" x14ac:dyDescent="0.25">
      <c r="I19868" s="11" t="b">
        <f t="shared" si="946"/>
        <v>0</v>
      </c>
      <c r="M19868" s="17" t="str">
        <f t="shared" si="947"/>
        <v/>
      </c>
      <c r="N19868" s="11" t="str">
        <f t="shared" si="948"/>
        <v/>
      </c>
    </row>
    <row r="19869" spans="9:14" x14ac:dyDescent="0.25">
      <c r="I19869" s="11" t="b">
        <f t="shared" ref="I19869:I19932" si="949">IF(AND(G19869="MERCADO PAGO",A19869="FATURAMENTO"),1,IF(AND(OR(G19869="MERCADO PAGO",G19869="pix mercado pago",G19869= "débito automático mercado pago", G19869= "boleto mercado pago"),A19869="DESPESAS"),4,IF(AND(G19869="SAFRA",A19869="FATURAMENTO"),2,IF(AND(OR(G19869="SAFRA",G19869="PIX SAFRA", G19869="DÉBITO AUTOMÁTICO SAFRA", G19869= "BOLETO SAFRA", G19869= "transferência safra"), A19869="DESPESAS"),5,IF(AND(G19869="espécie",A19869="FATURAMENTO"),3,IF(AND(G19869="espécie",A19869="DESPESAS"),6))))))</f>
        <v>0</v>
      </c>
      <c r="M19869" s="17" t="str">
        <f t="shared" si="947"/>
        <v/>
      </c>
      <c r="N19869" s="11" t="str">
        <f t="shared" si="948"/>
        <v/>
      </c>
    </row>
    <row r="19870" spans="9:14" x14ac:dyDescent="0.25">
      <c r="I19870" s="11" t="b">
        <f t="shared" si="949"/>
        <v>0</v>
      </c>
      <c r="M19870" s="17" t="str">
        <f t="shared" si="947"/>
        <v/>
      </c>
      <c r="N19870" s="11" t="str">
        <f t="shared" si="948"/>
        <v/>
      </c>
    </row>
    <row r="19871" spans="9:14" x14ac:dyDescent="0.25">
      <c r="I19871" s="11" t="b">
        <f t="shared" si="949"/>
        <v>0</v>
      </c>
      <c r="M19871" s="17" t="str">
        <f t="shared" si="947"/>
        <v/>
      </c>
      <c r="N19871" s="11" t="str">
        <f t="shared" si="948"/>
        <v/>
      </c>
    </row>
    <row r="19872" spans="9:14" x14ac:dyDescent="0.25">
      <c r="I19872" s="11" t="b">
        <f t="shared" si="949"/>
        <v>0</v>
      </c>
      <c r="M19872" s="17" t="str">
        <f t="shared" si="947"/>
        <v/>
      </c>
      <c r="N19872" s="11" t="str">
        <f t="shared" si="948"/>
        <v/>
      </c>
    </row>
    <row r="19873" spans="9:14" x14ac:dyDescent="0.25">
      <c r="I19873" s="11" t="b">
        <f t="shared" si="949"/>
        <v>0</v>
      </c>
      <c r="M19873" s="17" t="str">
        <f t="shared" si="947"/>
        <v/>
      </c>
      <c r="N19873" s="11" t="str">
        <f t="shared" si="948"/>
        <v/>
      </c>
    </row>
    <row r="19874" spans="9:14" x14ac:dyDescent="0.25">
      <c r="I19874" s="11" t="b">
        <f t="shared" si="949"/>
        <v>0</v>
      </c>
      <c r="M19874" s="17" t="str">
        <f t="shared" si="947"/>
        <v/>
      </c>
      <c r="N19874" s="11" t="str">
        <f t="shared" si="948"/>
        <v/>
      </c>
    </row>
    <row r="19875" spans="9:14" x14ac:dyDescent="0.25">
      <c r="I19875" s="11" t="b">
        <f t="shared" si="949"/>
        <v>0</v>
      </c>
      <c r="M19875" s="17" t="str">
        <f t="shared" si="947"/>
        <v/>
      </c>
      <c r="N19875" s="11" t="str">
        <f t="shared" si="948"/>
        <v/>
      </c>
    </row>
    <row r="19876" spans="9:14" x14ac:dyDescent="0.25">
      <c r="I19876" s="11" t="b">
        <f t="shared" si="949"/>
        <v>0</v>
      </c>
      <c r="M19876" s="17" t="str">
        <f t="shared" si="947"/>
        <v/>
      </c>
      <c r="N19876" s="11" t="str">
        <f t="shared" si="948"/>
        <v/>
      </c>
    </row>
    <row r="19877" spans="9:14" x14ac:dyDescent="0.25">
      <c r="I19877" s="11" t="b">
        <f t="shared" si="949"/>
        <v>0</v>
      </c>
      <c r="M19877" s="17" t="str">
        <f t="shared" si="947"/>
        <v/>
      </c>
      <c r="N19877" s="11" t="str">
        <f t="shared" si="948"/>
        <v/>
      </c>
    </row>
    <row r="19878" spans="9:14" x14ac:dyDescent="0.25">
      <c r="I19878" s="11" t="b">
        <f t="shared" si="949"/>
        <v>0</v>
      </c>
      <c r="M19878" s="17" t="str">
        <f t="shared" si="947"/>
        <v/>
      </c>
      <c r="N19878" s="11" t="str">
        <f t="shared" si="948"/>
        <v/>
      </c>
    </row>
    <row r="19879" spans="9:14" x14ac:dyDescent="0.25">
      <c r="I19879" s="11" t="b">
        <f t="shared" si="949"/>
        <v>0</v>
      </c>
      <c r="M19879" s="17" t="str">
        <f t="shared" si="947"/>
        <v/>
      </c>
      <c r="N19879" s="11" t="str">
        <f t="shared" si="948"/>
        <v/>
      </c>
    </row>
    <row r="19880" spans="9:14" x14ac:dyDescent="0.25">
      <c r="I19880" s="11" t="b">
        <f t="shared" si="949"/>
        <v>0</v>
      </c>
      <c r="M19880" s="17" t="str">
        <f t="shared" si="947"/>
        <v/>
      </c>
      <c r="N19880" s="11" t="str">
        <f t="shared" si="948"/>
        <v/>
      </c>
    </row>
    <row r="19881" spans="9:14" x14ac:dyDescent="0.25">
      <c r="I19881" s="11" t="b">
        <f t="shared" si="949"/>
        <v>0</v>
      </c>
      <c r="M19881" s="17" t="str">
        <f t="shared" si="947"/>
        <v/>
      </c>
      <c r="N19881" s="11" t="str">
        <f t="shared" si="948"/>
        <v/>
      </c>
    </row>
    <row r="19882" spans="9:14" x14ac:dyDescent="0.25">
      <c r="I19882" s="11" t="b">
        <f t="shared" si="949"/>
        <v>0</v>
      </c>
      <c r="M19882" s="17" t="str">
        <f t="shared" si="947"/>
        <v/>
      </c>
      <c r="N19882" s="11" t="str">
        <f t="shared" si="948"/>
        <v/>
      </c>
    </row>
    <row r="19883" spans="9:14" x14ac:dyDescent="0.25">
      <c r="I19883" s="11" t="b">
        <f t="shared" si="949"/>
        <v>0</v>
      </c>
      <c r="M19883" s="17" t="str">
        <f t="shared" si="947"/>
        <v/>
      </c>
      <c r="N19883" s="11" t="str">
        <f t="shared" si="948"/>
        <v/>
      </c>
    </row>
    <row r="19884" spans="9:14" x14ac:dyDescent="0.25">
      <c r="I19884" s="11" t="b">
        <f t="shared" si="949"/>
        <v>0</v>
      </c>
      <c r="M19884" s="17" t="str">
        <f t="shared" si="947"/>
        <v/>
      </c>
      <c r="N19884" s="11" t="str">
        <f t="shared" si="948"/>
        <v/>
      </c>
    </row>
    <row r="19885" spans="9:14" x14ac:dyDescent="0.25">
      <c r="I19885" s="11" t="b">
        <f t="shared" si="949"/>
        <v>0</v>
      </c>
      <c r="M19885" s="17" t="str">
        <f t="shared" si="947"/>
        <v/>
      </c>
      <c r="N19885" s="11" t="str">
        <f t="shared" si="948"/>
        <v/>
      </c>
    </row>
    <row r="19886" spans="9:14" x14ac:dyDescent="0.25">
      <c r="I19886" s="11" t="b">
        <f t="shared" si="949"/>
        <v>0</v>
      </c>
      <c r="M19886" s="17" t="str">
        <f t="shared" si="947"/>
        <v/>
      </c>
      <c r="N19886" s="11" t="str">
        <f t="shared" si="948"/>
        <v/>
      </c>
    </row>
    <row r="19887" spans="9:14" x14ac:dyDescent="0.25">
      <c r="I19887" s="11" t="b">
        <f t="shared" si="949"/>
        <v>0</v>
      </c>
      <c r="M19887" s="17" t="str">
        <f t="shared" si="947"/>
        <v/>
      </c>
      <c r="N19887" s="11" t="str">
        <f t="shared" si="948"/>
        <v/>
      </c>
    </row>
    <row r="19888" spans="9:14" x14ac:dyDescent="0.25">
      <c r="I19888" s="11" t="b">
        <f t="shared" si="949"/>
        <v>0</v>
      </c>
      <c r="M19888" s="17" t="str">
        <f t="shared" si="947"/>
        <v/>
      </c>
      <c r="N19888" s="11" t="str">
        <f t="shared" si="948"/>
        <v/>
      </c>
    </row>
    <row r="19889" spans="9:14" x14ac:dyDescent="0.25">
      <c r="I19889" s="11" t="b">
        <f t="shared" si="949"/>
        <v>0</v>
      </c>
      <c r="M19889" s="17" t="str">
        <f t="shared" si="947"/>
        <v/>
      </c>
      <c r="N19889" s="11" t="str">
        <f t="shared" si="948"/>
        <v/>
      </c>
    </row>
    <row r="19890" spans="9:14" x14ac:dyDescent="0.25">
      <c r="I19890" s="11" t="b">
        <f t="shared" si="949"/>
        <v>0</v>
      </c>
      <c r="M19890" s="17" t="str">
        <f t="shared" si="947"/>
        <v/>
      </c>
      <c r="N19890" s="11" t="str">
        <f t="shared" si="948"/>
        <v/>
      </c>
    </row>
    <row r="19891" spans="9:14" x14ac:dyDescent="0.25">
      <c r="I19891" s="11" t="b">
        <f t="shared" si="949"/>
        <v>0</v>
      </c>
      <c r="M19891" s="17" t="str">
        <f t="shared" si="947"/>
        <v/>
      </c>
      <c r="N19891" s="11" t="str">
        <f t="shared" si="948"/>
        <v/>
      </c>
    </row>
    <row r="19892" spans="9:14" x14ac:dyDescent="0.25">
      <c r="I19892" s="11" t="b">
        <f t="shared" si="949"/>
        <v>0</v>
      </c>
      <c r="M19892" s="17" t="str">
        <f t="shared" si="947"/>
        <v/>
      </c>
      <c r="N19892" s="11" t="str">
        <f t="shared" si="948"/>
        <v/>
      </c>
    </row>
    <row r="19893" spans="9:14" x14ac:dyDescent="0.25">
      <c r="I19893" s="11" t="b">
        <f t="shared" si="949"/>
        <v>0</v>
      </c>
      <c r="M19893" s="17" t="str">
        <f t="shared" si="947"/>
        <v/>
      </c>
      <c r="N19893" s="11" t="str">
        <f t="shared" si="948"/>
        <v/>
      </c>
    </row>
    <row r="19894" spans="9:14" x14ac:dyDescent="0.25">
      <c r="I19894" s="11" t="b">
        <f t="shared" si="949"/>
        <v>0</v>
      </c>
      <c r="M19894" s="17" t="str">
        <f t="shared" si="947"/>
        <v/>
      </c>
      <c r="N19894" s="11" t="str">
        <f t="shared" si="948"/>
        <v/>
      </c>
    </row>
    <row r="19895" spans="9:14" x14ac:dyDescent="0.25">
      <c r="I19895" s="11" t="b">
        <f t="shared" si="949"/>
        <v>0</v>
      </c>
      <c r="M19895" s="17" t="str">
        <f t="shared" si="947"/>
        <v/>
      </c>
      <c r="N19895" s="11" t="str">
        <f t="shared" si="948"/>
        <v/>
      </c>
    </row>
    <row r="19896" spans="9:14" x14ac:dyDescent="0.25">
      <c r="I19896" s="11" t="b">
        <f t="shared" si="949"/>
        <v>0</v>
      </c>
      <c r="M19896" s="17" t="str">
        <f t="shared" si="947"/>
        <v/>
      </c>
      <c r="N19896" s="11" t="str">
        <f t="shared" si="948"/>
        <v/>
      </c>
    </row>
    <row r="19897" spans="9:14" x14ac:dyDescent="0.25">
      <c r="I19897" s="11" t="b">
        <f t="shared" si="949"/>
        <v>0</v>
      </c>
      <c r="M19897" s="17" t="str">
        <f t="shared" si="947"/>
        <v/>
      </c>
      <c r="N19897" s="11" t="str">
        <f t="shared" si="948"/>
        <v/>
      </c>
    </row>
    <row r="19898" spans="9:14" x14ac:dyDescent="0.25">
      <c r="I19898" s="11" t="b">
        <f t="shared" si="949"/>
        <v>0</v>
      </c>
      <c r="M19898" s="17" t="str">
        <f t="shared" si="947"/>
        <v/>
      </c>
      <c r="N19898" s="11" t="str">
        <f t="shared" si="948"/>
        <v/>
      </c>
    </row>
    <row r="19899" spans="9:14" x14ac:dyDescent="0.25">
      <c r="I19899" s="11" t="b">
        <f t="shared" si="949"/>
        <v>0</v>
      </c>
      <c r="M19899" s="17" t="str">
        <f t="shared" si="947"/>
        <v/>
      </c>
      <c r="N19899" s="11" t="str">
        <f t="shared" si="948"/>
        <v/>
      </c>
    </row>
    <row r="19900" spans="9:14" x14ac:dyDescent="0.25">
      <c r="I19900" s="11" t="b">
        <f t="shared" si="949"/>
        <v>0</v>
      </c>
      <c r="M19900" s="17" t="str">
        <f t="shared" si="947"/>
        <v/>
      </c>
      <c r="N19900" s="11" t="str">
        <f t="shared" si="948"/>
        <v/>
      </c>
    </row>
    <row r="19901" spans="9:14" x14ac:dyDescent="0.25">
      <c r="I19901" s="11" t="b">
        <f t="shared" si="949"/>
        <v>0</v>
      </c>
      <c r="M19901" s="17" t="str">
        <f t="shared" si="947"/>
        <v/>
      </c>
      <c r="N19901" s="11" t="str">
        <f t="shared" si="948"/>
        <v/>
      </c>
    </row>
    <row r="19902" spans="9:14" x14ac:dyDescent="0.25">
      <c r="I19902" s="11" t="b">
        <f t="shared" si="949"/>
        <v>0</v>
      </c>
      <c r="M19902" s="17" t="str">
        <f t="shared" si="947"/>
        <v/>
      </c>
      <c r="N19902" s="11" t="str">
        <f t="shared" si="948"/>
        <v/>
      </c>
    </row>
    <row r="19903" spans="9:14" x14ac:dyDescent="0.25">
      <c r="I19903" s="11" t="b">
        <f t="shared" si="949"/>
        <v>0</v>
      </c>
      <c r="M19903" s="17" t="str">
        <f t="shared" si="947"/>
        <v/>
      </c>
      <c r="N19903" s="11" t="str">
        <f t="shared" si="948"/>
        <v/>
      </c>
    </row>
    <row r="19904" spans="9:14" x14ac:dyDescent="0.25">
      <c r="I19904" s="11" t="b">
        <f t="shared" si="949"/>
        <v>0</v>
      </c>
      <c r="M19904" s="17" t="str">
        <f t="shared" si="947"/>
        <v/>
      </c>
      <c r="N19904" s="11" t="str">
        <f t="shared" si="948"/>
        <v/>
      </c>
    </row>
    <row r="19905" spans="9:14" x14ac:dyDescent="0.25">
      <c r="I19905" s="11" t="b">
        <f t="shared" si="949"/>
        <v>0</v>
      </c>
      <c r="M19905" s="17" t="str">
        <f t="shared" ref="M19905:M19968" si="950">IF(B19905=0, "",M19904+ J19905-K19905)</f>
        <v/>
      </c>
      <c r="N19905" s="11" t="str">
        <f t="shared" ref="N19905:N19968" si="951">IF(B19905=0, "", MONTH(B19905))</f>
        <v/>
      </c>
    </row>
    <row r="19906" spans="9:14" x14ac:dyDescent="0.25">
      <c r="I19906" s="11" t="b">
        <f t="shared" si="949"/>
        <v>0</v>
      </c>
      <c r="M19906" s="17" t="str">
        <f t="shared" si="950"/>
        <v/>
      </c>
      <c r="N19906" s="11" t="str">
        <f t="shared" si="951"/>
        <v/>
      </c>
    </row>
    <row r="19907" spans="9:14" x14ac:dyDescent="0.25">
      <c r="I19907" s="11" t="b">
        <f t="shared" si="949"/>
        <v>0</v>
      </c>
      <c r="M19907" s="17" t="str">
        <f t="shared" si="950"/>
        <v/>
      </c>
      <c r="N19907" s="11" t="str">
        <f t="shared" si="951"/>
        <v/>
      </c>
    </row>
    <row r="19908" spans="9:14" x14ac:dyDescent="0.25">
      <c r="I19908" s="11" t="b">
        <f t="shared" si="949"/>
        <v>0</v>
      </c>
      <c r="M19908" s="17" t="str">
        <f t="shared" si="950"/>
        <v/>
      </c>
      <c r="N19908" s="11" t="str">
        <f t="shared" si="951"/>
        <v/>
      </c>
    </row>
    <row r="19909" spans="9:14" x14ac:dyDescent="0.25">
      <c r="I19909" s="11" t="b">
        <f t="shared" si="949"/>
        <v>0</v>
      </c>
      <c r="M19909" s="17" t="str">
        <f t="shared" si="950"/>
        <v/>
      </c>
      <c r="N19909" s="11" t="str">
        <f t="shared" si="951"/>
        <v/>
      </c>
    </row>
    <row r="19910" spans="9:14" x14ac:dyDescent="0.25">
      <c r="I19910" s="11" t="b">
        <f t="shared" si="949"/>
        <v>0</v>
      </c>
      <c r="M19910" s="17" t="str">
        <f t="shared" si="950"/>
        <v/>
      </c>
      <c r="N19910" s="11" t="str">
        <f t="shared" si="951"/>
        <v/>
      </c>
    </row>
    <row r="19911" spans="9:14" x14ac:dyDescent="0.25">
      <c r="I19911" s="11" t="b">
        <f t="shared" si="949"/>
        <v>0</v>
      </c>
      <c r="M19911" s="17" t="str">
        <f t="shared" si="950"/>
        <v/>
      </c>
      <c r="N19911" s="11" t="str">
        <f t="shared" si="951"/>
        <v/>
      </c>
    </row>
    <row r="19912" spans="9:14" x14ac:dyDescent="0.25">
      <c r="I19912" s="11" t="b">
        <f t="shared" si="949"/>
        <v>0</v>
      </c>
      <c r="M19912" s="17" t="str">
        <f t="shared" si="950"/>
        <v/>
      </c>
      <c r="N19912" s="11" t="str">
        <f t="shared" si="951"/>
        <v/>
      </c>
    </row>
    <row r="19913" spans="9:14" x14ac:dyDescent="0.25">
      <c r="I19913" s="11" t="b">
        <f t="shared" si="949"/>
        <v>0</v>
      </c>
      <c r="M19913" s="17" t="str">
        <f t="shared" si="950"/>
        <v/>
      </c>
      <c r="N19913" s="11" t="str">
        <f t="shared" si="951"/>
        <v/>
      </c>
    </row>
    <row r="19914" spans="9:14" x14ac:dyDescent="0.25">
      <c r="I19914" s="11" t="b">
        <f t="shared" si="949"/>
        <v>0</v>
      </c>
      <c r="M19914" s="17" t="str">
        <f t="shared" si="950"/>
        <v/>
      </c>
      <c r="N19914" s="11" t="str">
        <f t="shared" si="951"/>
        <v/>
      </c>
    </row>
    <row r="19915" spans="9:14" x14ac:dyDescent="0.25">
      <c r="I19915" s="11" t="b">
        <f t="shared" si="949"/>
        <v>0</v>
      </c>
      <c r="M19915" s="17" t="str">
        <f t="shared" si="950"/>
        <v/>
      </c>
      <c r="N19915" s="11" t="str">
        <f t="shared" si="951"/>
        <v/>
      </c>
    </row>
    <row r="19916" spans="9:14" x14ac:dyDescent="0.25">
      <c r="I19916" s="11" t="b">
        <f t="shared" si="949"/>
        <v>0</v>
      </c>
      <c r="M19916" s="17" t="str">
        <f t="shared" si="950"/>
        <v/>
      </c>
      <c r="N19916" s="11" t="str">
        <f t="shared" si="951"/>
        <v/>
      </c>
    </row>
    <row r="19917" spans="9:14" x14ac:dyDescent="0.25">
      <c r="I19917" s="11" t="b">
        <f t="shared" si="949"/>
        <v>0</v>
      </c>
      <c r="M19917" s="17" t="str">
        <f t="shared" si="950"/>
        <v/>
      </c>
      <c r="N19917" s="11" t="str">
        <f t="shared" si="951"/>
        <v/>
      </c>
    </row>
    <row r="19918" spans="9:14" x14ac:dyDescent="0.25">
      <c r="I19918" s="11" t="b">
        <f t="shared" si="949"/>
        <v>0</v>
      </c>
      <c r="M19918" s="17" t="str">
        <f t="shared" si="950"/>
        <v/>
      </c>
      <c r="N19918" s="11" t="str">
        <f t="shared" si="951"/>
        <v/>
      </c>
    </row>
    <row r="19919" spans="9:14" x14ac:dyDescent="0.25">
      <c r="I19919" s="11" t="b">
        <f t="shared" si="949"/>
        <v>0</v>
      </c>
      <c r="M19919" s="17" t="str">
        <f t="shared" si="950"/>
        <v/>
      </c>
      <c r="N19919" s="11" t="str">
        <f t="shared" si="951"/>
        <v/>
      </c>
    </row>
    <row r="19920" spans="9:14" x14ac:dyDescent="0.25">
      <c r="I19920" s="11" t="b">
        <f t="shared" si="949"/>
        <v>0</v>
      </c>
      <c r="M19920" s="17" t="str">
        <f t="shared" si="950"/>
        <v/>
      </c>
      <c r="N19920" s="11" t="str">
        <f t="shared" si="951"/>
        <v/>
      </c>
    </row>
    <row r="19921" spans="9:14" x14ac:dyDescent="0.25">
      <c r="I19921" s="11" t="b">
        <f t="shared" si="949"/>
        <v>0</v>
      </c>
      <c r="M19921" s="17" t="str">
        <f t="shared" si="950"/>
        <v/>
      </c>
      <c r="N19921" s="11" t="str">
        <f t="shared" si="951"/>
        <v/>
      </c>
    </row>
    <row r="19922" spans="9:14" x14ac:dyDescent="0.25">
      <c r="I19922" s="11" t="b">
        <f t="shared" si="949"/>
        <v>0</v>
      </c>
      <c r="M19922" s="17" t="str">
        <f t="shared" si="950"/>
        <v/>
      </c>
      <c r="N19922" s="11" t="str">
        <f t="shared" si="951"/>
        <v/>
      </c>
    </row>
    <row r="19923" spans="9:14" x14ac:dyDescent="0.25">
      <c r="I19923" s="11" t="b">
        <f t="shared" si="949"/>
        <v>0</v>
      </c>
      <c r="M19923" s="17" t="str">
        <f t="shared" si="950"/>
        <v/>
      </c>
      <c r="N19923" s="11" t="str">
        <f t="shared" si="951"/>
        <v/>
      </c>
    </row>
    <row r="19924" spans="9:14" x14ac:dyDescent="0.25">
      <c r="I19924" s="11" t="b">
        <f t="shared" si="949"/>
        <v>0</v>
      </c>
      <c r="M19924" s="17" t="str">
        <f t="shared" si="950"/>
        <v/>
      </c>
      <c r="N19924" s="11" t="str">
        <f t="shared" si="951"/>
        <v/>
      </c>
    </row>
    <row r="19925" spans="9:14" x14ac:dyDescent="0.25">
      <c r="I19925" s="11" t="b">
        <f t="shared" si="949"/>
        <v>0</v>
      </c>
      <c r="M19925" s="17" t="str">
        <f t="shared" si="950"/>
        <v/>
      </c>
      <c r="N19925" s="11" t="str">
        <f t="shared" si="951"/>
        <v/>
      </c>
    </row>
    <row r="19926" spans="9:14" x14ac:dyDescent="0.25">
      <c r="I19926" s="11" t="b">
        <f t="shared" si="949"/>
        <v>0</v>
      </c>
      <c r="M19926" s="17" t="str">
        <f t="shared" si="950"/>
        <v/>
      </c>
      <c r="N19926" s="11" t="str">
        <f t="shared" si="951"/>
        <v/>
      </c>
    </row>
    <row r="19927" spans="9:14" x14ac:dyDescent="0.25">
      <c r="I19927" s="11" t="b">
        <f t="shared" si="949"/>
        <v>0</v>
      </c>
      <c r="M19927" s="17" t="str">
        <f t="shared" si="950"/>
        <v/>
      </c>
      <c r="N19927" s="11" t="str">
        <f t="shared" si="951"/>
        <v/>
      </c>
    </row>
    <row r="19928" spans="9:14" x14ac:dyDescent="0.25">
      <c r="I19928" s="11" t="b">
        <f t="shared" si="949"/>
        <v>0</v>
      </c>
      <c r="M19928" s="17" t="str">
        <f t="shared" si="950"/>
        <v/>
      </c>
      <c r="N19928" s="11" t="str">
        <f t="shared" si="951"/>
        <v/>
      </c>
    </row>
    <row r="19929" spans="9:14" x14ac:dyDescent="0.25">
      <c r="I19929" s="11" t="b">
        <f t="shared" si="949"/>
        <v>0</v>
      </c>
      <c r="M19929" s="17" t="str">
        <f t="shared" si="950"/>
        <v/>
      </c>
      <c r="N19929" s="11" t="str">
        <f t="shared" si="951"/>
        <v/>
      </c>
    </row>
    <row r="19930" spans="9:14" x14ac:dyDescent="0.25">
      <c r="I19930" s="11" t="b">
        <f t="shared" si="949"/>
        <v>0</v>
      </c>
      <c r="M19930" s="17" t="str">
        <f t="shared" si="950"/>
        <v/>
      </c>
      <c r="N19930" s="11" t="str">
        <f t="shared" si="951"/>
        <v/>
      </c>
    </row>
    <row r="19931" spans="9:14" x14ac:dyDescent="0.25">
      <c r="I19931" s="11" t="b">
        <f t="shared" si="949"/>
        <v>0</v>
      </c>
      <c r="M19931" s="17" t="str">
        <f t="shared" si="950"/>
        <v/>
      </c>
      <c r="N19931" s="11" t="str">
        <f t="shared" si="951"/>
        <v/>
      </c>
    </row>
    <row r="19932" spans="9:14" x14ac:dyDescent="0.25">
      <c r="I19932" s="11" t="b">
        <f t="shared" si="949"/>
        <v>0</v>
      </c>
      <c r="M19932" s="17" t="str">
        <f t="shared" si="950"/>
        <v/>
      </c>
      <c r="N19932" s="11" t="str">
        <f t="shared" si="951"/>
        <v/>
      </c>
    </row>
    <row r="19933" spans="9:14" x14ac:dyDescent="0.25">
      <c r="I19933" s="11" t="b">
        <f t="shared" ref="I19933:I19996" si="952">IF(AND(G19933="MERCADO PAGO",A19933="FATURAMENTO"),1,IF(AND(OR(G19933="MERCADO PAGO",G19933="pix mercado pago",G19933= "débito automático mercado pago", G19933= "boleto mercado pago"),A19933="DESPESAS"),4,IF(AND(G19933="SAFRA",A19933="FATURAMENTO"),2,IF(AND(OR(G19933="SAFRA",G19933="PIX SAFRA", G19933="DÉBITO AUTOMÁTICO SAFRA", G19933= "BOLETO SAFRA", G19933= "transferência safra"), A19933="DESPESAS"),5,IF(AND(G19933="espécie",A19933="FATURAMENTO"),3,IF(AND(G19933="espécie",A19933="DESPESAS"),6))))))</f>
        <v>0</v>
      </c>
      <c r="M19933" s="17" t="str">
        <f t="shared" si="950"/>
        <v/>
      </c>
      <c r="N19933" s="11" t="str">
        <f t="shared" si="951"/>
        <v/>
      </c>
    </row>
    <row r="19934" spans="9:14" x14ac:dyDescent="0.25">
      <c r="I19934" s="11" t="b">
        <f t="shared" si="952"/>
        <v>0</v>
      </c>
      <c r="M19934" s="17" t="str">
        <f t="shared" si="950"/>
        <v/>
      </c>
      <c r="N19934" s="11" t="str">
        <f t="shared" si="951"/>
        <v/>
      </c>
    </row>
    <row r="19935" spans="9:14" x14ac:dyDescent="0.25">
      <c r="I19935" s="11" t="b">
        <f t="shared" si="952"/>
        <v>0</v>
      </c>
      <c r="M19935" s="17" t="str">
        <f t="shared" si="950"/>
        <v/>
      </c>
      <c r="N19935" s="11" t="str">
        <f t="shared" si="951"/>
        <v/>
      </c>
    </row>
    <row r="19936" spans="9:14" x14ac:dyDescent="0.25">
      <c r="I19936" s="11" t="b">
        <f t="shared" si="952"/>
        <v>0</v>
      </c>
      <c r="M19936" s="17" t="str">
        <f t="shared" si="950"/>
        <v/>
      </c>
      <c r="N19936" s="11" t="str">
        <f t="shared" si="951"/>
        <v/>
      </c>
    </row>
    <row r="19937" spans="9:14" x14ac:dyDescent="0.25">
      <c r="I19937" s="11" t="b">
        <f t="shared" si="952"/>
        <v>0</v>
      </c>
      <c r="M19937" s="17" t="str">
        <f t="shared" si="950"/>
        <v/>
      </c>
      <c r="N19937" s="11" t="str">
        <f t="shared" si="951"/>
        <v/>
      </c>
    </row>
    <row r="19938" spans="9:14" x14ac:dyDescent="0.25">
      <c r="I19938" s="11" t="b">
        <f t="shared" si="952"/>
        <v>0</v>
      </c>
      <c r="M19938" s="17" t="str">
        <f t="shared" si="950"/>
        <v/>
      </c>
      <c r="N19938" s="11" t="str">
        <f t="shared" si="951"/>
        <v/>
      </c>
    </row>
    <row r="19939" spans="9:14" x14ac:dyDescent="0.25">
      <c r="I19939" s="11" t="b">
        <f t="shared" si="952"/>
        <v>0</v>
      </c>
      <c r="M19939" s="17" t="str">
        <f t="shared" si="950"/>
        <v/>
      </c>
      <c r="N19939" s="11" t="str">
        <f t="shared" si="951"/>
        <v/>
      </c>
    </row>
    <row r="19940" spans="9:14" x14ac:dyDescent="0.25">
      <c r="I19940" s="11" t="b">
        <f t="shared" si="952"/>
        <v>0</v>
      </c>
      <c r="M19940" s="17" t="str">
        <f t="shared" si="950"/>
        <v/>
      </c>
      <c r="N19940" s="11" t="str">
        <f t="shared" si="951"/>
        <v/>
      </c>
    </row>
    <row r="19941" spans="9:14" x14ac:dyDescent="0.25">
      <c r="I19941" s="11" t="b">
        <f t="shared" si="952"/>
        <v>0</v>
      </c>
      <c r="M19941" s="17" t="str">
        <f t="shared" si="950"/>
        <v/>
      </c>
      <c r="N19941" s="11" t="str">
        <f t="shared" si="951"/>
        <v/>
      </c>
    </row>
    <row r="19942" spans="9:14" x14ac:dyDescent="0.25">
      <c r="I19942" s="11" t="b">
        <f t="shared" si="952"/>
        <v>0</v>
      </c>
      <c r="M19942" s="17" t="str">
        <f t="shared" si="950"/>
        <v/>
      </c>
      <c r="N19942" s="11" t="str">
        <f t="shared" si="951"/>
        <v/>
      </c>
    </row>
    <row r="19943" spans="9:14" x14ac:dyDescent="0.25">
      <c r="I19943" s="11" t="b">
        <f t="shared" si="952"/>
        <v>0</v>
      </c>
      <c r="M19943" s="17" t="str">
        <f t="shared" si="950"/>
        <v/>
      </c>
      <c r="N19943" s="11" t="str">
        <f t="shared" si="951"/>
        <v/>
      </c>
    </row>
    <row r="19944" spans="9:14" x14ac:dyDescent="0.25">
      <c r="I19944" s="11" t="b">
        <f t="shared" si="952"/>
        <v>0</v>
      </c>
      <c r="M19944" s="17" t="str">
        <f t="shared" si="950"/>
        <v/>
      </c>
      <c r="N19944" s="11" t="str">
        <f t="shared" si="951"/>
        <v/>
      </c>
    </row>
    <row r="19945" spans="9:14" x14ac:dyDescent="0.25">
      <c r="I19945" s="11" t="b">
        <f t="shared" si="952"/>
        <v>0</v>
      </c>
      <c r="M19945" s="17" t="str">
        <f t="shared" si="950"/>
        <v/>
      </c>
      <c r="N19945" s="11" t="str">
        <f t="shared" si="951"/>
        <v/>
      </c>
    </row>
    <row r="19946" spans="9:14" x14ac:dyDescent="0.25">
      <c r="I19946" s="11" t="b">
        <f t="shared" si="952"/>
        <v>0</v>
      </c>
      <c r="M19946" s="17" t="str">
        <f t="shared" si="950"/>
        <v/>
      </c>
      <c r="N19946" s="11" t="str">
        <f t="shared" si="951"/>
        <v/>
      </c>
    </row>
    <row r="19947" spans="9:14" x14ac:dyDescent="0.25">
      <c r="I19947" s="11" t="b">
        <f t="shared" si="952"/>
        <v>0</v>
      </c>
      <c r="M19947" s="17" t="str">
        <f t="shared" si="950"/>
        <v/>
      </c>
      <c r="N19947" s="11" t="str">
        <f t="shared" si="951"/>
        <v/>
      </c>
    </row>
    <row r="19948" spans="9:14" x14ac:dyDescent="0.25">
      <c r="I19948" s="11" t="b">
        <f t="shared" si="952"/>
        <v>0</v>
      </c>
      <c r="M19948" s="17" t="str">
        <f t="shared" si="950"/>
        <v/>
      </c>
      <c r="N19948" s="11" t="str">
        <f t="shared" si="951"/>
        <v/>
      </c>
    </row>
    <row r="19949" spans="9:14" x14ac:dyDescent="0.25">
      <c r="I19949" s="11" t="b">
        <f t="shared" si="952"/>
        <v>0</v>
      </c>
      <c r="M19949" s="17" t="str">
        <f t="shared" si="950"/>
        <v/>
      </c>
      <c r="N19949" s="11" t="str">
        <f t="shared" si="951"/>
        <v/>
      </c>
    </row>
    <row r="19950" spans="9:14" x14ac:dyDescent="0.25">
      <c r="I19950" s="11" t="b">
        <f t="shared" si="952"/>
        <v>0</v>
      </c>
      <c r="M19950" s="17" t="str">
        <f t="shared" si="950"/>
        <v/>
      </c>
      <c r="N19950" s="11" t="str">
        <f t="shared" si="951"/>
        <v/>
      </c>
    </row>
    <row r="19951" spans="9:14" x14ac:dyDescent="0.25">
      <c r="I19951" s="11" t="b">
        <f t="shared" si="952"/>
        <v>0</v>
      </c>
      <c r="M19951" s="17" t="str">
        <f t="shared" si="950"/>
        <v/>
      </c>
      <c r="N19951" s="11" t="str">
        <f t="shared" si="951"/>
        <v/>
      </c>
    </row>
    <row r="19952" spans="9:14" x14ac:dyDescent="0.25">
      <c r="I19952" s="11" t="b">
        <f t="shared" si="952"/>
        <v>0</v>
      </c>
      <c r="M19952" s="17" t="str">
        <f t="shared" si="950"/>
        <v/>
      </c>
      <c r="N19952" s="11" t="str">
        <f t="shared" si="951"/>
        <v/>
      </c>
    </row>
    <row r="19953" spans="9:14" x14ac:dyDescent="0.25">
      <c r="I19953" s="11" t="b">
        <f t="shared" si="952"/>
        <v>0</v>
      </c>
      <c r="M19953" s="17" t="str">
        <f t="shared" si="950"/>
        <v/>
      </c>
      <c r="N19953" s="11" t="str">
        <f t="shared" si="951"/>
        <v/>
      </c>
    </row>
    <row r="19954" spans="9:14" x14ac:dyDescent="0.25">
      <c r="I19954" s="11" t="b">
        <f t="shared" si="952"/>
        <v>0</v>
      </c>
      <c r="M19954" s="17" t="str">
        <f t="shared" si="950"/>
        <v/>
      </c>
      <c r="N19954" s="11" t="str">
        <f t="shared" si="951"/>
        <v/>
      </c>
    </row>
    <row r="19955" spans="9:14" x14ac:dyDescent="0.25">
      <c r="I19955" s="11" t="b">
        <f t="shared" si="952"/>
        <v>0</v>
      </c>
      <c r="M19955" s="17" t="str">
        <f t="shared" si="950"/>
        <v/>
      </c>
      <c r="N19955" s="11" t="str">
        <f t="shared" si="951"/>
        <v/>
      </c>
    </row>
    <row r="19956" spans="9:14" x14ac:dyDescent="0.25">
      <c r="I19956" s="11" t="b">
        <f t="shared" si="952"/>
        <v>0</v>
      </c>
      <c r="M19956" s="17" t="str">
        <f t="shared" si="950"/>
        <v/>
      </c>
      <c r="N19956" s="11" t="str">
        <f t="shared" si="951"/>
        <v/>
      </c>
    </row>
    <row r="19957" spans="9:14" x14ac:dyDescent="0.25">
      <c r="I19957" s="11" t="b">
        <f t="shared" si="952"/>
        <v>0</v>
      </c>
      <c r="M19957" s="17" t="str">
        <f t="shared" si="950"/>
        <v/>
      </c>
      <c r="N19957" s="11" t="str">
        <f t="shared" si="951"/>
        <v/>
      </c>
    </row>
    <row r="19958" spans="9:14" x14ac:dyDescent="0.25">
      <c r="I19958" s="11" t="b">
        <f t="shared" si="952"/>
        <v>0</v>
      </c>
      <c r="M19958" s="17" t="str">
        <f t="shared" si="950"/>
        <v/>
      </c>
      <c r="N19958" s="11" t="str">
        <f t="shared" si="951"/>
        <v/>
      </c>
    </row>
    <row r="19959" spans="9:14" x14ac:dyDescent="0.25">
      <c r="I19959" s="11" t="b">
        <f t="shared" si="952"/>
        <v>0</v>
      </c>
      <c r="M19959" s="17" t="str">
        <f t="shared" si="950"/>
        <v/>
      </c>
      <c r="N19959" s="11" t="str">
        <f t="shared" si="951"/>
        <v/>
      </c>
    </row>
    <row r="19960" spans="9:14" x14ac:dyDescent="0.25">
      <c r="I19960" s="11" t="b">
        <f t="shared" si="952"/>
        <v>0</v>
      </c>
      <c r="M19960" s="17" t="str">
        <f t="shared" si="950"/>
        <v/>
      </c>
      <c r="N19960" s="11" t="str">
        <f t="shared" si="951"/>
        <v/>
      </c>
    </row>
    <row r="19961" spans="9:14" x14ac:dyDescent="0.25">
      <c r="I19961" s="11" t="b">
        <f t="shared" si="952"/>
        <v>0</v>
      </c>
      <c r="M19961" s="17" t="str">
        <f t="shared" si="950"/>
        <v/>
      </c>
      <c r="N19961" s="11" t="str">
        <f t="shared" si="951"/>
        <v/>
      </c>
    </row>
    <row r="19962" spans="9:14" x14ac:dyDescent="0.25">
      <c r="I19962" s="11" t="b">
        <f t="shared" si="952"/>
        <v>0</v>
      </c>
      <c r="M19962" s="17" t="str">
        <f t="shared" si="950"/>
        <v/>
      </c>
      <c r="N19962" s="11" t="str">
        <f t="shared" si="951"/>
        <v/>
      </c>
    </row>
    <row r="19963" spans="9:14" x14ac:dyDescent="0.25">
      <c r="I19963" s="11" t="b">
        <f t="shared" si="952"/>
        <v>0</v>
      </c>
      <c r="M19963" s="17" t="str">
        <f t="shared" si="950"/>
        <v/>
      </c>
      <c r="N19963" s="11" t="str">
        <f t="shared" si="951"/>
        <v/>
      </c>
    </row>
    <row r="19964" spans="9:14" x14ac:dyDescent="0.25">
      <c r="I19964" s="11" t="b">
        <f t="shared" si="952"/>
        <v>0</v>
      </c>
      <c r="M19964" s="17" t="str">
        <f t="shared" si="950"/>
        <v/>
      </c>
      <c r="N19964" s="11" t="str">
        <f t="shared" si="951"/>
        <v/>
      </c>
    </row>
    <row r="19965" spans="9:14" x14ac:dyDescent="0.25">
      <c r="I19965" s="11" t="b">
        <f t="shared" si="952"/>
        <v>0</v>
      </c>
      <c r="M19965" s="17" t="str">
        <f t="shared" si="950"/>
        <v/>
      </c>
      <c r="N19965" s="11" t="str">
        <f t="shared" si="951"/>
        <v/>
      </c>
    </row>
    <row r="19966" spans="9:14" x14ac:dyDescent="0.25">
      <c r="I19966" s="11" t="b">
        <f t="shared" si="952"/>
        <v>0</v>
      </c>
      <c r="M19966" s="17" t="str">
        <f t="shared" si="950"/>
        <v/>
      </c>
      <c r="N19966" s="11" t="str">
        <f t="shared" si="951"/>
        <v/>
      </c>
    </row>
    <row r="19967" spans="9:14" x14ac:dyDescent="0.25">
      <c r="I19967" s="11" t="b">
        <f t="shared" si="952"/>
        <v>0</v>
      </c>
      <c r="M19967" s="17" t="str">
        <f t="shared" si="950"/>
        <v/>
      </c>
      <c r="N19967" s="11" t="str">
        <f t="shared" si="951"/>
        <v/>
      </c>
    </row>
    <row r="19968" spans="9:14" x14ac:dyDescent="0.25">
      <c r="I19968" s="11" t="b">
        <f t="shared" si="952"/>
        <v>0</v>
      </c>
      <c r="M19968" s="17" t="str">
        <f t="shared" si="950"/>
        <v/>
      </c>
      <c r="N19968" s="11" t="str">
        <f t="shared" si="951"/>
        <v/>
      </c>
    </row>
    <row r="19969" spans="9:14" x14ac:dyDescent="0.25">
      <c r="I19969" s="11" t="b">
        <f t="shared" si="952"/>
        <v>0</v>
      </c>
      <c r="M19969" s="17" t="str">
        <f t="shared" ref="M19969:M19998" si="953">IF(B19969=0, "",M19968+ J19969-K19969)</f>
        <v/>
      </c>
      <c r="N19969" s="11" t="str">
        <f t="shared" ref="N19969:N19998" si="954">IF(B19969=0, "", MONTH(B19969))</f>
        <v/>
      </c>
    </row>
    <row r="19970" spans="9:14" x14ac:dyDescent="0.25">
      <c r="I19970" s="11" t="b">
        <f t="shared" si="952"/>
        <v>0</v>
      </c>
      <c r="M19970" s="17" t="str">
        <f t="shared" si="953"/>
        <v/>
      </c>
      <c r="N19970" s="11" t="str">
        <f t="shared" si="954"/>
        <v/>
      </c>
    </row>
    <row r="19971" spans="9:14" x14ac:dyDescent="0.25">
      <c r="I19971" s="11" t="b">
        <f t="shared" si="952"/>
        <v>0</v>
      </c>
      <c r="M19971" s="17" t="str">
        <f t="shared" si="953"/>
        <v/>
      </c>
      <c r="N19971" s="11" t="str">
        <f t="shared" si="954"/>
        <v/>
      </c>
    </row>
    <row r="19972" spans="9:14" x14ac:dyDescent="0.25">
      <c r="I19972" s="11" t="b">
        <f t="shared" si="952"/>
        <v>0</v>
      </c>
      <c r="M19972" s="17" t="str">
        <f t="shared" si="953"/>
        <v/>
      </c>
      <c r="N19972" s="11" t="str">
        <f t="shared" si="954"/>
        <v/>
      </c>
    </row>
    <row r="19973" spans="9:14" x14ac:dyDescent="0.25">
      <c r="I19973" s="11" t="b">
        <f t="shared" si="952"/>
        <v>0</v>
      </c>
      <c r="M19973" s="17" t="str">
        <f t="shared" si="953"/>
        <v/>
      </c>
      <c r="N19973" s="11" t="str">
        <f t="shared" si="954"/>
        <v/>
      </c>
    </row>
    <row r="19974" spans="9:14" x14ac:dyDescent="0.25">
      <c r="I19974" s="11" t="b">
        <f t="shared" si="952"/>
        <v>0</v>
      </c>
      <c r="M19974" s="17" t="str">
        <f t="shared" si="953"/>
        <v/>
      </c>
      <c r="N19974" s="11" t="str">
        <f t="shared" si="954"/>
        <v/>
      </c>
    </row>
    <row r="19975" spans="9:14" x14ac:dyDescent="0.25">
      <c r="I19975" s="11" t="b">
        <f t="shared" si="952"/>
        <v>0</v>
      </c>
      <c r="M19975" s="17" t="str">
        <f t="shared" si="953"/>
        <v/>
      </c>
      <c r="N19975" s="11" t="str">
        <f t="shared" si="954"/>
        <v/>
      </c>
    </row>
    <row r="19976" spans="9:14" x14ac:dyDescent="0.25">
      <c r="I19976" s="11" t="b">
        <f t="shared" si="952"/>
        <v>0</v>
      </c>
      <c r="M19976" s="17" t="str">
        <f t="shared" si="953"/>
        <v/>
      </c>
      <c r="N19976" s="11" t="str">
        <f t="shared" si="954"/>
        <v/>
      </c>
    </row>
    <row r="19977" spans="9:14" x14ac:dyDescent="0.25">
      <c r="I19977" s="11" t="b">
        <f t="shared" si="952"/>
        <v>0</v>
      </c>
      <c r="M19977" s="17" t="str">
        <f t="shared" si="953"/>
        <v/>
      </c>
      <c r="N19977" s="11" t="str">
        <f t="shared" si="954"/>
        <v/>
      </c>
    </row>
    <row r="19978" spans="9:14" x14ac:dyDescent="0.25">
      <c r="I19978" s="11" t="b">
        <f t="shared" si="952"/>
        <v>0</v>
      </c>
      <c r="M19978" s="17" t="str">
        <f t="shared" si="953"/>
        <v/>
      </c>
      <c r="N19978" s="11" t="str">
        <f t="shared" si="954"/>
        <v/>
      </c>
    </row>
    <row r="19979" spans="9:14" x14ac:dyDescent="0.25">
      <c r="I19979" s="11" t="b">
        <f t="shared" si="952"/>
        <v>0</v>
      </c>
      <c r="M19979" s="17" t="str">
        <f t="shared" si="953"/>
        <v/>
      </c>
      <c r="N19979" s="11" t="str">
        <f t="shared" si="954"/>
        <v/>
      </c>
    </row>
    <row r="19980" spans="9:14" x14ac:dyDescent="0.25">
      <c r="I19980" s="11" t="b">
        <f t="shared" si="952"/>
        <v>0</v>
      </c>
      <c r="M19980" s="17" t="str">
        <f t="shared" si="953"/>
        <v/>
      </c>
      <c r="N19980" s="11" t="str">
        <f t="shared" si="954"/>
        <v/>
      </c>
    </row>
    <row r="19981" spans="9:14" x14ac:dyDescent="0.25">
      <c r="I19981" s="11" t="b">
        <f t="shared" si="952"/>
        <v>0</v>
      </c>
      <c r="M19981" s="17" t="str">
        <f t="shared" si="953"/>
        <v/>
      </c>
      <c r="N19981" s="11" t="str">
        <f t="shared" si="954"/>
        <v/>
      </c>
    </row>
    <row r="19982" spans="9:14" x14ac:dyDescent="0.25">
      <c r="I19982" s="11" t="b">
        <f t="shared" si="952"/>
        <v>0</v>
      </c>
      <c r="M19982" s="17" t="str">
        <f t="shared" si="953"/>
        <v/>
      </c>
      <c r="N19982" s="11" t="str">
        <f t="shared" si="954"/>
        <v/>
      </c>
    </row>
    <row r="19983" spans="9:14" x14ac:dyDescent="0.25">
      <c r="I19983" s="11" t="b">
        <f t="shared" si="952"/>
        <v>0</v>
      </c>
      <c r="M19983" s="17" t="str">
        <f t="shared" si="953"/>
        <v/>
      </c>
      <c r="N19983" s="11" t="str">
        <f t="shared" si="954"/>
        <v/>
      </c>
    </row>
    <row r="19984" spans="9:14" x14ac:dyDescent="0.25">
      <c r="I19984" s="11" t="b">
        <f t="shared" si="952"/>
        <v>0</v>
      </c>
      <c r="M19984" s="17" t="str">
        <f t="shared" si="953"/>
        <v/>
      </c>
      <c r="N19984" s="11" t="str">
        <f t="shared" si="954"/>
        <v/>
      </c>
    </row>
    <row r="19985" spans="9:14" x14ac:dyDescent="0.25">
      <c r="I19985" s="11" t="b">
        <f t="shared" si="952"/>
        <v>0</v>
      </c>
      <c r="M19985" s="17" t="str">
        <f t="shared" si="953"/>
        <v/>
      </c>
      <c r="N19985" s="11" t="str">
        <f t="shared" si="954"/>
        <v/>
      </c>
    </row>
    <row r="19986" spans="9:14" x14ac:dyDescent="0.25">
      <c r="I19986" s="11" t="b">
        <f t="shared" si="952"/>
        <v>0</v>
      </c>
      <c r="M19986" s="17" t="str">
        <f t="shared" si="953"/>
        <v/>
      </c>
      <c r="N19986" s="11" t="str">
        <f t="shared" si="954"/>
        <v/>
      </c>
    </row>
    <row r="19987" spans="9:14" x14ac:dyDescent="0.25">
      <c r="I19987" s="11" t="b">
        <f t="shared" si="952"/>
        <v>0</v>
      </c>
      <c r="M19987" s="17" t="str">
        <f t="shared" si="953"/>
        <v/>
      </c>
      <c r="N19987" s="11" t="str">
        <f t="shared" si="954"/>
        <v/>
      </c>
    </row>
    <row r="19988" spans="9:14" x14ac:dyDescent="0.25">
      <c r="I19988" s="11" t="b">
        <f t="shared" si="952"/>
        <v>0</v>
      </c>
      <c r="M19988" s="17" t="str">
        <f t="shared" si="953"/>
        <v/>
      </c>
      <c r="N19988" s="11" t="str">
        <f t="shared" si="954"/>
        <v/>
      </c>
    </row>
    <row r="19989" spans="9:14" x14ac:dyDescent="0.25">
      <c r="I19989" s="11" t="b">
        <f t="shared" si="952"/>
        <v>0</v>
      </c>
      <c r="M19989" s="17" t="str">
        <f t="shared" si="953"/>
        <v/>
      </c>
      <c r="N19989" s="11" t="str">
        <f t="shared" si="954"/>
        <v/>
      </c>
    </row>
    <row r="19990" spans="9:14" x14ac:dyDescent="0.25">
      <c r="I19990" s="11" t="b">
        <f t="shared" si="952"/>
        <v>0</v>
      </c>
      <c r="M19990" s="17" t="str">
        <f t="shared" si="953"/>
        <v/>
      </c>
      <c r="N19990" s="11" t="str">
        <f t="shared" si="954"/>
        <v/>
      </c>
    </row>
    <row r="19991" spans="9:14" x14ac:dyDescent="0.25">
      <c r="I19991" s="11" t="b">
        <f t="shared" si="952"/>
        <v>0</v>
      </c>
      <c r="M19991" s="17" t="str">
        <f t="shared" si="953"/>
        <v/>
      </c>
      <c r="N19991" s="11" t="str">
        <f t="shared" si="954"/>
        <v/>
      </c>
    </row>
    <row r="19992" spans="9:14" x14ac:dyDescent="0.25">
      <c r="I19992" s="11" t="b">
        <f t="shared" si="952"/>
        <v>0</v>
      </c>
      <c r="M19992" s="17" t="str">
        <f t="shared" si="953"/>
        <v/>
      </c>
      <c r="N19992" s="11" t="str">
        <f t="shared" si="954"/>
        <v/>
      </c>
    </row>
    <row r="19993" spans="9:14" x14ac:dyDescent="0.25">
      <c r="I19993" s="11" t="b">
        <f t="shared" si="952"/>
        <v>0</v>
      </c>
      <c r="M19993" s="17" t="str">
        <f t="shared" si="953"/>
        <v/>
      </c>
      <c r="N19993" s="11" t="str">
        <f t="shared" si="954"/>
        <v/>
      </c>
    </row>
    <row r="19994" spans="9:14" x14ac:dyDescent="0.25">
      <c r="I19994" s="11" t="b">
        <f t="shared" si="952"/>
        <v>0</v>
      </c>
      <c r="M19994" s="17" t="str">
        <f t="shared" si="953"/>
        <v/>
      </c>
      <c r="N19994" s="11" t="str">
        <f t="shared" si="954"/>
        <v/>
      </c>
    </row>
    <row r="19995" spans="9:14" x14ac:dyDescent="0.25">
      <c r="I19995" s="11" t="b">
        <f t="shared" si="952"/>
        <v>0</v>
      </c>
      <c r="M19995" s="17" t="str">
        <f t="shared" si="953"/>
        <v/>
      </c>
      <c r="N19995" s="11" t="str">
        <f t="shared" si="954"/>
        <v/>
      </c>
    </row>
    <row r="19996" spans="9:14" x14ac:dyDescent="0.25">
      <c r="I19996" s="11" t="b">
        <f t="shared" si="952"/>
        <v>0</v>
      </c>
      <c r="M19996" s="17" t="str">
        <f t="shared" si="953"/>
        <v/>
      </c>
      <c r="N19996" s="11" t="str">
        <f t="shared" si="954"/>
        <v/>
      </c>
    </row>
    <row r="19997" spans="9:14" x14ac:dyDescent="0.25">
      <c r="I19997" s="11" t="b">
        <f t="shared" ref="I19997:I20060" si="955">IF(AND(G19997="MERCADO PAGO",A19997="FATURAMENTO"),1,IF(AND(OR(G19997="MERCADO PAGO",G19997="pix mercado pago",G19997= "débito automático mercado pago", G19997= "boleto mercado pago"),A19997="DESPESAS"),4,IF(AND(G19997="SAFRA",A19997="FATURAMENTO"),2,IF(AND(OR(G19997="SAFRA",G19997="PIX SAFRA", G19997="DÉBITO AUTOMÁTICO SAFRA", G19997= "BOLETO SAFRA", G19997= "transferência safra"), A19997="DESPESAS"),5,IF(AND(G19997="espécie",A19997="FATURAMENTO"),3,IF(AND(G19997="espécie",A19997="DESPESAS"),6))))))</f>
        <v>0</v>
      </c>
      <c r="M19997" s="17" t="str">
        <f t="shared" si="953"/>
        <v/>
      </c>
      <c r="N19997" s="11" t="str">
        <f t="shared" si="954"/>
        <v/>
      </c>
    </row>
    <row r="19998" spans="9:14" x14ac:dyDescent="0.25">
      <c r="I19998" s="11" t="b">
        <f t="shared" si="955"/>
        <v>0</v>
      </c>
      <c r="M19998" s="17" t="str">
        <f t="shared" si="953"/>
        <v/>
      </c>
      <c r="N19998" s="11" t="str">
        <f t="shared" si="954"/>
        <v/>
      </c>
    </row>
    <row r="19999" spans="9:14" x14ac:dyDescent="0.25">
      <c r="I19999" s="11" t="b">
        <f t="shared" si="955"/>
        <v>0</v>
      </c>
      <c r="M19999" s="17" t="str">
        <f t="shared" ref="M19999:M20043" si="956">IF(B19999=0, "",M19998+ J19999-K19999)</f>
        <v/>
      </c>
      <c r="N19999" s="11" t="str">
        <f t="shared" ref="N19999:N20043" si="957">IF(B19999=0, "", MONTH(B19999))</f>
        <v/>
      </c>
    </row>
    <row r="20000" spans="9:14" x14ac:dyDescent="0.25">
      <c r="I20000" s="11" t="b">
        <f t="shared" si="955"/>
        <v>0</v>
      </c>
      <c r="M20000" s="17" t="str">
        <f t="shared" si="956"/>
        <v/>
      </c>
      <c r="N20000" s="11" t="str">
        <f t="shared" si="957"/>
        <v/>
      </c>
    </row>
    <row r="20001" spans="9:14" x14ac:dyDescent="0.25">
      <c r="I20001" s="11" t="b">
        <f t="shared" si="955"/>
        <v>0</v>
      </c>
      <c r="M20001" s="17" t="str">
        <f t="shared" si="956"/>
        <v/>
      </c>
      <c r="N20001" s="11" t="str">
        <f t="shared" si="957"/>
        <v/>
      </c>
    </row>
    <row r="20002" spans="9:14" x14ac:dyDescent="0.25">
      <c r="I20002" s="11" t="b">
        <f t="shared" si="955"/>
        <v>0</v>
      </c>
      <c r="M20002" s="17" t="str">
        <f t="shared" si="956"/>
        <v/>
      </c>
      <c r="N20002" s="11" t="str">
        <f t="shared" si="957"/>
        <v/>
      </c>
    </row>
    <row r="20003" spans="9:14" x14ac:dyDescent="0.25">
      <c r="I20003" s="11" t="b">
        <f t="shared" si="955"/>
        <v>0</v>
      </c>
      <c r="M20003" s="17" t="str">
        <f t="shared" si="956"/>
        <v/>
      </c>
      <c r="N20003" s="11" t="str">
        <f t="shared" si="957"/>
        <v/>
      </c>
    </row>
    <row r="20004" spans="9:14" x14ac:dyDescent="0.25">
      <c r="I20004" s="11" t="b">
        <f t="shared" si="955"/>
        <v>0</v>
      </c>
      <c r="M20004" s="17" t="str">
        <f t="shared" si="956"/>
        <v/>
      </c>
      <c r="N20004" s="11" t="str">
        <f t="shared" si="957"/>
        <v/>
      </c>
    </row>
    <row r="20005" spans="9:14" x14ac:dyDescent="0.25">
      <c r="I20005" s="11" t="b">
        <f t="shared" si="955"/>
        <v>0</v>
      </c>
      <c r="M20005" s="17" t="str">
        <f t="shared" si="956"/>
        <v/>
      </c>
      <c r="N20005" s="11" t="str">
        <f t="shared" si="957"/>
        <v/>
      </c>
    </row>
    <row r="20006" spans="9:14" x14ac:dyDescent="0.25">
      <c r="I20006" s="11" t="b">
        <f t="shared" si="955"/>
        <v>0</v>
      </c>
      <c r="M20006" s="17" t="str">
        <f t="shared" si="956"/>
        <v/>
      </c>
      <c r="N20006" s="11" t="str">
        <f t="shared" si="957"/>
        <v/>
      </c>
    </row>
    <row r="20007" spans="9:14" x14ac:dyDescent="0.25">
      <c r="I20007" s="11" t="b">
        <f t="shared" si="955"/>
        <v>0</v>
      </c>
      <c r="M20007" s="17" t="str">
        <f t="shared" si="956"/>
        <v/>
      </c>
      <c r="N20007" s="11" t="str">
        <f t="shared" si="957"/>
        <v/>
      </c>
    </row>
    <row r="20008" spans="9:14" x14ac:dyDescent="0.25">
      <c r="I20008" s="11" t="b">
        <f t="shared" si="955"/>
        <v>0</v>
      </c>
      <c r="M20008" s="17" t="str">
        <f t="shared" si="956"/>
        <v/>
      </c>
      <c r="N20008" s="11" t="str">
        <f t="shared" si="957"/>
        <v/>
      </c>
    </row>
    <row r="20009" spans="9:14" x14ac:dyDescent="0.25">
      <c r="I20009" s="11" t="b">
        <f t="shared" si="955"/>
        <v>0</v>
      </c>
      <c r="M20009" s="17" t="str">
        <f t="shared" si="956"/>
        <v/>
      </c>
      <c r="N20009" s="11" t="str">
        <f t="shared" si="957"/>
        <v/>
      </c>
    </row>
    <row r="20010" spans="9:14" x14ac:dyDescent="0.25">
      <c r="I20010" s="11" t="b">
        <f t="shared" si="955"/>
        <v>0</v>
      </c>
      <c r="M20010" s="17" t="str">
        <f t="shared" si="956"/>
        <v/>
      </c>
      <c r="N20010" s="11" t="str">
        <f t="shared" si="957"/>
        <v/>
      </c>
    </row>
    <row r="20011" spans="9:14" x14ac:dyDescent="0.25">
      <c r="I20011" s="11" t="b">
        <f t="shared" si="955"/>
        <v>0</v>
      </c>
      <c r="M20011" s="17" t="str">
        <f t="shared" si="956"/>
        <v/>
      </c>
      <c r="N20011" s="11" t="str">
        <f t="shared" si="957"/>
        <v/>
      </c>
    </row>
    <row r="20012" spans="9:14" x14ac:dyDescent="0.25">
      <c r="I20012" s="11" t="b">
        <f t="shared" si="955"/>
        <v>0</v>
      </c>
      <c r="M20012" s="17" t="str">
        <f t="shared" si="956"/>
        <v/>
      </c>
      <c r="N20012" s="11" t="str">
        <f t="shared" si="957"/>
        <v/>
      </c>
    </row>
    <row r="20013" spans="9:14" x14ac:dyDescent="0.25">
      <c r="I20013" s="11" t="b">
        <f t="shared" si="955"/>
        <v>0</v>
      </c>
      <c r="M20013" s="17" t="str">
        <f t="shared" si="956"/>
        <v/>
      </c>
      <c r="N20013" s="11" t="str">
        <f t="shared" si="957"/>
        <v/>
      </c>
    </row>
    <row r="20014" spans="9:14" x14ac:dyDescent="0.25">
      <c r="I20014" s="11" t="b">
        <f t="shared" si="955"/>
        <v>0</v>
      </c>
      <c r="M20014" s="17" t="str">
        <f t="shared" si="956"/>
        <v/>
      </c>
      <c r="N20014" s="11" t="str">
        <f t="shared" si="957"/>
        <v/>
      </c>
    </row>
    <row r="20015" spans="9:14" x14ac:dyDescent="0.25">
      <c r="I20015" s="11" t="b">
        <f t="shared" si="955"/>
        <v>0</v>
      </c>
      <c r="M20015" s="17" t="str">
        <f t="shared" si="956"/>
        <v/>
      </c>
      <c r="N20015" s="11" t="str">
        <f t="shared" si="957"/>
        <v/>
      </c>
    </row>
    <row r="20016" spans="9:14" x14ac:dyDescent="0.25">
      <c r="I20016" s="11" t="b">
        <f t="shared" si="955"/>
        <v>0</v>
      </c>
      <c r="M20016" s="17" t="str">
        <f t="shared" si="956"/>
        <v/>
      </c>
      <c r="N20016" s="11" t="str">
        <f t="shared" si="957"/>
        <v/>
      </c>
    </row>
    <row r="20017" spans="9:14" x14ac:dyDescent="0.25">
      <c r="I20017" s="11" t="b">
        <f t="shared" si="955"/>
        <v>0</v>
      </c>
      <c r="M20017" s="17" t="str">
        <f t="shared" si="956"/>
        <v/>
      </c>
      <c r="N20017" s="11" t="str">
        <f t="shared" si="957"/>
        <v/>
      </c>
    </row>
    <row r="20018" spans="9:14" x14ac:dyDescent="0.25">
      <c r="I20018" s="11" t="b">
        <f t="shared" si="955"/>
        <v>0</v>
      </c>
      <c r="M20018" s="17" t="str">
        <f t="shared" si="956"/>
        <v/>
      </c>
      <c r="N20018" s="11" t="str">
        <f t="shared" si="957"/>
        <v/>
      </c>
    </row>
    <row r="20019" spans="9:14" x14ac:dyDescent="0.25">
      <c r="I20019" s="11" t="b">
        <f t="shared" si="955"/>
        <v>0</v>
      </c>
      <c r="M20019" s="17" t="str">
        <f t="shared" si="956"/>
        <v/>
      </c>
      <c r="N20019" s="11" t="str">
        <f t="shared" si="957"/>
        <v/>
      </c>
    </row>
    <row r="20020" spans="9:14" x14ac:dyDescent="0.25">
      <c r="I20020" s="11" t="b">
        <f t="shared" si="955"/>
        <v>0</v>
      </c>
      <c r="M20020" s="17" t="str">
        <f t="shared" si="956"/>
        <v/>
      </c>
      <c r="N20020" s="11" t="str">
        <f t="shared" si="957"/>
        <v/>
      </c>
    </row>
    <row r="20021" spans="9:14" x14ac:dyDescent="0.25">
      <c r="I20021" s="11" t="b">
        <f t="shared" si="955"/>
        <v>0</v>
      </c>
      <c r="M20021" s="17" t="str">
        <f t="shared" si="956"/>
        <v/>
      </c>
      <c r="N20021" s="11" t="str">
        <f t="shared" si="957"/>
        <v/>
      </c>
    </row>
    <row r="20022" spans="9:14" x14ac:dyDescent="0.25">
      <c r="I20022" s="11" t="b">
        <f t="shared" si="955"/>
        <v>0</v>
      </c>
      <c r="M20022" s="17" t="str">
        <f t="shared" si="956"/>
        <v/>
      </c>
      <c r="N20022" s="11" t="str">
        <f t="shared" si="957"/>
        <v/>
      </c>
    </row>
    <row r="20023" spans="9:14" x14ac:dyDescent="0.25">
      <c r="I20023" s="11" t="b">
        <f t="shared" si="955"/>
        <v>0</v>
      </c>
      <c r="M20023" s="17" t="str">
        <f t="shared" si="956"/>
        <v/>
      </c>
      <c r="N20023" s="11" t="str">
        <f t="shared" si="957"/>
        <v/>
      </c>
    </row>
    <row r="20024" spans="9:14" x14ac:dyDescent="0.25">
      <c r="I20024" s="11" t="b">
        <f t="shared" si="955"/>
        <v>0</v>
      </c>
      <c r="M20024" s="17" t="str">
        <f t="shared" si="956"/>
        <v/>
      </c>
      <c r="N20024" s="11" t="str">
        <f t="shared" si="957"/>
        <v/>
      </c>
    </row>
    <row r="20025" spans="9:14" x14ac:dyDescent="0.25">
      <c r="I20025" s="11" t="b">
        <f t="shared" si="955"/>
        <v>0</v>
      </c>
      <c r="M20025" s="17" t="str">
        <f t="shared" si="956"/>
        <v/>
      </c>
      <c r="N20025" s="11" t="str">
        <f t="shared" si="957"/>
        <v/>
      </c>
    </row>
    <row r="20026" spans="9:14" x14ac:dyDescent="0.25">
      <c r="I20026" s="11" t="b">
        <f t="shared" si="955"/>
        <v>0</v>
      </c>
      <c r="M20026" s="17" t="str">
        <f t="shared" si="956"/>
        <v/>
      </c>
      <c r="N20026" s="11" t="str">
        <f t="shared" si="957"/>
        <v/>
      </c>
    </row>
    <row r="20027" spans="9:14" x14ac:dyDescent="0.25">
      <c r="I20027" s="11" t="b">
        <f t="shared" si="955"/>
        <v>0</v>
      </c>
      <c r="M20027" s="17" t="str">
        <f t="shared" si="956"/>
        <v/>
      </c>
      <c r="N20027" s="11" t="str">
        <f t="shared" si="957"/>
        <v/>
      </c>
    </row>
    <row r="20028" spans="9:14" x14ac:dyDescent="0.25">
      <c r="I20028" s="11" t="b">
        <f t="shared" si="955"/>
        <v>0</v>
      </c>
      <c r="M20028" s="17" t="str">
        <f t="shared" si="956"/>
        <v/>
      </c>
      <c r="N20028" s="11" t="str">
        <f t="shared" si="957"/>
        <v/>
      </c>
    </row>
    <row r="20029" spans="9:14" x14ac:dyDescent="0.25">
      <c r="I20029" s="11" t="b">
        <f t="shared" si="955"/>
        <v>0</v>
      </c>
      <c r="M20029" s="17" t="str">
        <f t="shared" si="956"/>
        <v/>
      </c>
      <c r="N20029" s="11" t="str">
        <f t="shared" si="957"/>
        <v/>
      </c>
    </row>
    <row r="20030" spans="9:14" x14ac:dyDescent="0.25">
      <c r="I20030" s="11" t="b">
        <f t="shared" si="955"/>
        <v>0</v>
      </c>
      <c r="M20030" s="17" t="str">
        <f t="shared" si="956"/>
        <v/>
      </c>
      <c r="N20030" s="11" t="str">
        <f t="shared" si="957"/>
        <v/>
      </c>
    </row>
    <row r="20031" spans="9:14" x14ac:dyDescent="0.25">
      <c r="I20031" s="11" t="b">
        <f t="shared" si="955"/>
        <v>0</v>
      </c>
      <c r="M20031" s="17" t="str">
        <f t="shared" si="956"/>
        <v/>
      </c>
      <c r="N20031" s="11" t="str">
        <f t="shared" si="957"/>
        <v/>
      </c>
    </row>
    <row r="20032" spans="9:14" x14ac:dyDescent="0.25">
      <c r="I20032" s="11" t="b">
        <f t="shared" si="955"/>
        <v>0</v>
      </c>
      <c r="M20032" s="17" t="str">
        <f t="shared" si="956"/>
        <v/>
      </c>
      <c r="N20032" s="11" t="str">
        <f t="shared" si="957"/>
        <v/>
      </c>
    </row>
    <row r="20033" spans="9:14" x14ac:dyDescent="0.25">
      <c r="I20033" s="11" t="b">
        <f t="shared" si="955"/>
        <v>0</v>
      </c>
      <c r="M20033" s="17" t="str">
        <f t="shared" si="956"/>
        <v/>
      </c>
      <c r="N20033" s="11" t="str">
        <f t="shared" si="957"/>
        <v/>
      </c>
    </row>
    <row r="20034" spans="9:14" x14ac:dyDescent="0.25">
      <c r="I20034" s="11" t="b">
        <f t="shared" si="955"/>
        <v>0</v>
      </c>
      <c r="M20034" s="17" t="str">
        <f t="shared" si="956"/>
        <v/>
      </c>
      <c r="N20034" s="11" t="str">
        <f t="shared" si="957"/>
        <v/>
      </c>
    </row>
    <row r="20035" spans="9:14" x14ac:dyDescent="0.25">
      <c r="I20035" s="11" t="b">
        <f t="shared" si="955"/>
        <v>0</v>
      </c>
      <c r="M20035" s="17" t="str">
        <f t="shared" si="956"/>
        <v/>
      </c>
      <c r="N20035" s="11" t="str">
        <f t="shared" si="957"/>
        <v/>
      </c>
    </row>
    <row r="20036" spans="9:14" x14ac:dyDescent="0.25">
      <c r="I20036" s="11" t="b">
        <f t="shared" si="955"/>
        <v>0</v>
      </c>
      <c r="M20036" s="17" t="str">
        <f t="shared" si="956"/>
        <v/>
      </c>
      <c r="N20036" s="11" t="str">
        <f t="shared" si="957"/>
        <v/>
      </c>
    </row>
    <row r="20037" spans="9:14" x14ac:dyDescent="0.25">
      <c r="I20037" s="11" t="b">
        <f t="shared" si="955"/>
        <v>0</v>
      </c>
      <c r="M20037" s="17" t="str">
        <f t="shared" si="956"/>
        <v/>
      </c>
      <c r="N20037" s="11" t="str">
        <f t="shared" si="957"/>
        <v/>
      </c>
    </row>
    <row r="20038" spans="9:14" x14ac:dyDescent="0.25">
      <c r="I20038" s="11" t="b">
        <f t="shared" si="955"/>
        <v>0</v>
      </c>
      <c r="M20038" s="17" t="str">
        <f t="shared" si="956"/>
        <v/>
      </c>
      <c r="N20038" s="11" t="str">
        <f t="shared" si="957"/>
        <v/>
      </c>
    </row>
    <row r="20039" spans="9:14" x14ac:dyDescent="0.25">
      <c r="I20039" s="11" t="b">
        <f t="shared" si="955"/>
        <v>0</v>
      </c>
      <c r="M20039" s="17" t="str">
        <f t="shared" si="956"/>
        <v/>
      </c>
      <c r="N20039" s="11" t="str">
        <f t="shared" si="957"/>
        <v/>
      </c>
    </row>
    <row r="20040" spans="9:14" x14ac:dyDescent="0.25">
      <c r="I20040" s="11" t="b">
        <f t="shared" si="955"/>
        <v>0</v>
      </c>
      <c r="M20040" s="17" t="str">
        <f t="shared" si="956"/>
        <v/>
      </c>
      <c r="N20040" s="11" t="str">
        <f t="shared" si="957"/>
        <v/>
      </c>
    </row>
    <row r="20041" spans="9:14" x14ac:dyDescent="0.25">
      <c r="I20041" s="11" t="b">
        <f t="shared" si="955"/>
        <v>0</v>
      </c>
      <c r="M20041" s="17" t="str">
        <f t="shared" si="956"/>
        <v/>
      </c>
      <c r="N20041" s="11" t="str">
        <f t="shared" si="957"/>
        <v/>
      </c>
    </row>
    <row r="20042" spans="9:14" x14ac:dyDescent="0.25">
      <c r="I20042" s="11" t="b">
        <f t="shared" si="955"/>
        <v>0</v>
      </c>
      <c r="M20042" s="17" t="str">
        <f t="shared" si="956"/>
        <v/>
      </c>
      <c r="N20042" s="11" t="str">
        <f t="shared" si="957"/>
        <v/>
      </c>
    </row>
    <row r="20043" spans="9:14" x14ac:dyDescent="0.25">
      <c r="I20043" s="11" t="b">
        <f t="shared" si="955"/>
        <v>0</v>
      </c>
      <c r="M20043" s="17" t="str">
        <f t="shared" si="956"/>
        <v/>
      </c>
      <c r="N20043" s="11" t="str">
        <f t="shared" si="957"/>
        <v/>
      </c>
    </row>
    <row r="20044" spans="9:14" x14ac:dyDescent="0.25">
      <c r="I20044" s="11" t="b">
        <f t="shared" si="955"/>
        <v>0</v>
      </c>
      <c r="M20044" s="17" t="str">
        <f t="shared" ref="M20044:M20073" si="958">IF(B20044=0, "",M20043+ J20044-K20044)</f>
        <v/>
      </c>
      <c r="N20044" s="11" t="str">
        <f t="shared" ref="N20044:N20073" si="959">IF(B20044=0, "", MONTH(B20044))</f>
        <v/>
      </c>
    </row>
    <row r="20045" spans="9:14" x14ac:dyDescent="0.25">
      <c r="I20045" s="11" t="b">
        <f t="shared" si="955"/>
        <v>0</v>
      </c>
      <c r="M20045" s="17" t="str">
        <f t="shared" si="958"/>
        <v/>
      </c>
      <c r="N20045" s="11" t="str">
        <f t="shared" si="959"/>
        <v/>
      </c>
    </row>
    <row r="20046" spans="9:14" x14ac:dyDescent="0.25">
      <c r="I20046" s="11" t="b">
        <f t="shared" si="955"/>
        <v>0</v>
      </c>
      <c r="M20046" s="17" t="str">
        <f t="shared" si="958"/>
        <v/>
      </c>
      <c r="N20046" s="11" t="str">
        <f t="shared" si="959"/>
        <v/>
      </c>
    </row>
    <row r="20047" spans="9:14" x14ac:dyDescent="0.25">
      <c r="I20047" s="11" t="b">
        <f t="shared" si="955"/>
        <v>0</v>
      </c>
      <c r="M20047" s="17" t="str">
        <f t="shared" si="958"/>
        <v/>
      </c>
      <c r="N20047" s="11" t="str">
        <f t="shared" si="959"/>
        <v/>
      </c>
    </row>
    <row r="20048" spans="9:14" x14ac:dyDescent="0.25">
      <c r="I20048" s="11" t="b">
        <f t="shared" si="955"/>
        <v>0</v>
      </c>
      <c r="M20048" s="17" t="str">
        <f t="shared" si="958"/>
        <v/>
      </c>
      <c r="N20048" s="11" t="str">
        <f t="shared" si="959"/>
        <v/>
      </c>
    </row>
    <row r="20049" spans="9:14" x14ac:dyDescent="0.25">
      <c r="I20049" s="11" t="b">
        <f t="shared" si="955"/>
        <v>0</v>
      </c>
      <c r="M20049" s="17" t="str">
        <f t="shared" si="958"/>
        <v/>
      </c>
      <c r="N20049" s="11" t="str">
        <f t="shared" si="959"/>
        <v/>
      </c>
    </row>
    <row r="20050" spans="9:14" x14ac:dyDescent="0.25">
      <c r="I20050" s="11" t="b">
        <f t="shared" si="955"/>
        <v>0</v>
      </c>
      <c r="M20050" s="17" t="str">
        <f t="shared" si="958"/>
        <v/>
      </c>
      <c r="N20050" s="11" t="str">
        <f t="shared" si="959"/>
        <v/>
      </c>
    </row>
    <row r="20051" spans="9:14" x14ac:dyDescent="0.25">
      <c r="I20051" s="11" t="b">
        <f t="shared" si="955"/>
        <v>0</v>
      </c>
      <c r="M20051" s="17" t="str">
        <f t="shared" si="958"/>
        <v/>
      </c>
      <c r="N20051" s="11" t="str">
        <f t="shared" si="959"/>
        <v/>
      </c>
    </row>
    <row r="20052" spans="9:14" x14ac:dyDescent="0.25">
      <c r="I20052" s="11" t="b">
        <f t="shared" si="955"/>
        <v>0</v>
      </c>
      <c r="M20052" s="17" t="str">
        <f t="shared" si="958"/>
        <v/>
      </c>
      <c r="N20052" s="11" t="str">
        <f t="shared" si="959"/>
        <v/>
      </c>
    </row>
    <row r="20053" spans="9:14" x14ac:dyDescent="0.25">
      <c r="I20053" s="11" t="b">
        <f t="shared" si="955"/>
        <v>0</v>
      </c>
      <c r="M20053" s="17" t="str">
        <f t="shared" si="958"/>
        <v/>
      </c>
      <c r="N20053" s="11" t="str">
        <f t="shared" si="959"/>
        <v/>
      </c>
    </row>
    <row r="20054" spans="9:14" x14ac:dyDescent="0.25">
      <c r="I20054" s="11" t="b">
        <f t="shared" si="955"/>
        <v>0</v>
      </c>
      <c r="M20054" s="17" t="str">
        <f t="shared" si="958"/>
        <v/>
      </c>
      <c r="N20054" s="11" t="str">
        <f t="shared" si="959"/>
        <v/>
      </c>
    </row>
    <row r="20055" spans="9:14" x14ac:dyDescent="0.25">
      <c r="I20055" s="11" t="b">
        <f t="shared" si="955"/>
        <v>0</v>
      </c>
      <c r="M20055" s="17" t="str">
        <f t="shared" si="958"/>
        <v/>
      </c>
      <c r="N20055" s="11" t="str">
        <f t="shared" si="959"/>
        <v/>
      </c>
    </row>
    <row r="20056" spans="9:14" x14ac:dyDescent="0.25">
      <c r="I20056" s="11" t="b">
        <f t="shared" si="955"/>
        <v>0</v>
      </c>
      <c r="M20056" s="17" t="str">
        <f t="shared" si="958"/>
        <v/>
      </c>
      <c r="N20056" s="11" t="str">
        <f t="shared" si="959"/>
        <v/>
      </c>
    </row>
    <row r="20057" spans="9:14" x14ac:dyDescent="0.25">
      <c r="I20057" s="11" t="b">
        <f t="shared" si="955"/>
        <v>0</v>
      </c>
      <c r="M20057" s="17" t="str">
        <f t="shared" si="958"/>
        <v/>
      </c>
      <c r="N20057" s="11" t="str">
        <f t="shared" si="959"/>
        <v/>
      </c>
    </row>
    <row r="20058" spans="9:14" x14ac:dyDescent="0.25">
      <c r="I20058" s="11" t="b">
        <f t="shared" si="955"/>
        <v>0</v>
      </c>
      <c r="M20058" s="17" t="str">
        <f t="shared" si="958"/>
        <v/>
      </c>
      <c r="N20058" s="11" t="str">
        <f t="shared" si="959"/>
        <v/>
      </c>
    </row>
    <row r="20059" spans="9:14" x14ac:dyDescent="0.25">
      <c r="I20059" s="11" t="b">
        <f t="shared" si="955"/>
        <v>0</v>
      </c>
      <c r="M20059" s="17" t="str">
        <f t="shared" si="958"/>
        <v/>
      </c>
      <c r="N20059" s="11" t="str">
        <f t="shared" si="959"/>
        <v/>
      </c>
    </row>
    <row r="20060" spans="9:14" x14ac:dyDescent="0.25">
      <c r="I20060" s="11" t="b">
        <f t="shared" si="955"/>
        <v>0</v>
      </c>
      <c r="M20060" s="17" t="str">
        <f t="shared" si="958"/>
        <v/>
      </c>
      <c r="N20060" s="11" t="str">
        <f t="shared" si="959"/>
        <v/>
      </c>
    </row>
    <row r="20061" spans="9:14" x14ac:dyDescent="0.25">
      <c r="I20061" s="11" t="b">
        <f t="shared" ref="I20061:I20124" si="960">IF(AND(G20061="MERCADO PAGO",A20061="FATURAMENTO"),1,IF(AND(OR(G20061="MERCADO PAGO",G20061="pix mercado pago",G20061= "débito automático mercado pago", G20061= "boleto mercado pago"),A20061="DESPESAS"),4,IF(AND(G20061="SAFRA",A20061="FATURAMENTO"),2,IF(AND(OR(G20061="SAFRA",G20061="PIX SAFRA", G20061="DÉBITO AUTOMÁTICO SAFRA", G20061= "BOLETO SAFRA", G20061= "transferência safra"), A20061="DESPESAS"),5,IF(AND(G20061="espécie",A20061="FATURAMENTO"),3,IF(AND(G20061="espécie",A20061="DESPESAS"),6))))))</f>
        <v>0</v>
      </c>
      <c r="M20061" s="17" t="str">
        <f t="shared" si="958"/>
        <v/>
      </c>
      <c r="N20061" s="11" t="str">
        <f t="shared" si="959"/>
        <v/>
      </c>
    </row>
    <row r="20062" spans="9:14" x14ac:dyDescent="0.25">
      <c r="I20062" s="11" t="b">
        <f t="shared" si="960"/>
        <v>0</v>
      </c>
      <c r="M20062" s="17" t="str">
        <f t="shared" si="958"/>
        <v/>
      </c>
      <c r="N20062" s="11" t="str">
        <f t="shared" si="959"/>
        <v/>
      </c>
    </row>
    <row r="20063" spans="9:14" x14ac:dyDescent="0.25">
      <c r="I20063" s="11" t="b">
        <f t="shared" si="960"/>
        <v>0</v>
      </c>
      <c r="M20063" s="17" t="str">
        <f t="shared" si="958"/>
        <v/>
      </c>
      <c r="N20063" s="11" t="str">
        <f t="shared" si="959"/>
        <v/>
      </c>
    </row>
    <row r="20064" spans="9:14" x14ac:dyDescent="0.25">
      <c r="I20064" s="11" t="b">
        <f t="shared" si="960"/>
        <v>0</v>
      </c>
      <c r="M20064" s="17" t="str">
        <f t="shared" si="958"/>
        <v/>
      </c>
      <c r="N20064" s="11" t="str">
        <f t="shared" si="959"/>
        <v/>
      </c>
    </row>
    <row r="20065" spans="9:14" x14ac:dyDescent="0.25">
      <c r="I20065" s="11" t="b">
        <f t="shared" si="960"/>
        <v>0</v>
      </c>
      <c r="M20065" s="17" t="str">
        <f t="shared" si="958"/>
        <v/>
      </c>
      <c r="N20065" s="11" t="str">
        <f t="shared" si="959"/>
        <v/>
      </c>
    </row>
    <row r="20066" spans="9:14" x14ac:dyDescent="0.25">
      <c r="I20066" s="11" t="b">
        <f t="shared" si="960"/>
        <v>0</v>
      </c>
      <c r="M20066" s="17" t="str">
        <f t="shared" si="958"/>
        <v/>
      </c>
      <c r="N20066" s="11" t="str">
        <f t="shared" si="959"/>
        <v/>
      </c>
    </row>
    <row r="20067" spans="9:14" x14ac:dyDescent="0.25">
      <c r="I20067" s="11" t="b">
        <f t="shared" si="960"/>
        <v>0</v>
      </c>
      <c r="M20067" s="17" t="str">
        <f t="shared" si="958"/>
        <v/>
      </c>
      <c r="N20067" s="11" t="str">
        <f t="shared" si="959"/>
        <v/>
      </c>
    </row>
    <row r="20068" spans="9:14" x14ac:dyDescent="0.25">
      <c r="I20068" s="11" t="b">
        <f t="shared" si="960"/>
        <v>0</v>
      </c>
      <c r="M20068" s="17" t="str">
        <f t="shared" si="958"/>
        <v/>
      </c>
      <c r="N20068" s="11" t="str">
        <f t="shared" si="959"/>
        <v/>
      </c>
    </row>
    <row r="20069" spans="9:14" x14ac:dyDescent="0.25">
      <c r="I20069" s="11" t="b">
        <f t="shared" si="960"/>
        <v>0</v>
      </c>
      <c r="M20069" s="17" t="str">
        <f t="shared" si="958"/>
        <v/>
      </c>
      <c r="N20069" s="11" t="str">
        <f t="shared" si="959"/>
        <v/>
      </c>
    </row>
    <row r="20070" spans="9:14" x14ac:dyDescent="0.25">
      <c r="I20070" s="11" t="b">
        <f t="shared" si="960"/>
        <v>0</v>
      </c>
      <c r="M20070" s="17" t="str">
        <f t="shared" si="958"/>
        <v/>
      </c>
      <c r="N20070" s="11" t="str">
        <f t="shared" si="959"/>
        <v/>
      </c>
    </row>
    <row r="20071" spans="9:14" x14ac:dyDescent="0.25">
      <c r="I20071" s="11" t="b">
        <f t="shared" si="960"/>
        <v>0</v>
      </c>
      <c r="M20071" s="17" t="str">
        <f t="shared" si="958"/>
        <v/>
      </c>
      <c r="N20071" s="11" t="str">
        <f t="shared" si="959"/>
        <v/>
      </c>
    </row>
    <row r="20072" spans="9:14" x14ac:dyDescent="0.25">
      <c r="I20072" s="11" t="b">
        <f t="shared" si="960"/>
        <v>0</v>
      </c>
      <c r="M20072" s="17" t="str">
        <f t="shared" si="958"/>
        <v/>
      </c>
      <c r="N20072" s="11" t="str">
        <f t="shared" si="959"/>
        <v/>
      </c>
    </row>
    <row r="20073" spans="9:14" x14ac:dyDescent="0.25">
      <c r="I20073" s="11" t="b">
        <f t="shared" si="960"/>
        <v>0</v>
      </c>
      <c r="M20073" s="17" t="str">
        <f t="shared" si="958"/>
        <v/>
      </c>
      <c r="N20073" s="11" t="str">
        <f t="shared" si="959"/>
        <v/>
      </c>
    </row>
    <row r="20074" spans="9:14" x14ac:dyDescent="0.25">
      <c r="I20074" s="11" t="b">
        <f t="shared" si="960"/>
        <v>0</v>
      </c>
      <c r="M20074" s="17" t="str">
        <f t="shared" ref="M20074:M20124" si="961">IF(B20074=0, "",M20073+ J20074-K20074)</f>
        <v/>
      </c>
      <c r="N20074" s="11" t="str">
        <f t="shared" ref="N20074:N20124" si="962">IF(B20074=0, "", MONTH(B20074))</f>
        <v/>
      </c>
    </row>
    <row r="20075" spans="9:14" x14ac:dyDescent="0.25">
      <c r="I20075" s="11" t="b">
        <f t="shared" si="960"/>
        <v>0</v>
      </c>
      <c r="M20075" s="17" t="str">
        <f t="shared" si="961"/>
        <v/>
      </c>
      <c r="N20075" s="11" t="str">
        <f t="shared" si="962"/>
        <v/>
      </c>
    </row>
    <row r="20076" spans="9:14" x14ac:dyDescent="0.25">
      <c r="I20076" s="11" t="b">
        <f t="shared" si="960"/>
        <v>0</v>
      </c>
      <c r="M20076" s="17" t="str">
        <f t="shared" si="961"/>
        <v/>
      </c>
      <c r="N20076" s="11" t="str">
        <f t="shared" si="962"/>
        <v/>
      </c>
    </row>
    <row r="20077" spans="9:14" x14ac:dyDescent="0.25">
      <c r="I20077" s="11" t="b">
        <f t="shared" si="960"/>
        <v>0</v>
      </c>
      <c r="M20077" s="17" t="str">
        <f t="shared" si="961"/>
        <v/>
      </c>
      <c r="N20077" s="11" t="str">
        <f t="shared" si="962"/>
        <v/>
      </c>
    </row>
    <row r="20078" spans="9:14" x14ac:dyDescent="0.25">
      <c r="I20078" s="11" t="b">
        <f t="shared" si="960"/>
        <v>0</v>
      </c>
      <c r="M20078" s="17" t="str">
        <f t="shared" si="961"/>
        <v/>
      </c>
      <c r="N20078" s="11" t="str">
        <f t="shared" si="962"/>
        <v/>
      </c>
    </row>
    <row r="20079" spans="9:14" x14ac:dyDescent="0.25">
      <c r="I20079" s="11" t="b">
        <f t="shared" si="960"/>
        <v>0</v>
      </c>
      <c r="M20079" s="17" t="str">
        <f t="shared" si="961"/>
        <v/>
      </c>
      <c r="N20079" s="11" t="str">
        <f t="shared" si="962"/>
        <v/>
      </c>
    </row>
    <row r="20080" spans="9:14" x14ac:dyDescent="0.25">
      <c r="I20080" s="11" t="b">
        <f t="shared" si="960"/>
        <v>0</v>
      </c>
      <c r="M20080" s="17" t="str">
        <f t="shared" si="961"/>
        <v/>
      </c>
      <c r="N20080" s="11" t="str">
        <f t="shared" si="962"/>
        <v/>
      </c>
    </row>
    <row r="20081" spans="9:14" x14ac:dyDescent="0.25">
      <c r="I20081" s="11" t="b">
        <f t="shared" si="960"/>
        <v>0</v>
      </c>
      <c r="M20081" s="17" t="str">
        <f t="shared" si="961"/>
        <v/>
      </c>
      <c r="N20081" s="11" t="str">
        <f t="shared" si="962"/>
        <v/>
      </c>
    </row>
    <row r="20082" spans="9:14" x14ac:dyDescent="0.25">
      <c r="I20082" s="11" t="b">
        <f t="shared" si="960"/>
        <v>0</v>
      </c>
      <c r="M20082" s="17" t="str">
        <f t="shared" si="961"/>
        <v/>
      </c>
      <c r="N20082" s="11" t="str">
        <f t="shared" si="962"/>
        <v/>
      </c>
    </row>
    <row r="20083" spans="9:14" x14ac:dyDescent="0.25">
      <c r="I20083" s="11" t="b">
        <f t="shared" si="960"/>
        <v>0</v>
      </c>
      <c r="M20083" s="17" t="str">
        <f t="shared" si="961"/>
        <v/>
      </c>
      <c r="N20083" s="11" t="str">
        <f t="shared" si="962"/>
        <v/>
      </c>
    </row>
    <row r="20084" spans="9:14" x14ac:dyDescent="0.25">
      <c r="I20084" s="11" t="b">
        <f t="shared" si="960"/>
        <v>0</v>
      </c>
      <c r="M20084" s="17" t="str">
        <f t="shared" si="961"/>
        <v/>
      </c>
      <c r="N20084" s="11" t="str">
        <f t="shared" si="962"/>
        <v/>
      </c>
    </row>
    <row r="20085" spans="9:14" x14ac:dyDescent="0.25">
      <c r="I20085" s="11" t="b">
        <f t="shared" si="960"/>
        <v>0</v>
      </c>
      <c r="M20085" s="17" t="str">
        <f t="shared" si="961"/>
        <v/>
      </c>
      <c r="N20085" s="11" t="str">
        <f t="shared" si="962"/>
        <v/>
      </c>
    </row>
    <row r="20086" spans="9:14" x14ac:dyDescent="0.25">
      <c r="I20086" s="11" t="b">
        <f t="shared" si="960"/>
        <v>0</v>
      </c>
      <c r="M20086" s="17" t="str">
        <f t="shared" si="961"/>
        <v/>
      </c>
      <c r="N20086" s="11" t="str">
        <f t="shared" si="962"/>
        <v/>
      </c>
    </row>
    <row r="20087" spans="9:14" x14ac:dyDescent="0.25">
      <c r="I20087" s="11" t="b">
        <f t="shared" si="960"/>
        <v>0</v>
      </c>
      <c r="M20087" s="17" t="str">
        <f t="shared" si="961"/>
        <v/>
      </c>
      <c r="N20087" s="11" t="str">
        <f t="shared" si="962"/>
        <v/>
      </c>
    </row>
    <row r="20088" spans="9:14" x14ac:dyDescent="0.25">
      <c r="I20088" s="11" t="b">
        <f t="shared" si="960"/>
        <v>0</v>
      </c>
      <c r="M20088" s="17" t="str">
        <f t="shared" si="961"/>
        <v/>
      </c>
      <c r="N20088" s="11" t="str">
        <f t="shared" si="962"/>
        <v/>
      </c>
    </row>
    <row r="20089" spans="9:14" x14ac:dyDescent="0.25">
      <c r="I20089" s="11" t="b">
        <f t="shared" si="960"/>
        <v>0</v>
      </c>
      <c r="M20089" s="17" t="str">
        <f t="shared" si="961"/>
        <v/>
      </c>
      <c r="N20089" s="11" t="str">
        <f t="shared" si="962"/>
        <v/>
      </c>
    </row>
    <row r="20090" spans="9:14" x14ac:dyDescent="0.25">
      <c r="I20090" s="11" t="b">
        <f t="shared" si="960"/>
        <v>0</v>
      </c>
      <c r="M20090" s="17" t="str">
        <f t="shared" si="961"/>
        <v/>
      </c>
      <c r="N20090" s="11" t="str">
        <f t="shared" si="962"/>
        <v/>
      </c>
    </row>
    <row r="20091" spans="9:14" x14ac:dyDescent="0.25">
      <c r="I20091" s="11" t="b">
        <f t="shared" si="960"/>
        <v>0</v>
      </c>
      <c r="M20091" s="17" t="str">
        <f t="shared" si="961"/>
        <v/>
      </c>
      <c r="N20091" s="11" t="str">
        <f t="shared" si="962"/>
        <v/>
      </c>
    </row>
    <row r="20092" spans="9:14" x14ac:dyDescent="0.25">
      <c r="I20092" s="11" t="b">
        <f t="shared" si="960"/>
        <v>0</v>
      </c>
      <c r="M20092" s="17" t="str">
        <f t="shared" si="961"/>
        <v/>
      </c>
      <c r="N20092" s="11" t="str">
        <f t="shared" si="962"/>
        <v/>
      </c>
    </row>
    <row r="20093" spans="9:14" x14ac:dyDescent="0.25">
      <c r="I20093" s="11" t="b">
        <f t="shared" si="960"/>
        <v>0</v>
      </c>
      <c r="M20093" s="17" t="str">
        <f t="shared" si="961"/>
        <v/>
      </c>
      <c r="N20093" s="11" t="str">
        <f t="shared" si="962"/>
        <v/>
      </c>
    </row>
    <row r="20094" spans="9:14" x14ac:dyDescent="0.25">
      <c r="I20094" s="11" t="b">
        <f t="shared" si="960"/>
        <v>0</v>
      </c>
      <c r="M20094" s="17" t="str">
        <f t="shared" si="961"/>
        <v/>
      </c>
      <c r="N20094" s="11" t="str">
        <f t="shared" si="962"/>
        <v/>
      </c>
    </row>
    <row r="20095" spans="9:14" x14ac:dyDescent="0.25">
      <c r="I20095" s="11" t="b">
        <f t="shared" si="960"/>
        <v>0</v>
      </c>
      <c r="M20095" s="17" t="str">
        <f t="shared" si="961"/>
        <v/>
      </c>
      <c r="N20095" s="11" t="str">
        <f t="shared" si="962"/>
        <v/>
      </c>
    </row>
    <row r="20096" spans="9:14" x14ac:dyDescent="0.25">
      <c r="I20096" s="11" t="b">
        <f t="shared" si="960"/>
        <v>0</v>
      </c>
      <c r="M20096" s="17" t="str">
        <f t="shared" si="961"/>
        <v/>
      </c>
      <c r="N20096" s="11" t="str">
        <f t="shared" si="962"/>
        <v/>
      </c>
    </row>
    <row r="20097" spans="9:14" x14ac:dyDescent="0.25">
      <c r="I20097" s="11" t="b">
        <f t="shared" si="960"/>
        <v>0</v>
      </c>
      <c r="M20097" s="17" t="str">
        <f t="shared" si="961"/>
        <v/>
      </c>
      <c r="N20097" s="11" t="str">
        <f t="shared" si="962"/>
        <v/>
      </c>
    </row>
    <row r="20098" spans="9:14" x14ac:dyDescent="0.25">
      <c r="I20098" s="11" t="b">
        <f t="shared" si="960"/>
        <v>0</v>
      </c>
      <c r="M20098" s="17" t="str">
        <f t="shared" si="961"/>
        <v/>
      </c>
      <c r="N20098" s="11" t="str">
        <f t="shared" si="962"/>
        <v/>
      </c>
    </row>
    <row r="20099" spans="9:14" x14ac:dyDescent="0.25">
      <c r="I20099" s="11" t="b">
        <f t="shared" si="960"/>
        <v>0</v>
      </c>
      <c r="M20099" s="17" t="str">
        <f t="shared" si="961"/>
        <v/>
      </c>
      <c r="N20099" s="11" t="str">
        <f t="shared" si="962"/>
        <v/>
      </c>
    </row>
    <row r="20100" spans="9:14" x14ac:dyDescent="0.25">
      <c r="I20100" s="11" t="b">
        <f t="shared" si="960"/>
        <v>0</v>
      </c>
      <c r="M20100" s="17" t="str">
        <f t="shared" si="961"/>
        <v/>
      </c>
      <c r="N20100" s="11" t="str">
        <f t="shared" si="962"/>
        <v/>
      </c>
    </row>
    <row r="20101" spans="9:14" x14ac:dyDescent="0.25">
      <c r="I20101" s="11" t="b">
        <f t="shared" si="960"/>
        <v>0</v>
      </c>
      <c r="M20101" s="17" t="str">
        <f t="shared" si="961"/>
        <v/>
      </c>
      <c r="N20101" s="11" t="str">
        <f t="shared" si="962"/>
        <v/>
      </c>
    </row>
    <row r="20102" spans="9:14" x14ac:dyDescent="0.25">
      <c r="I20102" s="11" t="b">
        <f t="shared" si="960"/>
        <v>0</v>
      </c>
      <c r="M20102" s="17" t="str">
        <f t="shared" si="961"/>
        <v/>
      </c>
      <c r="N20102" s="11" t="str">
        <f t="shared" si="962"/>
        <v/>
      </c>
    </row>
    <row r="20103" spans="9:14" x14ac:dyDescent="0.25">
      <c r="I20103" s="11" t="b">
        <f t="shared" si="960"/>
        <v>0</v>
      </c>
      <c r="M20103" s="17" t="str">
        <f t="shared" si="961"/>
        <v/>
      </c>
      <c r="N20103" s="11" t="str">
        <f t="shared" si="962"/>
        <v/>
      </c>
    </row>
    <row r="20104" spans="9:14" x14ac:dyDescent="0.25">
      <c r="I20104" s="11" t="b">
        <f t="shared" si="960"/>
        <v>0</v>
      </c>
      <c r="M20104" s="17" t="str">
        <f t="shared" si="961"/>
        <v/>
      </c>
      <c r="N20104" s="11" t="str">
        <f t="shared" si="962"/>
        <v/>
      </c>
    </row>
    <row r="20105" spans="9:14" x14ac:dyDescent="0.25">
      <c r="I20105" s="11" t="b">
        <f t="shared" si="960"/>
        <v>0</v>
      </c>
      <c r="M20105" s="17" t="str">
        <f t="shared" si="961"/>
        <v/>
      </c>
      <c r="N20105" s="11" t="str">
        <f t="shared" si="962"/>
        <v/>
      </c>
    </row>
    <row r="20106" spans="9:14" x14ac:dyDescent="0.25">
      <c r="I20106" s="11" t="b">
        <f t="shared" si="960"/>
        <v>0</v>
      </c>
      <c r="M20106" s="17" t="str">
        <f t="shared" si="961"/>
        <v/>
      </c>
      <c r="N20106" s="11" t="str">
        <f t="shared" si="962"/>
        <v/>
      </c>
    </row>
    <row r="20107" spans="9:14" x14ac:dyDescent="0.25">
      <c r="I20107" s="11" t="b">
        <f t="shared" si="960"/>
        <v>0</v>
      </c>
      <c r="M20107" s="17" t="str">
        <f t="shared" si="961"/>
        <v/>
      </c>
      <c r="N20107" s="11" t="str">
        <f t="shared" si="962"/>
        <v/>
      </c>
    </row>
    <row r="20108" spans="9:14" x14ac:dyDescent="0.25">
      <c r="I20108" s="11" t="b">
        <f t="shared" si="960"/>
        <v>0</v>
      </c>
      <c r="M20108" s="17" t="str">
        <f t="shared" si="961"/>
        <v/>
      </c>
      <c r="N20108" s="11" t="str">
        <f t="shared" si="962"/>
        <v/>
      </c>
    </row>
    <row r="20109" spans="9:14" x14ac:dyDescent="0.25">
      <c r="I20109" s="11" t="b">
        <f t="shared" si="960"/>
        <v>0</v>
      </c>
      <c r="M20109" s="17" t="str">
        <f t="shared" si="961"/>
        <v/>
      </c>
      <c r="N20109" s="11" t="str">
        <f t="shared" si="962"/>
        <v/>
      </c>
    </row>
    <row r="20110" spans="9:14" x14ac:dyDescent="0.25">
      <c r="I20110" s="11" t="b">
        <f t="shared" si="960"/>
        <v>0</v>
      </c>
      <c r="M20110" s="17" t="str">
        <f t="shared" si="961"/>
        <v/>
      </c>
      <c r="N20110" s="11" t="str">
        <f t="shared" si="962"/>
        <v/>
      </c>
    </row>
    <row r="20111" spans="9:14" x14ac:dyDescent="0.25">
      <c r="I20111" s="11" t="b">
        <f t="shared" si="960"/>
        <v>0</v>
      </c>
      <c r="M20111" s="17" t="str">
        <f t="shared" si="961"/>
        <v/>
      </c>
      <c r="N20111" s="11" t="str">
        <f t="shared" si="962"/>
        <v/>
      </c>
    </row>
    <row r="20112" spans="9:14" x14ac:dyDescent="0.25">
      <c r="I20112" s="11" t="b">
        <f t="shared" si="960"/>
        <v>0</v>
      </c>
      <c r="M20112" s="17" t="str">
        <f t="shared" si="961"/>
        <v/>
      </c>
      <c r="N20112" s="11" t="str">
        <f t="shared" si="962"/>
        <v/>
      </c>
    </row>
    <row r="20113" spans="9:14" x14ac:dyDescent="0.25">
      <c r="I20113" s="11" t="b">
        <f t="shared" si="960"/>
        <v>0</v>
      </c>
      <c r="M20113" s="17" t="str">
        <f t="shared" si="961"/>
        <v/>
      </c>
      <c r="N20113" s="11" t="str">
        <f t="shared" si="962"/>
        <v/>
      </c>
    </row>
    <row r="20114" spans="9:14" x14ac:dyDescent="0.25">
      <c r="I20114" s="11" t="b">
        <f t="shared" si="960"/>
        <v>0</v>
      </c>
      <c r="M20114" s="17" t="str">
        <f t="shared" si="961"/>
        <v/>
      </c>
      <c r="N20114" s="11" t="str">
        <f t="shared" si="962"/>
        <v/>
      </c>
    </row>
    <row r="20115" spans="9:14" x14ac:dyDescent="0.25">
      <c r="I20115" s="11" t="b">
        <f t="shared" si="960"/>
        <v>0</v>
      </c>
      <c r="M20115" s="17" t="str">
        <f t="shared" si="961"/>
        <v/>
      </c>
      <c r="N20115" s="11" t="str">
        <f t="shared" si="962"/>
        <v/>
      </c>
    </row>
    <row r="20116" spans="9:14" x14ac:dyDescent="0.25">
      <c r="I20116" s="11" t="b">
        <f t="shared" si="960"/>
        <v>0</v>
      </c>
      <c r="M20116" s="17" t="str">
        <f t="shared" si="961"/>
        <v/>
      </c>
      <c r="N20116" s="11" t="str">
        <f t="shared" si="962"/>
        <v/>
      </c>
    </row>
    <row r="20117" spans="9:14" x14ac:dyDescent="0.25">
      <c r="I20117" s="11" t="b">
        <f t="shared" si="960"/>
        <v>0</v>
      </c>
      <c r="M20117" s="17" t="str">
        <f t="shared" si="961"/>
        <v/>
      </c>
      <c r="N20117" s="11" t="str">
        <f t="shared" si="962"/>
        <v/>
      </c>
    </row>
    <row r="20118" spans="9:14" x14ac:dyDescent="0.25">
      <c r="I20118" s="11" t="b">
        <f t="shared" si="960"/>
        <v>0</v>
      </c>
      <c r="M20118" s="17" t="str">
        <f t="shared" si="961"/>
        <v/>
      </c>
      <c r="N20118" s="11" t="str">
        <f t="shared" si="962"/>
        <v/>
      </c>
    </row>
    <row r="20119" spans="9:14" x14ac:dyDescent="0.25">
      <c r="I20119" s="11" t="b">
        <f t="shared" si="960"/>
        <v>0</v>
      </c>
      <c r="M20119" s="17" t="str">
        <f t="shared" si="961"/>
        <v/>
      </c>
      <c r="N20119" s="11" t="str">
        <f t="shared" si="962"/>
        <v/>
      </c>
    </row>
    <row r="20120" spans="9:14" x14ac:dyDescent="0.25">
      <c r="I20120" s="11" t="b">
        <f t="shared" si="960"/>
        <v>0</v>
      </c>
      <c r="M20120" s="17" t="str">
        <f t="shared" si="961"/>
        <v/>
      </c>
      <c r="N20120" s="11" t="str">
        <f t="shared" si="962"/>
        <v/>
      </c>
    </row>
    <row r="20121" spans="9:14" x14ac:dyDescent="0.25">
      <c r="I20121" s="11" t="b">
        <f t="shared" si="960"/>
        <v>0</v>
      </c>
      <c r="M20121" s="17" t="str">
        <f t="shared" si="961"/>
        <v/>
      </c>
      <c r="N20121" s="11" t="str">
        <f t="shared" si="962"/>
        <v/>
      </c>
    </row>
    <row r="20122" spans="9:14" x14ac:dyDescent="0.25">
      <c r="I20122" s="11" t="b">
        <f t="shared" si="960"/>
        <v>0</v>
      </c>
      <c r="M20122" s="17" t="str">
        <f t="shared" si="961"/>
        <v/>
      </c>
      <c r="N20122" s="11" t="str">
        <f t="shared" si="962"/>
        <v/>
      </c>
    </row>
    <row r="20123" spans="9:14" x14ac:dyDescent="0.25">
      <c r="I20123" s="11" t="b">
        <f t="shared" si="960"/>
        <v>0</v>
      </c>
      <c r="M20123" s="17" t="str">
        <f t="shared" si="961"/>
        <v/>
      </c>
      <c r="N20123" s="11" t="str">
        <f t="shared" si="962"/>
        <v/>
      </c>
    </row>
    <row r="20124" spans="9:14" x14ac:dyDescent="0.25">
      <c r="I20124" s="11" t="b">
        <f t="shared" si="960"/>
        <v>0</v>
      </c>
      <c r="M20124" s="17" t="str">
        <f t="shared" si="961"/>
        <v/>
      </c>
      <c r="N20124" s="11" t="str">
        <f t="shared" si="962"/>
        <v/>
      </c>
    </row>
    <row r="20125" spans="9:14" x14ac:dyDescent="0.25">
      <c r="I20125" s="11" t="b">
        <f t="shared" ref="I20125:I20188" si="963">IF(AND(G20125="MERCADO PAGO",A20125="FATURAMENTO"),1,IF(AND(OR(G20125="MERCADO PAGO",G20125="pix mercado pago",G20125= "débito automático mercado pago", G20125= "boleto mercado pago"),A20125="DESPESAS"),4,IF(AND(G20125="SAFRA",A20125="FATURAMENTO"),2,IF(AND(OR(G20125="SAFRA",G20125="PIX SAFRA", G20125="DÉBITO AUTOMÁTICO SAFRA", G20125= "BOLETO SAFRA", G20125= "transferência safra"), A20125="DESPESAS"),5,IF(AND(G20125="espécie",A20125="FATURAMENTO"),3,IF(AND(G20125="espécie",A20125="DESPESAS"),6))))))</f>
        <v>0</v>
      </c>
      <c r="M20125" s="17" t="str">
        <f t="shared" ref="M20125:M20188" si="964">IF(B20125=0, "",M20124+ J20125-K20125)</f>
        <v/>
      </c>
      <c r="N20125" s="11" t="str">
        <f t="shared" ref="N20125:N20188" si="965">IF(B20125=0, "", MONTH(B20125))</f>
        <v/>
      </c>
    </row>
    <row r="20126" spans="9:14" x14ac:dyDescent="0.25">
      <c r="I20126" s="11" t="b">
        <f t="shared" si="963"/>
        <v>0</v>
      </c>
      <c r="M20126" s="17" t="str">
        <f t="shared" si="964"/>
        <v/>
      </c>
      <c r="N20126" s="11" t="str">
        <f t="shared" si="965"/>
        <v/>
      </c>
    </row>
    <row r="20127" spans="9:14" x14ac:dyDescent="0.25">
      <c r="I20127" s="11" t="b">
        <f t="shared" si="963"/>
        <v>0</v>
      </c>
      <c r="M20127" s="17" t="str">
        <f t="shared" si="964"/>
        <v/>
      </c>
      <c r="N20127" s="11" t="str">
        <f t="shared" si="965"/>
        <v/>
      </c>
    </row>
    <row r="20128" spans="9:14" x14ac:dyDescent="0.25">
      <c r="I20128" s="11" t="b">
        <f t="shared" si="963"/>
        <v>0</v>
      </c>
      <c r="M20128" s="17" t="str">
        <f t="shared" si="964"/>
        <v/>
      </c>
      <c r="N20128" s="11" t="str">
        <f t="shared" si="965"/>
        <v/>
      </c>
    </row>
    <row r="20129" spans="9:14" x14ac:dyDescent="0.25">
      <c r="I20129" s="11" t="b">
        <f t="shared" si="963"/>
        <v>0</v>
      </c>
      <c r="M20129" s="17" t="str">
        <f t="shared" si="964"/>
        <v/>
      </c>
      <c r="N20129" s="11" t="str">
        <f t="shared" si="965"/>
        <v/>
      </c>
    </row>
    <row r="20130" spans="9:14" x14ac:dyDescent="0.25">
      <c r="I20130" s="11" t="b">
        <f t="shared" si="963"/>
        <v>0</v>
      </c>
      <c r="M20130" s="17" t="str">
        <f t="shared" si="964"/>
        <v/>
      </c>
      <c r="N20130" s="11" t="str">
        <f t="shared" si="965"/>
        <v/>
      </c>
    </row>
    <row r="20131" spans="9:14" x14ac:dyDescent="0.25">
      <c r="I20131" s="11" t="b">
        <f t="shared" si="963"/>
        <v>0</v>
      </c>
      <c r="M20131" s="17" t="str">
        <f t="shared" si="964"/>
        <v/>
      </c>
      <c r="N20131" s="11" t="str">
        <f t="shared" si="965"/>
        <v/>
      </c>
    </row>
    <row r="20132" spans="9:14" x14ac:dyDescent="0.25">
      <c r="I20132" s="11" t="b">
        <f t="shared" si="963"/>
        <v>0</v>
      </c>
      <c r="M20132" s="17" t="str">
        <f t="shared" si="964"/>
        <v/>
      </c>
      <c r="N20132" s="11" t="str">
        <f t="shared" si="965"/>
        <v/>
      </c>
    </row>
    <row r="20133" spans="9:14" x14ac:dyDescent="0.25">
      <c r="I20133" s="11" t="b">
        <f t="shared" si="963"/>
        <v>0</v>
      </c>
      <c r="M20133" s="17" t="str">
        <f t="shared" si="964"/>
        <v/>
      </c>
      <c r="N20133" s="11" t="str">
        <f t="shared" si="965"/>
        <v/>
      </c>
    </row>
    <row r="20134" spans="9:14" x14ac:dyDescent="0.25">
      <c r="I20134" s="11" t="b">
        <f t="shared" si="963"/>
        <v>0</v>
      </c>
      <c r="M20134" s="17" t="str">
        <f t="shared" si="964"/>
        <v/>
      </c>
      <c r="N20134" s="11" t="str">
        <f t="shared" si="965"/>
        <v/>
      </c>
    </row>
    <row r="20135" spans="9:14" x14ac:dyDescent="0.25">
      <c r="I20135" s="11" t="b">
        <f t="shared" si="963"/>
        <v>0</v>
      </c>
      <c r="M20135" s="17" t="str">
        <f t="shared" si="964"/>
        <v/>
      </c>
      <c r="N20135" s="11" t="str">
        <f t="shared" si="965"/>
        <v/>
      </c>
    </row>
    <row r="20136" spans="9:14" x14ac:dyDescent="0.25">
      <c r="I20136" s="11" t="b">
        <f t="shared" si="963"/>
        <v>0</v>
      </c>
      <c r="M20136" s="17" t="str">
        <f t="shared" si="964"/>
        <v/>
      </c>
      <c r="N20136" s="11" t="str">
        <f t="shared" si="965"/>
        <v/>
      </c>
    </row>
    <row r="20137" spans="9:14" x14ac:dyDescent="0.25">
      <c r="I20137" s="11" t="b">
        <f t="shared" si="963"/>
        <v>0</v>
      </c>
      <c r="M20137" s="17" t="str">
        <f t="shared" si="964"/>
        <v/>
      </c>
      <c r="N20137" s="11" t="str">
        <f t="shared" si="965"/>
        <v/>
      </c>
    </row>
    <row r="20138" spans="9:14" x14ac:dyDescent="0.25">
      <c r="I20138" s="11" t="b">
        <f t="shared" si="963"/>
        <v>0</v>
      </c>
      <c r="M20138" s="17" t="str">
        <f t="shared" si="964"/>
        <v/>
      </c>
      <c r="N20138" s="11" t="str">
        <f t="shared" si="965"/>
        <v/>
      </c>
    </row>
    <row r="20139" spans="9:14" x14ac:dyDescent="0.25">
      <c r="I20139" s="11" t="b">
        <f t="shared" si="963"/>
        <v>0</v>
      </c>
      <c r="M20139" s="17" t="str">
        <f t="shared" si="964"/>
        <v/>
      </c>
      <c r="N20139" s="11" t="str">
        <f t="shared" si="965"/>
        <v/>
      </c>
    </row>
    <row r="20140" spans="9:14" x14ac:dyDescent="0.25">
      <c r="I20140" s="11" t="b">
        <f t="shared" si="963"/>
        <v>0</v>
      </c>
      <c r="M20140" s="17" t="str">
        <f t="shared" si="964"/>
        <v/>
      </c>
      <c r="N20140" s="11" t="str">
        <f t="shared" si="965"/>
        <v/>
      </c>
    </row>
    <row r="20141" spans="9:14" x14ac:dyDescent="0.25">
      <c r="I20141" s="11" t="b">
        <f t="shared" si="963"/>
        <v>0</v>
      </c>
      <c r="M20141" s="17" t="str">
        <f t="shared" si="964"/>
        <v/>
      </c>
      <c r="N20141" s="11" t="str">
        <f t="shared" si="965"/>
        <v/>
      </c>
    </row>
    <row r="20142" spans="9:14" x14ac:dyDescent="0.25">
      <c r="I20142" s="11" t="b">
        <f t="shared" si="963"/>
        <v>0</v>
      </c>
      <c r="M20142" s="17" t="str">
        <f t="shared" si="964"/>
        <v/>
      </c>
      <c r="N20142" s="11" t="str">
        <f t="shared" si="965"/>
        <v/>
      </c>
    </row>
    <row r="20143" spans="9:14" x14ac:dyDescent="0.25">
      <c r="I20143" s="11" t="b">
        <f t="shared" si="963"/>
        <v>0</v>
      </c>
      <c r="M20143" s="17" t="str">
        <f t="shared" si="964"/>
        <v/>
      </c>
      <c r="N20143" s="11" t="str">
        <f t="shared" si="965"/>
        <v/>
      </c>
    </row>
    <row r="20144" spans="9:14" x14ac:dyDescent="0.25">
      <c r="I20144" s="11" t="b">
        <f t="shared" si="963"/>
        <v>0</v>
      </c>
      <c r="M20144" s="17" t="str">
        <f t="shared" si="964"/>
        <v/>
      </c>
      <c r="N20144" s="11" t="str">
        <f t="shared" si="965"/>
        <v/>
      </c>
    </row>
    <row r="20145" spans="9:14" x14ac:dyDescent="0.25">
      <c r="I20145" s="11" t="b">
        <f t="shared" si="963"/>
        <v>0</v>
      </c>
      <c r="M20145" s="17" t="str">
        <f t="shared" si="964"/>
        <v/>
      </c>
      <c r="N20145" s="11" t="str">
        <f t="shared" si="965"/>
        <v/>
      </c>
    </row>
    <row r="20146" spans="9:14" x14ac:dyDescent="0.25">
      <c r="I20146" s="11" t="b">
        <f t="shared" si="963"/>
        <v>0</v>
      </c>
      <c r="M20146" s="17" t="str">
        <f t="shared" si="964"/>
        <v/>
      </c>
      <c r="N20146" s="11" t="str">
        <f t="shared" si="965"/>
        <v/>
      </c>
    </row>
    <row r="20147" spans="9:14" x14ac:dyDescent="0.25">
      <c r="I20147" s="11" t="b">
        <f t="shared" si="963"/>
        <v>0</v>
      </c>
      <c r="M20147" s="17" t="str">
        <f t="shared" si="964"/>
        <v/>
      </c>
      <c r="N20147" s="11" t="str">
        <f t="shared" si="965"/>
        <v/>
      </c>
    </row>
    <row r="20148" spans="9:14" x14ac:dyDescent="0.25">
      <c r="I20148" s="11" t="b">
        <f t="shared" si="963"/>
        <v>0</v>
      </c>
      <c r="M20148" s="17" t="str">
        <f t="shared" si="964"/>
        <v/>
      </c>
      <c r="N20148" s="11" t="str">
        <f t="shared" si="965"/>
        <v/>
      </c>
    </row>
    <row r="20149" spans="9:14" x14ac:dyDescent="0.25">
      <c r="I20149" s="11" t="b">
        <f t="shared" si="963"/>
        <v>0</v>
      </c>
      <c r="M20149" s="17" t="str">
        <f t="shared" si="964"/>
        <v/>
      </c>
      <c r="N20149" s="11" t="str">
        <f t="shared" si="965"/>
        <v/>
      </c>
    </row>
    <row r="20150" spans="9:14" x14ac:dyDescent="0.25">
      <c r="I20150" s="11" t="b">
        <f t="shared" si="963"/>
        <v>0</v>
      </c>
      <c r="M20150" s="17" t="str">
        <f t="shared" si="964"/>
        <v/>
      </c>
      <c r="N20150" s="11" t="str">
        <f t="shared" si="965"/>
        <v/>
      </c>
    </row>
    <row r="20151" spans="9:14" x14ac:dyDescent="0.25">
      <c r="I20151" s="11" t="b">
        <f t="shared" si="963"/>
        <v>0</v>
      </c>
      <c r="M20151" s="17" t="str">
        <f t="shared" si="964"/>
        <v/>
      </c>
      <c r="N20151" s="11" t="str">
        <f t="shared" si="965"/>
        <v/>
      </c>
    </row>
    <row r="20152" spans="9:14" x14ac:dyDescent="0.25">
      <c r="I20152" s="11" t="b">
        <f t="shared" si="963"/>
        <v>0</v>
      </c>
      <c r="M20152" s="17" t="str">
        <f t="shared" si="964"/>
        <v/>
      </c>
      <c r="N20152" s="11" t="str">
        <f t="shared" si="965"/>
        <v/>
      </c>
    </row>
    <row r="20153" spans="9:14" x14ac:dyDescent="0.25">
      <c r="I20153" s="11" t="b">
        <f t="shared" si="963"/>
        <v>0</v>
      </c>
      <c r="M20153" s="17" t="str">
        <f t="shared" si="964"/>
        <v/>
      </c>
      <c r="N20153" s="11" t="str">
        <f t="shared" si="965"/>
        <v/>
      </c>
    </row>
    <row r="20154" spans="9:14" x14ac:dyDescent="0.25">
      <c r="I20154" s="11" t="b">
        <f t="shared" si="963"/>
        <v>0</v>
      </c>
      <c r="M20154" s="17" t="str">
        <f t="shared" si="964"/>
        <v/>
      </c>
      <c r="N20154" s="11" t="str">
        <f t="shared" si="965"/>
        <v/>
      </c>
    </row>
    <row r="20155" spans="9:14" x14ac:dyDescent="0.25">
      <c r="I20155" s="11" t="b">
        <f t="shared" si="963"/>
        <v>0</v>
      </c>
      <c r="M20155" s="17" t="str">
        <f t="shared" si="964"/>
        <v/>
      </c>
      <c r="N20155" s="11" t="str">
        <f t="shared" si="965"/>
        <v/>
      </c>
    </row>
    <row r="20156" spans="9:14" x14ac:dyDescent="0.25">
      <c r="I20156" s="11" t="b">
        <f t="shared" si="963"/>
        <v>0</v>
      </c>
      <c r="M20156" s="17" t="str">
        <f t="shared" si="964"/>
        <v/>
      </c>
      <c r="N20156" s="11" t="str">
        <f t="shared" si="965"/>
        <v/>
      </c>
    </row>
    <row r="20157" spans="9:14" x14ac:dyDescent="0.25">
      <c r="I20157" s="11" t="b">
        <f t="shared" si="963"/>
        <v>0</v>
      </c>
      <c r="M20157" s="17" t="str">
        <f t="shared" si="964"/>
        <v/>
      </c>
      <c r="N20157" s="11" t="str">
        <f t="shared" si="965"/>
        <v/>
      </c>
    </row>
    <row r="20158" spans="9:14" x14ac:dyDescent="0.25">
      <c r="I20158" s="11" t="b">
        <f t="shared" si="963"/>
        <v>0</v>
      </c>
      <c r="M20158" s="17" t="str">
        <f t="shared" si="964"/>
        <v/>
      </c>
      <c r="N20158" s="11" t="str">
        <f t="shared" si="965"/>
        <v/>
      </c>
    </row>
    <row r="20159" spans="9:14" x14ac:dyDescent="0.25">
      <c r="I20159" s="11" t="b">
        <f t="shared" si="963"/>
        <v>0</v>
      </c>
      <c r="M20159" s="17" t="str">
        <f t="shared" si="964"/>
        <v/>
      </c>
      <c r="N20159" s="11" t="str">
        <f t="shared" si="965"/>
        <v/>
      </c>
    </row>
    <row r="20160" spans="9:14" x14ac:dyDescent="0.25">
      <c r="I20160" s="11" t="b">
        <f t="shared" si="963"/>
        <v>0</v>
      </c>
      <c r="M20160" s="17" t="str">
        <f t="shared" si="964"/>
        <v/>
      </c>
      <c r="N20160" s="11" t="str">
        <f t="shared" si="965"/>
        <v/>
      </c>
    </row>
    <row r="20161" spans="9:14" x14ac:dyDescent="0.25">
      <c r="I20161" s="11" t="b">
        <f t="shared" si="963"/>
        <v>0</v>
      </c>
      <c r="M20161" s="17" t="str">
        <f t="shared" si="964"/>
        <v/>
      </c>
      <c r="N20161" s="11" t="str">
        <f t="shared" si="965"/>
        <v/>
      </c>
    </row>
    <row r="20162" spans="9:14" x14ac:dyDescent="0.25">
      <c r="I20162" s="11" t="b">
        <f t="shared" si="963"/>
        <v>0</v>
      </c>
      <c r="M20162" s="17" t="str">
        <f t="shared" si="964"/>
        <v/>
      </c>
      <c r="N20162" s="11" t="str">
        <f t="shared" si="965"/>
        <v/>
      </c>
    </row>
    <row r="20163" spans="9:14" x14ac:dyDescent="0.25">
      <c r="I20163" s="11" t="b">
        <f t="shared" si="963"/>
        <v>0</v>
      </c>
      <c r="M20163" s="17" t="str">
        <f t="shared" si="964"/>
        <v/>
      </c>
      <c r="N20163" s="11" t="str">
        <f t="shared" si="965"/>
        <v/>
      </c>
    </row>
    <row r="20164" spans="9:14" x14ac:dyDescent="0.25">
      <c r="I20164" s="11" t="b">
        <f t="shared" si="963"/>
        <v>0</v>
      </c>
      <c r="M20164" s="17" t="str">
        <f t="shared" si="964"/>
        <v/>
      </c>
      <c r="N20164" s="11" t="str">
        <f t="shared" si="965"/>
        <v/>
      </c>
    </row>
    <row r="20165" spans="9:14" x14ac:dyDescent="0.25">
      <c r="I20165" s="11" t="b">
        <f t="shared" si="963"/>
        <v>0</v>
      </c>
      <c r="M20165" s="17" t="str">
        <f t="shared" si="964"/>
        <v/>
      </c>
      <c r="N20165" s="11" t="str">
        <f t="shared" si="965"/>
        <v/>
      </c>
    </row>
    <row r="20166" spans="9:14" x14ac:dyDescent="0.25">
      <c r="I20166" s="11" t="b">
        <f t="shared" si="963"/>
        <v>0</v>
      </c>
      <c r="M20166" s="17" t="str">
        <f t="shared" si="964"/>
        <v/>
      </c>
      <c r="N20166" s="11" t="str">
        <f t="shared" si="965"/>
        <v/>
      </c>
    </row>
    <row r="20167" spans="9:14" x14ac:dyDescent="0.25">
      <c r="I20167" s="11" t="b">
        <f t="shared" si="963"/>
        <v>0</v>
      </c>
      <c r="M20167" s="17" t="str">
        <f t="shared" si="964"/>
        <v/>
      </c>
      <c r="N20167" s="11" t="str">
        <f t="shared" si="965"/>
        <v/>
      </c>
    </row>
    <row r="20168" spans="9:14" x14ac:dyDescent="0.25">
      <c r="I20168" s="11" t="b">
        <f t="shared" si="963"/>
        <v>0</v>
      </c>
      <c r="M20168" s="17" t="str">
        <f t="shared" si="964"/>
        <v/>
      </c>
      <c r="N20168" s="11" t="str">
        <f t="shared" si="965"/>
        <v/>
      </c>
    </row>
    <row r="20169" spans="9:14" x14ac:dyDescent="0.25">
      <c r="I20169" s="11" t="b">
        <f t="shared" si="963"/>
        <v>0</v>
      </c>
      <c r="M20169" s="17" t="str">
        <f t="shared" si="964"/>
        <v/>
      </c>
      <c r="N20169" s="11" t="str">
        <f t="shared" si="965"/>
        <v/>
      </c>
    </row>
    <row r="20170" spans="9:14" x14ac:dyDescent="0.25">
      <c r="I20170" s="11" t="b">
        <f t="shared" si="963"/>
        <v>0</v>
      </c>
      <c r="M20170" s="17" t="str">
        <f t="shared" si="964"/>
        <v/>
      </c>
      <c r="N20170" s="11" t="str">
        <f t="shared" si="965"/>
        <v/>
      </c>
    </row>
    <row r="20171" spans="9:14" x14ac:dyDescent="0.25">
      <c r="I20171" s="11" t="b">
        <f t="shared" si="963"/>
        <v>0</v>
      </c>
      <c r="M20171" s="17" t="str">
        <f t="shared" si="964"/>
        <v/>
      </c>
      <c r="N20171" s="11" t="str">
        <f t="shared" si="965"/>
        <v/>
      </c>
    </row>
    <row r="20172" spans="9:14" x14ac:dyDescent="0.25">
      <c r="I20172" s="11" t="b">
        <f t="shared" si="963"/>
        <v>0</v>
      </c>
      <c r="M20172" s="17" t="str">
        <f t="shared" si="964"/>
        <v/>
      </c>
      <c r="N20172" s="11" t="str">
        <f t="shared" si="965"/>
        <v/>
      </c>
    </row>
    <row r="20173" spans="9:14" x14ac:dyDescent="0.25">
      <c r="I20173" s="11" t="b">
        <f t="shared" si="963"/>
        <v>0</v>
      </c>
      <c r="M20173" s="17" t="str">
        <f t="shared" si="964"/>
        <v/>
      </c>
      <c r="N20173" s="11" t="str">
        <f t="shared" si="965"/>
        <v/>
      </c>
    </row>
    <row r="20174" spans="9:14" x14ac:dyDescent="0.25">
      <c r="I20174" s="11" t="b">
        <f t="shared" si="963"/>
        <v>0</v>
      </c>
      <c r="M20174" s="17" t="str">
        <f t="shared" si="964"/>
        <v/>
      </c>
      <c r="N20174" s="11" t="str">
        <f t="shared" si="965"/>
        <v/>
      </c>
    </row>
    <row r="20175" spans="9:14" x14ac:dyDescent="0.25">
      <c r="I20175" s="11" t="b">
        <f t="shared" si="963"/>
        <v>0</v>
      </c>
      <c r="M20175" s="17" t="str">
        <f t="shared" si="964"/>
        <v/>
      </c>
      <c r="N20175" s="11" t="str">
        <f t="shared" si="965"/>
        <v/>
      </c>
    </row>
    <row r="20176" spans="9:14" x14ac:dyDescent="0.25">
      <c r="I20176" s="11" t="b">
        <f t="shared" si="963"/>
        <v>0</v>
      </c>
      <c r="M20176" s="17" t="str">
        <f t="shared" si="964"/>
        <v/>
      </c>
      <c r="N20176" s="11" t="str">
        <f t="shared" si="965"/>
        <v/>
      </c>
    </row>
    <row r="20177" spans="9:14" x14ac:dyDescent="0.25">
      <c r="I20177" s="11" t="b">
        <f t="shared" si="963"/>
        <v>0</v>
      </c>
      <c r="M20177" s="17" t="str">
        <f t="shared" si="964"/>
        <v/>
      </c>
      <c r="N20177" s="11" t="str">
        <f t="shared" si="965"/>
        <v/>
      </c>
    </row>
    <row r="20178" spans="9:14" x14ac:dyDescent="0.25">
      <c r="I20178" s="11" t="b">
        <f t="shared" si="963"/>
        <v>0</v>
      </c>
      <c r="M20178" s="17" t="str">
        <f t="shared" si="964"/>
        <v/>
      </c>
      <c r="N20178" s="11" t="str">
        <f t="shared" si="965"/>
        <v/>
      </c>
    </row>
    <row r="20179" spans="9:14" x14ac:dyDescent="0.25">
      <c r="I20179" s="11" t="b">
        <f t="shared" si="963"/>
        <v>0</v>
      </c>
      <c r="M20179" s="17" t="str">
        <f t="shared" si="964"/>
        <v/>
      </c>
      <c r="N20179" s="11" t="str">
        <f t="shared" si="965"/>
        <v/>
      </c>
    </row>
    <row r="20180" spans="9:14" x14ac:dyDescent="0.25">
      <c r="I20180" s="11" t="b">
        <f t="shared" si="963"/>
        <v>0</v>
      </c>
      <c r="M20180" s="17" t="str">
        <f t="shared" si="964"/>
        <v/>
      </c>
      <c r="N20180" s="11" t="str">
        <f t="shared" si="965"/>
        <v/>
      </c>
    </row>
    <row r="20181" spans="9:14" x14ac:dyDescent="0.25">
      <c r="I20181" s="11" t="b">
        <f t="shared" si="963"/>
        <v>0</v>
      </c>
      <c r="M20181" s="17" t="str">
        <f t="shared" si="964"/>
        <v/>
      </c>
      <c r="N20181" s="11" t="str">
        <f t="shared" si="965"/>
        <v/>
      </c>
    </row>
    <row r="20182" spans="9:14" x14ac:dyDescent="0.25">
      <c r="I20182" s="11" t="b">
        <f t="shared" si="963"/>
        <v>0</v>
      </c>
      <c r="M20182" s="17" t="str">
        <f t="shared" si="964"/>
        <v/>
      </c>
      <c r="N20182" s="11" t="str">
        <f t="shared" si="965"/>
        <v/>
      </c>
    </row>
    <row r="20183" spans="9:14" x14ac:dyDescent="0.25">
      <c r="I20183" s="11" t="b">
        <f t="shared" si="963"/>
        <v>0</v>
      </c>
      <c r="M20183" s="17" t="str">
        <f t="shared" si="964"/>
        <v/>
      </c>
      <c r="N20183" s="11" t="str">
        <f t="shared" si="965"/>
        <v/>
      </c>
    </row>
    <row r="20184" spans="9:14" x14ac:dyDescent="0.25">
      <c r="I20184" s="11" t="b">
        <f t="shared" si="963"/>
        <v>0</v>
      </c>
      <c r="M20184" s="17" t="str">
        <f t="shared" si="964"/>
        <v/>
      </c>
      <c r="N20184" s="11" t="str">
        <f t="shared" si="965"/>
        <v/>
      </c>
    </row>
    <row r="20185" spans="9:14" x14ac:dyDescent="0.25">
      <c r="I20185" s="11" t="b">
        <f t="shared" si="963"/>
        <v>0</v>
      </c>
      <c r="M20185" s="17" t="str">
        <f t="shared" si="964"/>
        <v/>
      </c>
      <c r="N20185" s="11" t="str">
        <f t="shared" si="965"/>
        <v/>
      </c>
    </row>
    <row r="20186" spans="9:14" x14ac:dyDescent="0.25">
      <c r="I20186" s="11" t="b">
        <f t="shared" si="963"/>
        <v>0</v>
      </c>
      <c r="M20186" s="17" t="str">
        <f t="shared" si="964"/>
        <v/>
      </c>
      <c r="N20186" s="11" t="str">
        <f t="shared" si="965"/>
        <v/>
      </c>
    </row>
    <row r="20187" spans="9:14" x14ac:dyDescent="0.25">
      <c r="I20187" s="11" t="b">
        <f t="shared" si="963"/>
        <v>0</v>
      </c>
      <c r="M20187" s="17" t="str">
        <f t="shared" si="964"/>
        <v/>
      </c>
      <c r="N20187" s="11" t="str">
        <f t="shared" si="965"/>
        <v/>
      </c>
    </row>
    <row r="20188" spans="9:14" x14ac:dyDescent="0.25">
      <c r="I20188" s="11" t="b">
        <f t="shared" si="963"/>
        <v>0</v>
      </c>
      <c r="M20188" s="17" t="str">
        <f t="shared" si="964"/>
        <v/>
      </c>
      <c r="N20188" s="11" t="str">
        <f t="shared" si="965"/>
        <v/>
      </c>
    </row>
    <row r="20189" spans="9:14" x14ac:dyDescent="0.25">
      <c r="I20189" s="11" t="b">
        <f t="shared" ref="I20189:I20221" si="966">IF(AND(G20189="MERCADO PAGO",A20189="FATURAMENTO"),1,IF(AND(OR(G20189="MERCADO PAGO",G20189="pix mercado pago",G20189= "débito automático mercado pago", G20189= "boleto mercado pago"),A20189="DESPESAS"),4,IF(AND(G20189="SAFRA",A20189="FATURAMENTO"),2,IF(AND(OR(G20189="SAFRA",G20189="PIX SAFRA", G20189="DÉBITO AUTOMÁTICO SAFRA", G20189= "BOLETO SAFRA", G20189= "transferência safra"), A20189="DESPESAS"),5,IF(AND(G20189="espécie",A20189="FATURAMENTO"),3,IF(AND(G20189="espécie",A20189="DESPESAS"),6))))))</f>
        <v>0</v>
      </c>
      <c r="M20189" s="17" t="str">
        <f t="shared" ref="M20189:M20221" si="967">IF(B20189=0, "",M20188+ J20189-K20189)</f>
        <v/>
      </c>
      <c r="N20189" s="11" t="str">
        <f t="shared" ref="N20189:N20221" si="968">IF(B20189=0, "", MONTH(B20189))</f>
        <v/>
      </c>
    </row>
    <row r="20190" spans="9:14" x14ac:dyDescent="0.25">
      <c r="I20190" s="11" t="b">
        <f t="shared" si="966"/>
        <v>0</v>
      </c>
      <c r="M20190" s="17" t="str">
        <f t="shared" si="967"/>
        <v/>
      </c>
      <c r="N20190" s="11" t="str">
        <f t="shared" si="968"/>
        <v/>
      </c>
    </row>
    <row r="20191" spans="9:14" x14ac:dyDescent="0.25">
      <c r="I20191" s="11" t="b">
        <f t="shared" si="966"/>
        <v>0</v>
      </c>
      <c r="M20191" s="17" t="str">
        <f t="shared" si="967"/>
        <v/>
      </c>
      <c r="N20191" s="11" t="str">
        <f t="shared" si="968"/>
        <v/>
      </c>
    </row>
    <row r="20192" spans="9:14" x14ac:dyDescent="0.25">
      <c r="I20192" s="11" t="b">
        <f t="shared" si="966"/>
        <v>0</v>
      </c>
      <c r="M20192" s="17" t="str">
        <f t="shared" si="967"/>
        <v/>
      </c>
      <c r="N20192" s="11" t="str">
        <f t="shared" si="968"/>
        <v/>
      </c>
    </row>
    <row r="20193" spans="9:14" x14ac:dyDescent="0.25">
      <c r="I20193" s="11" t="b">
        <f t="shared" si="966"/>
        <v>0</v>
      </c>
      <c r="M20193" s="17" t="str">
        <f t="shared" si="967"/>
        <v/>
      </c>
      <c r="N20193" s="11" t="str">
        <f t="shared" si="968"/>
        <v/>
      </c>
    </row>
    <row r="20194" spans="9:14" x14ac:dyDescent="0.25">
      <c r="I20194" s="11" t="b">
        <f t="shared" si="966"/>
        <v>0</v>
      </c>
      <c r="M20194" s="17" t="str">
        <f t="shared" si="967"/>
        <v/>
      </c>
      <c r="N20194" s="11" t="str">
        <f t="shared" si="968"/>
        <v/>
      </c>
    </row>
    <row r="20195" spans="9:14" x14ac:dyDescent="0.25">
      <c r="I20195" s="11" t="b">
        <f t="shared" si="966"/>
        <v>0</v>
      </c>
      <c r="M20195" s="17" t="str">
        <f t="shared" si="967"/>
        <v/>
      </c>
      <c r="N20195" s="11" t="str">
        <f t="shared" si="968"/>
        <v/>
      </c>
    </row>
    <row r="20196" spans="9:14" x14ac:dyDescent="0.25">
      <c r="I20196" s="11" t="b">
        <f t="shared" si="966"/>
        <v>0</v>
      </c>
      <c r="M20196" s="17" t="str">
        <f t="shared" si="967"/>
        <v/>
      </c>
      <c r="N20196" s="11" t="str">
        <f t="shared" si="968"/>
        <v/>
      </c>
    </row>
    <row r="20197" spans="9:14" x14ac:dyDescent="0.25">
      <c r="I20197" s="11" t="b">
        <f t="shared" si="966"/>
        <v>0</v>
      </c>
      <c r="M20197" s="17" t="str">
        <f t="shared" si="967"/>
        <v/>
      </c>
      <c r="N20197" s="11" t="str">
        <f t="shared" si="968"/>
        <v/>
      </c>
    </row>
    <row r="20198" spans="9:14" x14ac:dyDescent="0.25">
      <c r="I20198" s="11" t="b">
        <f t="shared" si="966"/>
        <v>0</v>
      </c>
      <c r="M20198" s="17" t="str">
        <f t="shared" si="967"/>
        <v/>
      </c>
      <c r="N20198" s="11" t="str">
        <f t="shared" si="968"/>
        <v/>
      </c>
    </row>
    <row r="20199" spans="9:14" x14ac:dyDescent="0.25">
      <c r="I20199" s="11" t="b">
        <f t="shared" si="966"/>
        <v>0</v>
      </c>
      <c r="M20199" s="17" t="str">
        <f t="shared" si="967"/>
        <v/>
      </c>
      <c r="N20199" s="11" t="str">
        <f t="shared" si="968"/>
        <v/>
      </c>
    </row>
    <row r="20200" spans="9:14" x14ac:dyDescent="0.25">
      <c r="I20200" s="11" t="b">
        <f t="shared" si="966"/>
        <v>0</v>
      </c>
      <c r="M20200" s="17" t="str">
        <f t="shared" si="967"/>
        <v/>
      </c>
      <c r="N20200" s="11" t="str">
        <f t="shared" si="968"/>
        <v/>
      </c>
    </row>
    <row r="20201" spans="9:14" x14ac:dyDescent="0.25">
      <c r="I20201" s="11" t="b">
        <f t="shared" si="966"/>
        <v>0</v>
      </c>
      <c r="M20201" s="17" t="str">
        <f t="shared" si="967"/>
        <v/>
      </c>
      <c r="N20201" s="11" t="str">
        <f t="shared" si="968"/>
        <v/>
      </c>
    </row>
    <row r="20202" spans="9:14" x14ac:dyDescent="0.25">
      <c r="I20202" s="11" t="b">
        <f t="shared" si="966"/>
        <v>0</v>
      </c>
      <c r="M20202" s="17" t="str">
        <f t="shared" si="967"/>
        <v/>
      </c>
      <c r="N20202" s="11" t="str">
        <f t="shared" si="968"/>
        <v/>
      </c>
    </row>
    <row r="20203" spans="9:14" x14ac:dyDescent="0.25">
      <c r="I20203" s="11" t="b">
        <f t="shared" si="966"/>
        <v>0</v>
      </c>
      <c r="M20203" s="17" t="str">
        <f t="shared" si="967"/>
        <v/>
      </c>
      <c r="N20203" s="11" t="str">
        <f t="shared" si="968"/>
        <v/>
      </c>
    </row>
    <row r="20204" spans="9:14" x14ac:dyDescent="0.25">
      <c r="I20204" s="11" t="b">
        <f t="shared" si="966"/>
        <v>0</v>
      </c>
      <c r="M20204" s="17" t="str">
        <f t="shared" si="967"/>
        <v/>
      </c>
      <c r="N20204" s="11" t="str">
        <f t="shared" si="968"/>
        <v/>
      </c>
    </row>
    <row r="20205" spans="9:14" x14ac:dyDescent="0.25">
      <c r="I20205" s="11" t="b">
        <f t="shared" si="966"/>
        <v>0</v>
      </c>
      <c r="M20205" s="17" t="str">
        <f t="shared" si="967"/>
        <v/>
      </c>
      <c r="N20205" s="11" t="str">
        <f t="shared" si="968"/>
        <v/>
      </c>
    </row>
    <row r="20206" spans="9:14" x14ac:dyDescent="0.25">
      <c r="I20206" s="11" t="b">
        <f t="shared" si="966"/>
        <v>0</v>
      </c>
      <c r="M20206" s="17" t="str">
        <f t="shared" si="967"/>
        <v/>
      </c>
      <c r="N20206" s="11" t="str">
        <f t="shared" si="968"/>
        <v/>
      </c>
    </row>
    <row r="20207" spans="9:14" x14ac:dyDescent="0.25">
      <c r="I20207" s="11" t="b">
        <f t="shared" si="966"/>
        <v>0</v>
      </c>
      <c r="M20207" s="17" t="str">
        <f t="shared" si="967"/>
        <v/>
      </c>
      <c r="N20207" s="11" t="str">
        <f t="shared" si="968"/>
        <v/>
      </c>
    </row>
    <row r="20208" spans="9:14" x14ac:dyDescent="0.25">
      <c r="I20208" s="11" t="b">
        <f t="shared" si="966"/>
        <v>0</v>
      </c>
      <c r="M20208" s="17" t="str">
        <f t="shared" si="967"/>
        <v/>
      </c>
      <c r="N20208" s="11" t="str">
        <f t="shared" si="968"/>
        <v/>
      </c>
    </row>
    <row r="20209" spans="9:14" x14ac:dyDescent="0.25">
      <c r="I20209" s="11" t="b">
        <f t="shared" si="966"/>
        <v>0</v>
      </c>
      <c r="M20209" s="17" t="str">
        <f t="shared" si="967"/>
        <v/>
      </c>
      <c r="N20209" s="11" t="str">
        <f t="shared" si="968"/>
        <v/>
      </c>
    </row>
    <row r="20210" spans="9:14" x14ac:dyDescent="0.25">
      <c r="I20210" s="11" t="b">
        <f t="shared" si="966"/>
        <v>0</v>
      </c>
      <c r="M20210" s="17" t="str">
        <f t="shared" si="967"/>
        <v/>
      </c>
      <c r="N20210" s="11" t="str">
        <f t="shared" si="968"/>
        <v/>
      </c>
    </row>
    <row r="20211" spans="9:14" x14ac:dyDescent="0.25">
      <c r="I20211" s="11" t="b">
        <f t="shared" si="966"/>
        <v>0</v>
      </c>
      <c r="M20211" s="17" t="str">
        <f t="shared" si="967"/>
        <v/>
      </c>
      <c r="N20211" s="11" t="str">
        <f t="shared" si="968"/>
        <v/>
      </c>
    </row>
    <row r="20212" spans="9:14" x14ac:dyDescent="0.25">
      <c r="I20212" s="11" t="b">
        <f t="shared" si="966"/>
        <v>0</v>
      </c>
      <c r="M20212" s="17" t="str">
        <f t="shared" si="967"/>
        <v/>
      </c>
      <c r="N20212" s="11" t="str">
        <f t="shared" si="968"/>
        <v/>
      </c>
    </row>
    <row r="20213" spans="9:14" x14ac:dyDescent="0.25">
      <c r="I20213" s="11" t="b">
        <f t="shared" si="966"/>
        <v>0</v>
      </c>
      <c r="M20213" s="17" t="str">
        <f t="shared" si="967"/>
        <v/>
      </c>
      <c r="N20213" s="11" t="str">
        <f t="shared" si="968"/>
        <v/>
      </c>
    </row>
    <row r="20214" spans="9:14" x14ac:dyDescent="0.25">
      <c r="I20214" s="11" t="b">
        <f t="shared" si="966"/>
        <v>0</v>
      </c>
      <c r="M20214" s="17" t="str">
        <f t="shared" si="967"/>
        <v/>
      </c>
      <c r="N20214" s="11" t="str">
        <f t="shared" si="968"/>
        <v/>
      </c>
    </row>
    <row r="20215" spans="9:14" x14ac:dyDescent="0.25">
      <c r="I20215" s="11" t="b">
        <f t="shared" si="966"/>
        <v>0</v>
      </c>
      <c r="M20215" s="17" t="str">
        <f t="shared" si="967"/>
        <v/>
      </c>
      <c r="N20215" s="11" t="str">
        <f t="shared" si="968"/>
        <v/>
      </c>
    </row>
    <row r="20216" spans="9:14" x14ac:dyDescent="0.25">
      <c r="I20216" s="11" t="b">
        <f t="shared" si="966"/>
        <v>0</v>
      </c>
      <c r="M20216" s="17" t="str">
        <f t="shared" si="967"/>
        <v/>
      </c>
      <c r="N20216" s="11" t="str">
        <f t="shared" si="968"/>
        <v/>
      </c>
    </row>
    <row r="20217" spans="9:14" x14ac:dyDescent="0.25">
      <c r="I20217" s="11" t="b">
        <f t="shared" si="966"/>
        <v>0</v>
      </c>
      <c r="M20217" s="17" t="str">
        <f t="shared" si="967"/>
        <v/>
      </c>
      <c r="N20217" s="11" t="str">
        <f t="shared" si="968"/>
        <v/>
      </c>
    </row>
    <row r="20218" spans="9:14" x14ac:dyDescent="0.25">
      <c r="I20218" s="11" t="b">
        <f t="shared" si="966"/>
        <v>0</v>
      </c>
      <c r="M20218" s="17" t="str">
        <f t="shared" si="967"/>
        <v/>
      </c>
      <c r="N20218" s="11" t="str">
        <f t="shared" si="968"/>
        <v/>
      </c>
    </row>
    <row r="20219" spans="9:14" x14ac:dyDescent="0.25">
      <c r="I20219" s="11" t="b">
        <f t="shared" si="966"/>
        <v>0</v>
      </c>
      <c r="M20219" s="17" t="str">
        <f t="shared" si="967"/>
        <v/>
      </c>
      <c r="N20219" s="11" t="str">
        <f t="shared" si="968"/>
        <v/>
      </c>
    </row>
    <row r="20220" spans="9:14" x14ac:dyDescent="0.25">
      <c r="I20220" s="11" t="b">
        <f t="shared" si="966"/>
        <v>0</v>
      </c>
      <c r="M20220" s="17" t="str">
        <f t="shared" si="967"/>
        <v/>
      </c>
      <c r="N20220" s="11" t="str">
        <f t="shared" si="968"/>
        <v/>
      </c>
    </row>
    <row r="20221" spans="9:14" x14ac:dyDescent="0.25">
      <c r="I20221" s="11" t="b">
        <f t="shared" si="966"/>
        <v>0</v>
      </c>
      <c r="M20221" s="17" t="str">
        <f t="shared" si="967"/>
        <v/>
      </c>
      <c r="N20221" s="11" t="str">
        <f t="shared" si="968"/>
        <v/>
      </c>
    </row>
  </sheetData>
  <autoFilter ref="A1:S20221" xr:uid="{00000000-0009-0000-0000-000001000000}"/>
  <mergeCells count="21">
    <mergeCell ref="P22:Q22"/>
    <mergeCell ref="R22:S22"/>
    <mergeCell ref="P14:S14"/>
    <mergeCell ref="P15:Q15"/>
    <mergeCell ref="R15:S15"/>
    <mergeCell ref="P16:Q16"/>
    <mergeCell ref="R16:S16"/>
    <mergeCell ref="P17:Q17"/>
    <mergeCell ref="R17:S17"/>
    <mergeCell ref="P19:S19"/>
    <mergeCell ref="P20:Q20"/>
    <mergeCell ref="R20:S20"/>
    <mergeCell ref="P21:Q21"/>
    <mergeCell ref="R21:S21"/>
    <mergeCell ref="P12:Q12"/>
    <mergeCell ref="R12:S12"/>
    <mergeCell ref="P9:S9"/>
    <mergeCell ref="P10:Q10"/>
    <mergeCell ref="R10:S10"/>
    <mergeCell ref="P11:Q11"/>
    <mergeCell ref="R11:S11"/>
  </mergeCells>
  <dataValidations count="4">
    <dataValidation type="custom" allowBlank="1" showInputMessage="1" showErrorMessage="1" sqref="J1493:J1510 K1164:K1170 J2:J907 J1039:J1491 J909:J1037 J1512:J2649" xr:uid="{00000000-0002-0000-0100-000000000000}">
      <formula1>J2&gt;=0</formula1>
    </dataValidation>
    <dataValidation type="list" allowBlank="1" showInputMessage="1" showErrorMessage="1" sqref="D2:D1374 D1376:D2649 D2653:D20221" xr:uid="{00000000-0002-0000-0100-000001000000}">
      <formula1>Categorias</formula1>
    </dataValidation>
    <dataValidation type="list" allowBlank="1" showInputMessage="1" showErrorMessage="1" sqref="A2:A2649 A2653:A20221" xr:uid="{00000000-0002-0000-0100-000002000000}">
      <formula1>Tipos</formula1>
    </dataValidation>
    <dataValidation type="list" allowBlank="1" showInputMessage="1" showErrorMessage="1" sqref="C2:C2649 C2653:C20221" xr:uid="{00000000-0002-0000-0100-000003000000}">
      <formula1>Entidades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B2" sqref="B2"/>
    </sheetView>
  </sheetViews>
  <sheetFormatPr defaultColWidth="9.109375" defaultRowHeight="13.2" x14ac:dyDescent="0.25"/>
  <cols>
    <col min="1" max="1" width="13.88671875" style="136" customWidth="1"/>
    <col min="2" max="2" width="15.88671875" style="136" bestFit="1" customWidth="1"/>
    <col min="3" max="8" width="14.33203125" style="136" bestFit="1" customWidth="1"/>
    <col min="9" max="9" width="15.88671875" style="136" bestFit="1" customWidth="1"/>
    <col min="10" max="16384" width="9.109375" style="136"/>
  </cols>
  <sheetData>
    <row r="1" spans="1:9" ht="15" thickBot="1" x14ac:dyDescent="0.3">
      <c r="A1" s="134" t="s">
        <v>3</v>
      </c>
      <c r="B1" s="134" t="s">
        <v>761</v>
      </c>
      <c r="C1" s="135" t="s">
        <v>755</v>
      </c>
      <c r="D1" s="135" t="s">
        <v>756</v>
      </c>
      <c r="E1" s="135" t="s">
        <v>757</v>
      </c>
      <c r="F1" s="135" t="s">
        <v>758</v>
      </c>
      <c r="G1" s="135" t="s">
        <v>759</v>
      </c>
      <c r="H1" s="135" t="s">
        <v>760</v>
      </c>
    </row>
    <row r="2" spans="1:9" ht="28.8" x14ac:dyDescent="0.25">
      <c r="A2" s="7" t="s">
        <v>731</v>
      </c>
      <c r="B2" s="137">
        <f>SUMIFS(Geral!J2:J20073,Geral!A2:A20073,"Faturamento",Geral!C2:C20073,"Restaurante")</f>
        <v>1805309.3799999992</v>
      </c>
      <c r="C2" s="137">
        <f>SUMIFS(Geral!J2:J20073,Geral!A2:A20073,"Faturamento",Geral!C2:C20073,"Restaurante",Geral!N2:N20073,7)</f>
        <v>142405.29999999999</v>
      </c>
      <c r="D2" s="137">
        <f>SUMIFS(Geral!J2:J20073,Geral!A2:A20073,"Faturamento",Geral!C2:C20073,"Restaurante",Geral!N2:N20073,8)</f>
        <v>263390.11</v>
      </c>
      <c r="E2" s="137">
        <f>SUMIFS(Geral!J2:J20073,Geral!A2:A20073,"Faturamento",Geral!C2:C20073,"Restaurante",Geral!N2:N20073,9)</f>
        <v>263430.09999999998</v>
      </c>
      <c r="F2" s="137">
        <f>SUMIFS(Geral!J2:J20073,Geral!A2:A20073,"Faturamento",Geral!C2:C20073,"Restaurante",Geral!N2:N20073,10)</f>
        <v>351170.36</v>
      </c>
      <c r="G2" s="137">
        <f>SUMIFS(Geral!J2:J20073,Geral!A2:A20073,"Faturamento",Geral!C2:C20073,"Restaurante",Geral!N2:N20073,11)</f>
        <v>469659.57</v>
      </c>
      <c r="H2" s="137">
        <f>SUMIFS(Geral!J2:J20073,Geral!A2:A20073,"Faturamento",Geral!C2:C20073,"Restaurante",Geral!N2:N20073,12)</f>
        <v>315253.94</v>
      </c>
      <c r="I2" s="182"/>
    </row>
    <row r="3" spans="1:9" ht="29.4" thickBot="1" x14ac:dyDescent="0.35">
      <c r="A3" s="127" t="s">
        <v>754</v>
      </c>
      <c r="B3" s="138">
        <f>B2/B6</f>
        <v>0.963303359171781</v>
      </c>
      <c r="C3" s="138">
        <f t="shared" ref="C3:H3" si="0">C2/C6</f>
        <v>1</v>
      </c>
      <c r="D3" s="138">
        <f t="shared" si="0"/>
        <v>0.99253674031158845</v>
      </c>
      <c r="E3" s="138">
        <f t="shared" si="0"/>
        <v>0.96249919252841076</v>
      </c>
      <c r="F3" s="138">
        <f t="shared" si="0"/>
        <v>0.95119015660452144</v>
      </c>
      <c r="G3" s="138">
        <f t="shared" si="0"/>
        <v>0.94445231388213446</v>
      </c>
      <c r="H3" s="138">
        <f t="shared" si="0"/>
        <v>0.96662400185246067</v>
      </c>
    </row>
    <row r="4" spans="1:9" ht="28.8" x14ac:dyDescent="0.25">
      <c r="A4" s="7" t="s">
        <v>732</v>
      </c>
      <c r="B4" s="137">
        <f>SUMIFS(Geral!J2:J20073,Geral!A2:A20073,"Faturamento",Geral!C2:C20073,"Guarderia")</f>
        <v>68742.50999999998</v>
      </c>
      <c r="C4" s="137">
        <f>SUMIFS(Geral!J2:J20073,Geral!A2:A20073,"Faturamento",Geral!C2:C20073,"Guarderia",Geral!N2:N20073,7)</f>
        <v>0</v>
      </c>
      <c r="D4" s="137">
        <f>SUMIFS(Geral!J2:J20073,Geral!A2:A20073,"Faturamento",Geral!C2:C20073,"Guarderia",Geral!N2:N20073,8)</f>
        <v>1980.53</v>
      </c>
      <c r="E4" s="137">
        <f>SUMIFS(Geral!J2:J20073,Geral!A2:A20073,"Faturamento",Geral!C2:C20073,"Guarderia",Geral!N2:N20073,9)</f>
        <v>10263.739999999998</v>
      </c>
      <c r="F4" s="137">
        <f>SUMIFS(Geral!J2:J20073,Geral!A2:A20073,"Faturamento",Geral!C2:C20073,"Guarderia",Geral!N2:N20073,10)</f>
        <v>18020.13</v>
      </c>
      <c r="G4" s="137">
        <f>SUMIFS(Geral!J2:J20073,Geral!A2:A20073,"Faturamento",Geral!C2:C20073,"Guarderia",Geral!N2:N20073,11)</f>
        <v>27622.89</v>
      </c>
      <c r="H4" s="137">
        <f>SUMIFS(Geral!J2:J20073,Geral!A2:A20073,"Faturamento",Geral!C2:C20073,"Guarderia",Geral!N2:N20073,12)</f>
        <v>10855.22</v>
      </c>
      <c r="I4" s="182"/>
    </row>
    <row r="5" spans="1:9" ht="29.4" thickBot="1" x14ac:dyDescent="0.35">
      <c r="A5" s="127" t="s">
        <v>754</v>
      </c>
      <c r="B5" s="138">
        <f>B4/B6</f>
        <v>3.6680632989842303E-2</v>
      </c>
      <c r="C5" s="138">
        <f t="shared" ref="C5:H5" si="1">C4/C6</f>
        <v>0</v>
      </c>
      <c r="D5" s="138">
        <f t="shared" si="1"/>
        <v>7.4632596884116505E-3</v>
      </c>
      <c r="E5" s="138">
        <f t="shared" si="1"/>
        <v>3.7500807471589424E-2</v>
      </c>
      <c r="F5" s="138">
        <f t="shared" si="1"/>
        <v>4.8809843395478579E-2</v>
      </c>
      <c r="G5" s="138">
        <f t="shared" si="1"/>
        <v>5.5547686117865487E-2</v>
      </c>
      <c r="H5" s="138">
        <f t="shared" si="1"/>
        <v>3.3284012873523061E-2</v>
      </c>
    </row>
    <row r="6" spans="1:9" ht="28.8" x14ac:dyDescent="0.25">
      <c r="A6" s="7" t="s">
        <v>710</v>
      </c>
      <c r="B6" s="137">
        <f>SUMIF(Geral!$A$2:$A$20109,"Faturamento",Geral!$J$2:$J$20109)</f>
        <v>1874081.889999999</v>
      </c>
      <c r="C6" s="137">
        <f>SUMIFS(Geral!$J$2:$J$20109,Geral!$A$2:$A$20109,"Faturamento",Geral!$N$2:$N$20109,7)</f>
        <v>142405.29999999999</v>
      </c>
      <c r="D6" s="137">
        <f>SUMIFS(Geral!$J$2:$J$20109,Geral!$A$2:$A$20109,"Faturamento",Geral!$N$2:$N$20109,8)</f>
        <v>265370.63999999996</v>
      </c>
      <c r="E6" s="137">
        <f>SUMIFS(Geral!$J$2:$J$20109,Geral!$A$2:$A$20109,"Faturamento",Geral!$N$2:$N$20109,9)</f>
        <v>273693.83999999991</v>
      </c>
      <c r="F6" s="137">
        <f>SUMIFS(Geral!$J$2:$J$20109,Geral!$A$2:$A$20109,"Faturamento",Geral!$N$2:$N$20109,10)</f>
        <v>369190.49</v>
      </c>
      <c r="G6" s="137">
        <f>SUMIFS(Geral!$J$2:$J$20109,Geral!$A$2:$A$20109,"Faturamento",Geral!$N$2:$N$20109,11)</f>
        <v>497282.46</v>
      </c>
      <c r="H6" s="137">
        <f>SUMIFS(Geral!$J$2:$J$20109,Geral!$A$2:$A$20109,"Faturamento",Geral!$N$2:$N$20109,12)</f>
        <v>326139.16000000003</v>
      </c>
      <c r="I6" s="182"/>
    </row>
    <row r="8" spans="1:9" x14ac:dyDescent="0.25">
      <c r="B8" s="182"/>
    </row>
    <row r="11" spans="1:9" x14ac:dyDescent="0.25">
      <c r="B11" s="181"/>
    </row>
    <row r="12" spans="1:9" x14ac:dyDescent="0.25">
      <c r="B12" s="182"/>
    </row>
  </sheetData>
  <conditionalFormatting sqref="B3:H3">
    <cfRule type="cellIs" dxfId="4" priority="3" operator="greaterThan">
      <formula>0</formula>
    </cfRule>
    <cfRule type="cellIs" dxfId="3" priority="4" operator="greaterThan">
      <formula>0</formula>
    </cfRule>
  </conditionalFormatting>
  <conditionalFormatting sqref="B5:H5">
    <cfRule type="cellIs" dxfId="2" priority="1" operator="greaterThan">
      <formula>0</formula>
    </cfRule>
    <cfRule type="cellIs" dxfId="1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84"/>
  <sheetViews>
    <sheetView topLeftCell="D1" zoomScale="80" zoomScaleNormal="80" workbookViewId="0">
      <selection activeCell="K15" sqref="K15:K16"/>
    </sheetView>
  </sheetViews>
  <sheetFormatPr defaultColWidth="14.44140625" defaultRowHeight="14.4" x14ac:dyDescent="0.3"/>
  <cols>
    <col min="1" max="1" width="22.44140625" style="43" bestFit="1" customWidth="1"/>
    <col min="2" max="2" width="32" style="43" bestFit="1" customWidth="1"/>
    <col min="3" max="3" width="16.6640625" style="43" bestFit="1" customWidth="1"/>
    <col min="4" max="4" width="17" style="43" bestFit="1" customWidth="1"/>
    <col min="5" max="9" width="10.6640625" style="43" customWidth="1"/>
    <col min="10" max="10" width="13" style="43" bestFit="1" customWidth="1"/>
    <col min="11" max="11" width="19.5546875" style="43" bestFit="1" customWidth="1"/>
    <col min="12" max="16" width="10.6640625" style="43" customWidth="1"/>
    <col min="17" max="17" width="12.109375" style="43" bestFit="1" customWidth="1"/>
    <col min="18" max="18" width="12.109375" style="44" bestFit="1" customWidth="1"/>
    <col min="19" max="26" width="10.6640625" style="43" customWidth="1"/>
    <col min="27" max="16384" width="14.44140625" style="43"/>
  </cols>
  <sheetData>
    <row r="1" spans="1:18" ht="14.25" customHeight="1" thickBot="1" x14ac:dyDescent="0.35">
      <c r="A1" s="286" t="s">
        <v>733</v>
      </c>
      <c r="B1" s="166" t="s">
        <v>3</v>
      </c>
      <c r="C1" s="38" t="s">
        <v>684</v>
      </c>
      <c r="D1" s="35">
        <v>45108</v>
      </c>
      <c r="E1" s="35">
        <v>45139</v>
      </c>
      <c r="F1" s="35">
        <v>45170</v>
      </c>
      <c r="G1" s="35">
        <v>45200</v>
      </c>
      <c r="H1" s="35">
        <v>45231</v>
      </c>
      <c r="I1" s="36">
        <v>45261</v>
      </c>
      <c r="L1" s="44"/>
      <c r="R1" s="43"/>
    </row>
    <row r="2" spans="1:18" ht="14.25" customHeight="1" x14ac:dyDescent="0.3">
      <c r="A2" s="287"/>
      <c r="B2" s="41" t="s">
        <v>207</v>
      </c>
      <c r="C2" s="183">
        <f>SUM(D2:I2)</f>
        <v>1874081.8899999997</v>
      </c>
      <c r="D2" s="184">
        <f>SUMIFS(Geral!$J$2:$J$20221,Geral!$A$2:$A$20221,"Faturamento",Geral!$N$2:$N$20221,7)</f>
        <v>142405.29999999999</v>
      </c>
      <c r="E2" s="184">
        <f>SUMIFS(Geral!$J$2:$J$20221,Geral!$A$2:$A$20221,"Faturamento",Geral!$N$2:$N$20221,8)</f>
        <v>265370.63999999996</v>
      </c>
      <c r="F2" s="184">
        <f>SUMIFS(Geral!$J$2:$J$20221,Geral!$A$2:$A$20221,"Faturamento",Geral!$N$2:$N$20221,9)</f>
        <v>273693.83999999991</v>
      </c>
      <c r="G2" s="184">
        <f>SUMIFS(Geral!$J$2:$J$20221,Geral!$A$2:$A$20221,"Faturamento",Geral!$N$2:$N$20221,10)</f>
        <v>369190.49</v>
      </c>
      <c r="H2" s="184">
        <f>SUMIFS(Geral!$J$2:$J$20221,Geral!$A$2:$A$20221,"Faturamento",Geral!$N$2:$N$20221,11)</f>
        <v>497282.46</v>
      </c>
      <c r="I2" s="185">
        <f>SUMIFS(Geral!$J$2:$J$20221,Geral!$A$2:$A$20221,"Faturamento",Geral!$N$2:$N$20221,12)</f>
        <v>326139.16000000003</v>
      </c>
      <c r="L2" s="44"/>
      <c r="R2" s="43"/>
    </row>
    <row r="3" spans="1:18" ht="14.25" customHeight="1" thickBot="1" x14ac:dyDescent="0.35">
      <c r="A3" s="288"/>
      <c r="B3" s="40" t="s">
        <v>715</v>
      </c>
      <c r="C3" s="214">
        <f>SUM(D3:I3)</f>
        <v>1482721.9999999998</v>
      </c>
      <c r="D3" s="215">
        <f>D7+D15+D55</f>
        <v>122752.76999999999</v>
      </c>
      <c r="E3" s="215">
        <f t="shared" ref="E3:I3" si="0">E7+E15+E55</f>
        <v>216172.28999999998</v>
      </c>
      <c r="F3" s="215">
        <f t="shared" si="0"/>
        <v>234128.21</v>
      </c>
      <c r="G3" s="215">
        <f t="shared" si="0"/>
        <v>262474.20999999996</v>
      </c>
      <c r="H3" s="215">
        <f t="shared" si="0"/>
        <v>334113.59000000003</v>
      </c>
      <c r="I3" s="216">
        <f t="shared" si="0"/>
        <v>313080.93</v>
      </c>
      <c r="J3" s="180"/>
      <c r="L3" s="44"/>
      <c r="R3" s="43"/>
    </row>
    <row r="4" spans="1:18" ht="14.25" customHeight="1" x14ac:dyDescent="0.3">
      <c r="A4" s="76"/>
      <c r="B4" s="77"/>
      <c r="C4" s="239"/>
      <c r="E4" s="80"/>
      <c r="F4" s="80"/>
      <c r="G4" s="80"/>
      <c r="H4" s="80"/>
      <c r="I4" s="80"/>
      <c r="L4" s="44"/>
      <c r="R4" s="43"/>
    </row>
    <row r="5" spans="1:18" ht="14.25" customHeight="1" thickBot="1" x14ac:dyDescent="0.35">
      <c r="B5" s="77"/>
      <c r="C5" s="84"/>
      <c r="D5" s="240"/>
      <c r="E5" s="83"/>
      <c r="F5" s="83"/>
      <c r="G5" s="83"/>
      <c r="H5" s="83"/>
      <c r="I5" s="83"/>
    </row>
    <row r="6" spans="1:18" ht="14.25" customHeight="1" thickBot="1" x14ac:dyDescent="0.35">
      <c r="A6" s="264" t="s">
        <v>694</v>
      </c>
      <c r="B6" s="264" t="s">
        <v>684</v>
      </c>
      <c r="C6" s="268">
        <f>SUM(D7:I7)</f>
        <v>486759.44</v>
      </c>
      <c r="D6" s="34">
        <v>45108</v>
      </c>
      <c r="E6" s="35">
        <v>45139</v>
      </c>
      <c r="F6" s="35">
        <v>45170</v>
      </c>
      <c r="G6" s="35">
        <v>45200</v>
      </c>
      <c r="H6" s="35">
        <v>45231</v>
      </c>
      <c r="I6" s="36">
        <v>45261</v>
      </c>
    </row>
    <row r="7" spans="1:18" ht="14.25" customHeight="1" thickBot="1" x14ac:dyDescent="0.35">
      <c r="A7" s="265"/>
      <c r="B7" s="265"/>
      <c r="C7" s="269"/>
      <c r="D7" s="37">
        <f t="shared" ref="D7:I7" si="1">(D83+D105+D121)</f>
        <v>32715.7</v>
      </c>
      <c r="E7" s="37">
        <f t="shared" si="1"/>
        <v>84791.23</v>
      </c>
      <c r="F7" s="37">
        <f t="shared" si="1"/>
        <v>72719.8</v>
      </c>
      <c r="G7" s="37">
        <f t="shared" si="1"/>
        <v>79148.7</v>
      </c>
      <c r="H7" s="37">
        <f t="shared" si="1"/>
        <v>106559.48999999999</v>
      </c>
      <c r="I7" s="176">
        <f t="shared" si="1"/>
        <v>110824.52</v>
      </c>
    </row>
    <row r="8" spans="1:18" ht="14.25" customHeight="1" x14ac:dyDescent="0.3">
      <c r="K8" s="174"/>
    </row>
    <row r="9" spans="1:18" ht="14.25" customHeight="1" thickBot="1" x14ac:dyDescent="0.35">
      <c r="K9" s="175"/>
    </row>
    <row r="10" spans="1:18" ht="14.25" customHeight="1" thickBot="1" x14ac:dyDescent="0.35">
      <c r="A10" s="264" t="s">
        <v>694</v>
      </c>
      <c r="B10" s="264" t="s">
        <v>684</v>
      </c>
      <c r="C10" s="280">
        <f>C6/C2</f>
        <v>0.25973221479665443</v>
      </c>
      <c r="D10" s="34">
        <v>45108</v>
      </c>
      <c r="E10" s="35">
        <v>45139</v>
      </c>
      <c r="F10" s="35">
        <v>45170</v>
      </c>
      <c r="G10" s="35">
        <v>45200</v>
      </c>
      <c r="H10" s="35">
        <v>45231</v>
      </c>
      <c r="I10" s="36">
        <v>45261</v>
      </c>
      <c r="J10" s="117"/>
      <c r="K10" s="174"/>
    </row>
    <row r="11" spans="1:18" s="117" customFormat="1" ht="14.25" customHeight="1" thickBot="1" x14ac:dyDescent="0.35">
      <c r="A11" s="265"/>
      <c r="B11" s="265"/>
      <c r="C11" s="281"/>
      <c r="D11" s="121">
        <f t="shared" ref="D11:I11" si="2">(D83+D105+D121)/D2</f>
        <v>0.22973653368238403</v>
      </c>
      <c r="E11" s="121">
        <f t="shared" si="2"/>
        <v>0.31952001170890648</v>
      </c>
      <c r="F11" s="121">
        <f t="shared" si="2"/>
        <v>0.26569761307013717</v>
      </c>
      <c r="G11" s="121">
        <f t="shared" si="2"/>
        <v>0.21438444961028114</v>
      </c>
      <c r="H11" s="121">
        <f t="shared" si="2"/>
        <v>0.21428362866448172</v>
      </c>
      <c r="I11" s="177">
        <f t="shared" si="2"/>
        <v>0.33980746133031065</v>
      </c>
      <c r="R11" s="118"/>
    </row>
    <row r="12" spans="1:18" s="117" customFormat="1" ht="14.25" customHeight="1" x14ac:dyDescent="0.3">
      <c r="A12" s="119"/>
      <c r="B12" s="119"/>
      <c r="C12" s="120"/>
      <c r="D12" s="28"/>
      <c r="E12" s="28"/>
      <c r="F12" s="28"/>
      <c r="G12" s="28"/>
      <c r="H12" s="28"/>
      <c r="I12" s="28"/>
      <c r="J12" s="8"/>
      <c r="R12" s="118"/>
    </row>
    <row r="13" spans="1:18" ht="14.25" customHeight="1" thickBot="1" x14ac:dyDescent="0.35">
      <c r="A13" s="1"/>
      <c r="C13" s="8"/>
      <c r="D13" s="8"/>
      <c r="E13" s="8"/>
      <c r="F13" s="8"/>
      <c r="G13" s="8"/>
      <c r="H13" s="8"/>
      <c r="I13" s="8"/>
      <c r="K13" s="8"/>
      <c r="L13" s="8"/>
      <c r="M13" s="8"/>
      <c r="N13" s="8"/>
      <c r="O13" s="8"/>
    </row>
    <row r="14" spans="1:18" ht="14.25" customHeight="1" thickBot="1" x14ac:dyDescent="0.35">
      <c r="A14" s="286" t="s">
        <v>762</v>
      </c>
      <c r="B14" s="266" t="s">
        <v>684</v>
      </c>
      <c r="C14" s="276">
        <f>SUM(D15:I15)</f>
        <v>769471.18</v>
      </c>
      <c r="D14" s="34">
        <v>45108</v>
      </c>
      <c r="E14" s="35">
        <v>45139</v>
      </c>
      <c r="F14" s="35">
        <v>45170</v>
      </c>
      <c r="G14" s="35">
        <v>45200</v>
      </c>
      <c r="H14" s="35">
        <v>45231</v>
      </c>
      <c r="I14" s="36">
        <v>45261</v>
      </c>
    </row>
    <row r="15" spans="1:18" ht="15" thickBot="1" x14ac:dyDescent="0.35">
      <c r="A15" s="287"/>
      <c r="B15" s="267"/>
      <c r="C15" s="277"/>
      <c r="D15" s="81">
        <f>SUM(D16:D31)</f>
        <v>82510.349999999991</v>
      </c>
      <c r="E15" s="81">
        <f t="shared" ref="E15:I15" si="3">SUM(E16:E31)</f>
        <v>100999.56999999999</v>
      </c>
      <c r="F15" s="81">
        <f t="shared" si="3"/>
        <v>128406.26000000001</v>
      </c>
      <c r="G15" s="81">
        <f t="shared" si="3"/>
        <v>149600.59</v>
      </c>
      <c r="H15" s="81">
        <f t="shared" si="3"/>
        <v>175560.77000000002</v>
      </c>
      <c r="I15" s="81">
        <f t="shared" si="3"/>
        <v>132393.63999999998</v>
      </c>
      <c r="K15" s="174"/>
      <c r="R15" s="43"/>
    </row>
    <row r="16" spans="1:18" ht="14.25" customHeight="1" x14ac:dyDescent="0.3">
      <c r="A16" s="287"/>
      <c r="B16" s="96" t="s">
        <v>725</v>
      </c>
      <c r="C16" s="94">
        <f t="shared" ref="C16:C31" si="4">IFERROR(D16+E16+F16+G16+H16+I16,"")</f>
        <v>152640.56</v>
      </c>
      <c r="D16" s="88">
        <f>IFERROR(SUMIFS(Geral!$K$2:$K$20221,Geral!$A$2:$A$20221,"Despesas",Geral!$E$2:$E$20221,"Alimentos e Limpeza",Geral!$N$2:$N$20221,7),"")</f>
        <v>13108.689999999999</v>
      </c>
      <c r="E16" s="104">
        <f>IFERROR(SUMIFS(Geral!$K$2:$K$20221,Geral!$A$2:$A$20221,"Despesas",Geral!$E$2:$E$20221,"Alimentos e Limpeza",Geral!$N$2:$N$20221,8),"")</f>
        <v>20626.79</v>
      </c>
      <c r="F16" s="88">
        <f>IFERROR(SUMIFS(Geral!$K$2:$K$20221,Geral!$A$2:$A$20221,"Despesas",Geral!$E$2:$E$20221,"Alimentos e Limpeza",Geral!$N$2:$N$20221,9),"")</f>
        <v>35074.339999999997</v>
      </c>
      <c r="G16" s="104">
        <f>IFERROR(SUMIFS(Geral!$K$2:$K$20221,Geral!$A$2:$A$20221,"Despesas",Geral!$E$2:$E$20221,"Alimentos e Limpeza",Geral!$N$2:$N$20221,10),"")</f>
        <v>36052.179999999993</v>
      </c>
      <c r="H16" s="88">
        <f>IFERROR(SUMIFS(Geral!$K$2:$K$20221,Geral!$A$2:$A$20221,"Despesas",Geral!$E$2:$E$20221,"Alimentos e Limpeza",Geral!$N$2:$N$20221,11),"")</f>
        <v>24449.109999999997</v>
      </c>
      <c r="I16" s="99">
        <f>IFERROR(SUMIFS(Geral!$K$2:$K$20221,Geral!$A$2:$A$20221,"Despesas",Geral!$E$2:$E$20221,"Alimentos e Limpeza",Geral!$N$2:$N$20221,12),"")</f>
        <v>23329.449999999997</v>
      </c>
      <c r="K16" s="174"/>
      <c r="R16" s="43"/>
    </row>
    <row r="17" spans="1:25" ht="14.25" customHeight="1" x14ac:dyDescent="0.3">
      <c r="A17" s="287"/>
      <c r="B17" s="39" t="s">
        <v>726</v>
      </c>
      <c r="C17" s="95">
        <f t="shared" si="4"/>
        <v>42566.720000000001</v>
      </c>
      <c r="D17" s="82">
        <f>IFERROR(SUMIFS(Geral!$K$2:$K$20221,Geral!$A$2:$A$20221,"Despesas",Geral!$E$2:$E$20221,"Alimentos e Bebidas",Geral!$N$2:$N$20221,7),"")</f>
        <v>5927.79</v>
      </c>
      <c r="E17" s="105">
        <f>IFERROR(SUMIFS(Geral!$K$2:$K$20221,Geral!$A$2:$A$20221,"Despesas",Geral!$E$2:$E$20221,"Alimentos e Bebidas",Geral!$N$2:$N$20221,8),"")</f>
        <v>3992.1099999999997</v>
      </c>
      <c r="F17" s="82">
        <f>IFERROR(SUMIFS(Geral!$K$2:$K$20221,Geral!$A$2:$A$20221,"Despesas",Geral!$E$2:$E$20221,"Alimentos e Bebidas",Geral!$N$2:$N$20221,9),"")</f>
        <v>12586.41</v>
      </c>
      <c r="G17" s="105">
        <f>IFERROR(SUMIFS(Geral!$K$2:$K$20221,Geral!$A$2:$A$20221,"Despesas",Geral!$E$2:$E$20221,"Alimentos e Bebidas",Geral!$N$2:$N$20221,10),"")</f>
        <v>2831.14</v>
      </c>
      <c r="H17" s="82">
        <f>IFERROR(SUMIFS(Geral!$K$2:$K$20221,Geral!$A$2:$A$20221,"Despesas",Geral!$E$2:$E$20221,"Alimentos e Bebidas",Geral!$N$2:$N$20221,11),"")</f>
        <v>7021.2999999999993</v>
      </c>
      <c r="I17" s="100">
        <f>IFERROR(SUMIFS(Geral!$K$2:$K$20221,Geral!$A$2:$A$20221,"Despesas",Geral!$E$2:$E$20221,"Alimentos e Bebidas",Geral!$N$2:$N$20221,12),"")</f>
        <v>10207.970000000001</v>
      </c>
      <c r="K17" s="174"/>
      <c r="R17" s="43"/>
    </row>
    <row r="18" spans="1:25" ht="14.25" customHeight="1" x14ac:dyDescent="0.3">
      <c r="A18" s="287"/>
      <c r="B18" s="39" t="s">
        <v>143</v>
      </c>
      <c r="C18" s="95">
        <f t="shared" si="4"/>
        <v>130207.25</v>
      </c>
      <c r="D18" s="82">
        <f>IFERROR(SUMIFS(Geral!$K:$K,Geral!$A:$A,"Despesas",Geral!$E:$E,"Bebidas",Geral!$N:$N,7),"")</f>
        <v>24049.39</v>
      </c>
      <c r="E18" s="82">
        <f>IFERROR(SUMIFS(Geral!$K:$K,Geral!$A:$A,"Despesas",Geral!$E:$E,"Bebidas",Geral!$N:$N,8),"")</f>
        <v>15067.390000000001</v>
      </c>
      <c r="F18" s="82">
        <f>IFERROR(SUMIFS(Geral!$K:$K,Geral!$A:$A,"Despesas",Geral!$E:$E,"Bebidas",Geral!$N:$N,9),"")</f>
        <v>16372.61</v>
      </c>
      <c r="G18" s="82">
        <f>IFERROR(SUMIFS(Geral!$K:$K,Geral!$A:$A,"Despesas",Geral!$E:$E,"Bebidas",Geral!$N:$N,10),"")</f>
        <v>22668.850000000002</v>
      </c>
      <c r="H18" s="82">
        <f>IFERROR(SUMIFS(Geral!$K:$K,Geral!$A:$A,"Despesas",Geral!$E:$E,"Bebidas",Geral!$N:$N,11),"")</f>
        <v>24514.92</v>
      </c>
      <c r="I18" s="82">
        <f>IFERROR(SUMIFS(Geral!$K:$K,Geral!$A:$A,"Despesas",Geral!$E:$E,"Bebidas",Geral!$N:$N,12),"")</f>
        <v>27534.09</v>
      </c>
      <c r="R18" s="43"/>
    </row>
    <row r="19" spans="1:25" ht="14.25" customHeight="1" x14ac:dyDescent="0.3">
      <c r="A19" s="287"/>
      <c r="B19" s="39" t="s">
        <v>179</v>
      </c>
      <c r="C19" s="95">
        <f t="shared" si="4"/>
        <v>143590.99</v>
      </c>
      <c r="D19" s="82">
        <f>IFERROR(SUMIFS(Geral!$K$2:$K$20221,Geral!$A$2:$A$20221,"Despesas",Geral!$E$2:$E$20221,"Peixe",Geral!$N$2:$N$20221,7),"")</f>
        <v>12189.39</v>
      </c>
      <c r="E19" s="105">
        <f>IFERROR(SUMIFS(Geral!$K$2:$K$20221,Geral!$A$2:$A$20221,"Despesas",Geral!$E$2:$E$20221,"Peixe",Geral!$N$2:$N$20221,8),"")</f>
        <v>22062</v>
      </c>
      <c r="F19" s="82">
        <f>IFERROR(SUMIFS(Geral!$K$2:$K$20221,Geral!$A$2:$A$20221,"Despesas",Geral!$E$2:$E$20221,"Peixe",Geral!$N$2:$N$20221,9),"")</f>
        <v>20019</v>
      </c>
      <c r="G19" s="105">
        <f>IFERROR(SUMIFS(Geral!$K$2:$K$20221,Geral!$A$2:$A$20221,"Despesas",Geral!$E$2:$E$20221,"Peixe",Geral!$N$2:$N$20221,10),"")</f>
        <v>28636.75</v>
      </c>
      <c r="H19" s="82">
        <f>IFERROR(SUMIFS(Geral!$K$2:$K$20221,Geral!$A$2:$A$20221,"Despesas",Geral!$E$2:$E$20221,"Peixe",Geral!$N$2:$N$20221,11),"")</f>
        <v>35851.85</v>
      </c>
      <c r="I19" s="100">
        <f>IFERROR(SUMIFS(Geral!$K$2:$K$20221,Geral!$A$2:$A$20221,"Despesas",Geral!$E$2:$E$20221,"Peixe",Geral!$N$2:$N$20221,12),"")</f>
        <v>24832</v>
      </c>
      <c r="K19" s="180"/>
      <c r="R19" s="43"/>
    </row>
    <row r="20" spans="1:25" ht="14.25" customHeight="1" x14ac:dyDescent="0.3">
      <c r="A20" s="287"/>
      <c r="B20" s="39" t="s">
        <v>717</v>
      </c>
      <c r="C20" s="95">
        <f t="shared" si="4"/>
        <v>17680.72</v>
      </c>
      <c r="D20" s="82">
        <f>IFERROR(SUMIFS(Geral!$K$2:$K$20221,Geral!$A$2:$A$20221,"Despesas",Geral!$E$2:$E$20221,"Frios",Geral!$N$2:$N$20221,7),"")</f>
        <v>2769.05</v>
      </c>
      <c r="E20" s="105">
        <f>IFERROR(SUMIFS(Geral!$K$2:$K$20221,Geral!$A$2:$A$20221,"Despesas",Geral!$E$2:$E$20221,"Frios",Geral!$N$2:$N$20221,8),"")</f>
        <v>1933.39</v>
      </c>
      <c r="F20" s="82">
        <f>IFERROR(SUMIFS(Geral!$K$2:$K$20221,Geral!$A$2:$A$20221,"Despesas",Geral!$E$2:$E$20221,"Frios",Geral!$N$2:$N$20221,9),"")</f>
        <v>2102.9300000000003</v>
      </c>
      <c r="G20" s="105">
        <f>IFERROR(SUMIFS(Geral!$K$2:$K$20221,Geral!$A$2:$A$20221,"Despesas",Geral!$E$2:$E$20221,"Frios",Geral!$N$2:$N$20221,10),"")</f>
        <v>3473.7599999999998</v>
      </c>
      <c r="H20" s="82">
        <f>IFERROR(SUMIFS(Geral!$K$2:$K$20221,Geral!$A$2:$A$20221,"Despesas",Geral!$E$2:$E$20221,"Frios",Geral!$N$2:$N$20221,11),"")</f>
        <v>4680.66</v>
      </c>
      <c r="I20" s="100">
        <f>IFERROR(SUMIFS(Geral!$K$2:$K$20221,Geral!$A$2:$A$20221,"Despesas",Geral!$E$2:$E$20221,"Frios",Geral!$N$2:$N$20221,12),"")</f>
        <v>2720.93</v>
      </c>
      <c r="R20" s="43"/>
    </row>
    <row r="21" spans="1:25" ht="14.25" customHeight="1" x14ac:dyDescent="0.3">
      <c r="A21" s="287"/>
      <c r="B21" s="39" t="s">
        <v>492</v>
      </c>
      <c r="C21" s="95">
        <f t="shared" si="4"/>
        <v>62982.8</v>
      </c>
      <c r="D21" s="82">
        <f>IFERROR(SUMIFS(Geral!$K$2:$K$20221,Geral!$A$2:$A$20221,"Despesas",Geral!$E$2:$E$20221,"Frutas e Verduras",Geral!$N$2:$N$20221,7),"")</f>
        <v>3445</v>
      </c>
      <c r="E21" s="105">
        <f>IFERROR(SUMIFS(Geral!$K$2:$K$20221,Geral!$A$2:$A$20221,"Despesas",Geral!$E$2:$E$20221,"Frutas e Verduras",Geral!$N$2:$N$20221,8),"")</f>
        <v>4611</v>
      </c>
      <c r="F21" s="82">
        <f>IFERROR(SUMIFS(Geral!$K$2:$K$20221,Geral!$A$2:$A$20221,"Despesas",Geral!$E$2:$E$20221,"Frutas e Verduras",Geral!$N$2:$N$20221,9),"")</f>
        <v>9492.7999999999993</v>
      </c>
      <c r="G21" s="105">
        <f>IFERROR(SUMIFS(Geral!$K$2:$K$20221,Geral!$A$2:$A$20221,"Despesas",Geral!$E$2:$E$20221,"Frutas e Verduras",Geral!$N$2:$N$20221,10),"")</f>
        <v>11309</v>
      </c>
      <c r="H21" s="82">
        <f>IFERROR(SUMIFS(Geral!$K$2:$K$20221,Geral!$A$2:$A$20221,"Despesas",Geral!$E$2:$E$20221,"Frutas e Verduras",Geral!$N$2:$N$20221,11),"")</f>
        <v>20121</v>
      </c>
      <c r="I21" s="100">
        <f>IFERROR(SUMIFS(Geral!$K$2:$K$20221,Geral!$A$2:$A$20221,"Despesas",Geral!$E$2:$E$20221,"Frutas e Verduras",Geral!$N$2:$N$20221,12),"")</f>
        <v>14004</v>
      </c>
      <c r="R21" s="43"/>
    </row>
    <row r="22" spans="1:25" ht="14.25" customHeight="1" x14ac:dyDescent="0.3">
      <c r="A22" s="287"/>
      <c r="B22" s="39" t="s">
        <v>730</v>
      </c>
      <c r="C22" s="95">
        <f t="shared" si="4"/>
        <v>41531.58</v>
      </c>
      <c r="D22" s="82">
        <f>IFERROR(SUMIFS(Geral!$K$2:$K$20221,Geral!$A$2:$A$20221,"Despesas",Geral!$E$2:$E$20221,"Carnes",Geral!$N$2:$N$20221,7),"")</f>
        <v>9772.61</v>
      </c>
      <c r="E22" s="105">
        <f>IFERROR(SUMIFS(Geral!$K$2:$K$20221,Geral!$A$2:$A$20221,"Despesas",Geral!$E$2:$E$20221,"Carnes",Geral!$N$2:$N$20221,8),"")</f>
        <v>6554.5599999999995</v>
      </c>
      <c r="F22" s="82">
        <f>IFERROR(SUMIFS(Geral!$K$2:$K$20221,Geral!$A$2:$A$20221,"Despesas",Geral!$E$2:$E$20221,"Carnes",Geral!$N$2:$N$20221,9),"")</f>
        <v>7978.39</v>
      </c>
      <c r="G22" s="105">
        <f>IFERROR(SUMIFS(Geral!$K$2:$K$20221,Geral!$A$2:$A$20221,"Despesas",Geral!$E$2:$E$20221,"Carnes",Geral!$N$2:$N$20221,10),"")</f>
        <v>6727.5300000000007</v>
      </c>
      <c r="H22" s="82">
        <f>IFERROR(SUMIFS(Geral!$K$2:$K$20221,Geral!$A$2:$A$20221,"Despesas",Geral!$E$2:$E$20221,"Carnes",Geral!$N$2:$N$20221,11),"")</f>
        <v>4879.24</v>
      </c>
      <c r="I22" s="100">
        <f>IFERROR(SUMIFS(Geral!$K$2:$K$20221,Geral!$A$2:$A$20221,"Despesas",Geral!$E$2:$E$20221,"Carnes",Geral!$N$2:$N$20221,12),"")</f>
        <v>5619.25</v>
      </c>
      <c r="R22" s="43"/>
    </row>
    <row r="23" spans="1:25" ht="14.25" customHeight="1" x14ac:dyDescent="0.3">
      <c r="A23" s="287"/>
      <c r="B23" s="39" t="s">
        <v>467</v>
      </c>
      <c r="C23" s="95">
        <f t="shared" si="4"/>
        <v>10619.85</v>
      </c>
      <c r="D23" s="82">
        <f>IFERROR(SUMIFS(Geral!$K$2:$K$20221,Geral!$A$2:$A$20221,"Despesas",Geral!$E$2:$E$20221,"Picolés",Geral!$N$2:$N$20221,7),"")</f>
        <v>0</v>
      </c>
      <c r="E23" s="105">
        <f>IFERROR(SUMIFS(Geral!$K$2:$K$20221,Geral!$A$2:$A$20221,"Despesas",Geral!$E$2:$E$20221,"Picolés",Geral!$N$2:$N$20221,8),"")</f>
        <v>3492.69</v>
      </c>
      <c r="F23" s="82">
        <f>IFERROR(SUMIFS(Geral!$K$2:$K$20221,Geral!$A$2:$A$20221,"Despesas",Geral!$E$2:$E$20221,"Picolés",Geral!$N$2:$N$20221,9),"")</f>
        <v>1340.17</v>
      </c>
      <c r="G23" s="105">
        <f>IFERROR(SUMIFS(Geral!$K$2:$K$20221,Geral!$A$2:$A$20221,"Despesas",Geral!$E$2:$E$20221,"Picolés",Geral!$N$2:$N$20221,10),"")</f>
        <v>1375.0900000000001</v>
      </c>
      <c r="H23" s="82">
        <f>IFERROR(SUMIFS(Geral!$K$2:$K$20221,Geral!$A$2:$A$20221,"Despesas",Geral!$E$2:$E$20221,"Picolés",Geral!$N$2:$N$20221,11),"")</f>
        <v>3076.0699999999997</v>
      </c>
      <c r="I23" s="100">
        <f>IFERROR(SUMIFS(Geral!$K$2:$K$20221,Geral!$A$2:$A$20221,"Despesas",Geral!$E$2:$E$20221,"Picolés",Geral!$N$2:$N$20221,12),"")</f>
        <v>1335.83</v>
      </c>
      <c r="R23" s="43"/>
    </row>
    <row r="24" spans="1:25" ht="14.25" customHeight="1" x14ac:dyDescent="0.3">
      <c r="A24" s="287"/>
      <c r="B24" s="39" t="s">
        <v>108</v>
      </c>
      <c r="C24" s="95">
        <f t="shared" si="4"/>
        <v>17520</v>
      </c>
      <c r="D24" s="82">
        <f>IFERROR(SUMIFS(Geral!$K$2:$K$20221,Geral!$A$2:$A$20221,"Despesas",Geral!$E$2:$E$20221,"Côcos",Geral!$N$2:$N$20221,7),"")</f>
        <v>0</v>
      </c>
      <c r="E24" s="105">
        <f>IFERROR(SUMIFS(Geral!$K$2:$K$20221,Geral!$A$2:$A$20221,"Despesas",Geral!$E$2:$E$20221,"Côcos",Geral!$N$2:$N$20221,8),"")</f>
        <v>1020</v>
      </c>
      <c r="F24" s="82">
        <f>IFERROR(SUMIFS(Geral!$K$2:$K$20221,Geral!$A$2:$A$20221,"Despesas",Geral!$E$2:$E$20221,"Côcos",Geral!$N$2:$N$20221,9),"")</f>
        <v>2400</v>
      </c>
      <c r="G24" s="105">
        <f>IFERROR(SUMIFS(Geral!$K$2:$K$20221,Geral!$A$2:$A$20221,"Despesas",Geral!$E$2:$E$20221,"Côcos",Geral!$N$2:$N$20221,10),"")</f>
        <v>4650</v>
      </c>
      <c r="H24" s="82">
        <f>IFERROR(SUMIFS(Geral!$K$2:$K$20221,Geral!$A$2:$A$20221,"Despesas",Geral!$E$2:$E$20221,"Côcos",Geral!$N$2:$N$20221,11),"")</f>
        <v>6000</v>
      </c>
      <c r="I24" s="100">
        <f>IFERROR(SUMIFS(Geral!$K$2:$K$20221,Geral!$A$2:$A$20221,"Despesas",Geral!$E$2:$E$20221,"Côcos",Geral!$N$2:$N$20221,12),"")</f>
        <v>3450</v>
      </c>
      <c r="J24" s="1"/>
      <c r="R24" s="43"/>
    </row>
    <row r="25" spans="1:25" ht="14.25" customHeight="1" x14ac:dyDescent="0.3">
      <c r="A25" s="287"/>
      <c r="B25" s="39" t="s">
        <v>169</v>
      </c>
      <c r="C25" s="95">
        <f t="shared" si="4"/>
        <v>26862</v>
      </c>
      <c r="D25" s="82">
        <f>IFERROR(SUMIFS(Geral!$K$2:$K$20221,Geral!$A$2:$A$20221,"Despesas",Geral!$E$2:$E$20221,"Salgados",Geral!$N$2:$N$20221,7),"")</f>
        <v>4820</v>
      </c>
      <c r="E25" s="105">
        <f>IFERROR(SUMIFS(Geral!$K$2:$K$20221,Geral!$A$2:$A$20221,"Despesas",Geral!$E$2:$E$20221,"Salgados",Geral!$N$2:$N$20221,8),"")</f>
        <v>3930</v>
      </c>
      <c r="F25" s="82">
        <f>IFERROR(SUMIFS(Geral!$K$2:$K$20221,Geral!$A$2:$A$20221,"Despesas",Geral!$E$2:$E$20221,"Salgados",Geral!$N$2:$N$20221,9),"")</f>
        <v>3500</v>
      </c>
      <c r="G25" s="105">
        <f>IFERROR(SUMIFS(Geral!$K$2:$K$20221,Geral!$A$2:$A$20221,"Despesas",Geral!$E$2:$E$20221,"Salgados",Geral!$N$2:$N$20221,10),"")</f>
        <v>5175</v>
      </c>
      <c r="H25" s="82">
        <f>IFERROR(SUMIFS(Geral!$K$2:$K$20221,Geral!$A$2:$A$20221,"Despesas",Geral!$E$2:$E$20221,"Salgados",Geral!$N$2:$N$20221,11),"")</f>
        <v>5075</v>
      </c>
      <c r="I25" s="100">
        <f>IFERROR(SUMIFS(Geral!$K$2:$K$20221,Geral!$A$2:$A$20221,"Despesas",Geral!$E$2:$E$20221,"Salgados",Geral!$N$2:$N$20221,12),"")</f>
        <v>4362</v>
      </c>
      <c r="J25" s="1"/>
      <c r="K25" s="1"/>
      <c r="L25" s="1"/>
      <c r="M25" s="1"/>
      <c r="R25" s="43"/>
    </row>
    <row r="26" spans="1:25" s="1" customFormat="1" ht="14.25" customHeight="1" x14ac:dyDescent="0.3">
      <c r="A26" s="287"/>
      <c r="B26" s="39" t="s">
        <v>482</v>
      </c>
      <c r="C26" s="95">
        <f t="shared" si="4"/>
        <v>2642.8500000000004</v>
      </c>
      <c r="D26" s="82">
        <f>IFERROR(SUMIFS(Geral!$K$2:$K$20221,Geral!$A$2:$A$20221,"Despesas",Geral!$E$2:$E$20221,"Cafés",Geral!$N$2:$N$20221,7),"")</f>
        <v>0</v>
      </c>
      <c r="E26" s="105">
        <f>IFERROR(SUMIFS(Geral!$K$2:$K$20221,Geral!$A$2:$A$20221,"Despesas",Geral!$E$2:$E$20221,"Cafés",Geral!$N$2:$N$20221,8),"")</f>
        <v>0</v>
      </c>
      <c r="F26" s="82">
        <f>IFERROR(SUMIFS(Geral!$K$2:$K$20221,Geral!$A$2:$A$20221,"Despesas",Geral!$E$2:$E$20221,"Cafés",Geral!$N$2:$N$20221,9),"")</f>
        <v>0</v>
      </c>
      <c r="G26" s="105">
        <f>IFERROR(SUMIFS(Geral!$K$2:$K$20221,Geral!$A$2:$A$20221,"Despesas",Geral!$E$2:$E$20221,"Cafés",Geral!$N$2:$N$20221,10),"")</f>
        <v>0</v>
      </c>
      <c r="H26" s="82">
        <f>IFERROR(SUMIFS(Geral!$K$2:$K$20221,Geral!$A$2:$A$20221,"Despesas",Geral!$E$2:$E$20221,"Cafés",Geral!$N$2:$N$20221,11),"")</f>
        <v>2642.8500000000004</v>
      </c>
      <c r="I26" s="100">
        <f>IFERROR(SUMIFS(Geral!$K$2:$K$20221,Geral!$A$2:$A$20221,"Despesas",Geral!$E$2:$E$20221,"Cafés",Geral!$N$2:$N$20221,12),"")</f>
        <v>0</v>
      </c>
      <c r="W26" s="43"/>
      <c r="X26" s="43"/>
      <c r="Y26" s="43"/>
    </row>
    <row r="27" spans="1:25" s="1" customFormat="1" ht="14.25" customHeight="1" x14ac:dyDescent="0.3">
      <c r="A27" s="287"/>
      <c r="B27" s="39" t="s">
        <v>483</v>
      </c>
      <c r="C27" s="95">
        <f t="shared" si="4"/>
        <v>3236.04</v>
      </c>
      <c r="D27" s="82">
        <f>IFERROR(SUMIFS(Geral!$K$2:$K$20221,Geral!$A$2:$A$20221,"Despesas",Geral!$E$2:$E$20221,"Chocolates",Geral!$N$2:$N$20221,7),"")</f>
        <v>0</v>
      </c>
      <c r="E27" s="105">
        <f>IFERROR(SUMIFS(Geral!$K$2:$K$20221,Geral!$A$2:$A$20221,"Despesas",Geral!$E$2:$E$20221,"Chocolates",Geral!$N$2:$N$20221,8),"")</f>
        <v>1250.2800000000002</v>
      </c>
      <c r="F27" s="82">
        <f>IFERROR(SUMIFS(Geral!$K$2:$K$20221,Geral!$A$2:$A$20221,"Despesas",Geral!$E$2:$E$20221,"Chocolates",Geral!$N$2:$N$20221,9),"")</f>
        <v>0</v>
      </c>
      <c r="G27" s="105">
        <f>IFERROR(SUMIFS(Geral!$K$2:$K$20221,Geral!$A$2:$A$20221,"Despesas",Geral!$E$2:$E$20221,"Chocolates",Geral!$N$2:$N$20221,10),"")</f>
        <v>0</v>
      </c>
      <c r="H27" s="82">
        <f>IFERROR(SUMIFS(Geral!$K$2:$K$20221,Geral!$A$2:$A$20221,"Despesas",Geral!$E$2:$E$20221,"Chocolates",Geral!$N$2:$N$20221,11),"")</f>
        <v>1985.76</v>
      </c>
      <c r="I27" s="100">
        <f>IFERROR(SUMIFS(Geral!$K$2:$K$20221,Geral!$A$2:$A$20221,"Despesas",Geral!$E$2:$E$20221,"Chocolates",Geral!$N$2:$N$20221,12),"")</f>
        <v>0</v>
      </c>
      <c r="W27" s="43"/>
      <c r="X27" s="43"/>
      <c r="Y27" s="43"/>
    </row>
    <row r="28" spans="1:25" s="1" customFormat="1" ht="14.25" customHeight="1" x14ac:dyDescent="0.3">
      <c r="A28" s="287"/>
      <c r="B28" s="39" t="s">
        <v>719</v>
      </c>
      <c r="C28" s="95">
        <f t="shared" si="4"/>
        <v>9263.7999999999993</v>
      </c>
      <c r="D28" s="82">
        <f>IFERROR(SUMIFS(Geral!$K$2:$K$20221,Geral!$A$2:$A$20221,"Despesas",Geral!$E$2:$E$20221,"Pães",Geral!$N$2:$N$20221,7),"")</f>
        <v>0</v>
      </c>
      <c r="E28" s="105">
        <f>IFERROR(SUMIFS(Geral!$K$2:$K$20221,Geral!$A$2:$A$20221,"Despesas",Geral!$E$2:$E$20221,"Pães",Geral!$N$2:$N$20221,8),"")</f>
        <v>2188</v>
      </c>
      <c r="F28" s="82">
        <f>IFERROR(SUMIFS(Geral!$K$2:$K$20221,Geral!$A$2:$A$20221,"Despesas",Geral!$E$2:$E$20221,"Pães",Geral!$N$2:$N$20221,9),"")</f>
        <v>207.73</v>
      </c>
      <c r="G28" s="105">
        <f>IFERROR(SUMIFS(Geral!$K$2:$K$20221,Geral!$A$2:$A$20221,"Despesas",Geral!$E$2:$E$20221,"Pães",Geral!$N$2:$N$20221,10),"")</f>
        <v>3520.0699999999997</v>
      </c>
      <c r="H28" s="82">
        <f>IFERROR(SUMIFS(Geral!$K$2:$K$20221,Geral!$A$2:$A$20221,"Despesas",Geral!$E$2:$E$20221,"Pães",Geral!$N$2:$N$20221,11),"")</f>
        <v>2139</v>
      </c>
      <c r="I28" s="100">
        <f>IFERROR(SUMIFS(Geral!$K$2:$K$20221,Geral!$A$2:$A$20221,"Despesas",Geral!$E$2:$E$20221,"Pães",Geral!$N$2:$N$20221,12),"")</f>
        <v>1209</v>
      </c>
      <c r="W28" s="43"/>
      <c r="X28" s="43"/>
      <c r="Y28" s="43"/>
    </row>
    <row r="29" spans="1:25" s="1" customFormat="1" ht="14.25" customHeight="1" x14ac:dyDescent="0.3">
      <c r="A29" s="287"/>
      <c r="B29" s="39" t="s">
        <v>267</v>
      </c>
      <c r="C29" s="95">
        <f t="shared" si="4"/>
        <v>10233.5</v>
      </c>
      <c r="D29" s="82">
        <f>IFERROR(SUMIFS(Geral!$K$2:$K$20221,Geral!$A$2:$A$20221,"Despesas",Geral!$E$2:$E$20221,"Macaxeira",Geral!$N$2:$N$20221,7),"")</f>
        <v>650</v>
      </c>
      <c r="E29" s="105">
        <f>IFERROR(SUMIFS(Geral!$K$2:$K$20221,Geral!$A$2:$A$20221,"Despesas",Geral!$E$2:$E$20221,"Macaxeira",Geral!$N$2:$N$20221,8),"")</f>
        <v>1980</v>
      </c>
      <c r="F29" s="82">
        <f>IFERROR(SUMIFS(Geral!$K$2:$K$20221,Geral!$A$2:$A$20221,"Despesas",Geral!$E$2:$E$20221,"Macaxeira",Geral!$N$2:$N$20221,9),"")</f>
        <v>2316.6999999999998</v>
      </c>
      <c r="G29" s="105">
        <f>IFERROR(SUMIFS(Geral!$K$2:$K$20221,Geral!$A$2:$A$20221,"Despesas",Geral!$E$2:$E$20221,"Macaxeira",Geral!$N$2:$N$20221,10),"")</f>
        <v>1941.2</v>
      </c>
      <c r="H29" s="82">
        <f>IFERROR(SUMIFS(Geral!$K$2:$K$20221,Geral!$A$2:$A$20221,"Despesas",Geral!$E$2:$E$20221,"Macaxeira",Geral!$N$2:$N$20221,11),"")</f>
        <v>787.2</v>
      </c>
      <c r="I29" s="100">
        <f>IFERROR(SUMIFS(Geral!$K$2:$K$20221,Geral!$A$2:$A$20221,"Despesas",Geral!$E$2:$E$20221,"Macaxeira",Geral!$N$2:$N$20221,12),"")</f>
        <v>2558.4</v>
      </c>
      <c r="W29" s="43"/>
      <c r="X29" s="43"/>
      <c r="Y29" s="43"/>
    </row>
    <row r="30" spans="1:25" s="1" customFormat="1" ht="14.25" customHeight="1" x14ac:dyDescent="0.3">
      <c r="A30" s="287"/>
      <c r="B30" s="39" t="s">
        <v>229</v>
      </c>
      <c r="C30" s="95">
        <f t="shared" si="4"/>
        <v>30154.67</v>
      </c>
      <c r="D30" s="82">
        <f>IFERROR(SUMIFS(Geral!$K$2:$K$20221,Geral!$A$2:$A$20221,"Despesas",Geral!$E$2:$E$20221,"Açaí",Geral!$N$2:$N$20221,7),"")</f>
        <v>3228.92</v>
      </c>
      <c r="E30" s="105">
        <f>IFERROR(SUMIFS(Geral!$K$2:$K$20221,Geral!$A$2:$A$20221,"Despesas",Geral!$E$2:$E$20221,"Açaí",Geral!$N$2:$N$20221,8),"")</f>
        <v>2292.75</v>
      </c>
      <c r="F30" s="82">
        <f>IFERROR(SUMIFS(Geral!$K$2:$K$20221,Geral!$A$2:$A$20221,"Despesas",Geral!$E$2:$E$20221,"Açaí",Geral!$N$2:$N$20221,9),"")</f>
        <v>4142</v>
      </c>
      <c r="G30" s="105">
        <f>IFERROR(SUMIFS(Geral!$K$2:$K$20221,Geral!$A$2:$A$20221,"Despesas",Geral!$E$2:$E$20221,"Açaí",Geral!$N$2:$N$20221,10),"")</f>
        <v>4437.5</v>
      </c>
      <c r="H30" s="82">
        <f>IFERROR(SUMIFS(Geral!$K$2:$K$20221,Geral!$A$2:$A$20221,"Despesas",Geral!$E$2:$E$20221,"Açaí",Geral!$N$2:$N$20221,11),"")</f>
        <v>11614</v>
      </c>
      <c r="I30" s="100">
        <f>IFERROR(SUMIFS(Geral!$K$2:$K$20221,Geral!$A$2:$A$20221,"Despesas",Geral!$E$2:$E$20221,"Açaí",Geral!$N$2:$N$20221,12),"")</f>
        <v>4439.5</v>
      </c>
      <c r="W30" s="43"/>
      <c r="X30" s="43"/>
      <c r="Y30" s="43"/>
    </row>
    <row r="31" spans="1:25" s="1" customFormat="1" ht="14.25" customHeight="1" thickBot="1" x14ac:dyDescent="0.35">
      <c r="A31" s="288"/>
      <c r="B31" s="40" t="s">
        <v>724</v>
      </c>
      <c r="C31" s="97">
        <f t="shared" si="4"/>
        <v>67737.850000000006</v>
      </c>
      <c r="D31" s="147">
        <f>IFERROR(SUMIFS(Geral!$K$2:$K$20221,Geral!$A$2:$A$20221,"Despesas",Geral!$E$2:$E$20221,"Produtos Orientais",Geral!$N$2:$N$20221,7),"")</f>
        <v>2549.5100000000002</v>
      </c>
      <c r="E31" s="148">
        <f>IFERROR(SUMIFS(Geral!$K$2:$K$20221,Geral!$A$2:$A$20221,"Despesas",Geral!$E$2:$E$20221,"Produtos Orientais",Geral!$N$2:$N$20221,8),"")</f>
        <v>9998.61</v>
      </c>
      <c r="F31" s="147">
        <f>IFERROR(SUMIFS(Geral!$K$2:$K$20221,Geral!$A$2:$A$20221,"Despesas",Geral!$E$2:$E$20221,"Produtos Orientais",Geral!$N$2:$N$20221,9),"")</f>
        <v>10873.18</v>
      </c>
      <c r="G31" s="148">
        <f>IFERROR(SUMIFS(Geral!$K$2:$K$20221,Geral!$A$2:$A$20221,"Despesas",Geral!$E$2:$E$20221,"Produtos Orientais",Geral!$N$2:$N$20221,10),"")</f>
        <v>16802.52</v>
      </c>
      <c r="H31" s="147">
        <f>IFERROR(SUMIFS(Geral!$K$2:$K$20221,Geral!$A$2:$A$20221,"Despesas",Geral!$E$2:$E$20221,"Produtos Orientais",Geral!$N$2:$N$20221,11),"")</f>
        <v>20722.810000000001</v>
      </c>
      <c r="I31" s="149">
        <f>IFERROR(SUMIFS(Geral!$K$2:$K$20221,Geral!$A$2:$A$20221,"Despesas",Geral!$E$2:$E$20221,"Produtos Orientais",Geral!$N$2:$N$20221,12),"")</f>
        <v>6791.22</v>
      </c>
      <c r="W31" s="43"/>
      <c r="X31" s="43"/>
      <c r="Y31" s="43"/>
    </row>
    <row r="32" spans="1:25" s="1" customFormat="1" ht="14.25" customHeight="1" x14ac:dyDescent="0.3">
      <c r="A32" s="76"/>
      <c r="B32" s="77"/>
      <c r="C32" s="84"/>
      <c r="D32" s="83"/>
      <c r="E32" s="83"/>
      <c r="F32" s="83"/>
      <c r="G32" s="83"/>
      <c r="H32" s="83"/>
      <c r="I32" s="83"/>
      <c r="W32" s="43"/>
      <c r="X32" s="43"/>
      <c r="Y32" s="43"/>
    </row>
    <row r="33" spans="1:25" s="1" customFormat="1" ht="14.25" customHeight="1" thickBot="1" x14ac:dyDescent="0.35">
      <c r="J33" s="43"/>
      <c r="W33" s="43"/>
      <c r="X33" s="43"/>
      <c r="Y33" s="43"/>
    </row>
    <row r="34" spans="1:25" s="1" customFormat="1" ht="14.25" customHeight="1" thickBot="1" x14ac:dyDescent="0.35">
      <c r="A34" s="286" t="s">
        <v>780</v>
      </c>
      <c r="B34" s="266" t="s">
        <v>684</v>
      </c>
      <c r="C34" s="270">
        <f>C14/C2</f>
        <v>0.41058567616807834</v>
      </c>
      <c r="D34" s="34">
        <v>45108</v>
      </c>
      <c r="E34" s="35">
        <v>45139</v>
      </c>
      <c r="F34" s="35">
        <v>45170</v>
      </c>
      <c r="G34" s="35">
        <v>45200</v>
      </c>
      <c r="H34" s="35">
        <v>45231</v>
      </c>
      <c r="I34" s="36">
        <v>45261</v>
      </c>
      <c r="J34" s="43"/>
      <c r="K34" s="43"/>
      <c r="W34" s="43"/>
      <c r="X34" s="43"/>
      <c r="Y34" s="43"/>
    </row>
    <row r="35" spans="1:25" ht="14.25" customHeight="1" thickBot="1" x14ac:dyDescent="0.35">
      <c r="A35" s="287"/>
      <c r="B35" s="267"/>
      <c r="C35" s="271"/>
      <c r="D35" s="141">
        <f t="shared" ref="D35:I35" si="5">SUM(D36:D51)</f>
        <v>0.57940505023338318</v>
      </c>
      <c r="E35" s="141">
        <f t="shared" si="5"/>
        <v>0.38059813248368402</v>
      </c>
      <c r="F35" s="141">
        <f t="shared" si="5"/>
        <v>0.46916021200915603</v>
      </c>
      <c r="G35" s="141">
        <f t="shared" si="5"/>
        <v>0.40521246904274277</v>
      </c>
      <c r="H35" s="141">
        <f t="shared" si="5"/>
        <v>0.35304034250474059</v>
      </c>
      <c r="I35" s="142">
        <f t="shared" si="5"/>
        <v>0.40594217511322461</v>
      </c>
    </row>
    <row r="36" spans="1:25" ht="14.25" customHeight="1" x14ac:dyDescent="0.3">
      <c r="A36" s="287"/>
      <c r="B36" s="96" t="s">
        <v>725</v>
      </c>
      <c r="C36" s="139">
        <f t="shared" ref="C36:C51" si="6">IFERROR(D36+E36+F36+G36+H36+I36,"")</f>
        <v>0.51628155078323135</v>
      </c>
      <c r="D36" s="98">
        <f>IFERROR(SUMIFS(Geral!$K$2:$K$20221,Geral!$A$2:$A$20221,"Despesas",Geral!$E$2:$E$20221,"Alimentos e Limpeza",Geral!$N$2:$N$20221,7)/D$2,"")</f>
        <v>9.2051981211373451E-2</v>
      </c>
      <c r="E36" s="108">
        <f>IFERROR(SUMIFS(Geral!$K$2:$K$20221,Geral!$A$2:$A$20221,"Despesas",Geral!$E$2:$E$20221,"Alimentos e Limpeza",Geral!$N$2:$N$20221,8)/E$2,"")</f>
        <v>7.7728229468037632E-2</v>
      </c>
      <c r="F36" s="98">
        <f>IFERROR(SUMIFS(Geral!$K$2:$K$20221,Geral!$A$2:$A$20221,"Despesas",Geral!$E$2:$E$20221,"Alimentos e Limpeza",Geral!$N$2:$N$20221,9)/F$2,"")</f>
        <v>0.12815173333824395</v>
      </c>
      <c r="G36" s="108">
        <f>IFERROR(SUMIFS(Geral!$K$2:$K$20221,Geral!$A$2:$A$20221,"Despesas",Geral!$E$2:$E$20221,"Alimentos e Limpeza",Geral!$N$2:$N$20221,10)/G$2,"")</f>
        <v>9.7651973646450091E-2</v>
      </c>
      <c r="H36" s="98">
        <f>IFERROR(SUMIFS(Geral!$K$2:$K$20221,Geral!$A$2:$A$20221,"Despesas",Geral!$E$2:$E$20221,"Alimentos e Limpeza",Geral!$N$2:$N$20221,11)/H$2,"")</f>
        <v>4.9165438089250113E-2</v>
      </c>
      <c r="I36" s="111">
        <f>IFERROR(SUMIFS(Geral!$K$2:$K$20221,Geral!$A$2:$A$20221,"Despesas",Geral!$E$2:$E$20221,"Alimentos e Limpeza",Geral!$N$2:$N$20221,12)/I$2,"")</f>
        <v>7.1532195029876192E-2</v>
      </c>
    </row>
    <row r="37" spans="1:25" ht="14.25" customHeight="1" x14ac:dyDescent="0.3">
      <c r="A37" s="287"/>
      <c r="B37" s="39" t="s">
        <v>726</v>
      </c>
      <c r="C37" s="140">
        <f t="shared" si="6"/>
        <v>0.15574418045615016</v>
      </c>
      <c r="D37" s="85">
        <f>IFERROR(SUMIFS(Geral!$K$2:$K$20221,Geral!$A$2:$A$20221,"Despesas",Geral!$E$2:$E$20221,"Alimentos e Bebidas",Geral!$N$2:$N$20221,7)/D$2,"")</f>
        <v>4.1626189474689497E-2</v>
      </c>
      <c r="E37" s="109">
        <f>IFERROR(SUMIFS(Geral!$K$2:$K$20221,Geral!$A$2:$A$20221,"Despesas",Geral!$E$2:$E$20221,"Alimentos e Bebidas",Geral!$N$2:$N$20221,8)/E$2,"")</f>
        <v>1.5043525538469518E-2</v>
      </c>
      <c r="F37" s="85">
        <f>IFERROR(SUMIFS(Geral!$K$2:$K$20221,Geral!$A$2:$A$20221,"Despesas",Geral!$E$2:$E$20221,"Alimentos e Bebidas",Geral!$N$2:$N$20221,9)/F$2,"")</f>
        <v>4.5987187727717961E-2</v>
      </c>
      <c r="G37" s="109">
        <f>IFERROR(SUMIFS(Geral!$K$2:$K$20221,Geral!$A$2:$A$20221,"Despesas",Geral!$E$2:$E$20221,"Alimentos e Bebidas",Geral!$N$2:$N$20221,10)/G$2,"")</f>
        <v>7.6685073876090358E-3</v>
      </c>
      <c r="H37" s="85">
        <f>IFERROR(SUMIFS(Geral!$K$2:$K$20221,Geral!$A$2:$A$20221,"Despesas",Geral!$E$2:$E$20221,"Alimentos e Bebidas",Geral!$N$2:$N$20221,11)/H$2,"")</f>
        <v>1.4119339741039728E-2</v>
      </c>
      <c r="I37" s="112">
        <f>IFERROR(SUMIFS(Geral!$K$2:$K$20221,Geral!$A$2:$A$20221,"Despesas",Geral!$E$2:$E$20221,"Alimentos e Bebidas",Geral!$N$2:$N$20221,12)/I$2,"")</f>
        <v>3.1299430586624433E-2</v>
      </c>
    </row>
    <row r="38" spans="1:25" ht="14.25" customHeight="1" x14ac:dyDescent="0.3">
      <c r="A38" s="287"/>
      <c r="B38" s="39" t="s">
        <v>143</v>
      </c>
      <c r="C38" s="140">
        <f t="shared" si="6"/>
        <v>0.48060307411137615</v>
      </c>
      <c r="D38" s="85">
        <f>IFERROR(SUMIFS(Geral!$K$2:$K$20221,Geral!$A$2:$A$20221,"Despesas",Geral!$E$2:$E$20221,"Bebidas",Geral!$N$2:$N$20221,7)/D$2,"")</f>
        <v>0.16887988017299918</v>
      </c>
      <c r="E38" s="109">
        <f>IFERROR(SUMIFS(Geral!$K$2:$K$20221,Geral!$A$2:$A$20221,"Despesas",Geral!$E$2:$E$20221,"Bebidas",Geral!$N$2:$N$20221,8)/E$2,"")</f>
        <v>5.6778662477506944E-2</v>
      </c>
      <c r="F38" s="85">
        <f>IFERROR(SUMIFS(Geral!$K$2:$K$20221,Geral!$A$2:$A$20221,"Despesas",Geral!$E$2:$E$20221,"Bebidas",Geral!$N$2:$N$20221,9)/F$2,"")</f>
        <v>5.9820893301800314E-2</v>
      </c>
      <c r="G38" s="109">
        <f>IFERROR(SUMIFS(Geral!$K$2:$K$20221,Geral!$A$2:$A$20221,"Despesas",Geral!$E$2:$E$20221,"Bebidas",Geral!$N$2:$N$20221,10)/G$2,"")</f>
        <v>6.1401500347422283E-2</v>
      </c>
      <c r="H38" s="85">
        <f>IFERROR(SUMIFS(Geral!$K$2:$K$20221,Geral!$A$2:$A$20221,"Despesas",Geral!$E$2:$E$20221,"Bebidas",Geral!$N$2:$N$20221,11)/H$2,"")</f>
        <v>4.9297777363794405E-2</v>
      </c>
      <c r="I38" s="112">
        <f>IFERROR(SUMIFS(Geral!$K$2:$K$20221,Geral!$A$2:$A$20221,"Despesas",Geral!$E$2:$E$20221,"Bebidas",Geral!$N$2:$N$20221,12)/I$2,"")</f>
        <v>8.4424360447852995E-2</v>
      </c>
    </row>
    <row r="39" spans="1:25" ht="14.25" customHeight="1" x14ac:dyDescent="0.3">
      <c r="A39" s="287"/>
      <c r="B39" s="39" t="s">
        <v>179</v>
      </c>
      <c r="C39" s="140">
        <f t="shared" si="6"/>
        <v>0.46767793642303035</v>
      </c>
      <c r="D39" s="85">
        <f>IFERROR(SUMIFS(Geral!$K$2:$K$20221,Geral!$A$2:$A$20221,"Despesas",Geral!$E$2:$E$20221,"Peixe",Geral!$N$2:$N$20221,7)/D$2,"")</f>
        <v>8.5596463052990304E-2</v>
      </c>
      <c r="E39" s="109">
        <f>IFERROR(SUMIFS(Geral!$K$2:$K$20221,Geral!$A$2:$A$20221,"Despesas",Geral!$E$2:$E$20221,"Peixe",Geral!$N$2:$N$20221,8)/E$2,"")</f>
        <v>8.3136551956162152E-2</v>
      </c>
      <c r="F39" s="85">
        <f>IFERROR(SUMIFS(Geral!$K$2:$K$20221,Geral!$A$2:$A$20221,"Despesas",Geral!$E$2:$E$20221,"Peixe",Geral!$N$2:$N$20221,9)/F$2,"")</f>
        <v>7.314377261833882E-2</v>
      </c>
      <c r="G39" s="109">
        <f>IFERROR(SUMIFS(Geral!$K$2:$K$20221,Geral!$A$2:$A$20221,"Despesas",Geral!$E$2:$E$20221,"Peixe",Geral!$N$2:$N$20221,10)/G$2,"")</f>
        <v>7.7566326261545901E-2</v>
      </c>
      <c r="H39" s="85">
        <f>IFERROR(SUMIFS(Geral!$K$2:$K$20221,Geral!$A$2:$A$20221,"Despesas",Geral!$E$2:$E$20221,"Peixe",Geral!$N$2:$N$20221,11)/H$2,"")</f>
        <v>7.2095545055017612E-2</v>
      </c>
      <c r="I39" s="112">
        <f>IFERROR(SUMIFS(Geral!$K$2:$K$20221,Geral!$A$2:$A$20221,"Despesas",Geral!$E$2:$E$20221,"Peixe",Geral!$N$2:$N$20221,12)/I$2,"")</f>
        <v>7.6139277478975531E-2</v>
      </c>
    </row>
    <row r="40" spans="1:25" ht="14.25" customHeight="1" x14ac:dyDescent="0.3">
      <c r="A40" s="287"/>
      <c r="B40" s="39" t="s">
        <v>717</v>
      </c>
      <c r="C40" s="140">
        <f t="shared" si="6"/>
        <v>6.1578439549200586E-2</v>
      </c>
      <c r="D40" s="85">
        <f>IFERROR(SUMIFS(Geral!$K$2:$K$20221,Geral!$A$2:$A$20221,"Despesas",Geral!$E$2:$E$20221,"Frios",Geral!$N$2:$N$20221,7)/D$2,"")</f>
        <v>1.944485212277914E-2</v>
      </c>
      <c r="E40" s="109">
        <f>IFERROR(SUMIFS(Geral!$K$2:$K$20221,Geral!$A$2:$A$20221,"Despesas",Geral!$E$2:$E$20221,"Frios",Geral!$N$2:$N$20221,8)/E$2,"")</f>
        <v>7.2856213483149471E-3</v>
      </c>
      <c r="F40" s="85">
        <f>IFERROR(SUMIFS(Geral!$K$2:$K$20221,Geral!$A$2:$A$20221,"Despesas",Geral!$E$2:$E$20221,"Frios",Geral!$N$2:$N$20221,9)/F$2,"")</f>
        <v>7.683512350880827E-3</v>
      </c>
      <c r="G40" s="109">
        <f>IFERROR(SUMIFS(Geral!$K$2:$K$20221,Geral!$A$2:$A$20221,"Despesas",Geral!$E$2:$E$20221,"Frios",Geral!$N$2:$N$20221,10)/G$2,"")</f>
        <v>9.4091264376826179E-3</v>
      </c>
      <c r="H40" s="85">
        <f>IFERROR(SUMIFS(Geral!$K$2:$K$20221,Geral!$A$2:$A$20221,"Despesas",Geral!$E$2:$E$20221,"Frios",Geral!$N$2:$N$20221,11)/H$2,"")</f>
        <v>9.4124775685834553E-3</v>
      </c>
      <c r="I40" s="112">
        <f>IFERROR(SUMIFS(Geral!$K$2:$K$20221,Geral!$A$2:$A$20221,"Despesas",Geral!$E$2:$E$20221,"Frios",Geral!$N$2:$N$20221,12)/I$2,"")</f>
        <v>8.3428497209596039E-3</v>
      </c>
    </row>
    <row r="41" spans="1:25" ht="14.25" customHeight="1" x14ac:dyDescent="0.3">
      <c r="A41" s="287"/>
      <c r="B41" s="39" t="s">
        <v>492</v>
      </c>
      <c r="C41" s="140">
        <f t="shared" si="6"/>
        <v>0.19028374633250114</v>
      </c>
      <c r="D41" s="85">
        <f>IFERROR(SUMIFS(Geral!$K$2:$K$20221,Geral!$A$2:$A$20221,"Despesas",Geral!$E$2:$E$20221,"Frutas e Verduras",Geral!$N$2:$N$20221,7)/D$2,"")</f>
        <v>2.4191515343881163E-2</v>
      </c>
      <c r="E41" s="109">
        <f>IFERROR(SUMIFS(Geral!$K$2:$K$20221,Geral!$A$2:$A$20221,"Despesas",Geral!$E$2:$E$20221,"Frutas e Verduras",Geral!$N$2:$N$20221,8)/E$2,"")</f>
        <v>1.7375697628042051E-2</v>
      </c>
      <c r="F41" s="85">
        <f>IFERROR(SUMIFS(Geral!$K$2:$K$20221,Geral!$A$2:$A$20221,"Despesas",Geral!$E$2:$E$20221,"Frutas e Verduras",Geral!$N$2:$N$20221,9)/F$2,"")</f>
        <v>3.4684010425663957E-2</v>
      </c>
      <c r="G41" s="109">
        <f>IFERROR(SUMIFS(Geral!$K$2:$K$20221,Geral!$A$2:$A$20221,"Despesas",Geral!$E$2:$E$20221,"Frutas e Verduras",Geral!$N$2:$N$20221,10)/G$2,"")</f>
        <v>3.0631883286051056E-2</v>
      </c>
      <c r="H41" s="85">
        <f>IFERROR(SUMIFS(Geral!$K$2:$K$20221,Geral!$A$2:$A$20221,"Despesas",Geral!$E$2:$E$20221,"Frutas e Verduras",Geral!$N$2:$N$20221,11)/H$2,"")</f>
        <v>4.0461913738119776E-2</v>
      </c>
      <c r="I41" s="112">
        <f>IFERROR(SUMIFS(Geral!$K$2:$K$20221,Geral!$A$2:$A$20221,"Despesas",Geral!$E$2:$E$20221,"Frutas e Verduras",Geral!$N$2:$N$20221,12)/I$2,"")</f>
        <v>4.2938725910743131E-2</v>
      </c>
    </row>
    <row r="42" spans="1:25" ht="14.25" customHeight="1" x14ac:dyDescent="0.3">
      <c r="A42" s="287"/>
      <c r="B42" s="39" t="s">
        <v>730</v>
      </c>
      <c r="C42" s="140">
        <f t="shared" si="6"/>
        <v>0.16773954968089269</v>
      </c>
      <c r="D42" s="85">
        <f>IFERROR(SUMIFS(Geral!$K$2:$K$20221,Geral!$A$2:$A$20221,"Despesas",Geral!$E$2:$E$20221,"Carnes",Geral!$N$2:$N$20221,7)/D$2,"")</f>
        <v>6.8625325040570825E-2</v>
      </c>
      <c r="E42" s="109">
        <f>IFERROR(SUMIFS(Geral!$K$2:$K$20221,Geral!$A$2:$A$20221,"Despesas",Geral!$E$2:$E$20221,"Carnes",Geral!$N$2:$N$20221,8)/E$2,"")</f>
        <v>2.4699642733649815E-2</v>
      </c>
      <c r="F42" s="85">
        <f>IFERROR(SUMIFS(Geral!$K$2:$K$20221,Geral!$A$2:$A$20221,"Despesas",Geral!$E$2:$E$20221,"Carnes",Geral!$N$2:$N$20221,9)/F$2,"")</f>
        <v>2.9150783956262964E-2</v>
      </c>
      <c r="G42" s="109">
        <f>IFERROR(SUMIFS(Geral!$K$2:$K$20221,Geral!$A$2:$A$20221,"Despesas",Geral!$E$2:$E$20221,"Carnes",Geral!$N$2:$N$20221,10)/G$2,"")</f>
        <v>1.8222381622018488E-2</v>
      </c>
      <c r="H42" s="85">
        <f>IFERROR(SUMIFS(Geral!$K$2:$K$20221,Geral!$A$2:$A$20221,"Despesas",Geral!$E$2:$E$20221,"Carnes",Geral!$N$2:$N$20221,11)/H$2,"")</f>
        <v>9.811807961213833E-3</v>
      </c>
      <c r="I42" s="112">
        <f>IFERROR(SUMIFS(Geral!$K$2:$K$20221,Geral!$A$2:$A$20221,"Despesas",Geral!$E$2:$E$20221,"Carnes",Geral!$N$2:$N$20221,12)/I$2,"")</f>
        <v>1.7229608367176758E-2</v>
      </c>
    </row>
    <row r="43" spans="1:25" ht="14.25" customHeight="1" x14ac:dyDescent="0.3">
      <c r="A43" s="287"/>
      <c r="B43" s="39" t="s">
        <v>467</v>
      </c>
      <c r="C43" s="140">
        <f t="shared" si="6"/>
        <v>3.2064414803313838E-2</v>
      </c>
      <c r="D43" s="85">
        <f>IFERROR(SUMIFS(Geral!$K$2:$K$20221,Geral!$A$2:$A$20221,"Despesas",Geral!$E$2:$E$20221,"Picolés",Geral!$N$2:$N$20221,7)/D$2,"")</f>
        <v>0</v>
      </c>
      <c r="E43" s="109">
        <f>IFERROR(SUMIFS(Geral!$K$2:$K$20221,Geral!$A$2:$A$20221,"Despesas",Geral!$E$2:$E$20221,"Picolés",Geral!$N$2:$N$20221,8)/E$2,"")</f>
        <v>1.3161553968442027E-2</v>
      </c>
      <c r="F43" s="85">
        <f>IFERROR(SUMIFS(Geral!$K$2:$K$20221,Geral!$A$2:$A$20221,"Despesas",Geral!$E$2:$E$20221,"Picolés",Geral!$N$2:$N$20221,9)/F$2,"")</f>
        <v>4.8966027149167863E-3</v>
      </c>
      <c r="G43" s="109">
        <f>IFERROR(SUMIFS(Geral!$K$2:$K$20221,Geral!$A$2:$A$20221,"Despesas",Geral!$E$2:$E$20221,"Picolés",Geral!$N$2:$N$20221,10)/G$2,"")</f>
        <v>3.7246083993116947E-3</v>
      </c>
      <c r="H43" s="85">
        <f>IFERROR(SUMIFS(Geral!$K$2:$K$20221,Geral!$A$2:$A$20221,"Despesas",Geral!$E$2:$E$20221,"Picolés",Geral!$N$2:$N$20221,11)/H$2,"")</f>
        <v>6.1857601010097954E-3</v>
      </c>
      <c r="I43" s="112">
        <f>IFERROR(SUMIFS(Geral!$K$2:$K$20221,Geral!$A$2:$A$20221,"Despesas",Geral!$E$2:$E$20221,"Picolés",Geral!$N$2:$N$20221,12)/I$2,"")</f>
        <v>4.0958896196335321E-3</v>
      </c>
      <c r="J43" s="10"/>
    </row>
    <row r="44" spans="1:25" ht="14.25" customHeight="1" x14ac:dyDescent="0.3">
      <c r="A44" s="287"/>
      <c r="B44" s="39" t="s">
        <v>108</v>
      </c>
      <c r="C44" s="140">
        <f t="shared" si="6"/>
        <v>4.7851610797494989E-2</v>
      </c>
      <c r="D44" s="85">
        <f>IFERROR(SUMIFS(Geral!$K$2:$K$20221,Geral!$A$2:$A$20221,"Despesas",Geral!$E$2:$E$20221,"Côcos",Geral!$N$2:$N$20221,7)/D$2,"")</f>
        <v>0</v>
      </c>
      <c r="E44" s="109">
        <f>IFERROR(SUMIFS(Geral!$K$2:$K$20221,Geral!$A$2:$A$20221,"Despesas",Geral!$E$2:$E$20221,"Côcos",Geral!$N$2:$N$20221,8)/E$2,"")</f>
        <v>3.8436806724361072E-3</v>
      </c>
      <c r="F44" s="85">
        <f>IFERROR(SUMIFS(Geral!$K$2:$K$20221,Geral!$A$2:$A$20221,"Despesas",Geral!$E$2:$E$20221,"Côcos",Geral!$N$2:$N$20221,9)/F$2,"")</f>
        <v>8.7689222380744874E-3</v>
      </c>
      <c r="G44" s="109">
        <f>IFERROR(SUMIFS(Geral!$K$2:$K$20221,Geral!$A$2:$A$20221,"Despesas",Geral!$E$2:$E$20221,"Côcos",Geral!$N$2:$N$20221,10)/G$2,"")</f>
        <v>1.2595123996828847E-2</v>
      </c>
      <c r="H44" s="85">
        <f>IFERROR(SUMIFS(Geral!$K$2:$K$20221,Geral!$A$2:$A$20221,"Despesas",Geral!$E$2:$E$20221,"Côcos",Geral!$N$2:$N$20221,11)/H$2,"")</f>
        <v>1.2065577378297235E-2</v>
      </c>
      <c r="I44" s="112">
        <f>IFERROR(SUMIFS(Geral!$K$2:$K$20221,Geral!$A$2:$A$20221,"Despesas",Geral!$E$2:$E$20221,"Côcos",Geral!$N$2:$N$20221,12)/I$2,"")</f>
        <v>1.0578306511858312E-2</v>
      </c>
      <c r="K44" s="10"/>
    </row>
    <row r="45" spans="1:25" ht="14.25" customHeight="1" x14ac:dyDescent="0.3">
      <c r="A45" s="287"/>
      <c r="B45" s="39" t="s">
        <v>169</v>
      </c>
      <c r="C45" s="140">
        <f t="shared" si="6"/>
        <v>9.9041822478938613E-2</v>
      </c>
      <c r="D45" s="85">
        <f>IFERROR(SUMIFS(Geral!$K$2:$K$20221,Geral!$A$2:$A$20221,"Despesas",Geral!$E$2:$E$20221,"Salgados",Geral!$N$2:$N$20221,7)/D$2,"")</f>
        <v>3.3847054849784383E-2</v>
      </c>
      <c r="E45" s="109">
        <f>IFERROR(SUMIFS(Geral!$K$2:$K$20221,Geral!$A$2:$A$20221,"Despesas",Geral!$E$2:$E$20221,"Salgados",Geral!$N$2:$N$20221,8)/E$2,"")</f>
        <v>1.4809475532033238E-2</v>
      </c>
      <c r="F45" s="85">
        <f>IFERROR(SUMIFS(Geral!$K$2:$K$20221,Geral!$A$2:$A$20221,"Despesas",Geral!$E$2:$E$20221,"Salgados",Geral!$N$2:$N$20221,9)/F$2,"")</f>
        <v>1.2788011597191961E-2</v>
      </c>
      <c r="G45" s="109">
        <f>IFERROR(SUMIFS(Geral!$K$2:$K$20221,Geral!$A$2:$A$20221,"Despesas",Geral!$E$2:$E$20221,"Salgados",Geral!$N$2:$N$20221,10)/G$2,"")</f>
        <v>1.401715412550307E-2</v>
      </c>
      <c r="H45" s="85">
        <f>IFERROR(SUMIFS(Geral!$K$2:$K$20221,Geral!$A$2:$A$20221,"Despesas",Geral!$E$2:$E$20221,"Salgados",Geral!$N$2:$N$20221,11)/H$2,"")</f>
        <v>1.0205467532476411E-2</v>
      </c>
      <c r="I45" s="112">
        <f>IFERROR(SUMIFS(Geral!$K$2:$K$20221,Geral!$A$2:$A$20221,"Despesas",Geral!$E$2:$E$20221,"Salgados",Geral!$N$2:$N$20221,12)/I$2,"")</f>
        <v>1.3374658841949551E-2</v>
      </c>
      <c r="J45" s="10"/>
    </row>
    <row r="46" spans="1:25" ht="14.25" customHeight="1" x14ac:dyDescent="0.3">
      <c r="A46" s="287"/>
      <c r="B46" s="39" t="s">
        <v>482</v>
      </c>
      <c r="C46" s="140">
        <f t="shared" si="6"/>
        <v>5.3145851957054754E-3</v>
      </c>
      <c r="D46" s="85">
        <f>IFERROR(SUMIFS(Geral!$K$2:$K$20221,Geral!$A$2:$A$20221,"Despesas",Geral!$E$2:$E$20221,"Cafés",Geral!$N$2:$N$20221,7)/D$2,"")</f>
        <v>0</v>
      </c>
      <c r="E46" s="109">
        <f>IFERROR(SUMIFS(Geral!$K$2:$K$20221,Geral!$A$2:$A$20221,"Despesas",Geral!$E$2:$E$20221,"Cafés",Geral!$N$2:$N$20221,8)/E$2,"")</f>
        <v>0</v>
      </c>
      <c r="F46" s="85">
        <f>IFERROR(SUMIFS(Geral!$K$2:$K$20221,Geral!$A$2:$A$20221,"Despesas",Geral!$E$2:$E$20221,"Cafés",Geral!$N$2:$N$20221,9)/F$2,"")</f>
        <v>0</v>
      </c>
      <c r="G46" s="109">
        <f>IFERROR(SUMIFS(Geral!$K$2:$K$20221,Geral!$A$2:$A$20221,"Despesas",Geral!$E$2:$E$20221,"Cafés",Geral!$N$2:$N$20221,10)/G$2,"")</f>
        <v>0</v>
      </c>
      <c r="H46" s="85">
        <f>IFERROR(SUMIFS(Geral!$K$2:$K$20221,Geral!$A$2:$A$20221,"Despesas",Geral!$E$2:$E$20221,"Cafés",Geral!$N$2:$N$20221,11)/H$2,"")</f>
        <v>5.3145851957054754E-3</v>
      </c>
      <c r="I46" s="112">
        <f>IFERROR(SUMIFS(Geral!$K$2:$K$20221,Geral!$A$2:$A$20221,"Despesas",Geral!$E$2:$E$20221,"Cafés",Geral!$N$2:$N$20221,12)/I$2,"")</f>
        <v>0</v>
      </c>
      <c r="K46" s="10"/>
    </row>
    <row r="47" spans="1:25" ht="14.25" customHeight="1" x14ac:dyDescent="0.3">
      <c r="A47" s="287"/>
      <c r="B47" s="39" t="s">
        <v>483</v>
      </c>
      <c r="C47" s="140">
        <f t="shared" si="6"/>
        <v>8.7046715980755827E-3</v>
      </c>
      <c r="D47" s="85">
        <f>IFERROR(SUMIFS(Geral!$K$2:$K$20221,Geral!$A$2:$A$20221,"Despesas",Geral!$E$2:$E$20221,"Chocolates",Geral!$N$2:$N$20221,7)/D$2,"")</f>
        <v>0</v>
      </c>
      <c r="E47" s="109">
        <f>IFERROR(SUMIFS(Geral!$K$2:$K$20221,Geral!$A$2:$A$20221,"Despesas",Geral!$E$2:$E$20221,"Chocolates",Geral!$N$2:$N$20221,8)/E$2,"")</f>
        <v>4.7114481089543308E-3</v>
      </c>
      <c r="F47" s="85">
        <f>IFERROR(SUMIFS(Geral!$K$2:$K$20221,Geral!$A$2:$A$20221,"Despesas",Geral!$E$2:$E$20221,"Chocolates",Geral!$N$2:$N$20221,9)/F$2,"")</f>
        <v>0</v>
      </c>
      <c r="G47" s="109">
        <f>IFERROR(SUMIFS(Geral!$K$2:$K$20221,Geral!$A$2:$A$20221,"Despesas",Geral!$E$2:$E$20221,"Chocolates",Geral!$N$2:$N$20221,10)/G$2,"")</f>
        <v>0</v>
      </c>
      <c r="H47" s="85">
        <f>IFERROR(SUMIFS(Geral!$K$2:$K$20221,Geral!$A$2:$A$20221,"Despesas",Geral!$E$2:$E$20221,"Chocolates",Geral!$N$2:$N$20221,11)/H$2,"")</f>
        <v>3.9932234891212528E-3</v>
      </c>
      <c r="I47" s="112">
        <f>IFERROR(SUMIFS(Geral!$K$2:$K$20221,Geral!$A$2:$A$20221,"Despesas",Geral!$E$2:$E$20221,"Chocolates",Geral!$N$2:$N$20221,12)/I$2,"")</f>
        <v>0</v>
      </c>
    </row>
    <row r="48" spans="1:25" x14ac:dyDescent="0.3">
      <c r="A48" s="287"/>
      <c r="B48" s="39" t="s">
        <v>719</v>
      </c>
      <c r="C48" s="140">
        <f t="shared" si="6"/>
        <v>2.6547006547085208E-2</v>
      </c>
      <c r="D48" s="85">
        <f>IFERROR(SUMIFS(Geral!$K$2:$K$20221,Geral!$A$2:$A$20221,"Despesas",Geral!$E$2:$E$20221,"Pães",Geral!$N$2:$N$20221,7)/D$2,"")</f>
        <v>0</v>
      </c>
      <c r="E48" s="109">
        <f>IFERROR(SUMIFS(Geral!$K$2:$K$20221,Geral!$A$2:$A$20221,"Despesas",Geral!$E$2:$E$20221,"Pães",Geral!$N$2:$N$20221,8)/E$2,"")</f>
        <v>8.2450718738139236E-3</v>
      </c>
      <c r="F48" s="85">
        <f>IFERROR(SUMIFS(Geral!$K$2:$K$20221,Geral!$A$2:$A$20221,"Despesas",Geral!$E$2:$E$20221,"Pães",Geral!$N$2:$N$20221,9)/F$2,"")</f>
        <v>7.5898675688133887E-4</v>
      </c>
      <c r="G48" s="109">
        <f>IFERROR(SUMIFS(Geral!$K$2:$K$20221,Geral!$A$2:$A$20221,"Despesas",Geral!$E$2:$E$20221,"Pães",Geral!$N$2:$N$20221,10)/G$2,"")</f>
        <v>9.5345630381757657E-3</v>
      </c>
      <c r="H48" s="85">
        <f>IFERROR(SUMIFS(Geral!$K$2:$K$20221,Geral!$A$2:$A$20221,"Despesas",Geral!$E$2:$E$20221,"Pães",Geral!$N$2:$N$20221,11)/H$2,"")</f>
        <v>4.3013783353629646E-3</v>
      </c>
      <c r="I48" s="112">
        <f>IFERROR(SUMIFS(Geral!$K$2:$K$20221,Geral!$A$2:$A$20221,"Despesas",Geral!$E$2:$E$20221,"Pães",Geral!$N$2:$N$20221,12)/I$2,"")</f>
        <v>3.7070065428512168E-3</v>
      </c>
      <c r="J48" s="10"/>
    </row>
    <row r="49" spans="1:25" x14ac:dyDescent="0.3">
      <c r="A49" s="287"/>
      <c r="B49" s="39" t="s">
        <v>267</v>
      </c>
      <c r="C49" s="140">
        <f t="shared" si="6"/>
        <v>3.5175765079948934E-2</v>
      </c>
      <c r="D49" s="85">
        <f>IFERROR(SUMIFS(Geral!$K$2:$K$20221,Geral!$A$2:$A$20221,"Despesas",Geral!$E$2:$E$20221,"Macaxeira",Geral!$N$2:$N$20221,7)/D$2,"")</f>
        <v>4.5644368573360683E-3</v>
      </c>
      <c r="E49" s="109">
        <f>IFERROR(SUMIFS(Geral!$K$2:$K$20221,Geral!$A$2:$A$20221,"Despesas",Geral!$E$2:$E$20221,"Macaxeira",Geral!$N$2:$N$20221,8)/E$2,"")</f>
        <v>7.4612624817877379E-3</v>
      </c>
      <c r="F49" s="85">
        <f>IFERROR(SUMIFS(Geral!$K$2:$K$20221,Geral!$A$2:$A$20221,"Despesas",Geral!$E$2:$E$20221,"Macaxeira",Geral!$N$2:$N$20221,9)/F$2,"")</f>
        <v>8.4645675620613186E-3</v>
      </c>
      <c r="G49" s="109">
        <f>IFERROR(SUMIFS(Geral!$K$2:$K$20221,Geral!$A$2:$A$20221,"Despesas",Geral!$E$2:$E$20221,"Macaxeira",Geral!$N$2:$N$20221,10)/G$2,"")</f>
        <v>5.2579902586331519E-3</v>
      </c>
      <c r="H49" s="85">
        <f>IFERROR(SUMIFS(Geral!$K$2:$K$20221,Geral!$A$2:$A$20221,"Despesas",Geral!$E$2:$E$20221,"Macaxeira",Geral!$N$2:$N$20221,11)/H$2,"")</f>
        <v>1.5830037520325974E-3</v>
      </c>
      <c r="I49" s="112">
        <f>IFERROR(SUMIFS(Geral!$K$2:$K$20221,Geral!$A$2:$A$20221,"Despesas",Geral!$E$2:$E$20221,"Macaxeira",Geral!$N$2:$N$20221,12)/I$2,"")</f>
        <v>7.8445041680980584E-3</v>
      </c>
      <c r="J49" s="18"/>
      <c r="K49" s="10"/>
    </row>
    <row r="50" spans="1:25" ht="14.25" customHeight="1" x14ac:dyDescent="0.3">
      <c r="A50" s="287"/>
      <c r="B50" s="39" t="s">
        <v>229</v>
      </c>
      <c r="C50" s="140">
        <f t="shared" si="6"/>
        <v>9.5434420974850609E-2</v>
      </c>
      <c r="D50" s="85">
        <f>IFERROR(SUMIFS(Geral!$K$2:$K$20221,Geral!$A$2:$A$20221,"Despesas",Geral!$E$2:$E$20221,"Açaí",Geral!$N$2:$N$20221,7)/D$2,"")</f>
        <v>2.267415608829166E-2</v>
      </c>
      <c r="E50" s="109">
        <f>IFERROR(SUMIFS(Geral!$K$2:$K$20221,Geral!$A$2:$A$20221,"Despesas",Geral!$E$2:$E$20221,"Açaí",Geral!$N$2:$N$20221,8)/E$2,"")</f>
        <v>8.6398028056155745E-3</v>
      </c>
      <c r="F50" s="85">
        <f>IFERROR(SUMIFS(Geral!$K$2:$K$20221,Geral!$A$2:$A$20221,"Despesas",Geral!$E$2:$E$20221,"Açaí",Geral!$N$2:$N$20221,9)/F$2,"")</f>
        <v>1.5133698295876886E-2</v>
      </c>
      <c r="G50" s="109">
        <f>IFERROR(SUMIFS(Geral!$K$2:$K$20221,Geral!$A$2:$A$20221,"Despesas",Geral!$E$2:$E$20221,"Açaí",Geral!$N$2:$N$20221,10)/G$2,"")</f>
        <v>1.2019540373317851E-2</v>
      </c>
      <c r="H50" s="85">
        <f>IFERROR(SUMIFS(Geral!$K$2:$K$20221,Geral!$A$2:$A$20221,"Despesas",Geral!$E$2:$E$20221,"Açaí",Geral!$N$2:$N$20221,11)/H$2,"")</f>
        <v>2.3354935945257348E-2</v>
      </c>
      <c r="I50" s="112">
        <f>IFERROR(SUMIFS(Geral!$K$2:$K$20221,Geral!$A$2:$A$20221,"Despesas",Geral!$E$2:$E$20221,"Açaí",Geral!$N$2:$N$20221,12)/I$2,"")</f>
        <v>1.3612287466491296E-2</v>
      </c>
      <c r="J50" s="18"/>
      <c r="K50" s="18"/>
    </row>
    <row r="51" spans="1:25" ht="14.25" customHeight="1" thickBot="1" x14ac:dyDescent="0.35">
      <c r="A51" s="288"/>
      <c r="B51" s="40" t="s">
        <v>724</v>
      </c>
      <c r="C51" s="116">
        <f t="shared" si="6"/>
        <v>0.2033156065751355</v>
      </c>
      <c r="D51" s="143">
        <f>IFERROR(SUMIFS(Geral!$K$2:$K$20221,Geral!$A$2:$A$20221,"Despesas",Geral!$E$2:$E$20221,"Produtos Orientais",Geral!$N$2:$N$20221,7)/D$2,"")</f>
        <v>1.790319601868751E-2</v>
      </c>
      <c r="E51" s="144">
        <f>IFERROR(SUMIFS(Geral!$K$2:$K$20221,Geral!$A$2:$A$20221,"Despesas",Geral!$E$2:$E$20221,"Produtos Orientais",Geral!$N$2:$N$20221,8)/E$2,"")</f>
        <v>3.7677905890418029E-2</v>
      </c>
      <c r="F51" s="143">
        <f>IFERROR(SUMIFS(Geral!$K$2:$K$20221,Geral!$A$2:$A$20221,"Despesas",Geral!$E$2:$E$20221,"Produtos Orientais",Geral!$N$2:$N$20221,9)/F$2,"")</f>
        <v>3.9727529125244486E-2</v>
      </c>
      <c r="G51" s="144">
        <f>IFERROR(SUMIFS(Geral!$K$2:$K$20221,Geral!$A$2:$A$20221,"Despesas",Geral!$E$2:$E$20221,"Produtos Orientais",Geral!$N$2:$N$20221,10)/G$2,"")</f>
        <v>4.5511789862192821E-2</v>
      </c>
      <c r="H51" s="143">
        <f>IFERROR(SUMIFS(Geral!$K$2:$K$20221,Geral!$A$2:$A$20221,"Despesas",Geral!$E$2:$E$20221,"Produtos Orientais",Geral!$N$2:$N$20221,11)/H$2,"")</f>
        <v>4.1672111258458627E-2</v>
      </c>
      <c r="I51" s="145">
        <f>IFERROR(SUMIFS(Geral!$K$2:$K$20221,Geral!$A$2:$A$20221,"Despesas",Geral!$E$2:$E$20221,"Produtos Orientais",Geral!$N$2:$N$20221,12)/I$2,"")</f>
        <v>2.0823074420134029E-2</v>
      </c>
      <c r="J51" s="18"/>
      <c r="K51" s="18"/>
    </row>
    <row r="52" spans="1:25" ht="14.25" customHeight="1" x14ac:dyDescent="0.3">
      <c r="J52" s="18"/>
      <c r="K52" s="18"/>
    </row>
    <row r="53" spans="1:25" ht="14.25" customHeight="1" thickBot="1" x14ac:dyDescent="0.35">
      <c r="J53" s="18"/>
      <c r="K53" s="18"/>
    </row>
    <row r="54" spans="1:25" ht="14.25" customHeight="1" thickBot="1" x14ac:dyDescent="0.35">
      <c r="A54" s="290" t="s">
        <v>763</v>
      </c>
      <c r="B54" s="264" t="s">
        <v>684</v>
      </c>
      <c r="C54" s="274">
        <f>SUM(C56:C65)</f>
        <v>226491.38000000003</v>
      </c>
      <c r="D54" s="34">
        <v>45108</v>
      </c>
      <c r="E54" s="35">
        <v>45139</v>
      </c>
      <c r="F54" s="35">
        <v>45170</v>
      </c>
      <c r="G54" s="35">
        <v>45200</v>
      </c>
      <c r="H54" s="35">
        <v>45231</v>
      </c>
      <c r="I54" s="36">
        <v>45261</v>
      </c>
      <c r="J54" s="18"/>
      <c r="Q54" s="44"/>
      <c r="R54" s="43"/>
    </row>
    <row r="55" spans="1:25" ht="14.25" customHeight="1" thickBot="1" x14ac:dyDescent="0.35">
      <c r="A55" s="291"/>
      <c r="B55" s="265"/>
      <c r="C55" s="275"/>
      <c r="D55" s="81">
        <f t="shared" ref="D55:I55" si="7">SUM(D56:D65)</f>
        <v>7526.7199999999993</v>
      </c>
      <c r="E55" s="81">
        <f t="shared" si="7"/>
        <v>30381.489999999998</v>
      </c>
      <c r="F55" s="81">
        <f t="shared" si="7"/>
        <v>33002.15</v>
      </c>
      <c r="G55" s="81">
        <f t="shared" si="7"/>
        <v>33724.92</v>
      </c>
      <c r="H55" s="81">
        <f t="shared" si="7"/>
        <v>51993.33</v>
      </c>
      <c r="I55" s="146">
        <f t="shared" si="7"/>
        <v>69862.77</v>
      </c>
      <c r="J55" s="18"/>
      <c r="Q55" s="44"/>
      <c r="R55" s="43"/>
    </row>
    <row r="56" spans="1:25" ht="14.25" customHeight="1" x14ac:dyDescent="0.3">
      <c r="A56" s="291"/>
      <c r="B56" s="194" t="s">
        <v>47</v>
      </c>
      <c r="C56" s="95">
        <f>IFERROR(D56+E56+F56+G56+H56+I56,"")</f>
        <v>45106.270000000004</v>
      </c>
      <c r="D56" s="82">
        <f>IFERROR(SUMIFS(Geral!$K$2:$K$20221,Geral!$A$2:$A$20221,"Despesas",Geral!$D$2:$D$20221,"Eventos",Geral!$N$2:$N$20221,7),"")</f>
        <v>863.5</v>
      </c>
      <c r="E56" s="105">
        <f>IFERROR(SUMIFS(Geral!$K$2:$K$20221,Geral!$A$2:$A$20221,"Despesas",Geral!$D$2:$D$20221,"Eventos",Geral!$N$2:$N$20221,8),"")</f>
        <v>2000</v>
      </c>
      <c r="F56" s="82">
        <f>IFERROR(SUMIFS(Geral!$K$2:$K$20221,Geral!$A$2:$A$20221,"Despesas",Geral!$D$2:$D$20221,"Eventos",Geral!$N$2:$N$20221,9),"")</f>
        <v>6118.7800000000007</v>
      </c>
      <c r="G56" s="105">
        <f>IFERROR(SUMIFS(Geral!$K$2:$K$20221,Geral!$A$2:$A$20221,"Despesas",Geral!$D$2:$D$20221,"Eventos",Geral!$N$2:$N$20221,10),"")</f>
        <v>7981.94</v>
      </c>
      <c r="H56" s="82">
        <f>IFERROR(SUMIFS(Geral!$K$2:$K$20221,Geral!$A$2:$A$20221,"Despesas",Geral!$D$2:$D$20221,"Eventos",Geral!$N$2:$N$20221,11),"")</f>
        <v>9951.59</v>
      </c>
      <c r="I56" s="82">
        <f>IFERROR(SUMIFS(Geral!$K$2:$K$20221,Geral!$A$2:$A$20221,"Despesas",Geral!$D$2:$D$20221,"Eventos",Geral!$N$2:$N$20221,12),"")</f>
        <v>18190.46</v>
      </c>
      <c r="J56" s="18"/>
      <c r="K56" s="174"/>
      <c r="Q56" s="44"/>
      <c r="R56" s="43"/>
    </row>
    <row r="57" spans="1:25" ht="14.25" customHeight="1" x14ac:dyDescent="0.3">
      <c r="A57" s="291"/>
      <c r="B57" s="194" t="s">
        <v>729</v>
      </c>
      <c r="C57" s="95">
        <f t="shared" ref="C57:C64" si="8">IFERROR(D57+E57+F57+G57+H57+I57,"")</f>
        <v>10744.509999999998</v>
      </c>
      <c r="D57" s="82">
        <f>IFERROR(SUMIFS(Geral!$K$2:$K$20221,Geral!$A$2:$A$20221,"Despesas",Geral!$E$2:$E$20221,"Gasolina",Geral!$N$2:$N$20221,7),"")</f>
        <v>1230.76</v>
      </c>
      <c r="E57" s="105">
        <f>IFERROR(SUMIFS(Geral!$K$2:$K$20221,Geral!$A$2:$A$20221,"Despesas",Geral!$E$2:$E$20221,"Gasolina",Geral!$N$2:$N$20221,8),"")</f>
        <v>3601.1</v>
      </c>
      <c r="F57" s="82">
        <f>IFERROR(SUMIFS(Geral!$K$2:$K$20221,Geral!$A$2:$A$20221,"Despesas",Geral!$E$2:$E$20221,"Gasolina",Geral!$N$2:$N$20221,9),"")</f>
        <v>1460.68</v>
      </c>
      <c r="G57" s="105">
        <f>IFERROR(SUMIFS(Geral!$K$2:$K$20221,Geral!$A$2:$A$20221,"Despesas",Geral!$E$2:$E$20221,"Gasolina",Geral!$N$2:$N$20221,10),"")</f>
        <v>903.58</v>
      </c>
      <c r="H57" s="82">
        <f>IFERROR(SUMIFS(Geral!$K$2:$K$20221,Geral!$A$2:$A$20221,"Despesas",Geral!$E$2:$E$20221,"Gasolina",Geral!$N$2:$N$20221,11),"")</f>
        <v>1112.26</v>
      </c>
      <c r="I57" s="100">
        <f>IFERROR(SUMIFS(Geral!$K$2:$K$20221,Geral!$A$2:$A$20221,"Despesas",Geral!$E$2:$E$20221,"Gasolina",Geral!$N$2:$N$20221,12),"")</f>
        <v>2436.13</v>
      </c>
      <c r="J57" s="18"/>
      <c r="K57" s="18"/>
      <c r="L57" s="18"/>
      <c r="M57" s="18"/>
      <c r="N57" s="18"/>
      <c r="Q57" s="44"/>
      <c r="R57" s="43"/>
    </row>
    <row r="58" spans="1:25" ht="14.25" customHeight="1" x14ac:dyDescent="0.3">
      <c r="A58" s="291"/>
      <c r="B58" s="195" t="s">
        <v>718</v>
      </c>
      <c r="C58" s="95">
        <f t="shared" si="8"/>
        <v>25319.260000000002</v>
      </c>
      <c r="D58" s="102">
        <f>IFERROR(SUMIFS(Geral!$K$2:$K$20221,Geral!$A$2:$A$20221,"Despesas",Geral!$E$2:$E$20221,"Energia",Geral!$N$2:$N$20221,7),"")</f>
        <v>3013.5</v>
      </c>
      <c r="E58" s="106">
        <f>IFERROR(SUMIFS(Geral!$K$2:$K$20221,Geral!$A$2:$A$20221,"Despesas",Geral!$E$2:$E$20221,"Energia",Geral!$N$2:$N$20221,8),"")</f>
        <v>1471.8899999999999</v>
      </c>
      <c r="F58" s="102">
        <f>IFERROR(SUMIFS(Geral!$K$2:$K$20221,Geral!$A$2:$A$20221,"Despesas",Geral!$E$2:$E$20221,"Energia",Geral!$N$2:$N$20221,9),"")</f>
        <v>8116.11</v>
      </c>
      <c r="G58" s="106">
        <f>IFERROR(SUMIFS(Geral!$K$2:$K$20221,Geral!$A$2:$A$20221,"Despesas",Geral!$E$2:$E$20221,"Energia",Geral!$N$2:$N$20221,10),"")</f>
        <v>8070.62</v>
      </c>
      <c r="H58" s="102">
        <f>IFERROR(SUMIFS(Geral!$K$2:$K$20221,Geral!$A$2:$A$20221,"Despesas",Geral!$E$2:$E$20221,"Energia",Geral!$N$2:$N$20221,11),"")</f>
        <v>605.30999999999995</v>
      </c>
      <c r="I58" s="101">
        <f>IFERROR(SUMIFS(Geral!$K$2:$K$20221,Geral!$A$2:$A$20221,"Despesas",Geral!$E$2:$E$20221,"Energia",Geral!$N$2:$N$20221,12),"")</f>
        <v>4041.83</v>
      </c>
      <c r="K58" s="18"/>
      <c r="L58" s="18"/>
      <c r="M58" s="18"/>
      <c r="N58" s="18"/>
      <c r="Q58" s="44"/>
      <c r="R58" s="43"/>
    </row>
    <row r="59" spans="1:25" ht="14.25" customHeight="1" x14ac:dyDescent="0.3">
      <c r="A59" s="291"/>
      <c r="B59" s="194" t="s">
        <v>749</v>
      </c>
      <c r="C59" s="95">
        <f t="shared" si="8"/>
        <v>71536.03</v>
      </c>
      <c r="D59" s="82">
        <f>IFERROR(SUMIFS(Geral!$K$2:$K$20221,Geral!$A$2:$A$20221,"Despesas",Geral!$E$2:$E$20221,"Impostos S/ Vendas",Geral!$N$2:$N$20221,7),"")</f>
        <v>0</v>
      </c>
      <c r="E59" s="82">
        <f>IFERROR(SUMIFS(Geral!$K$2:$K$20221,Geral!$A$2:$A$20221,"Despesas",Geral!$E$2:$E$20221,"Impostos S/ Vendas",Geral!$N$2:$N$20221,8),"")</f>
        <v>0</v>
      </c>
      <c r="F59" s="82">
        <f>IFERROR(SUMIFS(Geral!$K$2:$K$20221,Geral!$A$2:$A$20221,"Despesas",Geral!$E$2:$E$20221,"Impostos S/ Vendas",Geral!$N$2:$N$20221,9),"")</f>
        <v>11557.01</v>
      </c>
      <c r="G59" s="82">
        <f>IFERROR(SUMIFS(Geral!$K$2:$K$20221,Geral!$A$2:$A$20221,"Despesas",Geral!$E$2:$E$20221,"Impostos S/ Vendas",Geral!$N$2:$N$20221,10),"")</f>
        <v>11449.48</v>
      </c>
      <c r="H59" s="82">
        <f>IFERROR(SUMIFS(Geral!$K$2:$K$20221,Geral!$A$2:$A$20221,"Despesas",Geral!$E$2:$E$20221,"Impostos S/ Vendas",Geral!$N$2:$N$20221,11),"")</f>
        <v>21928.75</v>
      </c>
      <c r="I59" s="82">
        <f>IFERROR(SUMIFS(Geral!$K$2:$K$20221,Geral!$A$2:$A$20221,"Despesas",Geral!$E$2:$E$20221,"Impostos S/ Vendas",Geral!$N$2:$N$20221,12),"")</f>
        <v>26600.79</v>
      </c>
      <c r="J59" s="174"/>
      <c r="K59" s="18"/>
      <c r="L59" s="18"/>
      <c r="M59" s="18"/>
      <c r="N59" s="18"/>
      <c r="Q59" s="44"/>
      <c r="R59" s="43"/>
    </row>
    <row r="60" spans="1:25" ht="14.25" customHeight="1" x14ac:dyDescent="0.3">
      <c r="A60" s="291"/>
      <c r="B60" s="39" t="s">
        <v>183</v>
      </c>
      <c r="C60" s="95">
        <f t="shared" si="8"/>
        <v>8538.1</v>
      </c>
      <c r="D60" s="82">
        <f>IFERROR(SUMIFS(Geral!$K$2:$K$20221,Geral!$A$2:$A$20221,"Despesas",Geral!$E$2:$E$20221,"Frete",Geral!$N$2:$N$20221,7),"")</f>
        <v>626</v>
      </c>
      <c r="E60" s="105">
        <f>IFERROR(SUMIFS(Geral!$K$2:$K$20221,Geral!$A$2:$A$20221,"Despesas",Geral!$E$2:$E$20221,"Frete",Geral!$N$2:$N$20221,8),"")</f>
        <v>1200</v>
      </c>
      <c r="F60" s="82">
        <f>IFERROR(SUMIFS(Geral!$K$2:$K$20221,Geral!$A$2:$A$20221,"Despesas",Geral!$E$2:$E$20221,"Frete",Geral!$N$2:$N$20221,9),"")</f>
        <v>1020</v>
      </c>
      <c r="G60" s="105">
        <f>IFERROR(SUMIFS(Geral!$K$2:$K$20221,Geral!$A$2:$A$20221,"Despesas",Geral!$E$2:$E$20221,"Frete",Geral!$N$2:$N$20221,10),"")</f>
        <v>1602.1</v>
      </c>
      <c r="H60" s="82">
        <f>IFERROR(SUMIFS(Geral!$K$2:$K$20221,Geral!$A$2:$A$20221,"Despesas",Geral!$E$2:$E$20221,"Frete",Geral!$N$2:$N$20221,11),"")</f>
        <v>2370</v>
      </c>
      <c r="I60" s="100">
        <f>IFERROR(SUMIFS(Geral!$K$2:$K$20221,Geral!$A$2:$A$20221,"Despesas",Geral!$E$2:$E$20221,"Frete",Geral!$N$2:$N$20221,12),"")</f>
        <v>1720</v>
      </c>
      <c r="K60" s="10"/>
      <c r="L60" s="10"/>
      <c r="M60" s="10"/>
      <c r="N60" s="10"/>
      <c r="Q60" s="44"/>
      <c r="R60" s="43"/>
      <c r="T60" s="9"/>
      <c r="U60" s="9"/>
      <c r="V60" s="9"/>
      <c r="W60" s="9"/>
      <c r="X60" s="9"/>
      <c r="Y60" s="9"/>
    </row>
    <row r="61" spans="1:25" ht="14.25" customHeight="1" x14ac:dyDescent="0.3">
      <c r="A61" s="291"/>
      <c r="B61" s="39" t="s">
        <v>181</v>
      </c>
      <c r="C61" s="95">
        <f t="shared" si="8"/>
        <v>8807.01</v>
      </c>
      <c r="D61" s="102">
        <f>IFERROR(SUMIFS(Geral!$K$2:$K$20221,Geral!$A$2:$A$20221,"Despesas",Geral!$E$2:$E$20221,"Gás",Geral!$N$2:$N$20221,7),"")</f>
        <v>0</v>
      </c>
      <c r="E61" s="106">
        <f>IFERROR(SUMIFS(Geral!$K$2:$K$20221,Geral!$A$2:$A$20221,"Despesas",Geral!$E$2:$E$20221,"Gás",Geral!$N$2:$N$20221,8),"")</f>
        <v>1478.97</v>
      </c>
      <c r="F61" s="102">
        <f>IFERROR(SUMIFS(Geral!$K$2:$K$20221,Geral!$A$2:$A$20221,"Despesas",Geral!$E$2:$E$20221,"Gás",Geral!$N$2:$N$20221,9),"")</f>
        <v>1828.04</v>
      </c>
      <c r="G61" s="106">
        <f>IFERROR(SUMIFS(Geral!$K$2:$K$20221,Geral!$A$2:$A$20221,"Despesas",Geral!$E$2:$E$20221,"Gás",Geral!$N$2:$N$20221,10),"")</f>
        <v>400</v>
      </c>
      <c r="H61" s="102">
        <f>IFERROR(SUMIFS(Geral!$K$2:$K$20221,Geral!$A$2:$A$20221,"Despesas",Geral!$E$2:$E$20221,"Gás",Geral!$N$2:$N$20221,11),"")</f>
        <v>2700</v>
      </c>
      <c r="I61" s="101">
        <f>IFERROR(SUMIFS(Geral!$K$2:$K$20221,Geral!$A$2:$A$20221,"Despesas",Geral!$E$2:$E$20221,"Gás",Geral!$N$2:$N$20221,12),"")</f>
        <v>2400</v>
      </c>
      <c r="J61" s="10"/>
      <c r="O61" s="9"/>
      <c r="Q61" s="44"/>
      <c r="R61" s="43"/>
      <c r="T61" s="9"/>
      <c r="U61" s="9"/>
      <c r="V61" s="9"/>
      <c r="W61" s="9"/>
      <c r="X61" s="9"/>
      <c r="Y61" s="9"/>
    </row>
    <row r="62" spans="1:25" ht="14.25" customHeight="1" x14ac:dyDescent="0.3">
      <c r="A62" s="291"/>
      <c r="B62" s="39" t="s">
        <v>778</v>
      </c>
      <c r="C62" s="95">
        <f t="shared" si="8"/>
        <v>4425.9799999999996</v>
      </c>
      <c r="D62" s="102">
        <f>IFERROR(SUMIFS(Geral!$K$2:$K$20109,Geral!$A$2:$A$20109,"Despesas",Geral!$D$2:$D$20109,"Veículos",Geral!$E$2:$E$20109,"&lt;&gt;Gasolina",Geral!$N$2:$N$20109,7),"")</f>
        <v>0</v>
      </c>
      <c r="E62" s="102">
        <f>IFERROR(SUMIFS(Geral!$K$2:$K$20109,Geral!$A$2:$A$20109,"Despesas",Geral!$D$2:$D$20109,"Veículos",Geral!$E$2:$E$20109,"&lt;&gt;Gasolina",Geral!$N$2:$N$20109,8),"")</f>
        <v>3015.98</v>
      </c>
      <c r="F62" s="102">
        <f>IFERROR(SUMIFS(Geral!$K$2:$K$20109,Geral!$A$2:$A$20109,"Despesas",Geral!$D$2:$D$20109,"Veículos",Geral!$E$2:$E$20109,"&lt;&gt;Gasolina",Geral!$N$2:$N$20109,9),"")</f>
        <v>900</v>
      </c>
      <c r="G62" s="102">
        <f>IFERROR(SUMIFS(Geral!$K$2:$K$20109,Geral!$A$2:$A$20109,"Despesas",Geral!$D$2:$D$20109,"Veículos",Geral!$E$2:$E$20109,"&lt;&gt;Gasolina",Geral!$N$2:$N$20109,10),"")</f>
        <v>0</v>
      </c>
      <c r="H62" s="102">
        <f>IFERROR(SUMIFS(Geral!$K$2:$K$20109,Geral!$A$2:$A$20109,"Despesas",Geral!$D$2:$D$20109,"Veículos",Geral!$E$2:$E$20109,"&lt;&gt;Gasolina",Geral!$N$2:$N$20109,11),"")</f>
        <v>510</v>
      </c>
      <c r="I62" s="102">
        <f>IFERROR(SUMIFS(Geral!$K$2:$K$20109,Geral!$A$2:$A$20109,"Despesas",Geral!$D$2:$D$20109,"Veículos",Geral!$E$2:$E$20109,"&lt;&gt;Gasolina",Geral!$N$2:$N$20109,12),"")</f>
        <v>0</v>
      </c>
      <c r="J62" s="10"/>
      <c r="O62" s="9"/>
      <c r="Q62" s="44"/>
      <c r="R62" s="43"/>
      <c r="T62" s="9"/>
      <c r="U62" s="9"/>
      <c r="V62" s="9"/>
      <c r="W62" s="9"/>
      <c r="X62" s="9"/>
      <c r="Y62" s="9"/>
    </row>
    <row r="63" spans="1:25" ht="14.25" customHeight="1" x14ac:dyDescent="0.3">
      <c r="A63" s="291"/>
      <c r="B63" s="39" t="s">
        <v>720</v>
      </c>
      <c r="C63" s="95">
        <f t="shared" si="8"/>
        <v>18223.78</v>
      </c>
      <c r="D63" s="102">
        <f>IFERROR(SUMIFS(Geral!$K$2:$K$20109,Geral!$A$2:$A$20109,"Despesas",Geral!$D$2:$D$20109,"Serviços Variáveis",Geral!$E$2:$E$20109,"&lt;&gt;Frete",Geral!$N$2:$N$20109,"7"),"")</f>
        <v>1278.4000000000001</v>
      </c>
      <c r="E63" s="106">
        <f>IFERROR(SUMIFS(Geral!$K$2:$K$20109,Geral!$A$2:$A$20109,"Despesas",Geral!$D$2:$D$20109,"Serviços Variáveis",Geral!$E$2:$E$20109,"&lt;&gt;Frete",Geral!$N$2:$N$20109,"8"),"")</f>
        <v>5542.9699999999993</v>
      </c>
      <c r="F63" s="102">
        <f>IFERROR(SUMIFS(Geral!$K$2:$K$20109,Geral!$A$2:$A$20109,"Despesas",Geral!$D$2:$D$20109,"Serviços Variáveis",Geral!$E$2:$E$20109,"&lt;&gt;Frete",Geral!$N$2:$N$20109,"9"),"")</f>
        <v>315</v>
      </c>
      <c r="G63" s="106">
        <f>IFERROR(SUMIFS(Geral!$K$2:$K$20109,Geral!$A$2:$A$20109,"Despesas",Geral!$D$2:$D$20109,"Serviços Variáveis",Geral!$E$2:$E$20109,"&lt;&gt;Frete",Geral!$N$2:$N$20109,"10"),"")</f>
        <v>1348</v>
      </c>
      <c r="H63" s="102">
        <f>IFERROR(SUMIFS(Geral!$K$2:$K$20109,Geral!$A$2:$A$20109,"Despesas",Geral!$D$2:$D$20109,"Serviços Variáveis",Geral!$E$2:$E$20109,"&lt;&gt;Frete",Geral!$N$2:$N$20109,"11"),"")</f>
        <v>2966.5299999999997</v>
      </c>
      <c r="I63" s="101">
        <f>IFERROR(SUMIFS(Geral!$K$2:$K$20109,Geral!$A$2:$A$20109,"Despesas",Geral!$D$2:$D$20109,"Serviços Variáveis",Geral!$E$2:$E$20109,"&lt;&gt;Frete",Geral!$N$2:$N$20109,"12"),"")</f>
        <v>6772.88</v>
      </c>
      <c r="J63" s="10"/>
      <c r="O63" s="9"/>
      <c r="P63" s="9"/>
      <c r="Q63" s="19"/>
      <c r="R63" s="9"/>
      <c r="S63" s="9"/>
    </row>
    <row r="64" spans="1:25" ht="14.25" customHeight="1" x14ac:dyDescent="0.3">
      <c r="A64" s="291"/>
      <c r="B64" s="39" t="s">
        <v>777</v>
      </c>
      <c r="C64" s="95">
        <f t="shared" si="8"/>
        <v>29426.15</v>
      </c>
      <c r="D64" s="102">
        <f>IFERROR(SUMIFS(Geral!$K$2:$K$20109,Geral!$A$2:$A$20109,"Despesas",Geral!$D$2:$D$20109,"Impostos",Geral!$E$2:$E$20109,"&lt;&gt;Impostos s/ Vendas",Geral!$E$2:$E$20109,"&lt;&gt;Impostos s/ Folha",Geral!$N$2:$N$20109,7),"")</f>
        <v>0</v>
      </c>
      <c r="E64" s="102">
        <f>IFERROR(SUMIFS(Geral!$K$2:$K$20109,Geral!$A$2:$A$20109,"Despesas",Geral!$D$2:$D$20109,"Impostos",Geral!$E$2:$E$20109,"&lt;&gt;Impostos s/ Vendas",Geral!$E$2:$E$20109,"&lt;&gt;Impostos s/ Folha",Geral!$N$2:$N$20109,8),"")</f>
        <v>11605.95</v>
      </c>
      <c r="F64" s="102">
        <f>IFERROR(SUMIFS(Geral!$K$2:$K$20109,Geral!$A$2:$A$20109,"Despesas",Geral!$D$2:$D$20109,"Impostos",Geral!$E$2:$E$20109,"&lt;&gt;Impostos s/ Vendas",Geral!$E$2:$E$20109,"&lt;&gt;Impostos s/ Folha",Geral!$N$2:$N$20109,9),"")</f>
        <v>761.21</v>
      </c>
      <c r="G64" s="102">
        <f>IFERROR(SUMIFS(Geral!$K$2:$K$20109,Geral!$A$2:$A$20109,"Despesas",Geral!$D$2:$D$20109,"Impostos",Geral!$E$2:$E$20109,"&lt;&gt;Impostos s/ Vendas",Geral!$E$2:$E$20109,"&lt;&gt;Impostos s/ Folha",Geral!$N$2:$N$20109,10),"")</f>
        <v>1102.3900000000001</v>
      </c>
      <c r="H64" s="102">
        <f>IFERROR(SUMIFS(Geral!$K$2:$K$20109,Geral!$A$2:$A$20109,"Despesas",Geral!$D$2:$D$20109,"Impostos",Geral!$E$2:$E$20109,"&lt;&gt;Impostos s/ Vendas",Geral!$E$2:$E$20109,"&lt;&gt;Impostos s/ Folha",Geral!$N$2:$N$20109,11),"")</f>
        <v>9029.3900000000012</v>
      </c>
      <c r="I64" s="102">
        <f>IFERROR(SUMIFS(Geral!$K$2:$K$20109,Geral!$A$2:$A$20109,"Despesas",Geral!$D$2:$D$20109,"Impostos",Geral!$E$2:$E$20109,"&lt;&gt;Impostos s/ Vendas",Geral!$E$2:$E$20109,"&lt;&gt;Impostos s/ Folha",Geral!$N$2:$N$20109,12),"")</f>
        <v>6927.21</v>
      </c>
      <c r="J64" s="10"/>
      <c r="O64" s="9"/>
      <c r="P64" s="9"/>
      <c r="Q64" s="19"/>
      <c r="R64" s="9"/>
      <c r="S64" s="9"/>
    </row>
    <row r="65" spans="1:25" ht="14.25" customHeight="1" thickBot="1" x14ac:dyDescent="0.35">
      <c r="A65" s="292"/>
      <c r="B65" s="40" t="s">
        <v>182</v>
      </c>
      <c r="C65" s="97">
        <f>IFERROR(D65+E65+F65+G65+H65+I65,"")</f>
        <v>4364.29</v>
      </c>
      <c r="D65" s="103">
        <f>IFERROR(SUMIFS(Geral!$K$2:$K$20221,Geral!$A$2:$A$20221,"Despesas",Geral!$E$2:$E$20221,"Taxas Bancárias",Geral!$N$2:$N$20221,7),"")</f>
        <v>514.55999999999995</v>
      </c>
      <c r="E65" s="192">
        <f>IFERROR(SUMIFS(Geral!$K$2:$K$20221,Geral!$A$2:$A$20221,"Despesas",Geral!$E$2:$E$20221,"Taxas Bancárias",Geral!$N$2:$N$20221,8),"")</f>
        <v>464.63</v>
      </c>
      <c r="F65" s="103">
        <f>IFERROR(SUMIFS(Geral!$K$2:$K$20221,Geral!$A$2:$A$20221,"Despesas",Geral!$E$2:$E$20221,"Taxas Bancárias",Geral!$N$2:$N$20221,9),"")</f>
        <v>925.31999999999994</v>
      </c>
      <c r="G65" s="192">
        <f>IFERROR(SUMIFS(Geral!$K$2:$K$20221,Geral!$A$2:$A$20221,"Despesas",Geral!$E$2:$E$20221,"Taxas Bancárias",Geral!$N$2:$N$20221,10),"")</f>
        <v>866.81</v>
      </c>
      <c r="H65" s="103">
        <f>IFERROR(SUMIFS(Geral!$K$2:$K$20221,Geral!$A$2:$A$20221,"Despesas",Geral!$E$2:$E$20221,"Taxas Bancárias",Geral!$N$2:$N$20221,11),"")</f>
        <v>819.5</v>
      </c>
      <c r="I65" s="193">
        <f>IFERROR(SUMIFS(Geral!$K$2:$K$20221,Geral!$A$2:$A$20221,"Despesas",Geral!$E$2:$E$20221,"Taxas Bancárias",Geral!$N$2:$N$20221,12),"")</f>
        <v>773.47000000000014</v>
      </c>
      <c r="J65" s="10"/>
      <c r="O65" s="9"/>
      <c r="P65" s="9"/>
      <c r="Q65" s="19"/>
      <c r="R65" s="9"/>
      <c r="S65" s="9"/>
    </row>
    <row r="66" spans="1:25" s="117" customFormat="1" ht="14.25" customHeight="1" x14ac:dyDescent="0.3">
      <c r="B66" s="77"/>
      <c r="C66" s="84"/>
      <c r="D66" s="114"/>
      <c r="E66" s="114"/>
      <c r="F66" s="114"/>
      <c r="G66" s="114"/>
      <c r="H66" s="114"/>
      <c r="J66" s="190"/>
      <c r="K66" s="190"/>
      <c r="L66" s="190"/>
      <c r="M66" s="190"/>
      <c r="N66" s="190"/>
      <c r="Q66" s="118"/>
    </row>
    <row r="67" spans="1:25" s="117" customFormat="1" ht="14.25" customHeight="1" thickBot="1" x14ac:dyDescent="0.35">
      <c r="B67" s="77"/>
      <c r="C67" s="84"/>
      <c r="D67" s="114"/>
      <c r="E67" s="114"/>
      <c r="F67" s="114"/>
      <c r="G67" s="114"/>
      <c r="H67" s="114"/>
      <c r="J67" s="190"/>
      <c r="K67" s="190"/>
      <c r="L67" s="190"/>
      <c r="M67" s="190"/>
      <c r="N67" s="190"/>
      <c r="Q67" s="118"/>
    </row>
    <row r="68" spans="1:25" s="117" customFormat="1" ht="14.25" customHeight="1" thickBot="1" x14ac:dyDescent="0.35">
      <c r="A68" s="290" t="s">
        <v>781</v>
      </c>
      <c r="B68" s="264" t="s">
        <v>684</v>
      </c>
      <c r="C68" s="272">
        <f>C54/C2</f>
        <v>0.12085458015924805</v>
      </c>
      <c r="D68" s="34">
        <v>45108</v>
      </c>
      <c r="E68" s="35">
        <v>45139</v>
      </c>
      <c r="F68" s="35">
        <v>45170</v>
      </c>
      <c r="G68" s="35">
        <v>45200</v>
      </c>
      <c r="H68" s="35">
        <v>45231</v>
      </c>
      <c r="I68" s="36">
        <v>45261</v>
      </c>
      <c r="J68" s="190"/>
      <c r="K68" s="190"/>
      <c r="L68" s="190"/>
      <c r="M68" s="190"/>
      <c r="N68" s="190"/>
      <c r="Q68" s="118"/>
    </row>
    <row r="69" spans="1:25" ht="14.25" customHeight="1" thickBot="1" x14ac:dyDescent="0.35">
      <c r="A69" s="291"/>
      <c r="B69" s="265"/>
      <c r="C69" s="273"/>
      <c r="D69" s="141">
        <f>SUM(D70:D79)</f>
        <v>5.2854212588997751E-2</v>
      </c>
      <c r="E69" s="141">
        <f t="shared" ref="E69:I69" si="9">SUM(E70:E79)</f>
        <v>0.1144870057968734</v>
      </c>
      <c r="F69" s="141">
        <f t="shared" si="9"/>
        <v>0.12058053626636248</v>
      </c>
      <c r="G69" s="141">
        <f t="shared" si="9"/>
        <v>9.1348290146910344E-2</v>
      </c>
      <c r="H69" s="141">
        <f t="shared" si="9"/>
        <v>0.10455492437839051</v>
      </c>
      <c r="I69" s="141">
        <f t="shared" si="9"/>
        <v>0.21421153473259694</v>
      </c>
      <c r="J69" s="8"/>
      <c r="K69" s="10"/>
      <c r="L69" s="10"/>
      <c r="M69" s="10"/>
      <c r="N69" s="10"/>
      <c r="Q69" s="44"/>
      <c r="R69" s="43"/>
    </row>
    <row r="70" spans="1:25" ht="14.25" customHeight="1" x14ac:dyDescent="0.3">
      <c r="A70" s="291"/>
      <c r="B70" s="89" t="s">
        <v>47</v>
      </c>
      <c r="C70" s="86">
        <f t="shared" ref="C70:C78" si="10">IFERROR(D70+E70+F70+G70+H70+I70,"")</f>
        <v>0.13336380922957525</v>
      </c>
      <c r="D70" s="85">
        <f>IFERROR(SUMIFS(Geral!$K$2:$K$20221,Geral!$A$2:$A$20221,"Despesas",Geral!$D$2:$D$20221,"Eventos",Geral!$N$2:$N$20221,7)/D$2,"")</f>
        <v>6.0636788097072234E-3</v>
      </c>
      <c r="E70" s="109">
        <f>IFERROR(SUMIFS(Geral!$K$2:$K$20221,Geral!$A$2:$A$20221,"Despesas",Geral!$D$2:$D$20221,"Eventos",Geral!$N$2:$N$20221,8)/E$2,"")</f>
        <v>7.5366287694825637E-3</v>
      </c>
      <c r="F70" s="85">
        <f>IFERROR(SUMIFS(Geral!$K$2:$K$20221,Geral!$A$2:$A$20221,"Despesas",Geral!$D$2:$D$20221,"Eventos",Geral!$N$2:$N$20221,9)/F$2,"")</f>
        <v>2.2356294171618926E-2</v>
      </c>
      <c r="G70" s="109">
        <f>IFERROR(SUMIFS(Geral!$K$2:$K$20221,Geral!$A$2:$A$20221,"Despesas",Geral!$D$2:$D$20221,"Eventos",Geral!$N$2:$N$20221,10)/G$2,"")</f>
        <v>2.1620112695752265E-2</v>
      </c>
      <c r="H70" s="85">
        <f>IFERROR(SUMIFS(Geral!$K$2:$K$20221,Geral!$A$2:$A$20221,"Despesas",Geral!$D$2:$D$20221,"Eventos",Geral!$N$2:$N$20221,11)/H$2,"")</f>
        <v>2.0011946530348164E-2</v>
      </c>
      <c r="I70" s="112">
        <f>IFERROR(SUMIFS(Geral!$K$2:$K$20221,Geral!$A$2:$A$20221,"Despesas",Geral!$D$2:$D$20221,"Eventos",Geral!$N$2:$N$20221,12)/I$2,"")</f>
        <v>5.5775148252666121E-2</v>
      </c>
      <c r="J70" s="8"/>
      <c r="K70" s="10"/>
      <c r="L70" s="10"/>
      <c r="M70" s="10"/>
      <c r="N70" s="10"/>
      <c r="Q70" s="44"/>
      <c r="R70" s="43"/>
    </row>
    <row r="71" spans="1:25" ht="14.25" customHeight="1" x14ac:dyDescent="0.3">
      <c r="A71" s="291"/>
      <c r="B71" s="89" t="s">
        <v>729</v>
      </c>
      <c r="C71" s="86">
        <f>IFERROR(D71+E71+F71+G71+H71+I71,"")</f>
        <v>3.9703387204692464E-2</v>
      </c>
      <c r="D71" s="85">
        <f>IFERROR(SUMIFS(Geral!$K$2:$K$20221,Geral!$A$2:$A$20221,"Despesas",Geral!$E$2:$E$20221,"Gasolina",Geral!$N$2:$N$20221,7)/D$2,"")</f>
        <v>8.6426558562076004E-3</v>
      </c>
      <c r="E71" s="109">
        <f>IFERROR(SUMIFS(Geral!$K$2:$K$20221,Geral!$A$2:$A$20221,"Despesas",Geral!$E$2:$E$20221,"Gasolina",Geral!$N$2:$N$20221,8)/E$2,"")</f>
        <v>1.3570076930891829E-2</v>
      </c>
      <c r="F71" s="85">
        <f>IFERROR(SUMIFS(Geral!$K$2:$K$20221,Geral!$A$2:$A$20221,"Despesas",Geral!$E$2:$E$20221,"Gasolina",Geral!$N$2:$N$20221,9)/F$2,"")</f>
        <v>5.3369122227961011E-3</v>
      </c>
      <c r="G71" s="109">
        <f>IFERROR(SUMIFS(Geral!$K$2:$K$20221,Geral!$A$2:$A$20221,"Despesas",Geral!$E$2:$E$20221,"Gasolina",Geral!$N$2:$N$20221,10)/G$2,"")</f>
        <v>2.4474628260332493E-3</v>
      </c>
      <c r="H71" s="85">
        <f>IFERROR(SUMIFS(Geral!$K$2:$K$20221,Geral!$A$2:$A$20221,"Despesas",Geral!$E$2:$E$20221,"Gasolina",Geral!$N$2:$N$20221,11)/H$2,"")</f>
        <v>2.2366765157974806E-3</v>
      </c>
      <c r="I71" s="112">
        <f>IFERROR(SUMIFS(Geral!$K$2:$K$20221,Geral!$A$2:$A$20221,"Despesas",Geral!$E$2:$E$20221,"Gasolina",Geral!$N$2:$N$20221,12)/I$2,"")</f>
        <v>7.4696028529661999E-3</v>
      </c>
      <c r="K71" s="10"/>
      <c r="L71" s="10"/>
      <c r="M71" s="10"/>
      <c r="N71" s="10"/>
      <c r="Q71" s="44"/>
      <c r="R71" s="43"/>
    </row>
    <row r="72" spans="1:25" ht="14.25" customHeight="1" x14ac:dyDescent="0.3">
      <c r="A72" s="291"/>
      <c r="B72" s="90" t="s">
        <v>718</v>
      </c>
      <c r="C72" s="86">
        <f>IFERROR(D72+E72+F72+G72+H72+I72,"")</f>
        <v>9.183246070434839E-2</v>
      </c>
      <c r="D72" s="107">
        <f>IFERROR(SUMIFS(Geral!$K$2:$K$20221,Geral!$A$2:$A$20221,"Despesas",Geral!$E$2:$E$20221,"Energia",Geral!$N$2:$N$20221,7)/D$2,"")</f>
        <v>2.1161431491664988E-2</v>
      </c>
      <c r="E72" s="110">
        <f>IFERROR(SUMIFS(Geral!$K$2:$K$20221,Geral!$A$2:$A$20221,"Despesas",Geral!$E$2:$E$20221,"Energia",Geral!$N$2:$N$20221,8)/E$2,"")</f>
        <v>5.546544259756845E-3</v>
      </c>
      <c r="F72" s="107">
        <f>IFERROR(SUMIFS(Geral!$K$2:$K$20221,Geral!$A$2:$A$20221,"Despesas",Geral!$E$2:$E$20221,"Energia",Geral!$N$2:$N$20221,9)/F$2,"")</f>
        <v>2.965397394402447E-2</v>
      </c>
      <c r="G72" s="110">
        <f>IFERROR(SUMIFS(Geral!$K$2:$K$20221,Geral!$A$2:$A$20221,"Despesas",Geral!$E$2:$E$20221,"Energia",Geral!$N$2:$N$20221,10)/G$2,"")</f>
        <v>2.1860313899201466E-2</v>
      </c>
      <c r="H72" s="107">
        <f>IFERROR(SUMIFS(Geral!$K$2:$K$20221,Geral!$A$2:$A$20221,"Despesas",Geral!$E$2:$E$20221,"Energia",Geral!$N$2:$N$20221,11)/H$2,"")</f>
        <v>1.2172357738095166E-3</v>
      </c>
      <c r="I72" s="113">
        <f>IFERROR(SUMIFS(Geral!$K$2:$K$20221,Geral!$A$2:$A$20221,"Despesas",Geral!$E$2:$E$20221,"Energia",Geral!$N$2:$N$20221,12)/I$2,"")</f>
        <v>1.2392961335891095E-2</v>
      </c>
      <c r="J72" s="117"/>
      <c r="K72" s="8"/>
      <c r="L72" s="8"/>
      <c r="M72" s="8"/>
      <c r="N72" s="8"/>
      <c r="Q72" s="44"/>
      <c r="R72" s="43"/>
    </row>
    <row r="73" spans="1:25" s="117" customFormat="1" ht="14.25" customHeight="1" x14ac:dyDescent="0.3">
      <c r="A73" s="291"/>
      <c r="B73" s="89" t="s">
        <v>749</v>
      </c>
      <c r="C73" s="86">
        <f t="shared" si="10"/>
        <v>0.19889831252223281</v>
      </c>
      <c r="D73" s="85">
        <f>IFERROR(SUMIFS(Geral!$K$2:$K$20221,Geral!$A$2:$A$20221,"Despesas",Geral!$E$2:$E$20221,"Impostos S/ Vendas",Geral!$N$2:$N$20221,7)/$D$2,"")</f>
        <v>0</v>
      </c>
      <c r="E73" s="85">
        <f>IFERROR(SUMIFS(Geral!$K$2:$K$20221,Geral!$A$2:$A$20221,"Despesas",Geral!$E$2:$E$20221,"Impostos S/ Vendas",Geral!$N$2:$N$20221,8)/$E$2,"")</f>
        <v>0</v>
      </c>
      <c r="F73" s="85">
        <f>IFERROR(SUMIFS(Geral!$K$2:$K$20221,Geral!$A$2:$A$20221,"Despesas",Geral!$E$2:$E$20221,"Impostos S/ Vendas",Geral!$N$2:$N$20221,9)/$F$2,"")</f>
        <v>4.2226050831103847E-2</v>
      </c>
      <c r="G73" s="85">
        <f>IFERROR(SUMIFS(Geral!$K$2:$K$20221,Geral!$A$2:$A$20221,"Despesas",Geral!$E$2:$E$20221,"Impostos S/ Vendas",Geral!$N$2:$N$20221,10)/$G$2,"")</f>
        <v>3.1012391462196115E-2</v>
      </c>
      <c r="H73" s="85">
        <f>IFERROR(SUMIFS(Geral!$K$2:$K$20221,Geral!$A$2:$A$20221,"Despesas",Geral!$E$2:$E$20221,"Impostos S/ Vendas",Geral!$N$2:$N$20221,11)/$H$2,"")</f>
        <v>4.4097171655722585E-2</v>
      </c>
      <c r="I73" s="85">
        <f>IFERROR(SUMIFS(Geral!$K$2:$K$20221,Geral!$A$2:$A$20221,"Despesas",Geral!$E$2:$E$20221,"Impostos S/ Vendas",Geral!$N$2:$N$20221,12)/$I$2,"")</f>
        <v>8.1562698573210274E-2</v>
      </c>
      <c r="K73" s="43"/>
      <c r="L73" s="43"/>
      <c r="M73" s="43"/>
      <c r="N73" s="43"/>
      <c r="O73" s="43"/>
      <c r="P73" s="43"/>
      <c r="Q73" s="44"/>
      <c r="R73" s="43"/>
      <c r="S73" s="43"/>
    </row>
    <row r="74" spans="1:25" s="117" customFormat="1" ht="14.25" customHeight="1" x14ac:dyDescent="0.3">
      <c r="A74" s="291"/>
      <c r="B74" s="89" t="s">
        <v>183</v>
      </c>
      <c r="C74" s="86">
        <f t="shared" si="10"/>
        <v>2.7023892685317619E-2</v>
      </c>
      <c r="D74" s="85">
        <f>IFERROR(SUMIFS(Geral!$K$2:$K$20221,Geral!$A$2:$A$20221,"Despesas",Geral!$E$2:$E$20221,"Frete",Geral!$N$2:$N$20221,7)/D$2,"")</f>
        <v>4.3959038041421214E-3</v>
      </c>
      <c r="E74" s="109">
        <f>IFERROR(SUMIFS(Geral!$K$2:$K$20221,Geral!$A$2:$A$20221,"Despesas",Geral!$E$2:$E$20221,"Frete",Geral!$N$2:$N$20221,8)/E$2,"")</f>
        <v>4.521977261689538E-3</v>
      </c>
      <c r="F74" s="85">
        <f>IFERROR(SUMIFS(Geral!$K$2:$K$20221,Geral!$A$2:$A$20221,"Despesas",Geral!$E$2:$E$20221,"Frete",Geral!$N$2:$N$20221,9)/F$2,"")</f>
        <v>3.7267919511816574E-3</v>
      </c>
      <c r="G74" s="109">
        <f>IFERROR(SUMIFS(Geral!$K$2:$K$20221,Geral!$A$2:$A$20221,"Despesas",Geral!$E$2:$E$20221,"Frete",Geral!$N$2:$N$20221,10)/G$2,"")</f>
        <v>4.3394942269504282E-3</v>
      </c>
      <c r="H74" s="85">
        <f>IFERROR(SUMIFS(Geral!$K$2:$K$20221,Geral!$A$2:$A$20221,"Despesas",Geral!$E$2:$E$20221,"Frete",Geral!$N$2:$N$20221,11)/H$2,"")</f>
        <v>4.765903064427408E-3</v>
      </c>
      <c r="I74" s="112">
        <f>IFERROR(SUMIFS(Geral!$K$2:$K$20221,Geral!$A$2:$A$20221,"Despesas",Geral!$E$2:$E$20221,"Frete",Geral!$N$2:$N$20221,12)/I$2,"")</f>
        <v>5.2738223769264623E-3</v>
      </c>
      <c r="J74" s="43"/>
      <c r="K74" s="43"/>
      <c r="L74" s="43"/>
      <c r="M74" s="43"/>
      <c r="N74" s="43"/>
      <c r="O74" s="43"/>
      <c r="P74" s="43"/>
      <c r="Q74" s="44"/>
      <c r="R74" s="43"/>
      <c r="S74" s="43"/>
    </row>
    <row r="75" spans="1:25" ht="14.25" customHeight="1" x14ac:dyDescent="0.3">
      <c r="A75" s="291"/>
      <c r="B75" s="89" t="s">
        <v>181</v>
      </c>
      <c r="C75" s="86">
        <f t="shared" si="10"/>
        <v>2.6124149113773608E-2</v>
      </c>
      <c r="D75" s="107">
        <f>IFERROR(SUMIFS(Geral!$K$2:$K$20221,Geral!$A$2:$A$20221,"Despesas",Geral!$E$2:$E$20221,"Gás",Geral!$N$2:$N$20221,7)/D$2,"")</f>
        <v>0</v>
      </c>
      <c r="E75" s="110">
        <f>IFERROR(SUMIFS(Geral!$K$2:$K$20221,Geral!$A$2:$A$20221,"Despesas",Geral!$E$2:$E$20221,"Gás",Geral!$N$2:$N$20221,8)/E$2,"")</f>
        <v>5.5732239256008134E-3</v>
      </c>
      <c r="F75" s="107">
        <f>IFERROR(SUMIFS(Geral!$K$2:$K$20221,Geral!$A$2:$A$20221,"Despesas",Geral!$E$2:$E$20221,"Gás",Geral!$N$2:$N$20221,9)/F$2,"")</f>
        <v>6.6791419200373696E-3</v>
      </c>
      <c r="G75" s="110">
        <f>IFERROR(SUMIFS(Geral!$K$2:$K$20221,Geral!$A$2:$A$20221,"Despesas",Geral!$E$2:$E$20221,"Gás",Geral!$N$2:$N$20221,10)/G$2,"")</f>
        <v>1.0834515266089329E-3</v>
      </c>
      <c r="H75" s="107">
        <f>IFERROR(SUMIFS(Geral!$K$2:$K$20221,Geral!$A$2:$A$20221,"Despesas",Geral!$E$2:$E$20221,"Gás",Geral!$N$2:$N$20221,11)/H$2,"")</f>
        <v>5.4295098202337558E-3</v>
      </c>
      <c r="I75" s="113">
        <f>IFERROR(SUMIFS(Geral!$K$2:$K$20221,Geral!$A$2:$A$20221,"Despesas",Geral!$E$2:$E$20221,"Gás",Geral!$N$2:$N$20221,12)/I$2,"")</f>
        <v>7.358821921292738E-3</v>
      </c>
      <c r="K75" s="117"/>
      <c r="L75" s="117"/>
      <c r="M75" s="117"/>
      <c r="N75" s="117"/>
      <c r="O75" s="117"/>
      <c r="P75" s="117"/>
      <c r="Q75" s="118"/>
      <c r="R75" s="117"/>
      <c r="S75" s="117"/>
    </row>
    <row r="76" spans="1:25" ht="14.25" customHeight="1" x14ac:dyDescent="0.3">
      <c r="A76" s="291"/>
      <c r="B76" s="89" t="s">
        <v>720</v>
      </c>
      <c r="C76" s="86">
        <f t="shared" si="10"/>
        <v>6.139932387303184E-2</v>
      </c>
      <c r="D76" s="107">
        <f>IFERROR(SUMIFS(Geral!$K$2:$K$20109,Geral!$A$2:$A$20109,"Despesas",Geral!$D$2:$D$20109,"Serviços Variáveis",Geral!$E$2:$E$20109,"&lt;&gt;Frete",Geral!$N$2:$N$20109,"7")/D$2,"")</f>
        <v>8.9771939667975861E-3</v>
      </c>
      <c r="E76" s="110">
        <f>IFERROR(SUMIFS(Geral!$K$2:$K$20109,Geral!$A$2:$A$20109,"Despesas",Geral!$D$2:$D$20109,"Serviços Variáveis",Geral!$E$2:$E$20109,"&lt;&gt;Frete",Geral!$N$2:$N$20109,"8")/E$2,"")</f>
        <v>2.0887653585189379E-2</v>
      </c>
      <c r="F76" s="107">
        <f>IFERROR(SUMIFS(Geral!$K$2:$K$20109,Geral!$A$2:$A$20109,"Despesas",Geral!$D$2:$D$20109,"Serviços Variáveis",Geral!$E$2:$E$20109,"&lt;&gt;Frete",Geral!$N$2:$N$20109,"9")/F$2,"")</f>
        <v>1.1509210437472765E-3</v>
      </c>
      <c r="G76" s="110">
        <f>IFERROR(SUMIFS(Geral!$K$2:$K$20109,Geral!$A$2:$A$20109,"Despesas",Geral!$D$2:$D$20109,"Serviços Variáveis",Geral!$E$2:$E$20109,"&lt;&gt;Frete",Geral!$N$2:$N$20109,"10")/G$2,"")</f>
        <v>3.6512316446721043E-3</v>
      </c>
      <c r="H76" s="107">
        <f>IFERROR(SUMIFS(Geral!$K$2:$K$20109,Geral!$A$2:$A$20109,"Despesas",Geral!$D$2:$D$20109,"Serviços Variáveis",Geral!$E$2:$E$20109,"&lt;&gt;Frete",Geral!$N$2:$N$20109,"11")/H$2,"")</f>
        <v>5.9654828766733487E-3</v>
      </c>
      <c r="I76" s="113">
        <f>IFERROR(SUMIFS(Geral!$K$2:$K$20109,Geral!$A$2:$A$20109,"Despesas",Geral!$D$2:$D$20109,"Serviços Variáveis",Geral!$E$2:$E$20109,"&lt;&gt;Frete",Geral!$N$2:$N$20109,"12")/I$2,"")</f>
        <v>2.076684075595215E-2</v>
      </c>
      <c r="Q76" s="44"/>
      <c r="R76" s="43"/>
    </row>
    <row r="77" spans="1:25" ht="14.25" customHeight="1" x14ac:dyDescent="0.3">
      <c r="A77" s="291"/>
      <c r="B77" s="39" t="s">
        <v>778</v>
      </c>
      <c r="C77" s="140">
        <f t="shared" si="10"/>
        <v>1.567908073452521E-2</v>
      </c>
      <c r="D77" s="107">
        <f>IFERROR(SUMIFS(Geral!$K$2:$K$20109,Geral!$A$2:$A$20109,"Despesas",Geral!$D$2:$D$20109,"Veículos",Geral!$E$2:$E$20109,"&lt;&gt;Gasolina",Geral!$N$2:$N$20109,7)/D$2,"")</f>
        <v>0</v>
      </c>
      <c r="E77" s="107">
        <f>IFERROR(SUMIFS(Geral!$K$2:$K$20109,Geral!$A$2:$A$20109,"Despesas",Geral!$D$2:$D$20109,"Veículos",Geral!$E$2:$E$20109,"&lt;&gt;Gasolina",Geral!$N$2:$N$20109,8)/E$2,"")</f>
        <v>1.1365160818092012E-2</v>
      </c>
      <c r="F77" s="107">
        <f>IFERROR(SUMIFS(Geral!$K$2:$K$20109,Geral!$A$2:$A$20109,"Despesas",Geral!$D$2:$D$20109,"Veículos",Geral!$E$2:$E$20109,"&lt;&gt;Gasolina",Geral!$N$2:$N$20109,9)/F$2,"")</f>
        <v>3.288345839277933E-3</v>
      </c>
      <c r="G77" s="107">
        <f>IFERROR(SUMIFS(Geral!$K$2:$K$20109,Geral!$A$2:$A$20109,"Despesas",Geral!$D$2:$D$20109,"Veículos",Geral!$E$2:$E$20109,"&lt;&gt;Gasolina",Geral!$N$2:$N$20109,10)/G$2,"")</f>
        <v>0</v>
      </c>
      <c r="H77" s="107">
        <f>IFERROR(SUMIFS(Geral!$K$2:$K$20109,Geral!$A$2:$A$20109,"Despesas",Geral!$D$2:$D$20109,"Veículos",Geral!$E$2:$E$20109,"&lt;&gt;Gasolina",Geral!$N$2:$N$20109,11)/H$2,"")</f>
        <v>1.025574077155265E-3</v>
      </c>
      <c r="I77" s="107">
        <f>IFERROR(SUMIFS(Geral!$K$2:$K$20109,Geral!$A$2:$A$20109,"Despesas",Geral!$D$2:$D$20109,"Veículos",Geral!$E$2:$E$20109,"&lt;&gt;Gasolina",Geral!$N$2:$N$20109,12)/I$2,"")</f>
        <v>0</v>
      </c>
      <c r="J77" s="10"/>
      <c r="O77" s="9"/>
      <c r="Q77" s="44"/>
      <c r="R77" s="43"/>
      <c r="T77" s="9"/>
      <c r="U77" s="9"/>
      <c r="V77" s="9"/>
      <c r="W77" s="9"/>
      <c r="X77" s="9"/>
      <c r="Y77" s="9"/>
    </row>
    <row r="78" spans="1:25" ht="14.25" customHeight="1" x14ac:dyDescent="0.3">
      <c r="A78" s="291"/>
      <c r="B78" s="39" t="s">
        <v>777</v>
      </c>
      <c r="C78" s="140">
        <f t="shared" si="10"/>
        <v>8.8899590982872589E-2</v>
      </c>
      <c r="D78" s="107">
        <f>IFERROR(SUMIFS(Geral!$K$2:$K$20109,Geral!$A$2:$A$20109,"Despesas",Geral!$D$2:$D$20109,"Impostos",Geral!$E$2:$E$20109,"&lt;&gt;Impostos s/ Vendas",Geral!$E$2:$E$20109,"&lt;&gt;Impostos s/ Folha",Geral!$N$2:$N$20109,7)/D$2,"")</f>
        <v>0</v>
      </c>
      <c r="E78" s="107">
        <f>IFERROR(SUMIFS(Geral!$K$2:$K$20109,Geral!$A$2:$A$20109,"Despesas",Geral!$D$2:$D$20109,"Impostos",Geral!$E$2:$E$20109,"&lt;&gt;Impostos s/ Vendas",Geral!$E$2:$E$20109,"&lt;&gt;Impostos s/ Folha",Geral!$N$2:$N$20109,8)/E$2,"")</f>
        <v>4.3734868333588084E-2</v>
      </c>
      <c r="F78" s="107">
        <f>IFERROR(SUMIFS(Geral!$K$2:$K$20109,Geral!$A$2:$A$20109,"Despesas",Geral!$D$2:$D$20109,"Impostos",Geral!$E$2:$E$20109,"&lt;&gt;Impostos s/ Vendas",Geral!$E$2:$E$20109,"&lt;&gt;Impostos s/ Folha",Geral!$N$2:$N$20109,9)/F$2,"")</f>
        <v>2.7812463736852839E-3</v>
      </c>
      <c r="G78" s="107">
        <f>IFERROR(SUMIFS(Geral!$K$2:$K$20109,Geral!$A$2:$A$20109,"Despesas",Geral!$D$2:$D$20109,"Impostos",Geral!$E$2:$E$20109,"&lt;&gt;Impostos s/ Vendas",Geral!$E$2:$E$20109,"&lt;&gt;Impostos s/ Folha",Geral!$N$2:$N$20109,10)/G$2,"")</f>
        <v>2.9859653210460545E-3</v>
      </c>
      <c r="H78" s="107">
        <f>IFERROR(SUMIFS(Geral!$K$2:$K$20109,Geral!$A$2:$A$20109,"Despesas",Geral!$D$2:$D$20109,"Impostos",Geral!$E$2:$E$20109,"&lt;&gt;Impostos s/ Vendas",Geral!$E$2:$E$20109,"&lt;&gt;Impostos s/ Folha",Geral!$N$2:$N$20109,11)/H$2,"")</f>
        <v>1.8157467287303882E-2</v>
      </c>
      <c r="I78" s="107">
        <f>IFERROR(SUMIFS(Geral!$K$2:$K$20109,Geral!$A$2:$A$20109,"Despesas",Geral!$D$2:$D$20109,"Impostos",Geral!$E$2:$E$20109,"&lt;&gt;Impostos s/ Vendas",Geral!$E$2:$E$20109,"&lt;&gt;Impostos s/ Folha",Geral!$N$2:$N$20109,12)/I$2,"")</f>
        <v>2.124004366724928E-2</v>
      </c>
      <c r="Q78" s="44"/>
      <c r="R78" s="43"/>
    </row>
    <row r="79" spans="1:25" ht="14.25" customHeight="1" thickBot="1" x14ac:dyDescent="0.35">
      <c r="A79" s="292"/>
      <c r="B79" s="40" t="s">
        <v>182</v>
      </c>
      <c r="C79" s="116">
        <f>IFERROR(D79+E79+F79+G79+H79+I79,"")</f>
        <v>1.511249685976163E-2</v>
      </c>
      <c r="D79" s="115">
        <f>IFERROR(SUMIFS(Geral!$K$2:$K$20221,Geral!$A$2:$A$20221,"Despesas",Geral!$E$2:$E$20221,"Taxas Bancárias",Geral!$N$2:$N$20221,7)/D$2,"")</f>
        <v>3.6133486604782265E-3</v>
      </c>
      <c r="E79" s="115">
        <f>IFERROR(SUMIFS(Geral!$K$2:$K$20221,Geral!$A$2:$A$20221,"Despesas",Geral!$E$2:$E$20221,"Taxas Bancárias",Geral!$N$2:$N$20221,8)/E$2,"")</f>
        <v>1.7508719125823417E-3</v>
      </c>
      <c r="F79" s="115">
        <f>IFERROR(SUMIFS(Geral!$K$2:$K$20221,Geral!$A$2:$A$20221,"Despesas",Geral!$E$2:$E$20221,"Taxas Bancárias",Geral!$N$2:$N$20221,9)/F$2,"")</f>
        <v>3.3808579688896184E-3</v>
      </c>
      <c r="G79" s="115">
        <f>IFERROR(SUMIFS(Geral!$K$2:$K$20221,Geral!$A$2:$A$20221,"Despesas",Geral!$E$2:$E$20221,"Taxas Bancárias",Geral!$N$2:$N$20221,10)/G$2,"")</f>
        <v>2.3478665444497228E-3</v>
      </c>
      <c r="H79" s="115">
        <f>IFERROR(SUMIFS(Geral!$K$2:$K$20221,Geral!$A$2:$A$20221,"Despesas",Geral!$E$2:$E$20221,"Taxas Bancárias",Geral!$N$2:$N$20221,11)/H$2,"")</f>
        <v>1.6479567769190973E-3</v>
      </c>
      <c r="I79" s="115">
        <f>IFERROR(SUMIFS(Geral!$K$2:$K$20221,Geral!$A$2:$A$20221,"Despesas",Geral!$E$2:$E$20221,"Taxas Bancárias",Geral!$N$2:$N$20221,12)/I$2,"")</f>
        <v>2.3715949964426232E-3</v>
      </c>
    </row>
    <row r="80" spans="1:25" ht="14.25" customHeight="1" x14ac:dyDescent="0.3">
      <c r="A80" s="163"/>
      <c r="B80" s="77"/>
      <c r="C80" s="164"/>
      <c r="D80" s="80"/>
      <c r="E80" s="80"/>
      <c r="F80" s="80"/>
      <c r="G80" s="80"/>
      <c r="H80" s="80"/>
      <c r="I80" s="80"/>
    </row>
    <row r="81" spans="1:18" ht="14.25" customHeight="1" thickBot="1" x14ac:dyDescent="0.35">
      <c r="A81" s="119"/>
      <c r="B81" s="77"/>
      <c r="C81" s="93"/>
      <c r="D81" s="114"/>
      <c r="E81" s="114"/>
      <c r="F81" s="114"/>
      <c r="G81" s="114"/>
      <c r="H81" s="114"/>
      <c r="I81" s="114"/>
    </row>
    <row r="82" spans="1:18" ht="14.25" customHeight="1" thickBot="1" x14ac:dyDescent="0.35">
      <c r="A82" s="264" t="s">
        <v>712</v>
      </c>
      <c r="B82" s="264" t="s">
        <v>684</v>
      </c>
      <c r="C82" s="282">
        <f>SUM(D83:I83)</f>
        <v>264837.01</v>
      </c>
      <c r="D82" s="24">
        <v>45108</v>
      </c>
      <c r="E82" s="25">
        <v>45139</v>
      </c>
      <c r="F82" s="25">
        <v>45170</v>
      </c>
      <c r="G82" s="25">
        <v>45200</v>
      </c>
      <c r="H82" s="25">
        <v>45231</v>
      </c>
      <c r="I82" s="26">
        <v>45261</v>
      </c>
      <c r="K82" s="180"/>
    </row>
    <row r="83" spans="1:18" ht="14.25" customHeight="1" thickBot="1" x14ac:dyDescent="0.35">
      <c r="A83" s="289"/>
      <c r="B83" s="265"/>
      <c r="C83" s="283"/>
      <c r="D83" s="159">
        <f t="shared" ref="D83:I83" si="11">SUM(D84:D90)</f>
        <v>7715.7</v>
      </c>
      <c r="E83" s="159">
        <f t="shared" si="11"/>
        <v>50392.229999999996</v>
      </c>
      <c r="F83" s="159">
        <f t="shared" si="11"/>
        <v>40021.54</v>
      </c>
      <c r="G83" s="159">
        <f t="shared" si="11"/>
        <v>47327.7</v>
      </c>
      <c r="H83" s="159">
        <f t="shared" si="11"/>
        <v>69811.75</v>
      </c>
      <c r="I83" s="178">
        <f t="shared" si="11"/>
        <v>49568.090000000004</v>
      </c>
      <c r="K83" s="180"/>
    </row>
    <row r="84" spans="1:18" ht="14.25" customHeight="1" x14ac:dyDescent="0.3">
      <c r="A84" s="289"/>
      <c r="B84" s="194" t="s">
        <v>695</v>
      </c>
      <c r="C84" s="161">
        <f t="shared" ref="C84:C90" si="12">SUM(D84:I84)</f>
        <v>3567.9</v>
      </c>
      <c r="D84" s="160">
        <f>IFERROR(SUMIFS(Geral!$K$2:$K$20221,Geral!$A$2:$A$20221,"Despesas",Geral!$D$2:$D$20221,"Serviços Fixos",Geral!$N$2:$N$20221,7),"")</f>
        <v>437.9</v>
      </c>
      <c r="E84" s="160">
        <f>IFERROR(SUMIFS(Geral!$K$2:$K$20221,Geral!$A$2:$A$20221,"Despesas",Geral!$D$2:$D$20221,"Serviços Fixos",Geral!$N$2:$N$20221,8),"")</f>
        <v>1630</v>
      </c>
      <c r="F84" s="160">
        <f>IFERROR(SUMIFS(Geral!$K$2:$K$20221,Geral!$A$2:$A$20221,"Despesas",Geral!$D$2:$D$20221,"Serviços Fixos",Geral!$N$2:$N$20221,9),"")</f>
        <v>0</v>
      </c>
      <c r="G84" s="160">
        <f>IFERROR(SUMIFS(Geral!$K$2:$K$20221,Geral!$A$2:$A$20221,"Despesas",Geral!$D$2:$D$20221,"Serviços Fixos",Geral!$N$2:$N$20221,10),"")</f>
        <v>0</v>
      </c>
      <c r="H84" s="160">
        <f>IFERROR(SUMIFS(Geral!$K$2:$K$20221,Geral!$A$2:$A$20221,"Despesas",Geral!$D$2:$D$20221,"Serviços Fixos",Geral!$N$2:$N$20221,11),"")</f>
        <v>0</v>
      </c>
      <c r="I84" s="160">
        <f>IFERROR(SUMIFS(Geral!$K$2:$K$20221,Geral!$A$2:$A$20221,"Despesas",Geral!$D$2:$D$20221,"Serviços Fixos",Geral!$N$2:$N$20221,12),"")</f>
        <v>1500</v>
      </c>
      <c r="K84" s="180"/>
    </row>
    <row r="85" spans="1:18" ht="14.25" customHeight="1" x14ac:dyDescent="0.3">
      <c r="A85" s="289"/>
      <c r="B85" s="194" t="s">
        <v>701</v>
      </c>
      <c r="C85" s="161">
        <f t="shared" si="12"/>
        <v>65078.34</v>
      </c>
      <c r="D85" s="82">
        <f>IFERROR(SUMIFS(Geral!$K$2:$K$20221,Geral!$A$2:$A$20221,"Despesas",Geral!$D$2:$D$20221,"Utilidades",Geral!$N$2:$N$20221,7),"")</f>
        <v>1330.8</v>
      </c>
      <c r="E85" s="105">
        <f>IFERROR(SUMIFS(Geral!$K$2:$K$20221,Geral!$A$2:$A$20221,"Despesas",Geral!$D$2:$D$20221,"Utilidades",Geral!$N$2:$N$20221,8),"")</f>
        <v>13654.710000000001</v>
      </c>
      <c r="F85" s="82">
        <f>IFERROR(SUMIFS(Geral!$K$2:$K$20221,Geral!$A$2:$A$20221,"Despesas",Geral!$D$2:$D$20221,"Utilidades",Geral!$N$2:$N$20221,9),"")</f>
        <v>7140.84</v>
      </c>
      <c r="G85" s="105">
        <f>IFERROR(SUMIFS(Geral!$K$2:$K$20221,Geral!$A$2:$A$20221,"Despesas",Geral!$D$2:$D$20221,"Utilidades",Geral!$N$2:$N$20221,10),"")</f>
        <v>16972.199999999997</v>
      </c>
      <c r="H85" s="82">
        <f>IFERROR(SUMIFS(Geral!$K$2:$K$20221,Geral!$A$2:$A$20221,"Despesas",Geral!$D$2:$D$20221,"Utilidades",Geral!$N$2:$N$20221,11),"")</f>
        <v>20781.88</v>
      </c>
      <c r="I85" s="100">
        <f>IFERROR(SUMIFS(Geral!$K$2:$K$20221,Geral!$A$2:$A$20221,"Despesas",Geral!$D$2:$D$20221,"Utilidades",Geral!$N$2:$N$20221,12),"")</f>
        <v>5197.91</v>
      </c>
      <c r="J85" s="10"/>
      <c r="K85" s="18"/>
      <c r="L85" s="18"/>
      <c r="M85" s="18"/>
      <c r="N85" s="18"/>
      <c r="O85" s="10"/>
      <c r="Q85" s="44"/>
      <c r="R85" s="43"/>
    </row>
    <row r="86" spans="1:18" ht="14.25" customHeight="1" x14ac:dyDescent="0.3">
      <c r="A86" s="289"/>
      <c r="B86" s="195" t="s">
        <v>696</v>
      </c>
      <c r="C86" s="161">
        <f t="shared" si="12"/>
        <v>191900.56</v>
      </c>
      <c r="D86" s="167">
        <f>IFERROR(SUMIFS(Geral!$K$2:$K$20221,Geral!$A$2:$A$20221,"Despesas",Geral!$D$2:$D$20221,"Funcionários",Geral!$N$2:$N$20221,7),"")</f>
        <v>5947</v>
      </c>
      <c r="E86" s="167">
        <f>IFERROR(SUMIFS(Geral!$K$2:$K$20221,Geral!$A$2:$A$20221,"Despesas",Geral!$D$2:$D$20221,"Funcionários",Geral!$N$2:$N$20221,8),"")</f>
        <v>34994.85</v>
      </c>
      <c r="F86" s="167">
        <f>IFERROR(SUMIFS(Geral!$K$2:$K$20221,Geral!$A$2:$A$20221,"Despesas",Geral!$D$2:$D$20221,"Funcionários",Geral!$N$2:$N$20221,9),"")</f>
        <v>31685.95</v>
      </c>
      <c r="G86" s="167">
        <f>IFERROR(SUMIFS(Geral!$K$2:$K$20221,Geral!$A$2:$A$20221,"Despesas",Geral!$D$2:$D$20221,"Funcionários",Geral!$N$2:$N$20221,10),"")</f>
        <v>29893</v>
      </c>
      <c r="H86" s="167">
        <f>IFERROR(SUMIFS(Geral!$K$2:$K$20221,Geral!$A$2:$A$20221,"Despesas",Geral!$D$2:$D$20221,"Funcionários",Geral!$N$2:$N$20221,11),"")</f>
        <v>48058.11</v>
      </c>
      <c r="I86" s="167">
        <f>IFERROR(SUMIFS(Geral!$K$2:$K$20221,Geral!$A$2:$A$20221,"Despesas",Geral!$D$2:$D$20221,"Funcionários",Geral!$N$2:$N$20221,12),"")</f>
        <v>41321.65</v>
      </c>
    </row>
    <row r="87" spans="1:18" ht="14.25" customHeight="1" x14ac:dyDescent="0.3">
      <c r="A87" s="289"/>
      <c r="B87" s="194" t="s">
        <v>171</v>
      </c>
      <c r="C87" s="161">
        <f t="shared" si="12"/>
        <v>1879.4</v>
      </c>
      <c r="D87" s="102">
        <f>IFERROR(SUMIFS(Geral!$K$2:$K$20221,Geral!$A$2:$A$20221,"Despesas",Geral!$E$2:$E$20221,"Impostos s/ Folha",Geral!$N$2:$N$20221,7),"")</f>
        <v>0</v>
      </c>
      <c r="E87" s="102">
        <f>IFERROR(SUMIFS(Geral!$K$2:$K$20221,Geral!$A$2:$A$20221,"Despesas",Geral!$E$2:$E$20221,"Impostos s/ Folha",Geral!$N$2:$N$20221,8),"")</f>
        <v>0</v>
      </c>
      <c r="F87" s="102">
        <f>IFERROR(SUMIFS(Geral!$K$2:$K$20221,Geral!$A$2:$A$20221,"Despesas",Geral!$E$2:$E$20221,"Impostos s/ Folha",Geral!$N$2:$N$20221,9),"")</f>
        <v>834.85</v>
      </c>
      <c r="G87" s="102">
        <f>IFERROR(SUMIFS(Geral!$K$2:$K$20221,Geral!$A$2:$A$20221,"Despesas",Geral!$E$2:$E$20221,"Impostos s/ Folha",Geral!$N$2:$N$20221,10),"")</f>
        <v>0</v>
      </c>
      <c r="H87" s="102">
        <f>IFERROR(SUMIFS(Geral!$K$2:$K$20221,Geral!$A$2:$A$20221,"Despesas",Geral!$E$2:$E$20221,"Impostos s/ Folha",Geral!$N$2:$N$20221,11),"")</f>
        <v>474.86</v>
      </c>
      <c r="I87" s="102">
        <f>IFERROR(SUMIFS(Geral!$K$2:$K$20221,Geral!$A$2:$A$20221,"Despesas",Geral!$E$2:$E$20221,"Impostos S/ Folha",Geral!$N$2:$N$20221,12),"")</f>
        <v>569.69000000000005</v>
      </c>
    </row>
    <row r="88" spans="1:18" ht="14.25" customHeight="1" x14ac:dyDescent="0.3">
      <c r="A88" s="289"/>
      <c r="B88" s="194" t="s">
        <v>2</v>
      </c>
      <c r="C88" s="161">
        <f t="shared" si="12"/>
        <v>555.94000000000005</v>
      </c>
      <c r="D88" s="102">
        <f>IFERROR(SUMIFS(Geral!$K$2:$K$20221,Geral!$A$2:$A$20221,"Despesas",Geral!$E$2:$E$20221,"Telefone",Geral!$N$2:$N$20221,7),"")</f>
        <v>0</v>
      </c>
      <c r="E88" s="102">
        <f>IFERROR(SUMIFS(Geral!$K$2:$K$20221,Geral!$A$2:$A$20221,"Despesas",Geral!$E$2:$E$20221,"Telefone",Geral!$N$2:$N$20221,8)/E$2,"")</f>
        <v>0</v>
      </c>
      <c r="F88" s="102">
        <f>IFERROR(SUMIFS(Geral!$K$2:$K$20221,Geral!$A$2:$A$20221,"Despesas",Geral!$E$2:$E$20221,"Telefone",Geral!$N$2:$N$20221,9),"")</f>
        <v>0</v>
      </c>
      <c r="G88" s="102">
        <f>IFERROR(SUMIFS(Geral!$K$2:$K$20221,Geral!$A$2:$A$20221,"Despesas",Geral!$E$2:$E$20221,"Telefone",Geral!$N$2:$N$20221,10),"")</f>
        <v>0</v>
      </c>
      <c r="H88" s="102">
        <f>IFERROR(SUMIFS(Geral!$K$2:$K$20221,Geral!$A$2:$A$20221,"Despesas",Geral!$E$2:$E$20221,"Telefone",Geral!$N$2:$N$20221,11),"")</f>
        <v>87</v>
      </c>
      <c r="I88" s="102">
        <f>IFERROR(SUMIFS(Geral!$K$2:$K$20221,Geral!$A$2:$A$20221,"Despesas",Geral!$E$2:$E$20221,"Telefone",Geral!$N$2:$N$20221,12),"")</f>
        <v>468.94</v>
      </c>
    </row>
    <row r="89" spans="1:18" ht="14.25" customHeight="1" x14ac:dyDescent="0.3">
      <c r="A89" s="289"/>
      <c r="B89" s="194" t="s">
        <v>6</v>
      </c>
      <c r="C89" s="161">
        <f t="shared" si="12"/>
        <v>554.87</v>
      </c>
      <c r="D89" s="102">
        <f>IFERROR(SUMIFS(Geral!$K$2:$K$20221,Geral!$A$2:$A$20221,"Despesas",Geral!$E$2:$E$20221,"Internet",Geral!$N$2:$N$20221,7),"")</f>
        <v>0</v>
      </c>
      <c r="E89" s="102">
        <f>IFERROR(SUMIFS(Geral!$K$2:$K$20221,Geral!$A$2:$A$20221,"Despesas",Geral!$E$2:$E$20221,"Internet",Geral!$N$2:$N$20221,8),"")</f>
        <v>112.67</v>
      </c>
      <c r="F89" s="102">
        <f>IFERROR(SUMIFS(Geral!$K$2:$K$20221,Geral!$A$2:$A$20221,"Despesas",Geral!$E$2:$E$20221,"Internet",Geral!$N$2:$N$20221,9),"")</f>
        <v>109.9</v>
      </c>
      <c r="G89" s="102">
        <f>IFERROR(SUMIFS(Geral!$K$2:$K$20221,Geral!$A$2:$A$20221,"Despesas",Geral!$E$2:$E$20221,"Internet",Geral!$N$2:$N$20221,10),"")</f>
        <v>112.5</v>
      </c>
      <c r="H89" s="102">
        <f>IFERROR(SUMIFS(Geral!$K$2:$K$20221,Geral!$A$2:$A$20221,"Despesas",Geral!$E$2:$E$20221,"Internet",Geral!$N$2:$N$20221,11),"")</f>
        <v>109.9</v>
      </c>
      <c r="I89" s="102">
        <f>IFERROR(SUMIFS(Geral!$K$2:$K$20221,Geral!$A$2:$A$20221,"Despesas",Geral!$E$2:$E$20221,"Internet",Geral!$N$2:$N$20221,12),"")</f>
        <v>109.9</v>
      </c>
    </row>
    <row r="90" spans="1:18" ht="14.25" customHeight="1" thickBot="1" x14ac:dyDescent="0.35">
      <c r="A90" s="265"/>
      <c r="B90" s="196" t="s">
        <v>5</v>
      </c>
      <c r="C90" s="162">
        <f t="shared" si="12"/>
        <v>1300</v>
      </c>
      <c r="D90" s="103">
        <f>IFERROR(SUMIFS(Geral!$K$2:$K$20221,Geral!$A$2:$A$20221,"Despesas",Geral!$E$2:$E$20221,"Sistema",Geral!$N$2:$N$20221,7),"")</f>
        <v>0</v>
      </c>
      <c r="E90" s="103">
        <f>IFERROR(SUMIFS(Geral!$K$2:$K$20221,Geral!$A$2:$A$20221,"Despesas",Geral!$E$2:$E$20221,"Sistema",Geral!$N$2:$N$20221,8)/E$2,"")</f>
        <v>0</v>
      </c>
      <c r="F90" s="103">
        <f>IFERROR(SUMIFS(Geral!$K$2:$K$20221,Geral!$A$2:$A$20221,"Despesas",Geral!$E$2:$E$20221,"Sistema",Geral!$N$2:$N$20221,9),"")</f>
        <v>250</v>
      </c>
      <c r="G90" s="103">
        <f>IFERROR(SUMIFS(Geral!$K$2:$K$20221,Geral!$A$2:$A$20221,"Despesas",Geral!$E$2:$E$20221,"Sistema",Geral!$N$2:$N$20221,10),"")</f>
        <v>350</v>
      </c>
      <c r="H90" s="103">
        <f>IFERROR(SUMIFS(Geral!$K$2:$K$20221,Geral!$A$2:$A$20221,"Despesas",Geral!$E$2:$E$20221,"Sistema",Geral!$N$2:$N$20221,11),"")</f>
        <v>300</v>
      </c>
      <c r="I90" s="103">
        <f>IFERROR(SUMIFS(Geral!$K$2:$K$20221,Geral!$A$2:$A$20221,"Despesas",Geral!$E$2:$E$20221,"Sistema",Geral!$N$2:$N$20221,12),"")</f>
        <v>400</v>
      </c>
    </row>
    <row r="91" spans="1:18" ht="14.25" customHeight="1" x14ac:dyDescent="0.3">
      <c r="A91" s="119"/>
      <c r="B91" s="77"/>
      <c r="C91" s="165"/>
      <c r="D91" s="114"/>
      <c r="E91" s="114"/>
      <c r="F91" s="114"/>
      <c r="G91" s="114"/>
      <c r="H91" s="114"/>
      <c r="I91" s="114"/>
    </row>
    <row r="92" spans="1:18" ht="14.25" customHeight="1" thickBot="1" x14ac:dyDescent="0.35"/>
    <row r="93" spans="1:18" ht="14.25" customHeight="1" thickBot="1" x14ac:dyDescent="0.35">
      <c r="A93" s="264" t="s">
        <v>782</v>
      </c>
      <c r="B93" s="264" t="s">
        <v>684</v>
      </c>
      <c r="C93" s="284">
        <f>C82/C2</f>
        <v>0.14131560174246177</v>
      </c>
      <c r="D93" s="24">
        <v>45108</v>
      </c>
      <c r="E93" s="25">
        <v>45139</v>
      </c>
      <c r="F93" s="25">
        <v>45170</v>
      </c>
      <c r="G93" s="25">
        <v>45200</v>
      </c>
      <c r="H93" s="25">
        <v>45231</v>
      </c>
      <c r="I93" s="26">
        <v>45261</v>
      </c>
    </row>
    <row r="94" spans="1:18" ht="14.25" customHeight="1" thickBot="1" x14ac:dyDescent="0.35">
      <c r="A94" s="289"/>
      <c r="B94" s="265"/>
      <c r="C94" s="285"/>
      <c r="D94" s="87">
        <f t="shared" ref="D94:I94" si="13">SUM(D95:D101)</f>
        <v>5.4181269938689082E-2</v>
      </c>
      <c r="E94" s="87">
        <f t="shared" si="13"/>
        <v>0.18989376518819115</v>
      </c>
      <c r="F94" s="87">
        <f t="shared" si="13"/>
        <v>0.14622740504499487</v>
      </c>
      <c r="G94" s="87">
        <f t="shared" si="13"/>
        <v>0.12819317203972397</v>
      </c>
      <c r="H94" s="87">
        <f t="shared" si="13"/>
        <v>0.14038651192322366</v>
      </c>
      <c r="I94" s="179">
        <f t="shared" si="13"/>
        <v>0.15198447803692142</v>
      </c>
    </row>
    <row r="95" spans="1:18" ht="14.25" customHeight="1" x14ac:dyDescent="0.3">
      <c r="A95" s="289"/>
      <c r="B95" s="194" t="s">
        <v>695</v>
      </c>
      <c r="C95" s="123">
        <f>SUM(D95:I95)</f>
        <v>1.3816642147670812E-2</v>
      </c>
      <c r="D95" s="125">
        <f>IFERROR(SUMIFS(Geral!$K$2:$K$20221,Geral!$A$2:$A$20221,"Despesas",Geral!$D$2:$D$20221,"Serviços Fixos",Geral!$N$2:$N$20221,7)/D$2,"")</f>
        <v>3.0750259997345607E-3</v>
      </c>
      <c r="E95" s="125">
        <f>IFERROR(SUMIFS(Geral!$K$2:$K$20221,Geral!$A$2:$A$20221,"Despesas",Geral!$D$2:$D$20221,"Serviços Fixos",Geral!$N$2:$N$20221,8)/E$2,"")</f>
        <v>6.1423524471282895E-3</v>
      </c>
      <c r="F95" s="125">
        <f>IFERROR(SUMIFS(Geral!$K$2:$K$20221,Geral!$A$2:$A$20221,"Despesas",Geral!$D$2:$D$20221,"Serviços Fixos",Geral!$N$2:$N$20221,9)/F$2,"")</f>
        <v>0</v>
      </c>
      <c r="G95" s="125">
        <f>IFERROR(SUMIFS(Geral!$K$2:$K$20221,Geral!$A$2:$A$20221,"Despesas",Geral!$D$2:$D$20221,"Serviços Fixos",Geral!$N$2:$N$20221,10)/G$2,"")</f>
        <v>0</v>
      </c>
      <c r="H95" s="125">
        <f>IFERROR(SUMIFS(Geral!$K$2:$K$20221,Geral!$A$2:$A$20221,"Despesas",Geral!$D$2:$D$20221,"Serviços Fixos",Geral!$N$2:$N$20221,11)/H$2,"")</f>
        <v>0</v>
      </c>
      <c r="I95" s="125">
        <f>IFERROR(SUMIFS(Geral!$K$2:$K$20221,Geral!$A$2:$A$20221,"Despesas",Geral!$D$2:$D$20221,"Serviços Fixos",Geral!$N$2:$N$20221,12)/I$2,"")</f>
        <v>4.5992637008079613E-3</v>
      </c>
    </row>
    <row r="96" spans="1:18" ht="14.25" customHeight="1" x14ac:dyDescent="0.3">
      <c r="A96" s="289"/>
      <c r="B96" s="194" t="s">
        <v>701</v>
      </c>
      <c r="C96" s="123">
        <f t="shared" ref="C96:C98" si="14">SUM(D96:I96)</f>
        <v>0.19059100341603602</v>
      </c>
      <c r="D96" s="85">
        <f>IFERROR(SUMIFS(Geral!$K$2:$K$20221,Geral!$A$2:$A$20221,"Despesas",Geral!$D$2:$D$20221,"Utilidades",Geral!$N$2:$N$20221,7)/D$2,"")</f>
        <v>9.3451577996043686E-3</v>
      </c>
      <c r="E96" s="109">
        <f>IFERROR(SUMIFS(Geral!$K$2:$K$20221,Geral!$A$2:$A$20221,"Despesas",Geral!$D$2:$D$20221,"Utilidades",Geral!$N$2:$N$20221,8)/E$2,"")</f>
        <v>5.1455240112470629E-2</v>
      </c>
      <c r="F96" s="85">
        <f>IFERROR(SUMIFS(Geral!$K$2:$K$20221,Geral!$A$2:$A$20221,"Despesas",Geral!$D$2:$D$20221,"Utilidades",Geral!$N$2:$N$20221,9)/F$2,"")</f>
        <v>2.6090612781054928E-2</v>
      </c>
      <c r="G96" s="109">
        <f>IFERROR(SUMIFS(Geral!$K$2:$K$20221,Geral!$A$2:$A$20221,"Despesas",Geral!$D$2:$D$20221,"Utilidades",Geral!$N$2:$N$20221,10)/G$2,"")</f>
        <v>4.5971389999780322E-2</v>
      </c>
      <c r="H96" s="85">
        <f>IFERROR(SUMIFS(Geral!$K$2:$K$20221,Geral!$A$2:$A$20221,"Despesas",Geral!$D$2:$D$20221,"Utilidades",Geral!$N$2:$N$20221,11)/H$2,"")</f>
        <v>4.1790896867747958E-2</v>
      </c>
      <c r="I96" s="112">
        <f>IFERROR(SUMIFS(Geral!$K$2:$K$20221,Geral!$A$2:$A$20221,"Despesas",Geral!$D$2:$D$20221,"Utilidades",Geral!$N$2:$N$20221,12)/I$2,"")</f>
        <v>1.5937705855377807E-2</v>
      </c>
      <c r="K96" s="8"/>
      <c r="L96" s="8"/>
      <c r="M96" s="8"/>
      <c r="N96" s="8"/>
      <c r="Q96" s="44"/>
      <c r="R96" s="43"/>
    </row>
    <row r="97" spans="1:9" ht="14.25" customHeight="1" x14ac:dyDescent="0.3">
      <c r="A97" s="289"/>
      <c r="B97" s="195" t="s">
        <v>696</v>
      </c>
      <c r="C97" s="123">
        <f t="shared" si="14"/>
        <v>0.59371415457242849</v>
      </c>
      <c r="D97" s="217">
        <f>IFERROR(SUMIFS(Geral!$K$2:$K$20221,Geral!$A$2:$A$20221,"Despesas",Geral!$D$2:$D$20221,"Funcionários",Geral!$N$2:$N$20221,7)/D2,"")</f>
        <v>4.1761086139350152E-2</v>
      </c>
      <c r="E97" s="217">
        <f>IFERROR(SUMIFS(Geral!$K$2:$K$20221,Geral!$A$2:$A$20221,"Despesas",Geral!$D$2:$D$20221,"Funcionários",Geral!$N$2:$N$20221,8)/E2,"")</f>
        <v>0.13187159664686343</v>
      </c>
      <c r="F97" s="217">
        <f>IFERROR(SUMIFS(Geral!$K$2:$K$20221,Geral!$A$2:$A$20221,"Despesas",Geral!$D$2:$D$20221,"Funcionários",Geral!$N$2:$N$20221,9)/F2,"")</f>
        <v>0.11577151316229847</v>
      </c>
      <c r="G97" s="217">
        <f>IFERROR(SUMIFS(Geral!$K$2:$K$20221,Geral!$A$2:$A$20221,"Despesas",Geral!$D$2:$D$20221,"Funcionários",Geral!$N$2:$N$20221,10)/G2,"")</f>
        <v>8.0969041212302084E-2</v>
      </c>
      <c r="H97" s="217">
        <f>IFERROR(SUMIFS(Geral!$K$2:$K$20221,Geral!$A$2:$A$20221,"Despesas",Geral!$D$2:$D$20221,"Funcionários",Geral!$N$2:$N$20221,11)/H2,"")</f>
        <v>9.6641474143286693E-2</v>
      </c>
      <c r="I97" s="217">
        <f>IFERROR(SUMIFS(Geral!$K$2:$K$20221,Geral!$A$2:$A$20221,"Despesas",Geral!$D$2:$D$20221,"Funcionários",Geral!$N$2:$N$20221,12)/I2,"")</f>
        <v>0.12669944326832755</v>
      </c>
    </row>
    <row r="98" spans="1:9" ht="14.25" customHeight="1" x14ac:dyDescent="0.3">
      <c r="A98" s="289"/>
      <c r="B98" s="194" t="s">
        <v>171</v>
      </c>
      <c r="C98" s="123">
        <f t="shared" si="14"/>
        <v>5.7519858418087662E-3</v>
      </c>
      <c r="D98" s="107">
        <f>IFERROR(SUMIFS(Geral!$K$2:$K$20221,Geral!$A$2:$A$20221,"Despesas",Geral!$E$2:$E$20221,"Impostos s/ Folha",Geral!$N$2:$N$20221,7)/D2,"")</f>
        <v>0</v>
      </c>
      <c r="E98" s="107">
        <f>IFERROR(SUMIFS(Geral!$K$2:$K$20221,Geral!$A$2:$A$20221,"Despesas",Geral!$E$2:$E$20221,"Impostos s/ Folha",Geral!$N$2:$N$20221,8)/E2,"")</f>
        <v>0</v>
      </c>
      <c r="F98" s="107">
        <f>IFERROR(SUMIFS(Geral!$K$2:$K$20221,Geral!$A$2:$A$20221,"Despesas",Geral!$E$2:$E$20221,"Impostos s/ Folha",Geral!$N$2:$N$20221,9)/F2,"")</f>
        <v>3.0503061376902026E-3</v>
      </c>
      <c r="G98" s="107">
        <f>IFERROR(SUMIFS(Geral!$K$2:$K$20221,Geral!$A$2:$A$20221,"Despesas",Geral!$E$2:$E$20221,"Impostos s/ Folha",Geral!$N$2:$N$20221,10)/G2,"")</f>
        <v>0</v>
      </c>
      <c r="H98" s="107">
        <f>IFERROR(SUMIFS(Geral!$K$2:$K$20221,Geral!$A$2:$A$20221,"Despesas",Geral!$E$2:$E$20221,"Impostos s/ Folha",Geral!$N$2:$N$20221,11)/H2,"")</f>
        <v>9.5491001230970426E-4</v>
      </c>
      <c r="I98" s="107">
        <f>IFERROR(SUMIFS(Geral!$K$2:$K$20221,Geral!$A$2:$A$20221,"Despesas",Geral!$E$2:$E$20221,"Impostos s/ Folha",Geral!$N$2:$N$20221,12)/I2,"")</f>
        <v>1.7467696918088585E-3</v>
      </c>
    </row>
    <row r="99" spans="1:9" ht="14.25" customHeight="1" x14ac:dyDescent="0.3">
      <c r="A99" s="289"/>
      <c r="B99" s="194" t="s">
        <v>2</v>
      </c>
      <c r="C99" s="123">
        <f>SUM(D99:I99)</f>
        <v>1.6128033518899004E-3</v>
      </c>
      <c r="D99" s="107">
        <f>IFERROR(SUMIFS(Geral!$K$2:$K$20221,Geral!$A$2:$A$20221,"Despesas",Geral!$E$2:$E$20221,"Telefone",Geral!$N$2:$N$20221,7)/D$2,"")</f>
        <v>0</v>
      </c>
      <c r="E99" s="107">
        <f>IFERROR(SUMIFS(Geral!$K$2:$K$20221,Geral!$A$2:$A$20221,"Despesas",Geral!$E$2:$E$20221,"Telefone",Geral!$N$2:$N$20221,8)/E$2,"")</f>
        <v>0</v>
      </c>
      <c r="F99" s="107">
        <f>IFERROR(SUMIFS(Geral!$K$2:$K$20221,Geral!$A$2:$A$20221,"Despesas",Geral!$E$2:$E$20221,"Telefone",Geral!$N$2:$N$20221,9)/F$2,"")</f>
        <v>0</v>
      </c>
      <c r="G99" s="107">
        <f>IFERROR(SUMIFS(Geral!$K$2:$K$20221,Geral!$A$2:$A$20221,"Despesas",Geral!$E$2:$E$20221,"Telefone",Geral!$N$2:$N$20221,10)/G$2,"")</f>
        <v>0</v>
      </c>
      <c r="H99" s="107">
        <f>IFERROR(SUMIFS(Geral!$K$2:$K$20221,Geral!$A$2:$A$20221,"Despesas",Geral!$E$2:$E$20221,"Telefone",Geral!$N$2:$N$20221,11)/H$2,"")</f>
        <v>1.7495087198530991E-4</v>
      </c>
      <c r="I99" s="107">
        <f>IFERROR(SUMIFS(Geral!$K$2:$K$20221,Geral!$A$2:$A$20221,"Despesas",Geral!$E$2:$E$20221,"Telefone",Geral!$N$2:$N$20221,12)/I$2,"")</f>
        <v>1.4378524799045903E-3</v>
      </c>
    </row>
    <row r="100" spans="1:9" ht="14.25" customHeight="1" x14ac:dyDescent="0.3">
      <c r="A100" s="289"/>
      <c r="B100" s="194" t="s">
        <v>6</v>
      </c>
      <c r="C100" s="123">
        <f>SUM(D100:I100)</f>
        <v>1.6888141671977312E-3</v>
      </c>
      <c r="D100" s="107">
        <f>IFERROR(SUMIFS(Geral!$K$2:$K$20221,Geral!$A$2:$A$20221,"Despesas",Geral!$E$2:$E$20221,"Internet",Geral!$N$2:$N$20221,7)/D$2,"")</f>
        <v>0</v>
      </c>
      <c r="E100" s="107">
        <f>IFERROR(SUMIFS(Geral!$K$2:$K$20221,Geral!$A$2:$A$20221,"Despesas",Geral!$E$2:$E$20221,"Internet",Geral!$N$2:$N$20221,8)/E$2,"")</f>
        <v>4.245759817288002E-4</v>
      </c>
      <c r="F100" s="107">
        <f>IFERROR(SUMIFS(Geral!$K$2:$K$20221,Geral!$A$2:$A$20221,"Despesas",Geral!$E$2:$E$20221,"Internet",Geral!$N$2:$N$20221,9)/F$2,"")</f>
        <v>4.015435641518276E-4</v>
      </c>
      <c r="G100" s="107">
        <f>IFERROR(SUMIFS(Geral!$K$2:$K$20221,Geral!$A$2:$A$20221,"Despesas",Geral!$E$2:$E$20221,"Internet",Geral!$N$2:$N$20221,10)/G$2,"")</f>
        <v>3.0472074185876238E-4</v>
      </c>
      <c r="H100" s="107">
        <f>IFERROR(SUMIFS(Geral!$K$2:$K$20221,Geral!$A$2:$A$20221,"Despesas",Geral!$E$2:$E$20221,"Internet",Geral!$N$2:$N$20221,11)/H$2,"")</f>
        <v>2.2100115897914438E-4</v>
      </c>
      <c r="I100" s="107">
        <f>IFERROR(SUMIFS(Geral!$K$2:$K$20221,Geral!$A$2:$A$20221,"Despesas",Geral!$E$2:$E$20221,"Internet",Geral!$N$2:$N$20221,12)/I$2,"")</f>
        <v>3.3697272047919665E-4</v>
      </c>
    </row>
    <row r="101" spans="1:9" ht="14.25" customHeight="1" thickBot="1" x14ac:dyDescent="0.35">
      <c r="A101" s="265"/>
      <c r="B101" s="196" t="s">
        <v>5</v>
      </c>
      <c r="C101" s="124">
        <f>SUM(D101:I101)</f>
        <v>3.6911986747125598E-3</v>
      </c>
      <c r="D101" s="115">
        <f>IFERROR(SUMIFS(Geral!$K$2:$K$20221,Geral!$A$2:$A$20221,"Despesas",Geral!$E$2:$E$20221,"Sistema",Geral!$N$2:$N$20221,7)/D$2,"")</f>
        <v>0</v>
      </c>
      <c r="E101" s="115">
        <f>IFERROR(SUMIFS(Geral!$K$2:$K$20221,Geral!$A$2:$A$20221,"Despesas",Geral!$E$2:$E$20221,"Sistema",Geral!$N$2:$N$20221,8)/E$2,"")</f>
        <v>0</v>
      </c>
      <c r="F101" s="115">
        <f>IFERROR(SUMIFS(Geral!$K$2:$K$20221,Geral!$A$2:$A$20221,"Despesas",Geral!$E$2:$E$20221,"Sistema",Geral!$N$2:$N$20221,9)/F$2,"")</f>
        <v>9.1342939979942577E-4</v>
      </c>
      <c r="G101" s="115">
        <f>IFERROR(SUMIFS(Geral!$K$2:$K$20221,Geral!$A$2:$A$20221,"Despesas",Geral!$E$2:$E$20221,"Sistema",Geral!$N$2:$N$20221,10)/G$2,"")</f>
        <v>9.4802008578281634E-4</v>
      </c>
      <c r="H101" s="115">
        <f>IFERROR(SUMIFS(Geral!$K$2:$K$20221,Geral!$A$2:$A$20221,"Despesas",Geral!$E$2:$E$20221,"Sistema",Geral!$N$2:$N$20221,11)/H$2,"")</f>
        <v>6.0327886891486178E-4</v>
      </c>
      <c r="I101" s="115">
        <f>IFERROR(SUMIFS(Geral!$K$2:$K$20221,Geral!$A$2:$A$20221,"Despesas",Geral!$E$2:$E$20221,"Sistema",Geral!$N$2:$N$20221,12)/I$2,"")</f>
        <v>1.2264703202154563E-3</v>
      </c>
    </row>
    <row r="102" spans="1:9" ht="14.25" customHeight="1" x14ac:dyDescent="0.3">
      <c r="A102" s="119"/>
      <c r="B102" s="77"/>
      <c r="C102" s="93"/>
      <c r="D102" s="114"/>
      <c r="E102" s="114"/>
      <c r="F102" s="114"/>
      <c r="G102" s="114"/>
      <c r="H102" s="114"/>
      <c r="I102" s="114"/>
    </row>
    <row r="103" spans="1:9" ht="14.25" customHeight="1" thickBot="1" x14ac:dyDescent="0.35"/>
    <row r="104" spans="1:9" ht="14.25" customHeight="1" thickBot="1" x14ac:dyDescent="0.35">
      <c r="A104" s="264" t="s">
        <v>713</v>
      </c>
      <c r="B104" s="264" t="s">
        <v>684</v>
      </c>
      <c r="C104" s="268">
        <f>SUM(D105:I105)</f>
        <v>221922.43</v>
      </c>
      <c r="D104" s="24">
        <v>45108</v>
      </c>
      <c r="E104" s="25">
        <v>45139</v>
      </c>
      <c r="F104" s="25">
        <v>45170</v>
      </c>
      <c r="G104" s="25">
        <v>45200</v>
      </c>
      <c r="H104" s="25">
        <v>45231</v>
      </c>
      <c r="I104" s="26">
        <v>45261</v>
      </c>
    </row>
    <row r="105" spans="1:9" ht="14.25" customHeight="1" thickBot="1" x14ac:dyDescent="0.35">
      <c r="A105" s="289"/>
      <c r="B105" s="265"/>
      <c r="C105" s="269"/>
      <c r="D105" s="27">
        <f>SUM(D106:D109)</f>
        <v>25000</v>
      </c>
      <c r="E105" s="27">
        <f t="shared" ref="E105:I105" si="15">SUM(E106:E109)</f>
        <v>34399</v>
      </c>
      <c r="F105" s="27">
        <f t="shared" si="15"/>
        <v>32698.260000000002</v>
      </c>
      <c r="G105" s="27">
        <f t="shared" si="15"/>
        <v>31821</v>
      </c>
      <c r="H105" s="27">
        <f t="shared" si="15"/>
        <v>36747.74</v>
      </c>
      <c r="I105" s="42">
        <f t="shared" si="15"/>
        <v>61256.43</v>
      </c>
    </row>
    <row r="106" spans="1:9" ht="14.25" customHeight="1" x14ac:dyDescent="0.3">
      <c r="A106" s="289"/>
      <c r="B106" s="39" t="s">
        <v>700</v>
      </c>
      <c r="C106" s="71">
        <f>SUM(D106:I106)</f>
        <v>46922.43</v>
      </c>
      <c r="D106" s="69">
        <f>IFERROR(SUMIFS(Geral!$K$2:$K$20221,Geral!$A$2:$A$20221,"Despesas",Geral!$D$2:$D$20221,"Reforma",Geral!$N$2:$N$20221,7),"")</f>
        <v>0</v>
      </c>
      <c r="E106" s="69">
        <f>IFERROR(SUMIFS(Geral!$K$2:$K$20221,Geral!$A$2:$A$20221,"Despesas",Geral!$D$2:$D$20221,"Reforma",Geral!$N$2:$N$20221,8),"")</f>
        <v>4399</v>
      </c>
      <c r="F106" s="69">
        <f>IFERROR(SUMIFS(Geral!$K$2:$K$20221,Geral!$A$2:$A$20221,"Despesas",Geral!$D$2:$D$20221,"Reforma",Geral!$N$2:$N$20221,9),"")</f>
        <v>2698.26</v>
      </c>
      <c r="G106" s="69">
        <f>IFERROR(SUMIFS(Geral!$K$2:$K$20221,Geral!$A$2:$A$20221,"Despesas",Geral!$D$2:$D$20221,"Reforma",Geral!$N$2:$N$20221,10),"")</f>
        <v>1821</v>
      </c>
      <c r="H106" s="69">
        <f>IFERROR(SUMIFS(Geral!$K$2:$K$20221,Geral!$A$2:$A$20221,"Despesas",Geral!$D$2:$D$20221,"Reforma",Geral!$N$2:$N$20221,11),"")</f>
        <v>6747.74</v>
      </c>
      <c r="I106" s="72">
        <f>IFERROR(SUMIFS(Geral!$K$2:$K$20221,Geral!$A$2:$A$20221,"Despesas",Geral!$D$2:$D$20221,"Reforma",Geral!$N$2:$N$20221,12),"")</f>
        <v>31256.43</v>
      </c>
    </row>
    <row r="107" spans="1:9" ht="14.25" customHeight="1" x14ac:dyDescent="0.3">
      <c r="A107" s="289"/>
      <c r="B107" s="45" t="s">
        <v>750</v>
      </c>
      <c r="C107" s="71">
        <f>SUM(D107:I107)</f>
        <v>175000</v>
      </c>
      <c r="D107" s="69">
        <f>IFERROR(SUMIFS(Geral!$K$2:$K$20221,Geral!$A$2:$A$20221,"Despesas",Geral!$D$2:$D$20221,"Aluguéis",Geral!$N$2:$N$20221,7),"")</f>
        <v>25000</v>
      </c>
      <c r="E107" s="69">
        <f>IFERROR(SUMIFS(Geral!$K$2:$K$20221,Geral!$A$2:$A$20221,"Despesas",Geral!$D$2:$D$20221,"Aluguéis",Geral!$N$2:$N$20221,8),"")</f>
        <v>30000</v>
      </c>
      <c r="F107" s="69">
        <f>IFERROR(SUMIFS(Geral!$K$2:$K$20221,Geral!$A$2:$A$20221,"Despesas",Geral!$D$2:$D$20221,"Aluguéis",Geral!$N$2:$N$20221,9),"")</f>
        <v>30000</v>
      </c>
      <c r="G107" s="69">
        <f>IFERROR(SUMIFS(Geral!$K$2:$K$20221,Geral!$A$2:$A$20221,"Despesas",Geral!$D$2:$D$20221,"Aluguéis",Geral!$N$2:$N$20221,10),"")</f>
        <v>30000</v>
      </c>
      <c r="H107" s="69">
        <f>IFERROR(SUMIFS(Geral!$K$2:$K$20221,Geral!$A$2:$A$20221,"Despesas",Geral!$D$2:$D$20221,"Aluguéis",Geral!$N$2:$N$20221,11),"")</f>
        <v>30000</v>
      </c>
      <c r="I107" s="69">
        <f>IFERROR(SUMIFS(Geral!$K$2:$K$20221,Geral!$A$2:$A$20221,"Despesas",Geral!$D$2:$D$20221,"Aluguéis",Geral!$N$2:$N$20221,12),"")</f>
        <v>30000</v>
      </c>
    </row>
    <row r="108" spans="1:9" ht="14.25" customHeight="1" x14ac:dyDescent="0.3">
      <c r="A108" s="289"/>
      <c r="B108" s="45" t="s">
        <v>176</v>
      </c>
      <c r="C108" s="71">
        <f t="shared" ref="C108:C109" si="16">SUM(D108:I108)</f>
        <v>0</v>
      </c>
      <c r="D108" s="69">
        <f>IFERROR(SUMIFS(Geral!$K$2:$K$20221,Geral!$A$2:$A$20221,"Despesas",Geral!$E$2:$E$20221,"Equipamentos",Geral!$N$2:$N$20221,7),"")</f>
        <v>0</v>
      </c>
      <c r="E108" s="69">
        <f>IFERROR(SUMIFS(Geral!$K$2:$K$20221,Geral!$A$2:$A$20221,"Despesas",Geral!$E$2:$E$20221,"Equipamentos",Geral!$N$2:$N$20221,8),"")</f>
        <v>0</v>
      </c>
      <c r="F108" s="69">
        <f>IFERROR(SUMIFS(Geral!$K$2:$K$20221,Geral!$A$2:$A$20221,"Despesas",Geral!$E$2:$E$20221,"Equipamentos",Geral!$N$2:$N$20221,9),"")</f>
        <v>0</v>
      </c>
      <c r="G108" s="69">
        <f>IFERROR(SUMIFS(Geral!$K$2:$K$20221,Geral!$A$2:$A$20221,"Despesas",Geral!$E$2:$E$20221,"Equipamentos",Geral!$N$2:$N$20221,10),"")</f>
        <v>0</v>
      </c>
      <c r="H108" s="69">
        <f>IFERROR(SUMIFS(Geral!$K$2:$K$20221,Geral!$A$2:$A$20221,"Despesas",Geral!$E$2:$E$20221,"Equipamentos",Geral!$N$2:$N$20221,11),"")</f>
        <v>0</v>
      </c>
      <c r="I108" s="72">
        <f>IFERROR(SUMIFS(Geral!$K$2:$K$20221,Geral!$A$2:$A$20221,"Despesas",Geral!$E$2:$E$20221,"Equipamentos",Geral!$N$2:$N$20221,12),"")</f>
        <v>0</v>
      </c>
    </row>
    <row r="109" spans="1:9" ht="14.25" customHeight="1" thickBot="1" x14ac:dyDescent="0.35">
      <c r="A109" s="265"/>
      <c r="B109" s="40" t="s">
        <v>197</v>
      </c>
      <c r="C109" s="74">
        <f t="shared" si="16"/>
        <v>0</v>
      </c>
      <c r="D109" s="70">
        <f>IFERROR(SUMIFS(Geral!$K$2:$K$20221,Geral!$A$2:$A$20221,"Despesas",Geral!$D$2:$D$20221,"Investimento",Geral!$N$2:$N$20221,7),"")</f>
        <v>0</v>
      </c>
      <c r="E109" s="70">
        <f>IFERROR(SUMIFS(Geral!$K$2:$K$20221,Geral!$A$2:$A$20221,"Despesas",Geral!$D$2:$D$20221,"Investimento",Geral!$N$2:$N$20221,8),"")</f>
        <v>0</v>
      </c>
      <c r="F109" s="70">
        <f>IFERROR(SUMIFS(Geral!$K$2:$K$20221,Geral!$A$2:$A$20221,"Despesas",Geral!$D$2:$D$20221,"Investimento",Geral!$N$2:$N$20221,9),"")</f>
        <v>0</v>
      </c>
      <c r="G109" s="70">
        <f>IFERROR(SUMIFS(Geral!$K$2:$K$20221,Geral!$A$2:$A$20221,"Despesas",Geral!$D$2:$D$20221,"Investimento",Geral!$N$2:$N$20221,10),"")</f>
        <v>0</v>
      </c>
      <c r="H109" s="70">
        <f>IFERROR(SUMIFS(Geral!$K$2:$K$20221,Geral!$A$2:$A$20221,"Despesas",Geral!$D$2:$D$20221,"Investimento",Geral!$N$2:$N$20221,11),"")</f>
        <v>0</v>
      </c>
      <c r="I109" s="73">
        <f>IFERROR(SUMIFS(Geral!$K$2:$K$20221,Geral!$A$2:$A$20221,"Despesas",Geral!$D$2:$D$20221,"Investimento",Geral!$N$2:$N$20221,12),"")</f>
        <v>0</v>
      </c>
    </row>
    <row r="110" spans="1:9" ht="14.25" customHeight="1" x14ac:dyDescent="0.3">
      <c r="A110" s="119"/>
      <c r="B110" s="77"/>
      <c r="C110" s="78"/>
      <c r="D110" s="79"/>
      <c r="E110" s="79"/>
      <c r="F110" s="79"/>
      <c r="G110" s="79"/>
      <c r="H110" s="79"/>
      <c r="I110" s="79"/>
    </row>
    <row r="111" spans="1:9" ht="14.25" customHeight="1" thickBot="1" x14ac:dyDescent="0.35">
      <c r="C111" s="8"/>
    </row>
    <row r="112" spans="1:9" ht="14.25" customHeight="1" thickBot="1" x14ac:dyDescent="0.35">
      <c r="A112" s="264" t="s">
        <v>783</v>
      </c>
      <c r="B112" s="264" t="s">
        <v>684</v>
      </c>
      <c r="C112" s="278">
        <f>C104/C2</f>
        <v>0.11841661305419265</v>
      </c>
      <c r="D112" s="24">
        <v>45108</v>
      </c>
      <c r="E112" s="25">
        <v>45139</v>
      </c>
      <c r="F112" s="25">
        <v>45170</v>
      </c>
      <c r="G112" s="25">
        <v>45200</v>
      </c>
      <c r="H112" s="25">
        <v>45231</v>
      </c>
      <c r="I112" s="26">
        <v>45261</v>
      </c>
    </row>
    <row r="113" spans="1:9" ht="14.25" customHeight="1" thickBot="1" x14ac:dyDescent="0.35">
      <c r="A113" s="289"/>
      <c r="B113" s="265"/>
      <c r="C113" s="279"/>
      <c r="D113" s="122">
        <f>SUM(D114:D117)</f>
        <v>0.17555526374369496</v>
      </c>
      <c r="E113" s="122">
        <f t="shared" ref="E113:I113" si="17">SUM(E114:E117)</f>
        <v>0.12962624652071536</v>
      </c>
      <c r="F113" s="122">
        <f t="shared" si="17"/>
        <v>0.1194702080251423</v>
      </c>
      <c r="G113" s="122">
        <f t="shared" si="17"/>
        <v>8.619127757055714E-2</v>
      </c>
      <c r="H113" s="122">
        <f t="shared" si="17"/>
        <v>7.3897116741258068E-2</v>
      </c>
      <c r="I113" s="126">
        <f t="shared" si="17"/>
        <v>0.18782298329338923</v>
      </c>
    </row>
    <row r="114" spans="1:9" ht="14.25" customHeight="1" x14ac:dyDescent="0.3">
      <c r="A114" s="289"/>
      <c r="B114" s="39" t="s">
        <v>700</v>
      </c>
      <c r="C114" s="123">
        <f>SUM(D114:I114)</f>
        <v>0.14077484722957717</v>
      </c>
      <c r="D114" s="91">
        <f>IFERROR(SUMIFS(Geral!$K$2:$K$20221,Geral!$A$2:$A$20221,"Despesas",Geral!$D$2:$D$20221,"Reforma",Geral!$N$2:$N$20221,7)/D$2,"")</f>
        <v>0</v>
      </c>
      <c r="E114" s="91">
        <f>IFERROR(SUMIFS(Geral!$K$2:$K$20221,Geral!$A$2:$A$20221,"Despesas",Geral!$D$2:$D$20221,"Reforma",Geral!$N$2:$N$20221,8)/E$2,"")</f>
        <v>1.6576814978476899E-2</v>
      </c>
      <c r="F114" s="91">
        <f>IFERROR(SUMIFS(Geral!$K$2:$K$20221,Geral!$A$2:$A$20221,"Despesas",Geral!$D$2:$D$20221,"Reforma",Geral!$N$2:$N$20221,9)/F$2,"")</f>
        <v>9.8586800492111958E-3</v>
      </c>
      <c r="G114" s="91">
        <f>IFERROR(SUMIFS(Geral!$K$2:$K$20221,Geral!$A$2:$A$20221,"Despesas",Geral!$D$2:$D$20221,"Reforma",Geral!$N$2:$N$20221,10)/G$2,"")</f>
        <v>4.9324130748871677E-3</v>
      </c>
      <c r="H114" s="91">
        <f>IFERROR(SUMIFS(Geral!$K$2:$K$20221,Geral!$A$2:$A$20221,"Despesas",Geral!$D$2:$D$20221,"Reforma",Geral!$N$2:$N$20221,11)/H$2,"")</f>
        <v>1.3569229849771897E-2</v>
      </c>
      <c r="I114" s="91">
        <f>IFERROR(SUMIFS(Geral!$K$2:$K$20221,Geral!$A$2:$A$20221,"Despesas",Geral!$D$2:$D$20221,"Reforma",Geral!$N$2:$N$20221,12)/I$2,"")</f>
        <v>9.5837709277229996E-2</v>
      </c>
    </row>
    <row r="115" spans="1:9" ht="14.25" customHeight="1" x14ac:dyDescent="0.3">
      <c r="A115" s="289"/>
      <c r="B115" s="45" t="s">
        <v>750</v>
      </c>
      <c r="C115" s="123">
        <f>SUM(D115:I115)</f>
        <v>0.63178824866517991</v>
      </c>
      <c r="D115" s="91">
        <f>IFERROR(SUMIFS(Geral!$K$2:$K$20221,Geral!$A$2:$A$20221,"Despesas",Geral!$D$2:$D$20221,"Aluguéis",Geral!$N$2:$N$20221,7)/D$2,"")</f>
        <v>0.17555526374369496</v>
      </c>
      <c r="E115" s="91">
        <f>IFERROR(SUMIFS(Geral!$K$2:$K$20221,Geral!$A$2:$A$20221,"Despesas",Geral!$D$2:$D$20221,"Aluguéis",Geral!$N$2:$N$20221,8)/E$2,"")</f>
        <v>0.11304943154223845</v>
      </c>
      <c r="F115" s="91">
        <f>IFERROR(SUMIFS(Geral!$K$2:$K$20221,Geral!$A$2:$A$20221,"Despesas",Geral!$D$2:$D$20221,"Aluguéis",Geral!$N$2:$N$20221,9)/F$2,"")</f>
        <v>0.1096115279759311</v>
      </c>
      <c r="G115" s="91">
        <f>IFERROR(SUMIFS(Geral!$K$2:$K$20221,Geral!$A$2:$A$20221,"Despesas",Geral!$D$2:$D$20221,"Aluguéis",Geral!$N$2:$N$20221,10)/G$2,"")</f>
        <v>8.1258864495669977E-2</v>
      </c>
      <c r="H115" s="91">
        <f>IFERROR(SUMIFS(Geral!$K$2:$K$20221,Geral!$A$2:$A$20221,"Despesas",Geral!$D$2:$D$20221,"Aluguéis",Geral!$N$2:$N$20221,11)/H$2,"")</f>
        <v>6.0327886891486174E-2</v>
      </c>
      <c r="I115" s="91">
        <f>IFERROR(SUMIFS(Geral!$K$2:$K$20221,Geral!$A$2:$A$20221,"Despesas",Geral!$D$2:$D$20221,"Aluguéis",Geral!$N$2:$N$20221,12)/I$2,"")</f>
        <v>9.1985274016159232E-2</v>
      </c>
    </row>
    <row r="116" spans="1:9" ht="14.25" customHeight="1" x14ac:dyDescent="0.3">
      <c r="A116" s="289"/>
      <c r="B116" s="45" t="s">
        <v>176</v>
      </c>
      <c r="C116" s="123">
        <f t="shared" ref="C116:C117" si="18">SUM(D116:I116)</f>
        <v>0</v>
      </c>
      <c r="D116" s="91">
        <f>IFERROR(SUMIFS(Geral!$K$2:$K$20221,Geral!$A$2:$A$20221,"Despesas",Geral!$E$2:$E$20221,"Equipamentos",Geral!$N$2:$N$20221,7)/D$2,"")</f>
        <v>0</v>
      </c>
      <c r="E116" s="91">
        <f>IFERROR(SUMIFS(Geral!$K$2:$K$20221,Geral!$A$2:$A$20221,"Despesas",Geral!$E$2:$E$20221,"Equipamentos",Geral!$N$2:$N$20221,8)/E$2,"")</f>
        <v>0</v>
      </c>
      <c r="F116" s="91">
        <f>IFERROR(SUMIFS(Geral!$K$2:$K$20221,Geral!$A$2:$A$20221,"Despesas",Geral!$E$2:$E$20221,"Equipamentos",Geral!$N$2:$N$20221,9)/F$2,"")</f>
        <v>0</v>
      </c>
      <c r="G116" s="91">
        <f>IFERROR(SUMIFS(Geral!$K$2:$K$20221,Geral!$A$2:$A$20221,"Despesas",Geral!$E$2:$E$20221,"Equipamentos",Geral!$N$2:$N$20221,10)/G$2,"")</f>
        <v>0</v>
      </c>
      <c r="H116" s="91">
        <f>IFERROR(SUMIFS(Geral!$K$2:$K$20221,Geral!$A$2:$A$20221,"Despesas",Geral!$E$2:$E$20221,"Equipamentos",Geral!$N$2:$N$20221,11)/H$2,"")</f>
        <v>0</v>
      </c>
      <c r="I116" s="91">
        <f>IFERROR(SUMIFS(Geral!$K$2:$K$20221,Geral!$A$2:$A$20221,"Despesas",Geral!$E$2:$E$20221,"Equipamentos",Geral!$N$2:$N$20221,12)/I$2,"")</f>
        <v>0</v>
      </c>
    </row>
    <row r="117" spans="1:9" ht="14.25" customHeight="1" thickBot="1" x14ac:dyDescent="0.35">
      <c r="A117" s="265"/>
      <c r="B117" s="40" t="s">
        <v>197</v>
      </c>
      <c r="C117" s="124">
        <f t="shared" si="18"/>
        <v>0</v>
      </c>
      <c r="D117" s="92">
        <f>IFERROR(SUMIFS(Geral!$K$2:$K$20221,Geral!$A$2:$A$20221,"Despesas",Geral!$D$2:$D$20221,"Investimento",Geral!$N$2:$N$20221,7)/D$2,"")</f>
        <v>0</v>
      </c>
      <c r="E117" s="92">
        <f>IFERROR(SUMIFS(Geral!$K$2:$K$20221,Geral!$A$2:$A$20221,"Despesas",Geral!$D$2:$D$20221,"Investimento",Geral!$N$2:$N$20221,8)/E$2,"")</f>
        <v>0</v>
      </c>
      <c r="F117" s="92">
        <f>IFERROR(SUMIFS(Geral!$K$2:$K$20221,Geral!$A$2:$A$20221,"Despesas",Geral!$D$2:$D$20221,"Investimento",Geral!$N$2:$N$20221,9)/F$2,"")</f>
        <v>0</v>
      </c>
      <c r="G117" s="92">
        <f>IFERROR(SUMIFS(Geral!$K$2:$K$20221,Geral!$A$2:$A$20221,"Despesas",Geral!$D$2:$D$20221,"Investimento",Geral!$N$2:$N$20221,10)/G$2,"")</f>
        <v>0</v>
      </c>
      <c r="H117" s="92">
        <f>IFERROR(SUMIFS(Geral!$K$2:$K$20221,Geral!$A$2:$A$20221,"Despesas",Geral!$D$2:$D$20221,"Investimento",Geral!$N$2:$N$20221,11)/H$2,"")</f>
        <v>0</v>
      </c>
      <c r="I117" s="92">
        <f>IFERROR(SUMIFS(Geral!$K$2:$K$20221,Geral!$A$2:$A$20221,"Despesas",Geral!$D$2:$D$20221,"Investimento",Geral!$N$2:$N$20221,12)/I$2,"")</f>
        <v>0</v>
      </c>
    </row>
    <row r="118" spans="1:9" ht="14.25" customHeight="1" x14ac:dyDescent="0.3">
      <c r="A118" s="119"/>
      <c r="B118" s="77"/>
      <c r="C118" s="78"/>
      <c r="D118" s="79"/>
      <c r="E118" s="79"/>
      <c r="F118" s="79"/>
      <c r="G118" s="79"/>
      <c r="H118" s="79"/>
      <c r="I118" s="79"/>
    </row>
    <row r="119" spans="1:9" ht="14.25" customHeight="1" thickBot="1" x14ac:dyDescent="0.35">
      <c r="D119" s="10"/>
      <c r="E119" s="10"/>
      <c r="F119" s="10"/>
      <c r="G119" s="10"/>
      <c r="H119" s="10"/>
      <c r="I119" s="10"/>
    </row>
    <row r="120" spans="1:9" ht="14.25" customHeight="1" thickBot="1" x14ac:dyDescent="0.35">
      <c r="A120" s="264" t="s">
        <v>714</v>
      </c>
      <c r="B120" s="264" t="s">
        <v>684</v>
      </c>
      <c r="C120" s="268">
        <f>SUM(D121:I121)</f>
        <v>0</v>
      </c>
      <c r="D120" s="24">
        <v>45108</v>
      </c>
      <c r="E120" s="25">
        <v>45139</v>
      </c>
      <c r="F120" s="25">
        <v>45170</v>
      </c>
      <c r="G120" s="25">
        <v>45200</v>
      </c>
      <c r="H120" s="25">
        <v>45231</v>
      </c>
      <c r="I120" s="26">
        <v>45261</v>
      </c>
    </row>
    <row r="121" spans="1:9" ht="14.25" customHeight="1" thickBot="1" x14ac:dyDescent="0.35">
      <c r="A121" s="289"/>
      <c r="B121" s="265"/>
      <c r="C121" s="269"/>
      <c r="D121" s="27">
        <f t="shared" ref="D121:I121" si="19">SUM(D122:D127)</f>
        <v>0</v>
      </c>
      <c r="E121" s="27">
        <f t="shared" si="19"/>
        <v>0</v>
      </c>
      <c r="F121" s="27">
        <f t="shared" si="19"/>
        <v>0</v>
      </c>
      <c r="G121" s="27">
        <f t="shared" si="19"/>
        <v>0</v>
      </c>
      <c r="H121" s="27">
        <f t="shared" si="19"/>
        <v>0</v>
      </c>
      <c r="I121" s="42">
        <f t="shared" si="19"/>
        <v>0</v>
      </c>
    </row>
    <row r="122" spans="1:9" ht="14.25" customHeight="1" x14ac:dyDescent="0.3">
      <c r="A122" s="289"/>
      <c r="B122" s="39"/>
      <c r="C122" s="46"/>
      <c r="D122" s="21"/>
      <c r="E122" s="29"/>
      <c r="F122" s="29"/>
      <c r="G122" s="29"/>
      <c r="H122" s="29"/>
      <c r="I122" s="30"/>
    </row>
    <row r="123" spans="1:9" ht="14.25" customHeight="1" x14ac:dyDescent="0.3">
      <c r="A123" s="289"/>
      <c r="B123" s="45"/>
      <c r="C123" s="46"/>
      <c r="D123" s="22"/>
      <c r="E123" s="20"/>
      <c r="F123" s="20"/>
      <c r="G123" s="20"/>
      <c r="H123" s="20"/>
      <c r="I123" s="31"/>
    </row>
    <row r="124" spans="1:9" ht="14.25" customHeight="1" thickBot="1" x14ac:dyDescent="0.35">
      <c r="A124" s="265"/>
      <c r="B124" s="40"/>
      <c r="C124" s="47"/>
      <c r="D124" s="23"/>
      <c r="E124" s="32"/>
      <c r="F124" s="32"/>
      <c r="G124" s="32"/>
      <c r="H124" s="32"/>
      <c r="I124" s="33"/>
    </row>
    <row r="125" spans="1:9" ht="14.25" customHeight="1" x14ac:dyDescent="0.3"/>
    <row r="126" spans="1:9" ht="14.25" customHeight="1" x14ac:dyDescent="0.3"/>
    <row r="127" spans="1:9" ht="14.25" customHeight="1" x14ac:dyDescent="0.3"/>
    <row r="128" spans="1:9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</sheetData>
  <mergeCells count="34">
    <mergeCell ref="A1:A3"/>
    <mergeCell ref="A120:A124"/>
    <mergeCell ref="A6:A7"/>
    <mergeCell ref="A14:A31"/>
    <mergeCell ref="A34:A51"/>
    <mergeCell ref="A112:A117"/>
    <mergeCell ref="A104:A109"/>
    <mergeCell ref="A10:A11"/>
    <mergeCell ref="A82:A90"/>
    <mergeCell ref="A68:A79"/>
    <mergeCell ref="A54:A65"/>
    <mergeCell ref="A93:A101"/>
    <mergeCell ref="C6:C7"/>
    <mergeCell ref="C120:C121"/>
    <mergeCell ref="C104:C105"/>
    <mergeCell ref="C34:C35"/>
    <mergeCell ref="C68:C69"/>
    <mergeCell ref="C54:C55"/>
    <mergeCell ref="C14:C15"/>
    <mergeCell ref="C112:C113"/>
    <mergeCell ref="C10:C11"/>
    <mergeCell ref="C82:C83"/>
    <mergeCell ref="C93:C94"/>
    <mergeCell ref="B6:B7"/>
    <mergeCell ref="B120:B121"/>
    <mergeCell ref="B104:B105"/>
    <mergeCell ref="B34:B35"/>
    <mergeCell ref="B14:B15"/>
    <mergeCell ref="B68:B69"/>
    <mergeCell ref="B54:B55"/>
    <mergeCell ref="B112:B113"/>
    <mergeCell ref="B10:B11"/>
    <mergeCell ref="B82:B83"/>
    <mergeCell ref="B93:B94"/>
  </mergeCells>
  <conditionalFormatting sqref="C2">
    <cfRule type="expression" dxfId="0" priority="172">
      <formula>"a2&lt;0"</formula>
    </cfRule>
  </conditionalFormatting>
  <conditionalFormatting sqref="D36:D5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 D5 D70:D71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H67 D63:I6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I1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I1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I1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I1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I2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I2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I2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I2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I2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I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I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I2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I2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I2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I3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I3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I3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I3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I3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I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I4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I4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I4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I4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I4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I4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I4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I4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I4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I5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I5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I5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I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I58 D61:I62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I5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I5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I6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I6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I6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I6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I7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I7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I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I7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I7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75 D72:I7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7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I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I7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I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I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I80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I81 K57:N59 K85:N85 K50:K53 J49:J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I8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I8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I8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I8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I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I8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I91 D84:I8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I8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:I9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I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I9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:I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I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I9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I101 D95:I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I1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I1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I10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I10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I11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I10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I1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I11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I1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I12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I12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:I1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5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7 E85 E60 E16:E3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 E5 E70:E7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I59 D85 D16:D32 D59:D60 D56:D57 E18:I1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7 F85 F60 F16:F3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 F5 F70:F71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I6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:I7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7 G85 G60 G16:G32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 G5 G70:G7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7 H85 H60 H16:H32 I5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4 H5 H70:H71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7 I85 I60 I16:I3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 I5 I70:I7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tabSelected="1" workbookViewId="0">
      <selection activeCell="I36" sqref="I36"/>
    </sheetView>
  </sheetViews>
  <sheetFormatPr defaultColWidth="9.109375" defaultRowHeight="13.8" x14ac:dyDescent="0.3"/>
  <cols>
    <col min="1" max="1" width="40.33203125" style="51" bestFit="1" customWidth="1"/>
    <col min="2" max="7" width="14.33203125" style="51" bestFit="1" customWidth="1"/>
    <col min="8" max="8" width="16.44140625" style="51" bestFit="1" customWidth="1"/>
    <col min="9" max="9" width="11.5546875" style="51" bestFit="1" customWidth="1"/>
    <col min="10" max="10" width="9.88671875" style="51" bestFit="1" customWidth="1"/>
    <col min="11" max="16384" width="9.109375" style="51"/>
  </cols>
  <sheetData>
    <row r="1" spans="1:8" ht="37.5" customHeight="1" thickBot="1" x14ac:dyDescent="0.35">
      <c r="A1" s="48" t="s">
        <v>734</v>
      </c>
      <c r="B1" s="49" t="s">
        <v>735</v>
      </c>
      <c r="C1" s="49" t="s">
        <v>736</v>
      </c>
      <c r="D1" s="49" t="s">
        <v>737</v>
      </c>
      <c r="E1" s="49" t="s">
        <v>738</v>
      </c>
      <c r="F1" s="49" t="s">
        <v>739</v>
      </c>
      <c r="G1" s="49" t="s">
        <v>740</v>
      </c>
      <c r="H1" s="50" t="s">
        <v>741</v>
      </c>
    </row>
    <row r="2" spans="1:8" s="170" customFormat="1" ht="18" x14ac:dyDescent="0.35">
      <c r="A2" s="168" t="s">
        <v>742</v>
      </c>
      <c r="B2" s="169">
        <f>SUMIFS(Geral!$J2:$J20109,Geral!$A2:$A20109,"Faturamento",Geral!$N2:$N20109,7)</f>
        <v>142405.29999999999</v>
      </c>
      <c r="C2" s="169">
        <f>SUMIFS(Geral!$J2:$J20109,Geral!$A2:$A20109,"Faturamento",Geral!$N2:$N20109,8)</f>
        <v>265370.63999999996</v>
      </c>
      <c r="D2" s="169">
        <f>SUMIFS(Geral!$J2:$J20109,Geral!$A2:$A20109,"Faturamento",Geral!$N2:$N20109,9)</f>
        <v>273693.83999999991</v>
      </c>
      <c r="E2" s="169">
        <f>SUMIFS(Geral!$J2:$J20109,Geral!$A2:$A20109,"Faturamento",Geral!$N2:$N20109,10)</f>
        <v>369190.49</v>
      </c>
      <c r="F2" s="169">
        <f>SUMIFS(Geral!$J2:$J20109,Geral!$A2:$A20109,"Faturamento",Geral!$N2:$N20109,11)</f>
        <v>497282.46</v>
      </c>
      <c r="G2" s="220">
        <f>SUMIFS(Geral!$J2:$J20109,Geral!$A2:$A20109,"Faturamento",Geral!$N2:$N20109,12)</f>
        <v>326139.16000000003</v>
      </c>
      <c r="H2" s="227">
        <f t="shared" ref="H2:H27" si="0">SUM(B2:G2)</f>
        <v>1874081.8899999997</v>
      </c>
    </row>
    <row r="3" spans="1:8" ht="15.6" x14ac:dyDescent="0.3">
      <c r="A3" s="52" t="s">
        <v>743</v>
      </c>
      <c r="B3" s="156">
        <f t="shared" ref="B3:C3" si="1">B5+B6+B7</f>
        <v>0</v>
      </c>
      <c r="C3" s="157">
        <f t="shared" si="1"/>
        <v>0</v>
      </c>
      <c r="D3" s="156">
        <f>D5+D6+D7</f>
        <v>11557.009999999998</v>
      </c>
      <c r="E3" s="157">
        <f t="shared" ref="E3:G3" si="2">E5+E6+E7</f>
        <v>11449.480000000001</v>
      </c>
      <c r="F3" s="156">
        <f t="shared" si="2"/>
        <v>21928.75</v>
      </c>
      <c r="G3" s="221">
        <f t="shared" si="2"/>
        <v>26600.79</v>
      </c>
      <c r="H3" s="228">
        <f t="shared" si="0"/>
        <v>71536.03</v>
      </c>
    </row>
    <row r="4" spans="1:8" ht="15.6" x14ac:dyDescent="0.3">
      <c r="A4" s="52" t="s">
        <v>789</v>
      </c>
      <c r="B4" s="218">
        <f>B3/Custos!D2</f>
        <v>0</v>
      </c>
      <c r="C4" s="219">
        <f>C3/Custos!E2</f>
        <v>0</v>
      </c>
      <c r="D4" s="218">
        <f>D3/Custos!F2</f>
        <v>4.222605083110384E-2</v>
      </c>
      <c r="E4" s="219">
        <f>E3/Custos!G2</f>
        <v>3.1012391462196118E-2</v>
      </c>
      <c r="F4" s="218">
        <f>F3/Custos!H2</f>
        <v>4.4097171655722585E-2</v>
      </c>
      <c r="G4" s="222">
        <f>G3/Custos!I2</f>
        <v>8.1562698573210274E-2</v>
      </c>
      <c r="H4" s="229">
        <f>H3/Custos!C2</f>
        <v>3.8171240211920525E-2</v>
      </c>
    </row>
    <row r="5" spans="1:8" ht="15.6" x14ac:dyDescent="0.3">
      <c r="A5" s="52" t="s">
        <v>226</v>
      </c>
      <c r="B5" s="128">
        <f>SUMIFS(Geral!$K$2:$K$20109,Geral!$F$2:$F$20109,"ICMS",Geral!$N$2:$N$20109,7)</f>
        <v>0</v>
      </c>
      <c r="C5" s="53">
        <f>SUMIFS(Geral!$K$2:$K$20109,Geral!$F$2:$F$20109,"ICMS",Geral!$N$2:$N$20109,8)</f>
        <v>0</v>
      </c>
      <c r="D5" s="54">
        <f>SUMIFS(Geral!$K$2:$K$20109,Geral!$F$2:$F$20109,"ICMS",Geral!$N$2:$N$20109,9)</f>
        <v>5381.99</v>
      </c>
      <c r="E5" s="53">
        <f>SUMIFS(Geral!$K$2:$K$20109,Geral!$F$2:$F$20109,"ICMS",Geral!$N$2:$N$20109,10)</f>
        <v>7874.3</v>
      </c>
      <c r="F5" s="54">
        <f>SUMIFS(Geral!$K$2:$K$20109,Geral!$F$2:$F$20109,"ICMS",Geral!$N$2:$N$20109,11)</f>
        <v>8085.41</v>
      </c>
      <c r="G5" s="128">
        <f>SUMIFS(Geral!$K$2:$K$20109,Geral!$F$2:$F$20109,"ICMS",Geral!$N$2:$N$20109,12)</f>
        <v>10248.299999999999</v>
      </c>
      <c r="H5" s="228">
        <f t="shared" si="0"/>
        <v>31590</v>
      </c>
    </row>
    <row r="6" spans="1:8" ht="15.6" x14ac:dyDescent="0.3">
      <c r="A6" s="52" t="s">
        <v>231</v>
      </c>
      <c r="B6" s="128">
        <f>SUMIFS(Geral!$K$2:$K$20109,Geral!$F$2:$F$20109,"PIS",Geral!$N$2:$N$20109,7)</f>
        <v>0</v>
      </c>
      <c r="C6" s="53">
        <f>SUMIFS(Geral!$K$2:$K$20109,Geral!$F$2:$F$20109,"PIS",Geral!$N$2:$N$20109,8)</f>
        <v>0</v>
      </c>
      <c r="D6" s="54">
        <f>SUMIFS(Geral!$K$2:$K$20109,Geral!$F$2:$F$20109,"PIS",Geral!$N$2:$N$20109,9)</f>
        <v>1101.49</v>
      </c>
      <c r="E6" s="53">
        <f>SUMIFS(Geral!$K$2:$K$20109,Geral!$F$2:$F$20109,"PIS",Geral!$N$2:$N$20109,10)</f>
        <v>637.74</v>
      </c>
      <c r="F6" s="54">
        <f>SUMIFS(Geral!$K$2:$K$20109,Geral!$F$2:$F$20109,"PIS",Geral!$N$2:$N$20109,11)</f>
        <v>2469.35</v>
      </c>
      <c r="G6" s="128">
        <f>SUMIFS(Geral!$K$2:$K$20109,Geral!$F$2:$F$20109,"PIS",Geral!$N$2:$N$20109,12)</f>
        <v>2909.05</v>
      </c>
      <c r="H6" s="228">
        <f t="shared" si="0"/>
        <v>7117.63</v>
      </c>
    </row>
    <row r="7" spans="1:8" ht="15.6" x14ac:dyDescent="0.3">
      <c r="A7" s="52" t="s">
        <v>230</v>
      </c>
      <c r="B7" s="128">
        <f>SUMIFS(Geral!$K$2:$K$20109,Geral!$F$2:$F$20109,"COFINS",Geral!$N$2:$N$20109,7)</f>
        <v>0</v>
      </c>
      <c r="C7" s="53">
        <f>SUMIFS(Geral!$K$2:$K$20109,Geral!$F$2:$F$20109,"COFINS",Geral!$N$2:$N$20109,8)</f>
        <v>0</v>
      </c>
      <c r="D7" s="54">
        <f>SUMIFS(Geral!$K$2:$K$20109,Geral!$F$2:$F$20109,"COFINS",Geral!$N$2:$N$20109,9)</f>
        <v>5073.53</v>
      </c>
      <c r="E7" s="53">
        <f>SUMIFS(Geral!$K$2:$K$20109,Geral!$F$2:$F$20109,"COFINS",Geral!$N$2:$N$20109,10)</f>
        <v>2937.44</v>
      </c>
      <c r="F7" s="54">
        <f>SUMIFS(Geral!$K$2:$K$20109,Geral!$F$2:$F$20109,"COFINS",Geral!$N$2:$N$20109,11)</f>
        <v>11373.99</v>
      </c>
      <c r="G7" s="128">
        <f>SUMIFS(Geral!$K$2:$K$20109,Geral!$F$2:$F$20109,"COFINS",Geral!$N$2:$N$20109,12)</f>
        <v>13443.44</v>
      </c>
      <c r="H7" s="228">
        <f t="shared" si="0"/>
        <v>32828.400000000001</v>
      </c>
    </row>
    <row r="8" spans="1:8" s="170" customFormat="1" ht="18" x14ac:dyDescent="0.35">
      <c r="A8" s="171" t="s">
        <v>744</v>
      </c>
      <c r="B8" s="172">
        <f t="shared" ref="B8:G8" si="3">+B2-B3</f>
        <v>142405.29999999999</v>
      </c>
      <c r="C8" s="173">
        <f t="shared" si="3"/>
        <v>265370.63999999996</v>
      </c>
      <c r="D8" s="172">
        <f t="shared" si="3"/>
        <v>262136.8299999999</v>
      </c>
      <c r="E8" s="173">
        <f t="shared" si="3"/>
        <v>357741.01</v>
      </c>
      <c r="F8" s="172">
        <f t="shared" si="3"/>
        <v>475353.71</v>
      </c>
      <c r="G8" s="223">
        <f t="shared" si="3"/>
        <v>299538.37000000005</v>
      </c>
      <c r="H8" s="173">
        <f t="shared" si="0"/>
        <v>1802545.8599999999</v>
      </c>
    </row>
    <row r="9" spans="1:8" ht="15.6" x14ac:dyDescent="0.3">
      <c r="A9" s="197" t="s">
        <v>779</v>
      </c>
      <c r="B9" s="154">
        <f>+B10+B17</f>
        <v>97752.76999999999</v>
      </c>
      <c r="C9" s="155">
        <f t="shared" ref="C9:G9" si="4">+C10+C17</f>
        <v>181773.28999999998</v>
      </c>
      <c r="D9" s="154">
        <f t="shared" si="4"/>
        <v>189872.94</v>
      </c>
      <c r="E9" s="155">
        <f t="shared" si="4"/>
        <v>219203.72999999998</v>
      </c>
      <c r="F9" s="154">
        <f t="shared" si="4"/>
        <v>275437.10000000003</v>
      </c>
      <c r="G9" s="224">
        <f t="shared" si="4"/>
        <v>225223.70999999996</v>
      </c>
      <c r="H9" s="228">
        <f t="shared" si="0"/>
        <v>1189263.54</v>
      </c>
    </row>
    <row r="10" spans="1:8" ht="15.6" x14ac:dyDescent="0.3">
      <c r="A10" s="198" t="s">
        <v>745</v>
      </c>
      <c r="B10" s="151">
        <f t="shared" ref="B10:G10" si="5">SUM(B12:B16)</f>
        <v>90037.069999999992</v>
      </c>
      <c r="C10" s="152">
        <f t="shared" si="5"/>
        <v>131381.06</v>
      </c>
      <c r="D10" s="153">
        <f t="shared" si="5"/>
        <v>149851.4</v>
      </c>
      <c r="E10" s="152">
        <f t="shared" si="5"/>
        <v>171876.02999999997</v>
      </c>
      <c r="F10" s="153">
        <f t="shared" si="5"/>
        <v>205625.35000000003</v>
      </c>
      <c r="G10" s="151">
        <f t="shared" si="5"/>
        <v>175655.61999999997</v>
      </c>
      <c r="H10" s="230">
        <f t="shared" si="0"/>
        <v>924426.53000000014</v>
      </c>
    </row>
    <row r="11" spans="1:8" ht="15.6" x14ac:dyDescent="0.3">
      <c r="A11" s="198" t="s">
        <v>784</v>
      </c>
      <c r="B11" s="199">
        <f>IFERROR(Custos!$D$15/Custos!$D$2, 0)</f>
        <v>0.57940505023338318</v>
      </c>
      <c r="C11" s="200">
        <f>IFERROR(Custos!$E$15/Custos!$E$2, 0)</f>
        <v>0.38059813248368396</v>
      </c>
      <c r="D11" s="201">
        <f>IFERROR(Custos!F15/Custos!F2, 0)</f>
        <v>0.46916021200915614</v>
      </c>
      <c r="E11" s="200">
        <f>IFERROR(Custos!G15/Custos!G2, 0)</f>
        <v>0.40521246904274266</v>
      </c>
      <c r="F11" s="201">
        <f>IFERROR(Custos!H15/Custos!H2, 0)</f>
        <v>0.3530403425047407</v>
      </c>
      <c r="G11" s="199">
        <f>IFERROR(Custos!I15/Custos!I2, 0)</f>
        <v>0.40594217511322461</v>
      </c>
      <c r="H11" s="231">
        <f>IFERROR(Custos!C14/Custos!C2, 0)</f>
        <v>0.41058567616807834</v>
      </c>
    </row>
    <row r="12" spans="1:8" ht="15.6" x14ac:dyDescent="0.3">
      <c r="A12" s="55" t="s">
        <v>178</v>
      </c>
      <c r="B12" s="132">
        <f>Custos!D15</f>
        <v>82510.349999999991</v>
      </c>
      <c r="C12" s="129">
        <f>Custos!E15</f>
        <v>100999.56999999999</v>
      </c>
      <c r="D12" s="133">
        <f>Custos!F15</f>
        <v>128406.26000000001</v>
      </c>
      <c r="E12" s="129">
        <f>Custos!G15</f>
        <v>149600.59</v>
      </c>
      <c r="F12" s="133">
        <f>Custos!H15</f>
        <v>175560.77000000002</v>
      </c>
      <c r="G12" s="132">
        <f>Custos!I15</f>
        <v>132393.63999999998</v>
      </c>
      <c r="H12" s="230">
        <f t="shared" si="0"/>
        <v>769471.18</v>
      </c>
    </row>
    <row r="13" spans="1:8" ht="15.6" x14ac:dyDescent="0.3">
      <c r="A13" s="55" t="s">
        <v>47</v>
      </c>
      <c r="B13" s="132">
        <f>Custos!D56</f>
        <v>863.5</v>
      </c>
      <c r="C13" s="132">
        <f>Custos!E56</f>
        <v>2000</v>
      </c>
      <c r="D13" s="132">
        <f>Custos!F56</f>
        <v>6118.7800000000007</v>
      </c>
      <c r="E13" s="132">
        <f>Custos!G56</f>
        <v>7981.94</v>
      </c>
      <c r="F13" s="132">
        <f>Custos!H56</f>
        <v>9951.59</v>
      </c>
      <c r="G13" s="132">
        <f>Custos!I56</f>
        <v>18190.46</v>
      </c>
      <c r="H13" s="230">
        <f t="shared" si="0"/>
        <v>45106.270000000004</v>
      </c>
    </row>
    <row r="14" spans="1:8" ht="15.6" x14ac:dyDescent="0.3">
      <c r="A14" s="55" t="s">
        <v>729</v>
      </c>
      <c r="B14" s="132">
        <f>Custos!D57</f>
        <v>1230.76</v>
      </c>
      <c r="C14" s="132">
        <f>Custos!E57</f>
        <v>3601.1</v>
      </c>
      <c r="D14" s="132">
        <f>Custos!F57</f>
        <v>1460.68</v>
      </c>
      <c r="E14" s="132">
        <f>Custos!G57</f>
        <v>903.58</v>
      </c>
      <c r="F14" s="132">
        <f>Custos!H57</f>
        <v>1112.26</v>
      </c>
      <c r="G14" s="132">
        <f>Custos!I57</f>
        <v>2436.13</v>
      </c>
      <c r="H14" s="230">
        <f t="shared" si="0"/>
        <v>10744.509999999998</v>
      </c>
    </row>
    <row r="15" spans="1:8" ht="15.6" x14ac:dyDescent="0.3">
      <c r="A15" s="55" t="s">
        <v>718</v>
      </c>
      <c r="B15" s="132">
        <f>Custos!D58</f>
        <v>3013.5</v>
      </c>
      <c r="C15" s="132">
        <f>Custos!E58</f>
        <v>1471.8899999999999</v>
      </c>
      <c r="D15" s="132">
        <f>Custos!F58</f>
        <v>8116.11</v>
      </c>
      <c r="E15" s="132">
        <f>Custos!G58</f>
        <v>8070.62</v>
      </c>
      <c r="F15" s="132">
        <f>Custos!H58</f>
        <v>605.30999999999995</v>
      </c>
      <c r="G15" s="132">
        <f>Custos!I58</f>
        <v>4041.83</v>
      </c>
      <c r="H15" s="230">
        <f t="shared" si="0"/>
        <v>25319.260000000002</v>
      </c>
    </row>
    <row r="16" spans="1:8" ht="15.6" x14ac:dyDescent="0.3">
      <c r="A16" s="55" t="s">
        <v>763</v>
      </c>
      <c r="B16" s="132">
        <f>SUM(Custos!D60:D65)</f>
        <v>2418.96</v>
      </c>
      <c r="C16" s="129">
        <f>SUM(Custos!E60:E65)</f>
        <v>23308.500000000004</v>
      </c>
      <c r="D16" s="133">
        <f>SUM(Custos!F60:F65)</f>
        <v>5749.57</v>
      </c>
      <c r="E16" s="129">
        <f>SUM(Custos!G60:G65)</f>
        <v>5319.2999999999993</v>
      </c>
      <c r="F16" s="133">
        <f>SUM(Custos!H60:H65)</f>
        <v>18395.419999999998</v>
      </c>
      <c r="G16" s="132">
        <f>SUM(Custos!I60:I65)</f>
        <v>18593.560000000001</v>
      </c>
      <c r="H16" s="230">
        <f t="shared" si="0"/>
        <v>73785.31</v>
      </c>
    </row>
    <row r="17" spans="1:8" ht="15.6" x14ac:dyDescent="0.3">
      <c r="A17" s="202" t="s">
        <v>746</v>
      </c>
      <c r="B17" s="150">
        <f>SUM(B19:B21)</f>
        <v>7715.7000000000016</v>
      </c>
      <c r="C17" s="150">
        <f t="shared" ref="C17:G17" si="6">SUM(C19:C21)</f>
        <v>50392.229999999989</v>
      </c>
      <c r="D17" s="150">
        <f t="shared" si="6"/>
        <v>40021.540000000008</v>
      </c>
      <c r="E17" s="150">
        <f t="shared" si="6"/>
        <v>47327.7</v>
      </c>
      <c r="F17" s="150">
        <f t="shared" si="6"/>
        <v>69811.75</v>
      </c>
      <c r="G17" s="150">
        <f t="shared" si="6"/>
        <v>49568.09</v>
      </c>
      <c r="H17" s="230">
        <f t="shared" si="0"/>
        <v>264837.01</v>
      </c>
    </row>
    <row r="18" spans="1:8" ht="15.6" x14ac:dyDescent="0.3">
      <c r="A18" s="202" t="s">
        <v>785</v>
      </c>
      <c r="B18" s="211">
        <f t="shared" ref="B18:G18" si="7">B17/B2</f>
        <v>5.4181269938689096E-2</v>
      </c>
      <c r="C18" s="212">
        <f t="shared" si="7"/>
        <v>0.18989376518819112</v>
      </c>
      <c r="D18" s="213">
        <f t="shared" si="7"/>
        <v>0.14622740504499487</v>
      </c>
      <c r="E18" s="212">
        <f t="shared" si="7"/>
        <v>0.128193172039724</v>
      </c>
      <c r="F18" s="213">
        <f t="shared" si="7"/>
        <v>0.14038651192322366</v>
      </c>
      <c r="G18" s="211">
        <f t="shared" si="7"/>
        <v>0.15198447803692139</v>
      </c>
      <c r="H18" s="231">
        <f>SUM(B17:G17)/H2</f>
        <v>0.14131560174246177</v>
      </c>
    </row>
    <row r="19" spans="1:8" ht="15.6" x14ac:dyDescent="0.3">
      <c r="A19" s="197" t="s">
        <v>701</v>
      </c>
      <c r="B19" s="132">
        <f>Custos!D85</f>
        <v>1330.8</v>
      </c>
      <c r="C19" s="132">
        <f>Custos!E85</f>
        <v>13654.710000000001</v>
      </c>
      <c r="D19" s="132">
        <f>Custos!F85</f>
        <v>7140.84</v>
      </c>
      <c r="E19" s="132">
        <f>Custos!G85</f>
        <v>16972.199999999997</v>
      </c>
      <c r="F19" s="132">
        <f>Custos!H85</f>
        <v>20781.88</v>
      </c>
      <c r="G19" s="132">
        <f>Custos!I85</f>
        <v>5197.91</v>
      </c>
      <c r="H19" s="230">
        <f>SUM(B19:G19)</f>
        <v>65078.34</v>
      </c>
    </row>
    <row r="20" spans="1:8" ht="15.6" x14ac:dyDescent="0.3">
      <c r="A20" s="197" t="s">
        <v>696</v>
      </c>
      <c r="B20" s="132">
        <f>Custos!D86</f>
        <v>5947</v>
      </c>
      <c r="C20" s="132">
        <f>Custos!E86</f>
        <v>34994.85</v>
      </c>
      <c r="D20" s="132">
        <f>Custos!F86</f>
        <v>31685.95</v>
      </c>
      <c r="E20" s="132">
        <f>Custos!G86</f>
        <v>29893</v>
      </c>
      <c r="F20" s="132">
        <f>Custos!H86</f>
        <v>48058.11</v>
      </c>
      <c r="G20" s="132">
        <f>Custos!I86</f>
        <v>41321.65</v>
      </c>
      <c r="H20" s="230">
        <f t="shared" ref="H20:H21" si="8">SUM(B20:G20)</f>
        <v>191900.56</v>
      </c>
    </row>
    <row r="21" spans="1:8" ht="15.6" x14ac:dyDescent="0.3">
      <c r="A21" s="197" t="s">
        <v>788</v>
      </c>
      <c r="B21" s="189">
        <f>Custos!D7-Custos!D85-Custos!D86-Custos!D106-Custos!D107</f>
        <v>437.90000000000146</v>
      </c>
      <c r="C21" s="189">
        <f>Custos!E7-Custos!E85-Custos!E86-Custos!E106-Custos!E107</f>
        <v>1742.669999999991</v>
      </c>
      <c r="D21" s="189">
        <f>Custos!F7-Custos!F85-Custos!F86-Custos!F106-Custos!F107</f>
        <v>1194.7500000000073</v>
      </c>
      <c r="E21" s="189">
        <f>Custos!G7-Custos!G85-Custos!G86-Custos!G106-Custos!G107</f>
        <v>462.5</v>
      </c>
      <c r="F21" s="189">
        <f>Custos!H7-Custos!H85-Custos!H86-Custos!H106-Custos!H107</f>
        <v>971.75999999998749</v>
      </c>
      <c r="G21" s="189">
        <f>Custos!I7-Custos!I85-Custos!I86-Custos!I106-Custos!I107</f>
        <v>3048.5299999999988</v>
      </c>
      <c r="H21" s="230">
        <f t="shared" si="8"/>
        <v>7858.109999999986</v>
      </c>
    </row>
    <row r="22" spans="1:8" ht="15.6" x14ac:dyDescent="0.3">
      <c r="A22" s="202" t="s">
        <v>716</v>
      </c>
      <c r="B22" s="131">
        <f t="shared" ref="B22:G22" si="9">+B8-B9</f>
        <v>44652.53</v>
      </c>
      <c r="C22" s="203">
        <f t="shared" si="9"/>
        <v>83597.349999999977</v>
      </c>
      <c r="D22" s="131">
        <f t="shared" si="9"/>
        <v>72263.889999999898</v>
      </c>
      <c r="E22" s="203">
        <f t="shared" si="9"/>
        <v>138537.28000000003</v>
      </c>
      <c r="F22" s="131">
        <f t="shared" si="9"/>
        <v>199916.61</v>
      </c>
      <c r="G22" s="225">
        <f t="shared" si="9"/>
        <v>74314.660000000091</v>
      </c>
      <c r="H22" s="228">
        <f t="shared" si="0"/>
        <v>613282.32000000007</v>
      </c>
    </row>
    <row r="23" spans="1:8" ht="15.6" x14ac:dyDescent="0.3">
      <c r="A23" s="202" t="s">
        <v>786</v>
      </c>
      <c r="B23" s="204">
        <f t="shared" ref="B23:G23" si="10">B22/B2</f>
        <v>0.31355946723893002</v>
      </c>
      <c r="C23" s="205">
        <f t="shared" si="10"/>
        <v>0.31502109653125149</v>
      </c>
      <c r="D23" s="206">
        <f t="shared" si="10"/>
        <v>0.26403184667948654</v>
      </c>
      <c r="E23" s="205">
        <f t="shared" si="10"/>
        <v>0.37524606877062305</v>
      </c>
      <c r="F23" s="206">
        <f t="shared" si="10"/>
        <v>0.40201822119364511</v>
      </c>
      <c r="G23" s="204">
        <f t="shared" si="10"/>
        <v>0.2278618121172572</v>
      </c>
      <c r="H23" s="229">
        <f>SUM(B22:G22)/H2</f>
        <v>0.32724414193021212</v>
      </c>
    </row>
    <row r="24" spans="1:8" ht="15.6" x14ac:dyDescent="0.3">
      <c r="A24" s="52" t="s">
        <v>175</v>
      </c>
      <c r="B24" s="189">
        <f>Custos!D106</f>
        <v>0</v>
      </c>
      <c r="C24" s="186">
        <f>Custos!E106</f>
        <v>4399</v>
      </c>
      <c r="D24" s="56">
        <f>Custos!F106</f>
        <v>2698.26</v>
      </c>
      <c r="E24" s="186">
        <f>Custos!G106</f>
        <v>1821</v>
      </c>
      <c r="F24" s="56">
        <f>Custos!H106</f>
        <v>6747.74</v>
      </c>
      <c r="G24" s="226">
        <f>Custos!I106</f>
        <v>31256.43</v>
      </c>
      <c r="H24" s="228">
        <f t="shared" si="0"/>
        <v>46922.43</v>
      </c>
    </row>
    <row r="25" spans="1:8" ht="15.6" x14ac:dyDescent="0.3">
      <c r="A25" s="57" t="s">
        <v>747</v>
      </c>
      <c r="B25" s="188">
        <f>B22-B24</f>
        <v>44652.53</v>
      </c>
      <c r="C25" s="130">
        <f t="shared" ref="C25:G25" si="11">C22-C24</f>
        <v>79198.349999999977</v>
      </c>
      <c r="D25" s="131">
        <f t="shared" si="11"/>
        <v>69565.629999999903</v>
      </c>
      <c r="E25" s="130">
        <f t="shared" si="11"/>
        <v>136716.28000000003</v>
      </c>
      <c r="F25" s="130">
        <f t="shared" si="11"/>
        <v>193168.87</v>
      </c>
      <c r="G25" s="131">
        <f t="shared" si="11"/>
        <v>43058.230000000091</v>
      </c>
      <c r="H25" s="228">
        <f>SUM(B25:G25)</f>
        <v>566359.89</v>
      </c>
    </row>
    <row r="26" spans="1:8" ht="15.6" x14ac:dyDescent="0.3">
      <c r="A26" s="52" t="s">
        <v>1</v>
      </c>
      <c r="B26" s="187">
        <f>Custos!D107</f>
        <v>25000</v>
      </c>
      <c r="C26" s="186">
        <f>Custos!E107</f>
        <v>30000</v>
      </c>
      <c r="D26" s="187">
        <f>Custos!F107</f>
        <v>30000</v>
      </c>
      <c r="E26" s="186">
        <f>Custos!G107</f>
        <v>30000</v>
      </c>
      <c r="F26" s="187">
        <f>Custos!H107</f>
        <v>30000</v>
      </c>
      <c r="G26" s="226">
        <f>Custos!I107</f>
        <v>30000</v>
      </c>
      <c r="H26" s="228">
        <f t="shared" si="0"/>
        <v>175000</v>
      </c>
    </row>
    <row r="27" spans="1:8" s="238" customFormat="1" ht="15" customHeight="1" x14ac:dyDescent="0.3">
      <c r="A27" s="197" t="s">
        <v>711</v>
      </c>
      <c r="B27" s="234">
        <f t="shared" ref="B27" si="12">B25-B26</f>
        <v>19652.53</v>
      </c>
      <c r="C27" s="235">
        <f t="shared" ref="C27:G27" si="13">C25-C26</f>
        <v>49198.349999999977</v>
      </c>
      <c r="D27" s="234">
        <f t="shared" si="13"/>
        <v>39565.629999999903</v>
      </c>
      <c r="E27" s="235">
        <f t="shared" si="13"/>
        <v>106716.28000000003</v>
      </c>
      <c r="F27" s="234">
        <f t="shared" si="13"/>
        <v>163168.87</v>
      </c>
      <c r="G27" s="236">
        <f t="shared" si="13"/>
        <v>13058.230000000091</v>
      </c>
      <c r="H27" s="237">
        <f t="shared" si="0"/>
        <v>391359.89</v>
      </c>
    </row>
    <row r="28" spans="1:8" ht="16.2" thickBot="1" x14ac:dyDescent="0.35">
      <c r="A28" s="210" t="s">
        <v>787</v>
      </c>
      <c r="B28" s="207">
        <f t="shared" ref="B28:H28" si="14">B27/B2</f>
        <v>0.13800420349523509</v>
      </c>
      <c r="C28" s="208">
        <f t="shared" si="14"/>
        <v>0.18539485001053616</v>
      </c>
      <c r="D28" s="209">
        <f t="shared" si="14"/>
        <v>0.14456163865434427</v>
      </c>
      <c r="E28" s="208">
        <f t="shared" si="14"/>
        <v>0.28905479120006594</v>
      </c>
      <c r="F28" s="209">
        <f t="shared" si="14"/>
        <v>0.32812110445238707</v>
      </c>
      <c r="G28" s="207">
        <f t="shared" si="14"/>
        <v>4.0038828823867972E-2</v>
      </c>
      <c r="H28" s="232">
        <f t="shared" si="14"/>
        <v>0.20882752887601944</v>
      </c>
    </row>
    <row r="29" spans="1:8" ht="15.6" x14ac:dyDescent="0.3">
      <c r="G29" s="58"/>
      <c r="H29" s="5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H4 H11 H18 H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Parâmetros</vt:lpstr>
      <vt:lpstr>Geral</vt:lpstr>
      <vt:lpstr>Faturamento</vt:lpstr>
      <vt:lpstr>Custos</vt:lpstr>
      <vt:lpstr>DRE</vt:lpstr>
      <vt:lpstr>Categorias</vt:lpstr>
      <vt:lpstr>Entidades</vt:lpstr>
      <vt:lpstr>Tipos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Rômulo de Oliveira Saraiva</cp:lastModifiedBy>
  <dcterms:created xsi:type="dcterms:W3CDTF">2024-02-07T16:54:35Z</dcterms:created>
  <dcterms:modified xsi:type="dcterms:W3CDTF">2024-07-12T18:53:22Z</dcterms:modified>
</cp:coreProperties>
</file>